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28d90fa971947e3/融和元储工作/模型等其他参考资料/Python/Counry_Investigation/RO_MILP/outputs/01a0f118-8c45-7e53-9dc7-5c2b28a5ed1c/20260801_02_audit/"/>
    </mc:Choice>
  </mc:AlternateContent>
  <xr:revisionPtr revIDLastSave="13" documentId="11_D3151F3C1FDDF71BA86647FF57536E75821D0515" xr6:coauthVersionLast="47" xr6:coauthVersionMax="47" xr10:uidLastSave="{DCEFD29F-37FB-4A99-8591-28C171497BE6}"/>
  <bookViews>
    <workbookView xWindow="-98" yWindow="-98" windowWidth="23236" windowHeight="13875" activeTab="2" xr2:uid="{00000000-000D-0000-FFFF-FFFF00000000}"/>
  </bookViews>
  <sheets>
    <sheet name="8月1日审计" sheetId="1" r:id="rId1"/>
    <sheet name="8月2日审计" sheetId="2" r:id="rId2"/>
    <sheet name="两日求解价格与决策" sheetId="3" r:id="rId3"/>
    <sheet name="相位SOC复算" sheetId="4" r:id="rId4"/>
    <sheet name="订单与窗口" sheetId="5" r:id="rId5"/>
    <sheet name="原始输入与口径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2" i="3" l="1"/>
  <c r="J6" i="3"/>
  <c r="O9" i="3"/>
  <c r="U9" i="3"/>
  <c r="J7" i="5"/>
  <c r="H7" i="5"/>
  <c r="H6" i="5"/>
  <c r="J6" i="5" s="1"/>
  <c r="I476" i="4"/>
  <c r="I9" i="4"/>
  <c r="BD392" i="3"/>
  <c r="BC392" i="3"/>
  <c r="BB392" i="3"/>
  <c r="BA392" i="3"/>
  <c r="AZ392" i="3"/>
  <c r="AY392" i="3"/>
  <c r="AX392" i="3"/>
  <c r="AW392" i="3"/>
  <c r="AV392" i="3"/>
  <c r="AU392" i="3"/>
  <c r="AT392" i="3"/>
  <c r="AS392" i="3"/>
  <c r="AR392" i="3"/>
  <c r="AL392" i="3"/>
  <c r="AK392" i="3"/>
  <c r="AJ392" i="3"/>
  <c r="AI392" i="3"/>
  <c r="AH392" i="3"/>
  <c r="AG392" i="3"/>
  <c r="AE392" i="3"/>
  <c r="AD392" i="3"/>
  <c r="AC392" i="3"/>
  <c r="AB392" i="3"/>
  <c r="AA392" i="3"/>
  <c r="AF392" i="3" s="1"/>
  <c r="Z392" i="3"/>
  <c r="X392" i="3"/>
  <c r="S392" i="3"/>
  <c r="R392" i="3"/>
  <c r="Q392" i="3"/>
  <c r="N392" i="3"/>
  <c r="M392" i="3"/>
  <c r="BG392" i="3" s="1"/>
  <c r="L392" i="3"/>
  <c r="BF392" i="3" s="1"/>
  <c r="K392" i="3"/>
  <c r="J392" i="3"/>
  <c r="I392" i="3"/>
  <c r="H392" i="3"/>
  <c r="G392" i="3"/>
  <c r="F392" i="3"/>
  <c r="E392" i="3"/>
  <c r="D392" i="3"/>
  <c r="C392" i="3"/>
  <c r="B392" i="3"/>
  <c r="A392" i="3"/>
  <c r="BG391" i="3"/>
  <c r="BF391" i="3"/>
  <c r="BD391" i="3"/>
  <c r="BC391" i="3"/>
  <c r="BB391" i="3"/>
  <c r="BA391" i="3"/>
  <c r="AZ391" i="3"/>
  <c r="AY391" i="3"/>
  <c r="AX391" i="3"/>
  <c r="AW391" i="3"/>
  <c r="AV391" i="3"/>
  <c r="AU391" i="3"/>
  <c r="AT391" i="3"/>
  <c r="AS391" i="3"/>
  <c r="AR391" i="3"/>
  <c r="AL391" i="3"/>
  <c r="AK391" i="3"/>
  <c r="AG391" i="3" s="1"/>
  <c r="AJ391" i="3"/>
  <c r="AI391" i="3"/>
  <c r="AH391" i="3"/>
  <c r="AE391" i="3"/>
  <c r="AD391" i="3"/>
  <c r="AC391" i="3"/>
  <c r="AB391" i="3"/>
  <c r="AA391" i="3"/>
  <c r="Z391" i="3"/>
  <c r="X391" i="3"/>
  <c r="S391" i="3"/>
  <c r="R391" i="3"/>
  <c r="Q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BD390" i="3"/>
  <c r="BC390" i="3"/>
  <c r="BB390" i="3"/>
  <c r="BA390" i="3"/>
  <c r="AZ390" i="3"/>
  <c r="AY390" i="3"/>
  <c r="AX390" i="3"/>
  <c r="AW390" i="3"/>
  <c r="AV390" i="3"/>
  <c r="AU390" i="3"/>
  <c r="AT390" i="3"/>
  <c r="AS390" i="3"/>
  <c r="AR390" i="3"/>
  <c r="AL390" i="3"/>
  <c r="AK390" i="3"/>
  <c r="AJ390" i="3"/>
  <c r="AI390" i="3"/>
  <c r="AH390" i="3"/>
  <c r="AG390" i="3"/>
  <c r="AE390" i="3"/>
  <c r="AD390" i="3"/>
  <c r="AC390" i="3"/>
  <c r="AB390" i="3"/>
  <c r="AA390" i="3"/>
  <c r="AF390" i="3" s="1"/>
  <c r="Z390" i="3"/>
  <c r="X390" i="3"/>
  <c r="P390" i="3"/>
  <c r="N390" i="3"/>
  <c r="T390" i="3" s="1"/>
  <c r="BH390" i="3" s="1"/>
  <c r="M390" i="3"/>
  <c r="S390" i="3" s="1"/>
  <c r="L390" i="3"/>
  <c r="K390" i="3"/>
  <c r="J390" i="3"/>
  <c r="I390" i="3"/>
  <c r="H390" i="3"/>
  <c r="G390" i="3"/>
  <c r="F390" i="3"/>
  <c r="E390" i="3"/>
  <c r="D390" i="3"/>
  <c r="C390" i="3"/>
  <c r="B390" i="3"/>
  <c r="A390" i="3"/>
  <c r="BE389" i="3"/>
  <c r="BD389" i="3"/>
  <c r="BC389" i="3"/>
  <c r="BB389" i="3"/>
  <c r="BA389" i="3"/>
  <c r="AZ389" i="3"/>
  <c r="AY389" i="3"/>
  <c r="AX389" i="3"/>
  <c r="AW389" i="3"/>
  <c r="AV389" i="3"/>
  <c r="AU389" i="3"/>
  <c r="AT389" i="3"/>
  <c r="AS389" i="3"/>
  <c r="AR389" i="3"/>
  <c r="AL389" i="3"/>
  <c r="AK389" i="3"/>
  <c r="AJ389" i="3"/>
  <c r="AI389" i="3"/>
  <c r="AG389" i="3" s="1"/>
  <c r="AH389" i="3"/>
  <c r="AF389" i="3"/>
  <c r="AE389" i="3"/>
  <c r="AD389" i="3"/>
  <c r="AC389" i="3"/>
  <c r="AB389" i="3"/>
  <c r="AA389" i="3"/>
  <c r="Z389" i="3"/>
  <c r="X389" i="3"/>
  <c r="Q389" i="3"/>
  <c r="N389" i="3"/>
  <c r="T389" i="3" s="1"/>
  <c r="M389" i="3"/>
  <c r="L389" i="3"/>
  <c r="R389" i="3" s="1"/>
  <c r="K389" i="3"/>
  <c r="J389" i="3"/>
  <c r="I389" i="3"/>
  <c r="H389" i="3"/>
  <c r="G389" i="3"/>
  <c r="F389" i="3"/>
  <c r="E389" i="3"/>
  <c r="D389" i="3"/>
  <c r="C389" i="3"/>
  <c r="B389" i="3"/>
  <c r="A389" i="3"/>
  <c r="BG388" i="3"/>
  <c r="BF388" i="3"/>
  <c r="BD388" i="3"/>
  <c r="BC388" i="3"/>
  <c r="BB388" i="3"/>
  <c r="BA388" i="3"/>
  <c r="AZ388" i="3"/>
  <c r="AY388" i="3"/>
  <c r="AX388" i="3"/>
  <c r="AW388" i="3"/>
  <c r="AV388" i="3"/>
  <c r="AU388" i="3"/>
  <c r="AT388" i="3"/>
  <c r="AS388" i="3"/>
  <c r="AR388" i="3"/>
  <c r="AL388" i="3"/>
  <c r="AK388" i="3"/>
  <c r="AJ388" i="3"/>
  <c r="AI388" i="3"/>
  <c r="AH388" i="3"/>
  <c r="AF388" i="3"/>
  <c r="O388" i="3" s="1"/>
  <c r="AE388" i="3"/>
  <c r="AD388" i="3"/>
  <c r="AC388" i="3"/>
  <c r="AB388" i="3"/>
  <c r="AA388" i="3"/>
  <c r="AG388" i="3" s="1"/>
  <c r="Z388" i="3"/>
  <c r="X388" i="3"/>
  <c r="S388" i="3"/>
  <c r="R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BG387" i="3"/>
  <c r="BD387" i="3"/>
  <c r="BC387" i="3"/>
  <c r="BB387" i="3"/>
  <c r="BA387" i="3"/>
  <c r="AZ387" i="3"/>
  <c r="AY387" i="3"/>
  <c r="AX387" i="3"/>
  <c r="AW387" i="3"/>
  <c r="AV387" i="3"/>
  <c r="AU387" i="3"/>
  <c r="AT387" i="3"/>
  <c r="AS387" i="3"/>
  <c r="AR387" i="3"/>
  <c r="AL387" i="3"/>
  <c r="AK387" i="3"/>
  <c r="AJ387" i="3"/>
  <c r="AI387" i="3"/>
  <c r="AH387" i="3"/>
  <c r="AG387" i="3"/>
  <c r="P387" i="3" s="1"/>
  <c r="AE387" i="3"/>
  <c r="AD387" i="3"/>
  <c r="AC387" i="3"/>
  <c r="BH387" i="3" s="1"/>
  <c r="AB387" i="3"/>
  <c r="AA387" i="3"/>
  <c r="AF387" i="3" s="1"/>
  <c r="O387" i="3" s="1"/>
  <c r="Z387" i="3"/>
  <c r="X387" i="3"/>
  <c r="N387" i="3"/>
  <c r="T387" i="3" s="1"/>
  <c r="M387" i="3"/>
  <c r="S387" i="3" s="1"/>
  <c r="L387" i="3"/>
  <c r="K387" i="3"/>
  <c r="J387" i="3"/>
  <c r="I387" i="3"/>
  <c r="H387" i="3"/>
  <c r="G387" i="3"/>
  <c r="F387" i="3"/>
  <c r="E387" i="3"/>
  <c r="D387" i="3"/>
  <c r="C387" i="3"/>
  <c r="B387" i="3"/>
  <c r="A387" i="3"/>
  <c r="BE386" i="3"/>
  <c r="BD386" i="3"/>
  <c r="BC386" i="3"/>
  <c r="BB386" i="3"/>
  <c r="BA386" i="3"/>
  <c r="AZ386" i="3"/>
  <c r="AY386" i="3"/>
  <c r="AX386" i="3"/>
  <c r="AW386" i="3"/>
  <c r="AV386" i="3"/>
  <c r="AU386" i="3"/>
  <c r="AT386" i="3"/>
  <c r="AS386" i="3"/>
  <c r="AR386" i="3"/>
  <c r="AL386" i="3"/>
  <c r="AK386" i="3"/>
  <c r="AJ386" i="3"/>
  <c r="AI386" i="3"/>
  <c r="AH386" i="3"/>
  <c r="AF386" i="3" s="1"/>
  <c r="AE386" i="3"/>
  <c r="AD386" i="3"/>
  <c r="AC386" i="3"/>
  <c r="AB386" i="3"/>
  <c r="AA386" i="3"/>
  <c r="AG386" i="3" s="1"/>
  <c r="P386" i="3" s="1"/>
  <c r="BJ386" i="3" s="1"/>
  <c r="Z386" i="3"/>
  <c r="X386" i="3"/>
  <c r="V386" i="3"/>
  <c r="Q386" i="3"/>
  <c r="N386" i="3"/>
  <c r="T386" i="3" s="1"/>
  <c r="BH386" i="3" s="1"/>
  <c r="M386" i="3"/>
  <c r="S386" i="3" s="1"/>
  <c r="L386" i="3"/>
  <c r="K386" i="3"/>
  <c r="J386" i="3"/>
  <c r="I386" i="3"/>
  <c r="H386" i="3"/>
  <c r="G386" i="3"/>
  <c r="F386" i="3"/>
  <c r="E386" i="3"/>
  <c r="D386" i="3"/>
  <c r="C386" i="3"/>
  <c r="B386" i="3"/>
  <c r="A386" i="3"/>
  <c r="BE385" i="3"/>
  <c r="BD385" i="3"/>
  <c r="BC385" i="3"/>
  <c r="BB385" i="3"/>
  <c r="BA385" i="3"/>
  <c r="AZ385" i="3"/>
  <c r="AY385" i="3"/>
  <c r="AX385" i="3"/>
  <c r="AW385" i="3"/>
  <c r="AV385" i="3"/>
  <c r="AU385" i="3"/>
  <c r="AT385" i="3"/>
  <c r="AS385" i="3"/>
  <c r="AR385" i="3"/>
  <c r="AL385" i="3"/>
  <c r="AK385" i="3"/>
  <c r="AJ385" i="3"/>
  <c r="AI385" i="3"/>
  <c r="AH385" i="3"/>
  <c r="AE385" i="3"/>
  <c r="AD385" i="3"/>
  <c r="AC385" i="3"/>
  <c r="AB385" i="3"/>
  <c r="AA385" i="3"/>
  <c r="Z385" i="3"/>
  <c r="X385" i="3"/>
  <c r="S385" i="3"/>
  <c r="R385" i="3"/>
  <c r="BF385" i="3" s="1"/>
  <c r="Q385" i="3"/>
  <c r="N385" i="3"/>
  <c r="M385" i="3"/>
  <c r="BG385" i="3" s="1"/>
  <c r="L385" i="3"/>
  <c r="K385" i="3"/>
  <c r="J385" i="3"/>
  <c r="I385" i="3"/>
  <c r="H385" i="3"/>
  <c r="G385" i="3"/>
  <c r="F385" i="3"/>
  <c r="E385" i="3"/>
  <c r="D385" i="3"/>
  <c r="C385" i="3"/>
  <c r="B385" i="3"/>
  <c r="A385" i="3"/>
  <c r="BG384" i="3"/>
  <c r="BF384" i="3"/>
  <c r="BD384" i="3"/>
  <c r="BC384" i="3"/>
  <c r="BB384" i="3"/>
  <c r="BA384" i="3"/>
  <c r="AZ384" i="3"/>
  <c r="AY384" i="3"/>
  <c r="AX384" i="3"/>
  <c r="AW384" i="3"/>
  <c r="AV384" i="3"/>
  <c r="AU384" i="3"/>
  <c r="AT384" i="3"/>
  <c r="AS384" i="3"/>
  <c r="AR384" i="3"/>
  <c r="AL384" i="3"/>
  <c r="AK384" i="3"/>
  <c r="AJ384" i="3"/>
  <c r="AI384" i="3"/>
  <c r="AH384" i="3"/>
  <c r="AG384" i="3"/>
  <c r="P384" i="3" s="1"/>
  <c r="AF384" i="3"/>
  <c r="AE384" i="3"/>
  <c r="AD384" i="3"/>
  <c r="AC384" i="3"/>
  <c r="AB384" i="3"/>
  <c r="AA384" i="3"/>
  <c r="Z384" i="3"/>
  <c r="X384" i="3"/>
  <c r="T384" i="3"/>
  <c r="BH384" i="3" s="1"/>
  <c r="S384" i="3"/>
  <c r="R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A384" i="3"/>
  <c r="BD383" i="3"/>
  <c r="BC383" i="3"/>
  <c r="BB383" i="3"/>
  <c r="BA383" i="3"/>
  <c r="AZ383" i="3"/>
  <c r="AY383" i="3"/>
  <c r="AX383" i="3"/>
  <c r="AW383" i="3"/>
  <c r="AV383" i="3"/>
  <c r="AU383" i="3"/>
  <c r="AT383" i="3"/>
  <c r="AS383" i="3"/>
  <c r="AR383" i="3"/>
  <c r="AL383" i="3"/>
  <c r="AK383" i="3"/>
  <c r="AJ383" i="3"/>
  <c r="AI383" i="3"/>
  <c r="AH383" i="3"/>
  <c r="AE383" i="3"/>
  <c r="AD383" i="3"/>
  <c r="AC383" i="3"/>
  <c r="AB383" i="3"/>
  <c r="AA383" i="3"/>
  <c r="AF383" i="3" s="1"/>
  <c r="Z383" i="3"/>
  <c r="X383" i="3"/>
  <c r="Q383" i="3"/>
  <c r="N383" i="3"/>
  <c r="T383" i="3" s="1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BG382" i="3"/>
  <c r="BF382" i="3"/>
  <c r="BD382" i="3"/>
  <c r="BC382" i="3"/>
  <c r="BB382" i="3"/>
  <c r="BA382" i="3"/>
  <c r="AZ382" i="3"/>
  <c r="AY382" i="3"/>
  <c r="AX382" i="3"/>
  <c r="AW382" i="3"/>
  <c r="AV382" i="3"/>
  <c r="AU382" i="3"/>
  <c r="AT382" i="3"/>
  <c r="AS382" i="3"/>
  <c r="AR382" i="3"/>
  <c r="AL382" i="3"/>
  <c r="AK382" i="3"/>
  <c r="AJ382" i="3"/>
  <c r="AI382" i="3"/>
  <c r="AH382" i="3"/>
  <c r="AE382" i="3"/>
  <c r="AD382" i="3"/>
  <c r="AC382" i="3"/>
  <c r="AB382" i="3"/>
  <c r="AA382" i="3"/>
  <c r="AG382" i="3" s="1"/>
  <c r="Z382" i="3"/>
  <c r="X382" i="3"/>
  <c r="S382" i="3"/>
  <c r="R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BG381" i="3"/>
  <c r="BD381" i="3"/>
  <c r="BC381" i="3"/>
  <c r="BB381" i="3"/>
  <c r="BA381" i="3"/>
  <c r="AZ381" i="3"/>
  <c r="AY381" i="3"/>
  <c r="AX381" i="3"/>
  <c r="AW381" i="3"/>
  <c r="AV381" i="3"/>
  <c r="AU381" i="3"/>
  <c r="AT381" i="3"/>
  <c r="AS381" i="3"/>
  <c r="AR381" i="3"/>
  <c r="AL381" i="3"/>
  <c r="AK381" i="3"/>
  <c r="AG381" i="3" s="1"/>
  <c r="P381" i="3" s="1"/>
  <c r="AJ381" i="3"/>
  <c r="AI381" i="3"/>
  <c r="AH381" i="3"/>
  <c r="AE381" i="3"/>
  <c r="AD381" i="3"/>
  <c r="AC381" i="3"/>
  <c r="AB381" i="3"/>
  <c r="AA381" i="3"/>
  <c r="Z381" i="3"/>
  <c r="X381" i="3"/>
  <c r="S381" i="3"/>
  <c r="N381" i="3"/>
  <c r="M381" i="3"/>
  <c r="L381" i="3"/>
  <c r="R381" i="3" s="1"/>
  <c r="K381" i="3"/>
  <c r="J381" i="3"/>
  <c r="I381" i="3"/>
  <c r="H381" i="3"/>
  <c r="G381" i="3"/>
  <c r="F381" i="3"/>
  <c r="E381" i="3"/>
  <c r="D381" i="3"/>
  <c r="C381" i="3"/>
  <c r="B381" i="3"/>
  <c r="A381" i="3"/>
  <c r="BH380" i="3"/>
  <c r="BF380" i="3"/>
  <c r="BE380" i="3"/>
  <c r="BD380" i="3"/>
  <c r="BC380" i="3"/>
  <c r="BB380" i="3"/>
  <c r="BA380" i="3"/>
  <c r="AZ380" i="3"/>
  <c r="AY380" i="3"/>
  <c r="AX380" i="3"/>
  <c r="AW380" i="3"/>
  <c r="AV380" i="3"/>
  <c r="AU380" i="3"/>
  <c r="AT380" i="3"/>
  <c r="AS380" i="3"/>
  <c r="AR380" i="3"/>
  <c r="AL380" i="3"/>
  <c r="AK380" i="3"/>
  <c r="AJ380" i="3"/>
  <c r="AI380" i="3"/>
  <c r="AH380" i="3"/>
  <c r="AE380" i="3"/>
  <c r="AD380" i="3"/>
  <c r="AC380" i="3"/>
  <c r="AB380" i="3"/>
  <c r="AA380" i="3"/>
  <c r="AG380" i="3" s="1"/>
  <c r="Z380" i="3"/>
  <c r="X380" i="3"/>
  <c r="Q380" i="3"/>
  <c r="N380" i="3"/>
  <c r="T380" i="3" s="1"/>
  <c r="M380" i="3"/>
  <c r="L380" i="3"/>
  <c r="R380" i="3" s="1"/>
  <c r="K380" i="3"/>
  <c r="J380" i="3"/>
  <c r="I380" i="3"/>
  <c r="H380" i="3"/>
  <c r="G380" i="3"/>
  <c r="F380" i="3"/>
  <c r="E380" i="3"/>
  <c r="D380" i="3"/>
  <c r="C380" i="3"/>
  <c r="B380" i="3"/>
  <c r="A380" i="3"/>
  <c r="BF379" i="3"/>
  <c r="BD379" i="3"/>
  <c r="BC379" i="3"/>
  <c r="BB379" i="3"/>
  <c r="BA379" i="3"/>
  <c r="AZ379" i="3"/>
  <c r="AY379" i="3"/>
  <c r="AX379" i="3"/>
  <c r="AW379" i="3"/>
  <c r="AV379" i="3"/>
  <c r="AU379" i="3"/>
  <c r="AT379" i="3"/>
  <c r="AS379" i="3"/>
  <c r="AR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X379" i="3"/>
  <c r="R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BG378" i="3"/>
  <c r="BF378" i="3"/>
  <c r="BD378" i="3"/>
  <c r="BC378" i="3"/>
  <c r="BB378" i="3"/>
  <c r="BA378" i="3"/>
  <c r="AZ378" i="3"/>
  <c r="AY378" i="3"/>
  <c r="AX378" i="3"/>
  <c r="AW378" i="3"/>
  <c r="AV378" i="3"/>
  <c r="AU378" i="3"/>
  <c r="AT378" i="3"/>
  <c r="AS378" i="3"/>
  <c r="AR378" i="3"/>
  <c r="AL378" i="3"/>
  <c r="AK378" i="3"/>
  <c r="AG378" i="3" s="1"/>
  <c r="P378" i="3" s="1"/>
  <c r="AJ378" i="3"/>
  <c r="AF378" i="3" s="1"/>
  <c r="O378" i="3" s="1"/>
  <c r="AI378" i="3"/>
  <c r="AH378" i="3"/>
  <c r="AE378" i="3"/>
  <c r="AD378" i="3"/>
  <c r="AC378" i="3"/>
  <c r="AB378" i="3"/>
  <c r="AA378" i="3"/>
  <c r="Z378" i="3"/>
  <c r="X378" i="3"/>
  <c r="S378" i="3"/>
  <c r="R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A378" i="3"/>
  <c r="BD377" i="3"/>
  <c r="BC377" i="3"/>
  <c r="BB377" i="3"/>
  <c r="BA377" i="3"/>
  <c r="AZ377" i="3"/>
  <c r="AY377" i="3"/>
  <c r="AX377" i="3"/>
  <c r="AW377" i="3"/>
  <c r="AV377" i="3"/>
  <c r="AU377" i="3"/>
  <c r="AT377" i="3"/>
  <c r="AS377" i="3"/>
  <c r="AR377" i="3"/>
  <c r="AL377" i="3"/>
  <c r="AK377" i="3"/>
  <c r="AJ377" i="3"/>
  <c r="AI377" i="3"/>
  <c r="AH377" i="3"/>
  <c r="AE377" i="3"/>
  <c r="AD377" i="3"/>
  <c r="AC377" i="3"/>
  <c r="Q377" i="3" s="1"/>
  <c r="AB377" i="3"/>
  <c r="AA377" i="3"/>
  <c r="AF377" i="3" s="1"/>
  <c r="Z377" i="3"/>
  <c r="X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A377" i="3"/>
  <c r="BF376" i="3"/>
  <c r="BD376" i="3"/>
  <c r="BC376" i="3"/>
  <c r="BB376" i="3"/>
  <c r="BA376" i="3"/>
  <c r="AZ376" i="3"/>
  <c r="AY376" i="3"/>
  <c r="AX376" i="3"/>
  <c r="AW376" i="3"/>
  <c r="AV376" i="3"/>
  <c r="AU376" i="3"/>
  <c r="AT376" i="3"/>
  <c r="AS376" i="3"/>
  <c r="AR376" i="3"/>
  <c r="AL376" i="3"/>
  <c r="AK376" i="3"/>
  <c r="AJ376" i="3"/>
  <c r="AI376" i="3"/>
  <c r="AH376" i="3"/>
  <c r="AE376" i="3"/>
  <c r="AD376" i="3"/>
  <c r="AC376" i="3"/>
  <c r="AB376" i="3"/>
  <c r="AA376" i="3"/>
  <c r="Z376" i="3"/>
  <c r="X376" i="3"/>
  <c r="R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Q376" i="3" s="1"/>
  <c r="A376" i="3"/>
  <c r="BG375" i="3"/>
  <c r="BD375" i="3"/>
  <c r="BC375" i="3"/>
  <c r="BB375" i="3"/>
  <c r="BA375" i="3"/>
  <c r="AZ375" i="3"/>
  <c r="AY375" i="3"/>
  <c r="AX375" i="3"/>
  <c r="AW375" i="3"/>
  <c r="AV375" i="3"/>
  <c r="AU375" i="3"/>
  <c r="AT375" i="3"/>
  <c r="AS375" i="3"/>
  <c r="AR375" i="3"/>
  <c r="AL375" i="3"/>
  <c r="AK375" i="3"/>
  <c r="AJ375" i="3"/>
  <c r="AI375" i="3"/>
  <c r="AH375" i="3"/>
  <c r="AG375" i="3"/>
  <c r="P375" i="3" s="1"/>
  <c r="AF375" i="3"/>
  <c r="O375" i="3" s="1"/>
  <c r="AE375" i="3"/>
  <c r="AD375" i="3"/>
  <c r="AC375" i="3"/>
  <c r="AB375" i="3"/>
  <c r="AA375" i="3"/>
  <c r="Z375" i="3"/>
  <c r="X375" i="3"/>
  <c r="S375" i="3"/>
  <c r="N375" i="3"/>
  <c r="M375" i="3"/>
  <c r="L375" i="3"/>
  <c r="R375" i="3" s="1"/>
  <c r="K375" i="3"/>
  <c r="J375" i="3"/>
  <c r="I375" i="3"/>
  <c r="H375" i="3"/>
  <c r="G375" i="3"/>
  <c r="F375" i="3"/>
  <c r="E375" i="3"/>
  <c r="T375" i="3" s="1"/>
  <c r="D375" i="3"/>
  <c r="C375" i="3"/>
  <c r="B375" i="3"/>
  <c r="A375" i="3"/>
  <c r="BE374" i="3"/>
  <c r="BD374" i="3"/>
  <c r="BC374" i="3"/>
  <c r="BB374" i="3"/>
  <c r="BA374" i="3"/>
  <c r="AZ374" i="3"/>
  <c r="AY374" i="3"/>
  <c r="AX374" i="3"/>
  <c r="AW374" i="3"/>
  <c r="AV374" i="3"/>
  <c r="AU374" i="3"/>
  <c r="AT374" i="3"/>
  <c r="AS374" i="3"/>
  <c r="AR374" i="3"/>
  <c r="AL374" i="3"/>
  <c r="AK374" i="3"/>
  <c r="AJ374" i="3"/>
  <c r="AI374" i="3"/>
  <c r="AH374" i="3"/>
  <c r="AE374" i="3"/>
  <c r="AD374" i="3"/>
  <c r="AC374" i="3"/>
  <c r="AB374" i="3"/>
  <c r="AA374" i="3"/>
  <c r="Z374" i="3"/>
  <c r="X374" i="3"/>
  <c r="T374" i="3"/>
  <c r="BH374" i="3" s="1"/>
  <c r="R374" i="3"/>
  <c r="Q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BF373" i="3"/>
  <c r="BE373" i="3"/>
  <c r="BD373" i="3"/>
  <c r="BC373" i="3"/>
  <c r="BB373" i="3"/>
  <c r="BA373" i="3"/>
  <c r="AZ373" i="3"/>
  <c r="AY373" i="3"/>
  <c r="AX373" i="3"/>
  <c r="AW373" i="3"/>
  <c r="AV373" i="3"/>
  <c r="AU373" i="3"/>
  <c r="AT373" i="3"/>
  <c r="AS373" i="3"/>
  <c r="AR373" i="3"/>
  <c r="AL373" i="3"/>
  <c r="AK373" i="3"/>
  <c r="AJ373" i="3"/>
  <c r="AI373" i="3"/>
  <c r="AH373" i="3"/>
  <c r="AF373" i="3"/>
  <c r="AE373" i="3"/>
  <c r="AD373" i="3"/>
  <c r="AC373" i="3"/>
  <c r="AB373" i="3"/>
  <c r="AA373" i="3"/>
  <c r="Z373" i="3"/>
  <c r="X373" i="3"/>
  <c r="R373" i="3"/>
  <c r="Q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A373" i="3"/>
  <c r="BD372" i="3"/>
  <c r="BC372" i="3"/>
  <c r="BB372" i="3"/>
  <c r="BA372" i="3"/>
  <c r="AZ372" i="3"/>
  <c r="AY372" i="3"/>
  <c r="AX372" i="3"/>
  <c r="AW372" i="3"/>
  <c r="AV372" i="3"/>
  <c r="AU372" i="3"/>
  <c r="AT372" i="3"/>
  <c r="AS372" i="3"/>
  <c r="AR372" i="3"/>
  <c r="AL372" i="3"/>
  <c r="AK372" i="3"/>
  <c r="AG372" i="3" s="1"/>
  <c r="AJ372" i="3"/>
  <c r="AF372" i="3" s="1"/>
  <c r="O372" i="3" s="1"/>
  <c r="AI372" i="3"/>
  <c r="AH372" i="3"/>
  <c r="AE372" i="3"/>
  <c r="AD372" i="3"/>
  <c r="AC372" i="3"/>
  <c r="AB372" i="3"/>
  <c r="AA372" i="3"/>
  <c r="Z372" i="3"/>
  <c r="X372" i="3"/>
  <c r="S372" i="3"/>
  <c r="BG372" i="3" s="1"/>
  <c r="R372" i="3"/>
  <c r="Q372" i="3"/>
  <c r="N372" i="3"/>
  <c r="M372" i="3"/>
  <c r="L372" i="3"/>
  <c r="BF372" i="3" s="1"/>
  <c r="K372" i="3"/>
  <c r="J372" i="3"/>
  <c r="I372" i="3"/>
  <c r="H372" i="3"/>
  <c r="G372" i="3"/>
  <c r="F372" i="3"/>
  <c r="E372" i="3"/>
  <c r="D372" i="3"/>
  <c r="C372" i="3"/>
  <c r="B372" i="3"/>
  <c r="A372" i="3"/>
  <c r="BD371" i="3"/>
  <c r="BC371" i="3"/>
  <c r="BB371" i="3"/>
  <c r="BA371" i="3"/>
  <c r="AZ371" i="3"/>
  <c r="AY371" i="3"/>
  <c r="AX371" i="3"/>
  <c r="AW371" i="3"/>
  <c r="AV371" i="3"/>
  <c r="AU371" i="3"/>
  <c r="AT371" i="3"/>
  <c r="AS371" i="3"/>
  <c r="AR371" i="3"/>
  <c r="AL371" i="3"/>
  <c r="AK371" i="3"/>
  <c r="AG371" i="3" s="1"/>
  <c r="P371" i="3" s="1"/>
  <c r="AJ371" i="3"/>
  <c r="AI371" i="3"/>
  <c r="AH371" i="3"/>
  <c r="AE371" i="3"/>
  <c r="AD371" i="3"/>
  <c r="AC371" i="3"/>
  <c r="AB371" i="3"/>
  <c r="AA371" i="3"/>
  <c r="Z371" i="3"/>
  <c r="X371" i="3"/>
  <c r="S371" i="3"/>
  <c r="N371" i="3"/>
  <c r="T371" i="3" s="1"/>
  <c r="BH371" i="3" s="1"/>
  <c r="M371" i="3"/>
  <c r="L371" i="3"/>
  <c r="K371" i="3"/>
  <c r="J371" i="3"/>
  <c r="I371" i="3"/>
  <c r="H371" i="3"/>
  <c r="G371" i="3"/>
  <c r="F371" i="3"/>
  <c r="E371" i="3"/>
  <c r="D371" i="3"/>
  <c r="BG371" i="3" s="1"/>
  <c r="C371" i="3"/>
  <c r="B371" i="3"/>
  <c r="A371" i="3"/>
  <c r="BD370" i="3"/>
  <c r="BC370" i="3"/>
  <c r="BB370" i="3"/>
  <c r="BA370" i="3"/>
  <c r="AZ370" i="3"/>
  <c r="AY370" i="3"/>
  <c r="AX370" i="3"/>
  <c r="AW370" i="3"/>
  <c r="AV370" i="3"/>
  <c r="AU370" i="3"/>
  <c r="AT370" i="3"/>
  <c r="AS370" i="3"/>
  <c r="AR370" i="3"/>
  <c r="AL370" i="3"/>
  <c r="AK370" i="3"/>
  <c r="AJ370" i="3"/>
  <c r="AI370" i="3"/>
  <c r="AH370" i="3"/>
  <c r="AE370" i="3"/>
  <c r="AD370" i="3"/>
  <c r="AC370" i="3"/>
  <c r="AB370" i="3"/>
  <c r="AA370" i="3"/>
  <c r="Z370" i="3"/>
  <c r="X370" i="3"/>
  <c r="S370" i="3"/>
  <c r="N370" i="3"/>
  <c r="T370" i="3" s="1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BH369" i="3"/>
  <c r="BD369" i="3"/>
  <c r="BC369" i="3"/>
  <c r="BB369" i="3"/>
  <c r="BA369" i="3"/>
  <c r="AZ369" i="3"/>
  <c r="AY369" i="3"/>
  <c r="AX369" i="3"/>
  <c r="AW369" i="3"/>
  <c r="AV369" i="3"/>
  <c r="AU369" i="3"/>
  <c r="AT369" i="3"/>
  <c r="AS369" i="3"/>
  <c r="AR369" i="3"/>
  <c r="AL369" i="3"/>
  <c r="AK369" i="3"/>
  <c r="AJ369" i="3"/>
  <c r="AI369" i="3"/>
  <c r="AH369" i="3"/>
  <c r="AF369" i="3"/>
  <c r="AE369" i="3"/>
  <c r="AD369" i="3"/>
  <c r="AC369" i="3"/>
  <c r="AB369" i="3"/>
  <c r="AA369" i="3"/>
  <c r="AG369" i="3" s="1"/>
  <c r="P369" i="3" s="1"/>
  <c r="Z369" i="3"/>
  <c r="X369" i="3"/>
  <c r="T369" i="3"/>
  <c r="N369" i="3"/>
  <c r="M369" i="3"/>
  <c r="S369" i="3" s="1"/>
  <c r="L369" i="3"/>
  <c r="K369" i="3"/>
  <c r="J369" i="3"/>
  <c r="I369" i="3"/>
  <c r="H369" i="3"/>
  <c r="G369" i="3"/>
  <c r="F369" i="3"/>
  <c r="E369" i="3"/>
  <c r="D369" i="3"/>
  <c r="C369" i="3"/>
  <c r="R369" i="3" s="1"/>
  <c r="B369" i="3"/>
  <c r="A369" i="3"/>
  <c r="BH368" i="3"/>
  <c r="BD368" i="3"/>
  <c r="BC368" i="3"/>
  <c r="BB368" i="3"/>
  <c r="BA368" i="3"/>
  <c r="AZ368" i="3"/>
  <c r="AY368" i="3"/>
  <c r="AX368" i="3"/>
  <c r="AW368" i="3"/>
  <c r="AV368" i="3"/>
  <c r="AU368" i="3"/>
  <c r="AT368" i="3"/>
  <c r="AS368" i="3"/>
  <c r="AR368" i="3"/>
  <c r="AL368" i="3"/>
  <c r="AK368" i="3"/>
  <c r="AJ368" i="3"/>
  <c r="AI368" i="3"/>
  <c r="AH368" i="3"/>
  <c r="AG368" i="3"/>
  <c r="AE368" i="3"/>
  <c r="AD368" i="3"/>
  <c r="AC368" i="3"/>
  <c r="AB368" i="3"/>
  <c r="AA368" i="3"/>
  <c r="AF368" i="3" s="1"/>
  <c r="Z368" i="3"/>
  <c r="X368" i="3"/>
  <c r="T368" i="3"/>
  <c r="P368" i="3"/>
  <c r="BJ368" i="3" s="1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BH367" i="3"/>
  <c r="BE367" i="3"/>
  <c r="BD367" i="3"/>
  <c r="BC367" i="3"/>
  <c r="BB367" i="3"/>
  <c r="BA367" i="3"/>
  <c r="AZ367" i="3"/>
  <c r="AY367" i="3"/>
  <c r="AX367" i="3"/>
  <c r="AW367" i="3"/>
  <c r="AV367" i="3"/>
  <c r="AU367" i="3"/>
  <c r="AT367" i="3"/>
  <c r="AS367" i="3"/>
  <c r="AR367" i="3"/>
  <c r="AL367" i="3"/>
  <c r="AK367" i="3"/>
  <c r="AJ367" i="3"/>
  <c r="AI367" i="3"/>
  <c r="AH367" i="3"/>
  <c r="AG367" i="3"/>
  <c r="P367" i="3" s="1"/>
  <c r="AF367" i="3"/>
  <c r="AE367" i="3"/>
  <c r="AD367" i="3"/>
  <c r="AC367" i="3"/>
  <c r="AB367" i="3"/>
  <c r="AA367" i="3"/>
  <c r="Z367" i="3"/>
  <c r="X367" i="3"/>
  <c r="N367" i="3"/>
  <c r="T367" i="3" s="1"/>
  <c r="M367" i="3"/>
  <c r="S367" i="3" s="1"/>
  <c r="L367" i="3"/>
  <c r="K367" i="3"/>
  <c r="F874" i="4" s="1"/>
  <c r="J367" i="3"/>
  <c r="I367" i="3"/>
  <c r="H367" i="3"/>
  <c r="G367" i="3"/>
  <c r="F367" i="3"/>
  <c r="E367" i="3"/>
  <c r="D367" i="3"/>
  <c r="C367" i="3"/>
  <c r="B367" i="3"/>
  <c r="A367" i="3"/>
  <c r="BG366" i="3"/>
  <c r="BD366" i="3"/>
  <c r="BC366" i="3"/>
  <c r="BB366" i="3"/>
  <c r="BA366" i="3"/>
  <c r="AZ366" i="3"/>
  <c r="AY366" i="3"/>
  <c r="AX366" i="3"/>
  <c r="AW366" i="3"/>
  <c r="AV366" i="3"/>
  <c r="AU366" i="3"/>
  <c r="AT366" i="3"/>
  <c r="AS366" i="3"/>
  <c r="AR366" i="3"/>
  <c r="AL366" i="3"/>
  <c r="AK366" i="3"/>
  <c r="AJ366" i="3"/>
  <c r="AI366" i="3"/>
  <c r="AH366" i="3"/>
  <c r="AF366" i="3"/>
  <c r="AE366" i="3"/>
  <c r="AD366" i="3"/>
  <c r="AC366" i="3"/>
  <c r="R366" i="3" s="1"/>
  <c r="AB366" i="3"/>
  <c r="AA366" i="3"/>
  <c r="AG366" i="3" s="1"/>
  <c r="Z366" i="3"/>
  <c r="X366" i="3"/>
  <c r="U366" i="3"/>
  <c r="S366" i="3"/>
  <c r="N366" i="3"/>
  <c r="T366" i="3" s="1"/>
  <c r="M366" i="3"/>
  <c r="O366" i="3" s="1"/>
  <c r="BI366" i="3" s="1"/>
  <c r="L366" i="3"/>
  <c r="K366" i="3"/>
  <c r="F873" i="4" s="1"/>
  <c r="J366" i="3"/>
  <c r="I366" i="3"/>
  <c r="H366" i="3"/>
  <c r="G366" i="3"/>
  <c r="F366" i="3"/>
  <c r="E366" i="3"/>
  <c r="D366" i="3"/>
  <c r="C366" i="3"/>
  <c r="B366" i="3"/>
  <c r="A366" i="3"/>
  <c r="BH365" i="3"/>
  <c r="BG365" i="3"/>
  <c r="BD365" i="3"/>
  <c r="BC365" i="3"/>
  <c r="BB365" i="3"/>
  <c r="BA365" i="3"/>
  <c r="AZ365" i="3"/>
  <c r="AY365" i="3"/>
  <c r="AX365" i="3"/>
  <c r="AW365" i="3"/>
  <c r="AV365" i="3"/>
  <c r="AU365" i="3"/>
  <c r="AT365" i="3"/>
  <c r="AS365" i="3"/>
  <c r="AR365" i="3"/>
  <c r="AL365" i="3"/>
  <c r="AK365" i="3"/>
  <c r="AJ365" i="3"/>
  <c r="AI365" i="3"/>
  <c r="AH365" i="3"/>
  <c r="AG365" i="3"/>
  <c r="AE365" i="3"/>
  <c r="AD365" i="3"/>
  <c r="AC365" i="3"/>
  <c r="AB365" i="3"/>
  <c r="AA365" i="3"/>
  <c r="AF365" i="3" s="1"/>
  <c r="Z365" i="3"/>
  <c r="X365" i="3"/>
  <c r="R365" i="3"/>
  <c r="Q365" i="3"/>
  <c r="N365" i="3"/>
  <c r="M365" i="3"/>
  <c r="L365" i="3"/>
  <c r="BF365" i="3" s="1"/>
  <c r="K365" i="3"/>
  <c r="F872" i="4" s="1"/>
  <c r="J365" i="3"/>
  <c r="I365" i="3"/>
  <c r="H365" i="3"/>
  <c r="G365" i="3"/>
  <c r="F365" i="3"/>
  <c r="E365" i="3"/>
  <c r="D365" i="3"/>
  <c r="C365" i="3"/>
  <c r="B365" i="3"/>
  <c r="A365" i="3"/>
  <c r="BD364" i="3"/>
  <c r="BC364" i="3"/>
  <c r="BB364" i="3"/>
  <c r="BA364" i="3"/>
  <c r="AZ364" i="3"/>
  <c r="AY364" i="3"/>
  <c r="AX364" i="3"/>
  <c r="AW364" i="3"/>
  <c r="AV364" i="3"/>
  <c r="AU364" i="3"/>
  <c r="AT364" i="3"/>
  <c r="AS364" i="3"/>
  <c r="AR364" i="3"/>
  <c r="AL364" i="3"/>
  <c r="AK364" i="3"/>
  <c r="AJ364" i="3"/>
  <c r="AI364" i="3"/>
  <c r="AG364" i="3" s="1"/>
  <c r="P364" i="3" s="1"/>
  <c r="AH364" i="3"/>
  <c r="AF364" i="3" s="1"/>
  <c r="O364" i="3" s="1"/>
  <c r="AE364" i="3"/>
  <c r="AD364" i="3"/>
  <c r="AC364" i="3"/>
  <c r="AB364" i="3"/>
  <c r="AA364" i="3"/>
  <c r="Z364" i="3"/>
  <c r="X364" i="3"/>
  <c r="N364" i="3"/>
  <c r="T364" i="3" s="1"/>
  <c r="M364" i="3"/>
  <c r="S364" i="3" s="1"/>
  <c r="L364" i="3"/>
  <c r="R364" i="3" s="1"/>
  <c r="K364" i="3"/>
  <c r="J364" i="3"/>
  <c r="I364" i="3"/>
  <c r="H364" i="3"/>
  <c r="G364" i="3"/>
  <c r="F364" i="3"/>
  <c r="E364" i="3"/>
  <c r="D364" i="3"/>
  <c r="C364" i="3"/>
  <c r="B364" i="3"/>
  <c r="A364" i="3"/>
  <c r="BG363" i="3"/>
  <c r="BD363" i="3"/>
  <c r="BC363" i="3"/>
  <c r="BB363" i="3"/>
  <c r="BA363" i="3"/>
  <c r="AZ363" i="3"/>
  <c r="AY363" i="3"/>
  <c r="AX363" i="3"/>
  <c r="AW363" i="3"/>
  <c r="AV363" i="3"/>
  <c r="AU363" i="3"/>
  <c r="AT363" i="3"/>
  <c r="AS363" i="3"/>
  <c r="AR363" i="3"/>
  <c r="AL363" i="3"/>
  <c r="AK363" i="3"/>
  <c r="AJ363" i="3"/>
  <c r="AI363" i="3"/>
  <c r="AH363" i="3"/>
  <c r="AE363" i="3"/>
  <c r="AD363" i="3"/>
  <c r="AC363" i="3"/>
  <c r="AB363" i="3"/>
  <c r="AA363" i="3"/>
  <c r="Z363" i="3"/>
  <c r="X363" i="3"/>
  <c r="N363" i="3"/>
  <c r="T363" i="3" s="1"/>
  <c r="M363" i="3"/>
  <c r="S363" i="3" s="1"/>
  <c r="L363" i="3"/>
  <c r="R363" i="3" s="1"/>
  <c r="K363" i="3"/>
  <c r="J363" i="3"/>
  <c r="I363" i="3"/>
  <c r="H363" i="3"/>
  <c r="G363" i="3"/>
  <c r="F363" i="3"/>
  <c r="E363" i="3"/>
  <c r="D363" i="3"/>
  <c r="C363" i="3"/>
  <c r="B363" i="3"/>
  <c r="A363" i="3"/>
  <c r="BG362" i="3"/>
  <c r="BD362" i="3"/>
  <c r="BC362" i="3"/>
  <c r="BB362" i="3"/>
  <c r="BA362" i="3"/>
  <c r="AZ362" i="3"/>
  <c r="AY362" i="3"/>
  <c r="AX362" i="3"/>
  <c r="AW362" i="3"/>
  <c r="AV362" i="3"/>
  <c r="AU362" i="3"/>
  <c r="AT362" i="3"/>
  <c r="AS362" i="3"/>
  <c r="AR362" i="3"/>
  <c r="AL362" i="3"/>
  <c r="AK362" i="3"/>
  <c r="AJ362" i="3"/>
  <c r="AI362" i="3"/>
  <c r="AH362" i="3"/>
  <c r="AE362" i="3"/>
  <c r="AD362" i="3"/>
  <c r="AC362" i="3"/>
  <c r="AB362" i="3"/>
  <c r="AA362" i="3"/>
  <c r="Z362" i="3"/>
  <c r="X362" i="3"/>
  <c r="R362" i="3"/>
  <c r="N362" i="3"/>
  <c r="M362" i="3"/>
  <c r="S362" i="3" s="1"/>
  <c r="L362" i="3"/>
  <c r="BF362" i="3" s="1"/>
  <c r="K362" i="3"/>
  <c r="J362" i="3"/>
  <c r="I362" i="3"/>
  <c r="H362" i="3"/>
  <c r="G362" i="3"/>
  <c r="F362" i="3"/>
  <c r="E362" i="3"/>
  <c r="D362" i="3"/>
  <c r="C362" i="3"/>
  <c r="B362" i="3"/>
  <c r="A362" i="3"/>
  <c r="BG361" i="3"/>
  <c r="BD361" i="3"/>
  <c r="BC361" i="3"/>
  <c r="BB361" i="3"/>
  <c r="BA361" i="3"/>
  <c r="AZ361" i="3"/>
  <c r="AY361" i="3"/>
  <c r="AX361" i="3"/>
  <c r="AW361" i="3"/>
  <c r="AV361" i="3"/>
  <c r="AU361" i="3"/>
  <c r="AT361" i="3"/>
  <c r="AS361" i="3"/>
  <c r="AR361" i="3"/>
  <c r="AL361" i="3"/>
  <c r="AK361" i="3"/>
  <c r="AJ361" i="3"/>
  <c r="AI361" i="3"/>
  <c r="AH361" i="3"/>
  <c r="AE361" i="3"/>
  <c r="AD361" i="3"/>
  <c r="AC361" i="3"/>
  <c r="AB361" i="3"/>
  <c r="AA361" i="3"/>
  <c r="AG361" i="3" s="1"/>
  <c r="Z361" i="3"/>
  <c r="X361" i="3"/>
  <c r="T361" i="3"/>
  <c r="N361" i="3"/>
  <c r="BH361" i="3" s="1"/>
  <c r="M361" i="3"/>
  <c r="S361" i="3" s="1"/>
  <c r="L361" i="3"/>
  <c r="BF361" i="3" s="1"/>
  <c r="K361" i="3"/>
  <c r="J361" i="3"/>
  <c r="I361" i="3"/>
  <c r="H361" i="3"/>
  <c r="G361" i="3"/>
  <c r="F361" i="3"/>
  <c r="E361" i="3"/>
  <c r="D361" i="3"/>
  <c r="C361" i="3"/>
  <c r="R361" i="3" s="1"/>
  <c r="B361" i="3"/>
  <c r="A361" i="3"/>
  <c r="BD360" i="3"/>
  <c r="BC360" i="3"/>
  <c r="BB360" i="3"/>
  <c r="BA360" i="3"/>
  <c r="AZ360" i="3"/>
  <c r="AY360" i="3"/>
  <c r="AX360" i="3"/>
  <c r="AW360" i="3"/>
  <c r="AV360" i="3"/>
  <c r="AU360" i="3"/>
  <c r="AT360" i="3"/>
  <c r="AS360" i="3"/>
  <c r="AR360" i="3"/>
  <c r="AL360" i="3"/>
  <c r="AK360" i="3"/>
  <c r="AJ360" i="3"/>
  <c r="AI360" i="3"/>
  <c r="AH360" i="3"/>
  <c r="AF360" i="3" s="1"/>
  <c r="O360" i="3" s="1"/>
  <c r="BI360" i="3" s="1"/>
  <c r="AE360" i="3"/>
  <c r="AD360" i="3"/>
  <c r="AC360" i="3"/>
  <c r="AB360" i="3"/>
  <c r="AA360" i="3"/>
  <c r="AG360" i="3" s="1"/>
  <c r="Z360" i="3"/>
  <c r="X360" i="3"/>
  <c r="U360" i="3"/>
  <c r="T360" i="3"/>
  <c r="S360" i="3"/>
  <c r="R360" i="3"/>
  <c r="Q360" i="3"/>
  <c r="N360" i="3"/>
  <c r="BH360" i="3" s="1"/>
  <c r="M360" i="3"/>
  <c r="L360" i="3"/>
  <c r="K360" i="3"/>
  <c r="J360" i="3"/>
  <c r="I360" i="3"/>
  <c r="H360" i="3"/>
  <c r="G360" i="3"/>
  <c r="F360" i="3"/>
  <c r="E360" i="3"/>
  <c r="D360" i="3"/>
  <c r="BG360" i="3" s="1"/>
  <c r="C360" i="3"/>
  <c r="B360" i="3"/>
  <c r="A360" i="3"/>
  <c r="BG359" i="3"/>
  <c r="BD359" i="3"/>
  <c r="BC359" i="3"/>
  <c r="BB359" i="3"/>
  <c r="BA359" i="3"/>
  <c r="AZ359" i="3"/>
  <c r="AY359" i="3"/>
  <c r="AX359" i="3"/>
  <c r="AW359" i="3"/>
  <c r="AV359" i="3"/>
  <c r="AU359" i="3"/>
  <c r="AT359" i="3"/>
  <c r="AS359" i="3"/>
  <c r="AR359" i="3"/>
  <c r="AL359" i="3"/>
  <c r="AK359" i="3"/>
  <c r="AG359" i="3" s="1"/>
  <c r="AJ359" i="3"/>
  <c r="AI359" i="3"/>
  <c r="AH359" i="3"/>
  <c r="AE359" i="3"/>
  <c r="AD359" i="3"/>
  <c r="AC359" i="3"/>
  <c r="AB359" i="3"/>
  <c r="AA359" i="3"/>
  <c r="AF359" i="3" s="1"/>
  <c r="O359" i="3" s="1"/>
  <c r="Z359" i="3"/>
  <c r="X359" i="3"/>
  <c r="S359" i="3"/>
  <c r="R359" i="3"/>
  <c r="Q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BG358" i="3"/>
  <c r="BD358" i="3"/>
  <c r="BC358" i="3"/>
  <c r="BB358" i="3"/>
  <c r="BA358" i="3"/>
  <c r="AZ358" i="3"/>
  <c r="AY358" i="3"/>
  <c r="AX358" i="3"/>
  <c r="AW358" i="3"/>
  <c r="AV358" i="3"/>
  <c r="AU358" i="3"/>
  <c r="AT358" i="3"/>
  <c r="AS358" i="3"/>
  <c r="AR358" i="3"/>
  <c r="AL358" i="3"/>
  <c r="AK358" i="3"/>
  <c r="AJ358" i="3"/>
  <c r="AI358" i="3"/>
  <c r="AH358" i="3"/>
  <c r="AG358" i="3"/>
  <c r="AE358" i="3"/>
  <c r="AD358" i="3"/>
  <c r="AC358" i="3"/>
  <c r="AB358" i="3"/>
  <c r="AA358" i="3"/>
  <c r="Z358" i="3"/>
  <c r="X358" i="3"/>
  <c r="S358" i="3"/>
  <c r="P358" i="3"/>
  <c r="N358" i="3"/>
  <c r="T358" i="3" s="1"/>
  <c r="BH358" i="3" s="1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BH357" i="3"/>
  <c r="BD357" i="3"/>
  <c r="BC357" i="3"/>
  <c r="BB357" i="3"/>
  <c r="BA357" i="3"/>
  <c r="AZ357" i="3"/>
  <c r="AY357" i="3"/>
  <c r="AX357" i="3"/>
  <c r="AW357" i="3"/>
  <c r="AV357" i="3"/>
  <c r="AU357" i="3"/>
  <c r="AT357" i="3"/>
  <c r="AS357" i="3"/>
  <c r="AR357" i="3"/>
  <c r="AL357" i="3"/>
  <c r="AK357" i="3"/>
  <c r="AJ357" i="3"/>
  <c r="AI357" i="3"/>
  <c r="AG357" i="3" s="1"/>
  <c r="AH357" i="3"/>
  <c r="AF357" i="3" s="1"/>
  <c r="AE357" i="3"/>
  <c r="AD357" i="3"/>
  <c r="AC357" i="3"/>
  <c r="AB357" i="3"/>
  <c r="AA357" i="3"/>
  <c r="Z357" i="3"/>
  <c r="X357" i="3"/>
  <c r="P357" i="3"/>
  <c r="N357" i="3"/>
  <c r="T357" i="3" s="1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BD356" i="3"/>
  <c r="BC356" i="3"/>
  <c r="BB356" i="3"/>
  <c r="BA356" i="3"/>
  <c r="AZ356" i="3"/>
  <c r="AY356" i="3"/>
  <c r="AX356" i="3"/>
  <c r="AW356" i="3"/>
  <c r="AV356" i="3"/>
  <c r="AU356" i="3"/>
  <c r="AT356" i="3"/>
  <c r="AS356" i="3"/>
  <c r="AR356" i="3"/>
  <c r="AL356" i="3"/>
  <c r="AK356" i="3"/>
  <c r="AJ356" i="3"/>
  <c r="AI356" i="3"/>
  <c r="AH356" i="3"/>
  <c r="AE356" i="3"/>
  <c r="AD356" i="3"/>
  <c r="AC356" i="3"/>
  <c r="AB356" i="3"/>
  <c r="AA356" i="3"/>
  <c r="Z356" i="3"/>
  <c r="X356" i="3"/>
  <c r="N356" i="3"/>
  <c r="T356" i="3" s="1"/>
  <c r="M356" i="3"/>
  <c r="L356" i="3"/>
  <c r="R356" i="3" s="1"/>
  <c r="K356" i="3"/>
  <c r="J356" i="3"/>
  <c r="I356" i="3"/>
  <c r="H356" i="3"/>
  <c r="G356" i="3"/>
  <c r="F356" i="3"/>
  <c r="E356" i="3"/>
  <c r="D356" i="3"/>
  <c r="C356" i="3"/>
  <c r="B356" i="3"/>
  <c r="A356" i="3"/>
  <c r="BD355" i="3"/>
  <c r="BC355" i="3"/>
  <c r="BB355" i="3"/>
  <c r="BA355" i="3"/>
  <c r="AZ355" i="3"/>
  <c r="AY355" i="3"/>
  <c r="AX355" i="3"/>
  <c r="AW355" i="3"/>
  <c r="AV355" i="3"/>
  <c r="AU355" i="3"/>
  <c r="AT355" i="3"/>
  <c r="AS355" i="3"/>
  <c r="AR355" i="3"/>
  <c r="AL355" i="3"/>
  <c r="AK355" i="3"/>
  <c r="AJ355" i="3"/>
  <c r="AI355" i="3"/>
  <c r="AH355" i="3"/>
  <c r="AF355" i="3"/>
  <c r="AE355" i="3"/>
  <c r="AD355" i="3"/>
  <c r="AC355" i="3"/>
  <c r="S355" i="3" s="1"/>
  <c r="AB355" i="3"/>
  <c r="AA355" i="3"/>
  <c r="AG355" i="3" s="1"/>
  <c r="P355" i="3" s="1"/>
  <c r="Z355" i="3"/>
  <c r="X355" i="3"/>
  <c r="N355" i="3"/>
  <c r="T355" i="3" s="1"/>
  <c r="M355" i="3"/>
  <c r="BG355" i="3" s="1"/>
  <c r="L355" i="3"/>
  <c r="R355" i="3" s="1"/>
  <c r="K355" i="3"/>
  <c r="J355" i="3"/>
  <c r="I355" i="3"/>
  <c r="H355" i="3"/>
  <c r="G355" i="3"/>
  <c r="F355" i="3"/>
  <c r="E355" i="3"/>
  <c r="D355" i="3"/>
  <c r="C355" i="3"/>
  <c r="B355" i="3"/>
  <c r="A355" i="3"/>
  <c r="BE354" i="3"/>
  <c r="BD354" i="3"/>
  <c r="BC354" i="3"/>
  <c r="BB354" i="3"/>
  <c r="BA354" i="3"/>
  <c r="AZ354" i="3"/>
  <c r="AY354" i="3"/>
  <c r="AX354" i="3"/>
  <c r="AW354" i="3"/>
  <c r="AV354" i="3"/>
  <c r="AU354" i="3"/>
  <c r="AT354" i="3"/>
  <c r="AS354" i="3"/>
  <c r="AR354" i="3"/>
  <c r="AL354" i="3"/>
  <c r="AK354" i="3"/>
  <c r="AJ354" i="3"/>
  <c r="AI354" i="3"/>
  <c r="AH354" i="3"/>
  <c r="AE354" i="3"/>
  <c r="AD354" i="3"/>
  <c r="AC354" i="3"/>
  <c r="AB354" i="3"/>
  <c r="AA354" i="3"/>
  <c r="Z354" i="3"/>
  <c r="X354" i="3"/>
  <c r="N354" i="3"/>
  <c r="T354" i="3" s="1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BD353" i="3"/>
  <c r="BC353" i="3"/>
  <c r="BB353" i="3"/>
  <c r="BA353" i="3"/>
  <c r="AZ353" i="3"/>
  <c r="AY353" i="3"/>
  <c r="AX353" i="3"/>
  <c r="AW353" i="3"/>
  <c r="AV353" i="3"/>
  <c r="AU353" i="3"/>
  <c r="AT353" i="3"/>
  <c r="AS353" i="3"/>
  <c r="AR353" i="3"/>
  <c r="AL353" i="3"/>
  <c r="AK353" i="3"/>
  <c r="AJ353" i="3"/>
  <c r="AI353" i="3"/>
  <c r="AH353" i="3"/>
  <c r="AE353" i="3"/>
  <c r="AD353" i="3"/>
  <c r="AC353" i="3"/>
  <c r="AB353" i="3"/>
  <c r="AA353" i="3"/>
  <c r="Z353" i="3"/>
  <c r="X353" i="3"/>
  <c r="T353" i="3"/>
  <c r="S353" i="3"/>
  <c r="R353" i="3"/>
  <c r="N353" i="3"/>
  <c r="M353" i="3"/>
  <c r="L353" i="3"/>
  <c r="BF353" i="3" s="1"/>
  <c r="K353" i="3"/>
  <c r="J353" i="3"/>
  <c r="I353" i="3"/>
  <c r="H353" i="3"/>
  <c r="G353" i="3"/>
  <c r="F353" i="3"/>
  <c r="E353" i="3"/>
  <c r="BH353" i="3" s="1"/>
  <c r="D353" i="3"/>
  <c r="C353" i="3"/>
  <c r="B353" i="3"/>
  <c r="A353" i="3"/>
  <c r="BH352" i="3"/>
  <c r="BD352" i="3"/>
  <c r="BC352" i="3"/>
  <c r="BB352" i="3"/>
  <c r="BA352" i="3"/>
  <c r="AZ352" i="3"/>
  <c r="AY352" i="3"/>
  <c r="AX352" i="3"/>
  <c r="AW352" i="3"/>
  <c r="AV352" i="3"/>
  <c r="AU352" i="3"/>
  <c r="AT352" i="3"/>
  <c r="AS352" i="3"/>
  <c r="AR352" i="3"/>
  <c r="AL352" i="3"/>
  <c r="AK352" i="3"/>
  <c r="AJ352" i="3"/>
  <c r="AI352" i="3"/>
  <c r="AH352" i="3"/>
  <c r="AF352" i="3"/>
  <c r="O352" i="3" s="1"/>
  <c r="AE352" i="3"/>
  <c r="AD352" i="3"/>
  <c r="AC352" i="3"/>
  <c r="AB352" i="3"/>
  <c r="AA352" i="3"/>
  <c r="AG352" i="3" s="1"/>
  <c r="P352" i="3" s="1"/>
  <c r="Z352" i="3"/>
  <c r="X352" i="3"/>
  <c r="T352" i="3"/>
  <c r="S352" i="3"/>
  <c r="R352" i="3"/>
  <c r="Q352" i="3"/>
  <c r="N352" i="3"/>
  <c r="M352" i="3"/>
  <c r="L352" i="3"/>
  <c r="BF352" i="3" s="1"/>
  <c r="K352" i="3"/>
  <c r="J352" i="3"/>
  <c r="I352" i="3"/>
  <c r="H352" i="3"/>
  <c r="G352" i="3"/>
  <c r="F352" i="3"/>
  <c r="E352" i="3"/>
  <c r="D352" i="3"/>
  <c r="C352" i="3"/>
  <c r="B352" i="3"/>
  <c r="BE352" i="3" s="1"/>
  <c r="A352" i="3"/>
  <c r="BH351" i="3"/>
  <c r="BE351" i="3"/>
  <c r="BD351" i="3"/>
  <c r="BC351" i="3"/>
  <c r="BB351" i="3"/>
  <c r="BA351" i="3"/>
  <c r="AZ351" i="3"/>
  <c r="AY351" i="3"/>
  <c r="AX351" i="3"/>
  <c r="AW351" i="3"/>
  <c r="AV351" i="3"/>
  <c r="AU351" i="3"/>
  <c r="AT351" i="3"/>
  <c r="AS351" i="3"/>
  <c r="AR351" i="3"/>
  <c r="AL351" i="3"/>
  <c r="AK351" i="3"/>
  <c r="AJ351" i="3"/>
  <c r="AI351" i="3"/>
  <c r="AH351" i="3"/>
  <c r="AE351" i="3"/>
  <c r="AD351" i="3"/>
  <c r="AC351" i="3"/>
  <c r="Q351" i="3" s="1"/>
  <c r="AB351" i="3"/>
  <c r="AA351" i="3"/>
  <c r="Z351" i="3"/>
  <c r="X351" i="3"/>
  <c r="T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BF350" i="3"/>
  <c r="BE350" i="3"/>
  <c r="BD350" i="3"/>
  <c r="BC350" i="3"/>
  <c r="BB350" i="3"/>
  <c r="BA350" i="3"/>
  <c r="AZ350" i="3"/>
  <c r="AY350" i="3"/>
  <c r="AX350" i="3"/>
  <c r="AW350" i="3"/>
  <c r="AV350" i="3"/>
  <c r="AU350" i="3"/>
  <c r="AT350" i="3"/>
  <c r="AS350" i="3"/>
  <c r="AR350" i="3"/>
  <c r="AL350" i="3"/>
  <c r="AK350" i="3"/>
  <c r="AJ350" i="3"/>
  <c r="AI350" i="3"/>
  <c r="AG350" i="3" s="1"/>
  <c r="AH350" i="3"/>
  <c r="AF350" i="3"/>
  <c r="AE350" i="3"/>
  <c r="AD350" i="3"/>
  <c r="AC350" i="3"/>
  <c r="AB350" i="3"/>
  <c r="AA350" i="3"/>
  <c r="Z350" i="3"/>
  <c r="X350" i="3"/>
  <c r="Q350" i="3"/>
  <c r="N350" i="3"/>
  <c r="M350" i="3"/>
  <c r="L350" i="3"/>
  <c r="R350" i="3" s="1"/>
  <c r="K350" i="3"/>
  <c r="J350" i="3"/>
  <c r="I350" i="3"/>
  <c r="H350" i="3"/>
  <c r="G350" i="3"/>
  <c r="F350" i="3"/>
  <c r="E350" i="3"/>
  <c r="D350" i="3"/>
  <c r="C350" i="3"/>
  <c r="B350" i="3"/>
  <c r="A350" i="3"/>
  <c r="BD349" i="3"/>
  <c r="BC349" i="3"/>
  <c r="BB349" i="3"/>
  <c r="BA349" i="3"/>
  <c r="AZ349" i="3"/>
  <c r="AY349" i="3"/>
  <c r="AX349" i="3"/>
  <c r="AW349" i="3"/>
  <c r="AV349" i="3"/>
  <c r="AU349" i="3"/>
  <c r="AT349" i="3"/>
  <c r="AS349" i="3"/>
  <c r="AR349" i="3"/>
  <c r="AL349" i="3"/>
  <c r="AK349" i="3"/>
  <c r="AJ349" i="3"/>
  <c r="AI349" i="3"/>
  <c r="AH349" i="3"/>
  <c r="AG349" i="3"/>
  <c r="AF349" i="3"/>
  <c r="O349" i="3" s="1"/>
  <c r="AE349" i="3"/>
  <c r="AD349" i="3"/>
  <c r="AC349" i="3"/>
  <c r="AB349" i="3"/>
  <c r="AA349" i="3"/>
  <c r="Z349" i="3"/>
  <c r="X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BD348" i="3"/>
  <c r="BC348" i="3"/>
  <c r="BB348" i="3"/>
  <c r="BA348" i="3"/>
  <c r="AZ348" i="3"/>
  <c r="AY348" i="3"/>
  <c r="AX348" i="3"/>
  <c r="AW348" i="3"/>
  <c r="AV348" i="3"/>
  <c r="AU348" i="3"/>
  <c r="AT348" i="3"/>
  <c r="AS348" i="3"/>
  <c r="AR348" i="3"/>
  <c r="AL348" i="3"/>
  <c r="AK348" i="3"/>
  <c r="AJ348" i="3"/>
  <c r="AI348" i="3"/>
  <c r="AH348" i="3"/>
  <c r="AE348" i="3"/>
  <c r="AD348" i="3"/>
  <c r="AC348" i="3"/>
  <c r="T348" i="3" s="1"/>
  <c r="AB348" i="3"/>
  <c r="AA348" i="3"/>
  <c r="Z348" i="3"/>
  <c r="X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BD347" i="3"/>
  <c r="BC347" i="3"/>
  <c r="BB347" i="3"/>
  <c r="BA347" i="3"/>
  <c r="AZ347" i="3"/>
  <c r="AY347" i="3"/>
  <c r="AX347" i="3"/>
  <c r="AW347" i="3"/>
  <c r="AV347" i="3"/>
  <c r="AU347" i="3"/>
  <c r="AT347" i="3"/>
  <c r="AS347" i="3"/>
  <c r="AR347" i="3"/>
  <c r="AL347" i="3"/>
  <c r="AK347" i="3"/>
  <c r="AJ347" i="3"/>
  <c r="AI347" i="3"/>
  <c r="AH347" i="3"/>
  <c r="AE347" i="3"/>
  <c r="AD347" i="3"/>
  <c r="AC347" i="3"/>
  <c r="AB347" i="3"/>
  <c r="AA347" i="3"/>
  <c r="Z347" i="3"/>
  <c r="X347" i="3"/>
  <c r="Q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R347" i="3" s="1"/>
  <c r="BF347" i="3" s="1"/>
  <c r="B347" i="3"/>
  <c r="A347" i="3"/>
  <c r="BD346" i="3"/>
  <c r="BC346" i="3"/>
  <c r="BB346" i="3"/>
  <c r="BA346" i="3"/>
  <c r="AZ346" i="3"/>
  <c r="AY346" i="3"/>
  <c r="AX346" i="3"/>
  <c r="AW346" i="3"/>
  <c r="AV346" i="3"/>
  <c r="AU346" i="3"/>
  <c r="AT346" i="3"/>
  <c r="AS346" i="3"/>
  <c r="AR346" i="3"/>
  <c r="AL346" i="3"/>
  <c r="AK346" i="3"/>
  <c r="AJ346" i="3"/>
  <c r="AI346" i="3"/>
  <c r="AH346" i="3"/>
  <c r="AE346" i="3"/>
  <c r="AD346" i="3"/>
  <c r="AC346" i="3"/>
  <c r="AB346" i="3"/>
  <c r="AA346" i="3"/>
  <c r="Z346" i="3"/>
  <c r="X346" i="3"/>
  <c r="S346" i="3"/>
  <c r="N346" i="3"/>
  <c r="M346" i="3"/>
  <c r="BG346" i="3" s="1"/>
  <c r="L346" i="3"/>
  <c r="K346" i="3"/>
  <c r="J346" i="3"/>
  <c r="I346" i="3"/>
  <c r="H346" i="3"/>
  <c r="G346" i="3"/>
  <c r="F346" i="3"/>
  <c r="E346" i="3"/>
  <c r="D346" i="3"/>
  <c r="C346" i="3"/>
  <c r="B346" i="3"/>
  <c r="A346" i="3"/>
  <c r="BD345" i="3"/>
  <c r="BC345" i="3"/>
  <c r="BB345" i="3"/>
  <c r="BA345" i="3"/>
  <c r="AZ345" i="3"/>
  <c r="AY345" i="3"/>
  <c r="AX345" i="3"/>
  <c r="AW345" i="3"/>
  <c r="AV345" i="3"/>
  <c r="AU345" i="3"/>
  <c r="AT345" i="3"/>
  <c r="AS345" i="3"/>
  <c r="AR345" i="3"/>
  <c r="AL345" i="3"/>
  <c r="AK345" i="3"/>
  <c r="AJ345" i="3"/>
  <c r="AI345" i="3"/>
  <c r="AH345" i="3"/>
  <c r="AG345" i="3"/>
  <c r="AE345" i="3"/>
  <c r="AD345" i="3"/>
  <c r="AC345" i="3"/>
  <c r="AB345" i="3"/>
  <c r="AA345" i="3"/>
  <c r="AF345" i="3" s="1"/>
  <c r="Z345" i="3"/>
  <c r="X345" i="3"/>
  <c r="T345" i="3"/>
  <c r="BH345" i="3" s="1"/>
  <c r="S345" i="3"/>
  <c r="R345" i="3"/>
  <c r="Q345" i="3"/>
  <c r="P345" i="3"/>
  <c r="N345" i="3"/>
  <c r="M345" i="3"/>
  <c r="BG345" i="3" s="1"/>
  <c r="L345" i="3"/>
  <c r="K345" i="3"/>
  <c r="J345" i="3"/>
  <c r="I345" i="3"/>
  <c r="H345" i="3"/>
  <c r="G345" i="3"/>
  <c r="F345" i="3"/>
  <c r="E345" i="3"/>
  <c r="D345" i="3"/>
  <c r="C345" i="3"/>
  <c r="BF345" i="3" s="1"/>
  <c r="B345" i="3"/>
  <c r="A345" i="3"/>
  <c r="BF344" i="3"/>
  <c r="BE344" i="3"/>
  <c r="BD344" i="3"/>
  <c r="BC344" i="3"/>
  <c r="BB344" i="3"/>
  <c r="BA344" i="3"/>
  <c r="AZ344" i="3"/>
  <c r="AY344" i="3"/>
  <c r="AX344" i="3"/>
  <c r="AW344" i="3"/>
  <c r="AV344" i="3"/>
  <c r="AU344" i="3"/>
  <c r="AT344" i="3"/>
  <c r="AS344" i="3"/>
  <c r="AR344" i="3"/>
  <c r="AL344" i="3"/>
  <c r="AK344" i="3"/>
  <c r="AJ344" i="3"/>
  <c r="AI344" i="3"/>
  <c r="AH344" i="3"/>
  <c r="AE344" i="3"/>
  <c r="AD344" i="3"/>
  <c r="AC344" i="3"/>
  <c r="AB344" i="3"/>
  <c r="AA344" i="3"/>
  <c r="Z344" i="3"/>
  <c r="X344" i="3"/>
  <c r="R344" i="3"/>
  <c r="Q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BG343" i="3"/>
  <c r="BF343" i="3"/>
  <c r="BD343" i="3"/>
  <c r="BC343" i="3"/>
  <c r="BB343" i="3"/>
  <c r="BA343" i="3"/>
  <c r="AZ343" i="3"/>
  <c r="AY343" i="3"/>
  <c r="AX343" i="3"/>
  <c r="AW343" i="3"/>
  <c r="AV343" i="3"/>
  <c r="AU343" i="3"/>
  <c r="AT343" i="3"/>
  <c r="AS343" i="3"/>
  <c r="AR343" i="3"/>
  <c r="AL343" i="3"/>
  <c r="AK343" i="3"/>
  <c r="AJ343" i="3"/>
  <c r="AF343" i="3" s="1"/>
  <c r="O343" i="3" s="1"/>
  <c r="AI343" i="3"/>
  <c r="AH343" i="3"/>
  <c r="AG343" i="3"/>
  <c r="AE343" i="3"/>
  <c r="AD343" i="3"/>
  <c r="AC343" i="3"/>
  <c r="AB343" i="3"/>
  <c r="AA343" i="3"/>
  <c r="Z343" i="3"/>
  <c r="X343" i="3"/>
  <c r="N343" i="3"/>
  <c r="M343" i="3"/>
  <c r="S343" i="3" s="1"/>
  <c r="L343" i="3"/>
  <c r="K343" i="3"/>
  <c r="J343" i="3"/>
  <c r="I343" i="3"/>
  <c r="H343" i="3"/>
  <c r="G343" i="3"/>
  <c r="F343" i="3"/>
  <c r="E343" i="3"/>
  <c r="D343" i="3"/>
  <c r="C343" i="3"/>
  <c r="R343" i="3" s="1"/>
  <c r="B343" i="3"/>
  <c r="A343" i="3"/>
  <c r="BG342" i="3"/>
  <c r="BD342" i="3"/>
  <c r="BC342" i="3"/>
  <c r="BB342" i="3"/>
  <c r="BA342" i="3"/>
  <c r="AZ342" i="3"/>
  <c r="AY342" i="3"/>
  <c r="AX342" i="3"/>
  <c r="AW342" i="3"/>
  <c r="AV342" i="3"/>
  <c r="AU342" i="3"/>
  <c r="AT342" i="3"/>
  <c r="AS342" i="3"/>
  <c r="AR342" i="3"/>
  <c r="AL342" i="3"/>
  <c r="AK342" i="3"/>
  <c r="AG342" i="3" s="1"/>
  <c r="AJ342" i="3"/>
  <c r="AI342" i="3"/>
  <c r="AH342" i="3"/>
  <c r="AE342" i="3"/>
  <c r="AD342" i="3"/>
  <c r="AC342" i="3"/>
  <c r="AB342" i="3"/>
  <c r="AA342" i="3"/>
  <c r="Z342" i="3"/>
  <c r="X342" i="3"/>
  <c r="N342" i="3"/>
  <c r="M342" i="3"/>
  <c r="S342" i="3" s="1"/>
  <c r="L342" i="3"/>
  <c r="R342" i="3" s="1"/>
  <c r="K342" i="3"/>
  <c r="J342" i="3"/>
  <c r="I342" i="3"/>
  <c r="H342" i="3"/>
  <c r="G342" i="3"/>
  <c r="F342" i="3"/>
  <c r="E342" i="3"/>
  <c r="D342" i="3"/>
  <c r="C342" i="3"/>
  <c r="B342" i="3"/>
  <c r="A342" i="3"/>
  <c r="BD341" i="3"/>
  <c r="BC341" i="3"/>
  <c r="BB341" i="3"/>
  <c r="BA341" i="3"/>
  <c r="AZ341" i="3"/>
  <c r="AY341" i="3"/>
  <c r="AX341" i="3"/>
  <c r="AW341" i="3"/>
  <c r="AV341" i="3"/>
  <c r="AU341" i="3"/>
  <c r="AT341" i="3"/>
  <c r="AS341" i="3"/>
  <c r="AR341" i="3"/>
  <c r="AL341" i="3"/>
  <c r="AK341" i="3"/>
  <c r="AJ341" i="3"/>
  <c r="AI341" i="3"/>
  <c r="AH341" i="3"/>
  <c r="AG341" i="3"/>
  <c r="AE341" i="3"/>
  <c r="AD341" i="3"/>
  <c r="AC341" i="3"/>
  <c r="AB341" i="3"/>
  <c r="AA341" i="3"/>
  <c r="AF341" i="3" s="1"/>
  <c r="O341" i="3" s="1"/>
  <c r="BI341" i="3" s="1"/>
  <c r="Z341" i="3"/>
  <c r="X341" i="3"/>
  <c r="U341" i="3"/>
  <c r="S341" i="3"/>
  <c r="N341" i="3"/>
  <c r="T341" i="3" s="1"/>
  <c r="M341" i="3"/>
  <c r="L341" i="3"/>
  <c r="K341" i="3"/>
  <c r="J341" i="3"/>
  <c r="I341" i="3"/>
  <c r="H341" i="3"/>
  <c r="G341" i="3"/>
  <c r="F341" i="3"/>
  <c r="E341" i="3"/>
  <c r="D341" i="3"/>
  <c r="BG341" i="3" s="1"/>
  <c r="C341" i="3"/>
  <c r="B341" i="3"/>
  <c r="A341" i="3"/>
  <c r="BG340" i="3"/>
  <c r="BD340" i="3"/>
  <c r="BC340" i="3"/>
  <c r="BB340" i="3"/>
  <c r="BA340" i="3"/>
  <c r="AZ340" i="3"/>
  <c r="AY340" i="3"/>
  <c r="AX340" i="3"/>
  <c r="AW340" i="3"/>
  <c r="AV340" i="3"/>
  <c r="AU340" i="3"/>
  <c r="AT340" i="3"/>
  <c r="AS340" i="3"/>
  <c r="AR340" i="3"/>
  <c r="AL340" i="3"/>
  <c r="AK340" i="3"/>
  <c r="AJ340" i="3"/>
  <c r="AI340" i="3"/>
  <c r="AH340" i="3"/>
  <c r="AE340" i="3"/>
  <c r="AD340" i="3"/>
  <c r="AC340" i="3"/>
  <c r="AB340" i="3"/>
  <c r="AA340" i="3"/>
  <c r="Z340" i="3"/>
  <c r="X340" i="3"/>
  <c r="R340" i="3"/>
  <c r="Q340" i="3"/>
  <c r="N340" i="3"/>
  <c r="M340" i="3"/>
  <c r="L340" i="3"/>
  <c r="K340" i="3"/>
  <c r="J340" i="3"/>
  <c r="I340" i="3"/>
  <c r="H340" i="3"/>
  <c r="G340" i="3"/>
  <c r="F340" i="3"/>
  <c r="E340" i="3"/>
  <c r="T340" i="3" s="1"/>
  <c r="D340" i="3"/>
  <c r="S340" i="3" s="1"/>
  <c r="C340" i="3"/>
  <c r="B340" i="3"/>
  <c r="A340" i="3"/>
  <c r="BE339" i="3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R339" i="3"/>
  <c r="AL339" i="3"/>
  <c r="AK339" i="3"/>
  <c r="AJ339" i="3"/>
  <c r="AI339" i="3"/>
  <c r="AH339" i="3"/>
  <c r="AE339" i="3"/>
  <c r="AD339" i="3"/>
  <c r="AC339" i="3"/>
  <c r="AB339" i="3"/>
  <c r="AA339" i="3"/>
  <c r="Z339" i="3"/>
  <c r="X339" i="3"/>
  <c r="T339" i="3"/>
  <c r="Q339" i="3"/>
  <c r="N339" i="3"/>
  <c r="M339" i="3"/>
  <c r="S339" i="3" s="1"/>
  <c r="L339" i="3"/>
  <c r="R339" i="3" s="1"/>
  <c r="K339" i="3"/>
  <c r="J339" i="3"/>
  <c r="I339" i="3"/>
  <c r="H339" i="3"/>
  <c r="G339" i="3"/>
  <c r="F339" i="3"/>
  <c r="E339" i="3"/>
  <c r="D339" i="3"/>
  <c r="C339" i="3"/>
  <c r="B339" i="3"/>
  <c r="A339" i="3"/>
  <c r="BJ338" i="3"/>
  <c r="BI338" i="3"/>
  <c r="BD338" i="3"/>
  <c r="BC338" i="3"/>
  <c r="BB338" i="3"/>
  <c r="BA338" i="3"/>
  <c r="AZ338" i="3"/>
  <c r="AY338" i="3"/>
  <c r="AX338" i="3"/>
  <c r="AW338" i="3"/>
  <c r="AV338" i="3"/>
  <c r="AU338" i="3"/>
  <c r="AT338" i="3"/>
  <c r="AS338" i="3"/>
  <c r="AR338" i="3"/>
  <c r="AL338" i="3"/>
  <c r="AK338" i="3"/>
  <c r="AJ338" i="3"/>
  <c r="AI338" i="3"/>
  <c r="AH338" i="3"/>
  <c r="AG338" i="3"/>
  <c r="P338" i="3" s="1"/>
  <c r="V338" i="3" s="1"/>
  <c r="AF338" i="3"/>
  <c r="O338" i="3" s="1"/>
  <c r="U338" i="3" s="1"/>
  <c r="AE338" i="3"/>
  <c r="AD338" i="3"/>
  <c r="AC338" i="3"/>
  <c r="AB338" i="3"/>
  <c r="AA338" i="3"/>
  <c r="Z338" i="3"/>
  <c r="X338" i="3"/>
  <c r="T338" i="3"/>
  <c r="BH338" i="3" s="1"/>
  <c r="S338" i="3"/>
  <c r="BG338" i="3" s="1"/>
  <c r="N338" i="3"/>
  <c r="M338" i="3"/>
  <c r="L338" i="3"/>
  <c r="K338" i="3"/>
  <c r="J338" i="3"/>
  <c r="I338" i="3"/>
  <c r="H338" i="3"/>
  <c r="G338" i="3"/>
  <c r="F338" i="3"/>
  <c r="E338" i="3"/>
  <c r="D338" i="3"/>
  <c r="C338" i="3"/>
  <c r="R338" i="3" s="1"/>
  <c r="B338" i="3"/>
  <c r="A338" i="3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R337" i="3"/>
  <c r="AL337" i="3"/>
  <c r="AK337" i="3"/>
  <c r="AJ337" i="3"/>
  <c r="AF337" i="3" s="1"/>
  <c r="AI337" i="3"/>
  <c r="AH337" i="3"/>
  <c r="AE337" i="3"/>
  <c r="AD337" i="3"/>
  <c r="AC337" i="3"/>
  <c r="AB337" i="3"/>
  <c r="AA337" i="3"/>
  <c r="Z337" i="3"/>
  <c r="X337" i="3"/>
  <c r="S337" i="3"/>
  <c r="R337" i="3"/>
  <c r="Q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BJ336" i="3"/>
  <c r="BD336" i="3"/>
  <c r="BC336" i="3"/>
  <c r="BB336" i="3"/>
  <c r="BA336" i="3"/>
  <c r="AZ336" i="3"/>
  <c r="AY336" i="3"/>
  <c r="AX336" i="3"/>
  <c r="AW336" i="3"/>
  <c r="AV336" i="3"/>
  <c r="AU336" i="3"/>
  <c r="AT336" i="3"/>
  <c r="AS336" i="3"/>
  <c r="AR336" i="3"/>
  <c r="AL336" i="3"/>
  <c r="AK336" i="3"/>
  <c r="AJ336" i="3"/>
  <c r="AI336" i="3"/>
  <c r="AH336" i="3"/>
  <c r="AG336" i="3"/>
  <c r="P336" i="3" s="1"/>
  <c r="V336" i="3" s="1"/>
  <c r="AE336" i="3"/>
  <c r="AD336" i="3"/>
  <c r="AC336" i="3"/>
  <c r="AB336" i="3"/>
  <c r="AA336" i="3"/>
  <c r="Z336" i="3"/>
  <c r="X336" i="3"/>
  <c r="N336" i="3"/>
  <c r="M336" i="3"/>
  <c r="L336" i="3"/>
  <c r="R336" i="3" s="1"/>
  <c r="BF336" i="3" s="1"/>
  <c r="K336" i="3"/>
  <c r="J336" i="3"/>
  <c r="I336" i="3"/>
  <c r="H336" i="3"/>
  <c r="G336" i="3"/>
  <c r="F336" i="3"/>
  <c r="E336" i="3"/>
  <c r="D336" i="3"/>
  <c r="C336" i="3"/>
  <c r="B336" i="3"/>
  <c r="A336" i="3"/>
  <c r="BD335" i="3"/>
  <c r="BC335" i="3"/>
  <c r="BB335" i="3"/>
  <c r="BA335" i="3"/>
  <c r="AZ335" i="3"/>
  <c r="AY335" i="3"/>
  <c r="AX335" i="3"/>
  <c r="AW335" i="3"/>
  <c r="AV335" i="3"/>
  <c r="AU335" i="3"/>
  <c r="AT335" i="3"/>
  <c r="AS335" i="3"/>
  <c r="AR335" i="3"/>
  <c r="AL335" i="3"/>
  <c r="AK335" i="3"/>
  <c r="AJ335" i="3"/>
  <c r="AI335" i="3"/>
  <c r="AH335" i="3"/>
  <c r="AF335" i="3" s="1"/>
  <c r="AG335" i="3"/>
  <c r="P335" i="3" s="1"/>
  <c r="AE335" i="3"/>
  <c r="AD335" i="3"/>
  <c r="AC335" i="3"/>
  <c r="AB335" i="3"/>
  <c r="AA335" i="3"/>
  <c r="Z335" i="3"/>
  <c r="X335" i="3"/>
  <c r="N335" i="3"/>
  <c r="T335" i="3" s="1"/>
  <c r="BH335" i="3" s="1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BD334" i="3"/>
  <c r="BC334" i="3"/>
  <c r="BB334" i="3"/>
  <c r="BA334" i="3"/>
  <c r="AZ334" i="3"/>
  <c r="AY334" i="3"/>
  <c r="AX334" i="3"/>
  <c r="AW334" i="3"/>
  <c r="AV334" i="3"/>
  <c r="AU334" i="3"/>
  <c r="AT334" i="3"/>
  <c r="AS334" i="3"/>
  <c r="AR334" i="3"/>
  <c r="AL334" i="3"/>
  <c r="AK334" i="3"/>
  <c r="AJ334" i="3"/>
  <c r="AI334" i="3"/>
  <c r="AH334" i="3"/>
  <c r="AF334" i="3" s="1"/>
  <c r="AE334" i="3"/>
  <c r="AD334" i="3"/>
  <c r="AC334" i="3"/>
  <c r="AB334" i="3"/>
  <c r="AA334" i="3"/>
  <c r="Z334" i="3"/>
  <c r="X334" i="3"/>
  <c r="T334" i="3"/>
  <c r="BH334" i="3" s="1"/>
  <c r="S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BE333" i="3"/>
  <c r="BD333" i="3"/>
  <c r="BC333" i="3"/>
  <c r="BB333" i="3"/>
  <c r="BA333" i="3"/>
  <c r="AZ333" i="3"/>
  <c r="AY333" i="3"/>
  <c r="AX333" i="3"/>
  <c r="AW333" i="3"/>
  <c r="AV333" i="3"/>
  <c r="AU333" i="3"/>
  <c r="AT333" i="3"/>
  <c r="AS333" i="3"/>
  <c r="AR333" i="3"/>
  <c r="AL333" i="3"/>
  <c r="AK333" i="3"/>
  <c r="AJ333" i="3"/>
  <c r="AI333" i="3"/>
  <c r="AH333" i="3"/>
  <c r="AE333" i="3"/>
  <c r="AD333" i="3"/>
  <c r="AC333" i="3"/>
  <c r="AF333" i="3" s="1"/>
  <c r="AB333" i="3"/>
  <c r="AA333" i="3"/>
  <c r="Z333" i="3"/>
  <c r="X333" i="3"/>
  <c r="Q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BE332" i="3"/>
  <c r="BD332" i="3"/>
  <c r="BC332" i="3"/>
  <c r="BB332" i="3"/>
  <c r="BA332" i="3"/>
  <c r="AZ332" i="3"/>
  <c r="AY332" i="3"/>
  <c r="AX332" i="3"/>
  <c r="AW332" i="3"/>
  <c r="AV332" i="3"/>
  <c r="AU332" i="3"/>
  <c r="AT332" i="3"/>
  <c r="AS332" i="3"/>
  <c r="AR332" i="3"/>
  <c r="AL332" i="3"/>
  <c r="AK332" i="3"/>
  <c r="AJ332" i="3"/>
  <c r="AF332" i="3" s="1"/>
  <c r="AI332" i="3"/>
  <c r="AH332" i="3"/>
  <c r="AE332" i="3"/>
  <c r="AD332" i="3"/>
  <c r="AC332" i="3"/>
  <c r="AB332" i="3"/>
  <c r="AA332" i="3"/>
  <c r="Z332" i="3"/>
  <c r="X332" i="3"/>
  <c r="Q332" i="3"/>
  <c r="N332" i="3"/>
  <c r="M332" i="3"/>
  <c r="L332" i="3"/>
  <c r="R332" i="3" s="1"/>
  <c r="K332" i="3"/>
  <c r="J332" i="3"/>
  <c r="I332" i="3"/>
  <c r="H332" i="3"/>
  <c r="G332" i="3"/>
  <c r="F332" i="3"/>
  <c r="E332" i="3"/>
  <c r="D332" i="3"/>
  <c r="C332" i="3"/>
  <c r="BF332" i="3" s="1"/>
  <c r="B332" i="3"/>
  <c r="A332" i="3"/>
  <c r="BD331" i="3"/>
  <c r="BC331" i="3"/>
  <c r="BB331" i="3"/>
  <c r="BA331" i="3"/>
  <c r="AZ331" i="3"/>
  <c r="AY331" i="3"/>
  <c r="AX331" i="3"/>
  <c r="AW331" i="3"/>
  <c r="AV331" i="3"/>
  <c r="AU331" i="3"/>
  <c r="AT331" i="3"/>
  <c r="AS331" i="3"/>
  <c r="AR331" i="3"/>
  <c r="AL331" i="3"/>
  <c r="AK331" i="3"/>
  <c r="AJ331" i="3"/>
  <c r="AI331" i="3"/>
  <c r="AH331" i="3"/>
  <c r="AE331" i="3"/>
  <c r="AD331" i="3"/>
  <c r="AC331" i="3"/>
  <c r="AB331" i="3"/>
  <c r="AA331" i="3"/>
  <c r="Z331" i="3"/>
  <c r="X331" i="3"/>
  <c r="N331" i="3"/>
  <c r="M331" i="3"/>
  <c r="L331" i="3"/>
  <c r="K331" i="3"/>
  <c r="BE331" i="3" s="1"/>
  <c r="J331" i="3"/>
  <c r="I331" i="3"/>
  <c r="H331" i="3"/>
  <c r="G331" i="3"/>
  <c r="F331" i="3"/>
  <c r="E331" i="3"/>
  <c r="D331" i="3"/>
  <c r="C331" i="3"/>
  <c r="B331" i="3"/>
  <c r="A331" i="3"/>
  <c r="BJ330" i="3"/>
  <c r="BE330" i="3"/>
  <c r="BD330" i="3"/>
  <c r="BC330" i="3"/>
  <c r="BB330" i="3"/>
  <c r="BA330" i="3"/>
  <c r="AZ330" i="3"/>
  <c r="AY330" i="3"/>
  <c r="AX330" i="3"/>
  <c r="AW330" i="3"/>
  <c r="AV330" i="3"/>
  <c r="AU330" i="3"/>
  <c r="AT330" i="3"/>
  <c r="AS330" i="3"/>
  <c r="AR330" i="3"/>
  <c r="AL330" i="3"/>
  <c r="AK330" i="3"/>
  <c r="AG330" i="3" s="1"/>
  <c r="AJ330" i="3"/>
  <c r="AI330" i="3"/>
  <c r="AH330" i="3"/>
  <c r="AF330" i="3"/>
  <c r="AE330" i="3"/>
  <c r="AD330" i="3"/>
  <c r="AC330" i="3"/>
  <c r="AB330" i="3"/>
  <c r="AA330" i="3"/>
  <c r="Z330" i="3"/>
  <c r="X330" i="3"/>
  <c r="T330" i="3"/>
  <c r="BH330" i="3" s="1"/>
  <c r="R330" i="3"/>
  <c r="Q330" i="3"/>
  <c r="P330" i="3"/>
  <c r="V330" i="3" s="1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BE329" i="3"/>
  <c r="BD329" i="3"/>
  <c r="BC329" i="3"/>
  <c r="BB329" i="3"/>
  <c r="BA329" i="3"/>
  <c r="AZ329" i="3"/>
  <c r="AY329" i="3"/>
  <c r="AX329" i="3"/>
  <c r="AW329" i="3"/>
  <c r="AV329" i="3"/>
  <c r="AU329" i="3"/>
  <c r="AT329" i="3"/>
  <c r="AS329" i="3"/>
  <c r="AR329" i="3"/>
  <c r="AL329" i="3"/>
  <c r="AK329" i="3"/>
  <c r="AJ329" i="3"/>
  <c r="AI329" i="3"/>
  <c r="AH329" i="3"/>
  <c r="AF329" i="3"/>
  <c r="AE329" i="3"/>
  <c r="AD329" i="3"/>
  <c r="AC329" i="3"/>
  <c r="BG329" i="3" s="1"/>
  <c r="AB329" i="3"/>
  <c r="AA329" i="3"/>
  <c r="Z329" i="3"/>
  <c r="X329" i="3"/>
  <c r="Q329" i="3"/>
  <c r="N329" i="3"/>
  <c r="M329" i="3"/>
  <c r="S329" i="3" s="1"/>
  <c r="L329" i="3"/>
  <c r="K329" i="3"/>
  <c r="J329" i="3"/>
  <c r="I329" i="3"/>
  <c r="H329" i="3"/>
  <c r="G329" i="3"/>
  <c r="F329" i="3"/>
  <c r="E329" i="3"/>
  <c r="D329" i="3"/>
  <c r="C329" i="3"/>
  <c r="B329" i="3"/>
  <c r="A329" i="3"/>
  <c r="BD328" i="3"/>
  <c r="BC328" i="3"/>
  <c r="BB328" i="3"/>
  <c r="BA328" i="3"/>
  <c r="AZ328" i="3"/>
  <c r="AY328" i="3"/>
  <c r="AX328" i="3"/>
  <c r="AW328" i="3"/>
  <c r="AV328" i="3"/>
  <c r="AU328" i="3"/>
  <c r="AT328" i="3"/>
  <c r="AS328" i="3"/>
  <c r="AR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X328" i="3"/>
  <c r="Q328" i="3"/>
  <c r="N328" i="3"/>
  <c r="BH328" i="3" s="1"/>
  <c r="M328" i="3"/>
  <c r="L328" i="3"/>
  <c r="R328" i="3" s="1"/>
  <c r="K328" i="3"/>
  <c r="J328" i="3"/>
  <c r="I328" i="3"/>
  <c r="H328" i="3"/>
  <c r="G328" i="3"/>
  <c r="F328" i="3"/>
  <c r="E328" i="3"/>
  <c r="D328" i="3"/>
  <c r="C328" i="3"/>
  <c r="B328" i="3"/>
  <c r="A328" i="3"/>
  <c r="BE327" i="3"/>
  <c r="BD327" i="3"/>
  <c r="BC327" i="3"/>
  <c r="BB327" i="3"/>
  <c r="BA327" i="3"/>
  <c r="AZ327" i="3"/>
  <c r="AY327" i="3"/>
  <c r="AX327" i="3"/>
  <c r="AW327" i="3"/>
  <c r="AV327" i="3"/>
  <c r="AU327" i="3"/>
  <c r="AT327" i="3"/>
  <c r="AS327" i="3"/>
  <c r="AR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X327" i="3"/>
  <c r="T327" i="3"/>
  <c r="N327" i="3"/>
  <c r="M327" i="3"/>
  <c r="L327" i="3"/>
  <c r="K327" i="3"/>
  <c r="F784" i="4" s="1"/>
  <c r="J327" i="3"/>
  <c r="I327" i="3"/>
  <c r="H327" i="3"/>
  <c r="G327" i="3"/>
  <c r="F327" i="3"/>
  <c r="E327" i="3"/>
  <c r="D327" i="3"/>
  <c r="C327" i="3"/>
  <c r="B327" i="3"/>
  <c r="A327" i="3"/>
  <c r="BG326" i="3"/>
  <c r="BD326" i="3"/>
  <c r="BC326" i="3"/>
  <c r="BB326" i="3"/>
  <c r="BA326" i="3"/>
  <c r="AZ326" i="3"/>
  <c r="AY326" i="3"/>
  <c r="AX326" i="3"/>
  <c r="AW326" i="3"/>
  <c r="AV326" i="3"/>
  <c r="AU326" i="3"/>
  <c r="AT326" i="3"/>
  <c r="AS326" i="3"/>
  <c r="AR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X326" i="3"/>
  <c r="S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R326" i="3" s="1"/>
  <c r="BF326" i="3" s="1"/>
  <c r="B326" i="3"/>
  <c r="A326" i="3"/>
  <c r="BH325" i="3"/>
  <c r="BG325" i="3"/>
  <c r="BD325" i="3"/>
  <c r="BC325" i="3"/>
  <c r="BB325" i="3"/>
  <c r="BA325" i="3"/>
  <c r="AZ325" i="3"/>
  <c r="AY325" i="3"/>
  <c r="AX325" i="3"/>
  <c r="AW325" i="3"/>
  <c r="AV325" i="3"/>
  <c r="AU325" i="3"/>
  <c r="AT325" i="3"/>
  <c r="AS325" i="3"/>
  <c r="AR325" i="3"/>
  <c r="AL325" i="3"/>
  <c r="AK325" i="3"/>
  <c r="AJ325" i="3"/>
  <c r="AI325" i="3"/>
  <c r="AH325" i="3"/>
  <c r="AE325" i="3"/>
  <c r="AD325" i="3"/>
  <c r="AC325" i="3"/>
  <c r="AB325" i="3"/>
  <c r="AA325" i="3"/>
  <c r="Z325" i="3"/>
  <c r="X325" i="3"/>
  <c r="T325" i="3"/>
  <c r="Q325" i="3"/>
  <c r="N325" i="3"/>
  <c r="M325" i="3"/>
  <c r="S325" i="3" s="1"/>
  <c r="L325" i="3"/>
  <c r="K325" i="3"/>
  <c r="J325" i="3"/>
  <c r="I325" i="3"/>
  <c r="H325" i="3"/>
  <c r="G325" i="3"/>
  <c r="F325" i="3"/>
  <c r="E325" i="3"/>
  <c r="D325" i="3"/>
  <c r="C325" i="3"/>
  <c r="B325" i="3"/>
  <c r="A325" i="3"/>
  <c r="BD324" i="3"/>
  <c r="BC324" i="3"/>
  <c r="BB324" i="3"/>
  <c r="BA324" i="3"/>
  <c r="AZ324" i="3"/>
  <c r="AY324" i="3"/>
  <c r="AX324" i="3"/>
  <c r="AW324" i="3"/>
  <c r="AV324" i="3"/>
  <c r="AU324" i="3"/>
  <c r="AT324" i="3"/>
  <c r="AS324" i="3"/>
  <c r="AR324" i="3"/>
  <c r="AL324" i="3"/>
  <c r="AK324" i="3"/>
  <c r="AJ324" i="3"/>
  <c r="AI324" i="3"/>
  <c r="AH324" i="3"/>
  <c r="AG324" i="3"/>
  <c r="AE324" i="3"/>
  <c r="AD324" i="3"/>
  <c r="AC324" i="3"/>
  <c r="AB324" i="3"/>
  <c r="AA324" i="3"/>
  <c r="Z324" i="3"/>
  <c r="X324" i="3"/>
  <c r="S324" i="3"/>
  <c r="N324" i="3"/>
  <c r="M324" i="3"/>
  <c r="L324" i="3"/>
  <c r="K324" i="3"/>
  <c r="J324" i="3"/>
  <c r="I324" i="3"/>
  <c r="H324" i="3"/>
  <c r="G324" i="3"/>
  <c r="F324" i="3"/>
  <c r="E324" i="3"/>
  <c r="T324" i="3" s="1"/>
  <c r="D324" i="3"/>
  <c r="C324" i="3"/>
  <c r="B324" i="3"/>
  <c r="A324" i="3"/>
  <c r="BD323" i="3"/>
  <c r="BC323" i="3"/>
  <c r="BB323" i="3"/>
  <c r="BA323" i="3"/>
  <c r="AZ323" i="3"/>
  <c r="AY323" i="3"/>
  <c r="AX323" i="3"/>
  <c r="AW323" i="3"/>
  <c r="AV323" i="3"/>
  <c r="AU323" i="3"/>
  <c r="AT323" i="3"/>
  <c r="AS323" i="3"/>
  <c r="AR323" i="3"/>
  <c r="AL323" i="3"/>
  <c r="AK323" i="3"/>
  <c r="AJ323" i="3"/>
  <c r="AI323" i="3"/>
  <c r="AH323" i="3"/>
  <c r="AE323" i="3"/>
  <c r="AD323" i="3"/>
  <c r="AC323" i="3"/>
  <c r="AB323" i="3"/>
  <c r="AA323" i="3"/>
  <c r="Z323" i="3"/>
  <c r="X323" i="3"/>
  <c r="S323" i="3"/>
  <c r="BG323" i="3" s="1"/>
  <c r="R323" i="3"/>
  <c r="BF323" i="3" s="1"/>
  <c r="N323" i="3"/>
  <c r="M323" i="3"/>
  <c r="L323" i="3"/>
  <c r="K323" i="3"/>
  <c r="J323" i="3"/>
  <c r="I323" i="3"/>
  <c r="H323" i="3"/>
  <c r="G323" i="3"/>
  <c r="F323" i="3"/>
  <c r="E323" i="3"/>
  <c r="T323" i="3" s="1"/>
  <c r="D323" i="3"/>
  <c r="C323" i="3"/>
  <c r="B323" i="3"/>
  <c r="A323" i="3"/>
  <c r="BD322" i="3"/>
  <c r="BC322" i="3"/>
  <c r="BB322" i="3"/>
  <c r="BA322" i="3"/>
  <c r="AZ322" i="3"/>
  <c r="AY322" i="3"/>
  <c r="AX322" i="3"/>
  <c r="AW322" i="3"/>
  <c r="AV322" i="3"/>
  <c r="AU322" i="3"/>
  <c r="AT322" i="3"/>
  <c r="AS322" i="3"/>
  <c r="AR322" i="3"/>
  <c r="AL322" i="3"/>
  <c r="AK322" i="3"/>
  <c r="AG322" i="3" s="1"/>
  <c r="AJ322" i="3"/>
  <c r="AI322" i="3"/>
  <c r="AH322" i="3"/>
  <c r="AE322" i="3"/>
  <c r="AD322" i="3"/>
  <c r="AC322" i="3"/>
  <c r="AB322" i="3"/>
  <c r="AA322" i="3"/>
  <c r="Z322" i="3"/>
  <c r="X322" i="3"/>
  <c r="Q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BD321" i="3"/>
  <c r="BC321" i="3"/>
  <c r="BB321" i="3"/>
  <c r="BA321" i="3"/>
  <c r="AZ321" i="3"/>
  <c r="AY321" i="3"/>
  <c r="AX321" i="3"/>
  <c r="AW321" i="3"/>
  <c r="AV321" i="3"/>
  <c r="AU321" i="3"/>
  <c r="AT321" i="3"/>
  <c r="AS321" i="3"/>
  <c r="AR321" i="3"/>
  <c r="AL321" i="3"/>
  <c r="AK321" i="3"/>
  <c r="AJ321" i="3"/>
  <c r="AI321" i="3"/>
  <c r="AH321" i="3"/>
  <c r="AF321" i="3"/>
  <c r="AE321" i="3"/>
  <c r="AD321" i="3"/>
  <c r="AC321" i="3"/>
  <c r="AB321" i="3"/>
  <c r="AA321" i="3"/>
  <c r="AG321" i="3" s="1"/>
  <c r="Z321" i="3"/>
  <c r="X321" i="3"/>
  <c r="Q321" i="3"/>
  <c r="O321" i="3"/>
  <c r="N321" i="3"/>
  <c r="M321" i="3"/>
  <c r="L321" i="3"/>
  <c r="K321" i="3"/>
  <c r="BE321" i="3" s="1"/>
  <c r="J321" i="3"/>
  <c r="I321" i="3"/>
  <c r="H321" i="3"/>
  <c r="G321" i="3"/>
  <c r="F321" i="3"/>
  <c r="E321" i="3"/>
  <c r="D321" i="3"/>
  <c r="C321" i="3"/>
  <c r="B321" i="3"/>
  <c r="A321" i="3"/>
  <c r="BG320" i="3"/>
  <c r="BD320" i="3"/>
  <c r="BC320" i="3"/>
  <c r="BB320" i="3"/>
  <c r="BA320" i="3"/>
  <c r="AZ320" i="3"/>
  <c r="AY320" i="3"/>
  <c r="AX320" i="3"/>
  <c r="AW320" i="3"/>
  <c r="AV320" i="3"/>
  <c r="AU320" i="3"/>
  <c r="AT320" i="3"/>
  <c r="AS320" i="3"/>
  <c r="AR320" i="3"/>
  <c r="AL320" i="3"/>
  <c r="AK320" i="3"/>
  <c r="AJ320" i="3"/>
  <c r="AI320" i="3"/>
  <c r="AH320" i="3"/>
  <c r="AE320" i="3"/>
  <c r="AD320" i="3"/>
  <c r="AC320" i="3"/>
  <c r="AB320" i="3"/>
  <c r="AA320" i="3"/>
  <c r="Z320" i="3"/>
  <c r="X320" i="3"/>
  <c r="S320" i="3"/>
  <c r="N320" i="3"/>
  <c r="M320" i="3"/>
  <c r="L320" i="3"/>
  <c r="R320" i="3" s="1"/>
  <c r="K320" i="3"/>
  <c r="J320" i="3"/>
  <c r="I320" i="3"/>
  <c r="H320" i="3"/>
  <c r="G320" i="3"/>
  <c r="F320" i="3"/>
  <c r="E320" i="3"/>
  <c r="D320" i="3"/>
  <c r="C320" i="3"/>
  <c r="B320" i="3"/>
  <c r="A320" i="3"/>
  <c r="BD319" i="3"/>
  <c r="BC319" i="3"/>
  <c r="BB319" i="3"/>
  <c r="BA319" i="3"/>
  <c r="AZ319" i="3"/>
  <c r="AY319" i="3"/>
  <c r="AX319" i="3"/>
  <c r="AW319" i="3"/>
  <c r="AV319" i="3"/>
  <c r="AU319" i="3"/>
  <c r="AT319" i="3"/>
  <c r="AS319" i="3"/>
  <c r="AR319" i="3"/>
  <c r="AL319" i="3"/>
  <c r="AK319" i="3"/>
  <c r="AJ319" i="3"/>
  <c r="AI319" i="3"/>
  <c r="AH319" i="3"/>
  <c r="AE319" i="3"/>
  <c r="AD319" i="3"/>
  <c r="AC319" i="3"/>
  <c r="AB319" i="3"/>
  <c r="AA319" i="3"/>
  <c r="Z319" i="3"/>
  <c r="X319" i="3"/>
  <c r="T319" i="3"/>
  <c r="BH319" i="3" s="1"/>
  <c r="S319" i="3"/>
  <c r="R319" i="3"/>
  <c r="Q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BF318" i="3"/>
  <c r="BE318" i="3"/>
  <c r="BD318" i="3"/>
  <c r="BC318" i="3"/>
  <c r="BB318" i="3"/>
  <c r="BA318" i="3"/>
  <c r="AZ318" i="3"/>
  <c r="AY318" i="3"/>
  <c r="AX318" i="3"/>
  <c r="AW318" i="3"/>
  <c r="AV318" i="3"/>
  <c r="AU318" i="3"/>
  <c r="AT318" i="3"/>
  <c r="AS318" i="3"/>
  <c r="AR318" i="3"/>
  <c r="AL318" i="3"/>
  <c r="AK318" i="3"/>
  <c r="AJ318" i="3"/>
  <c r="AI318" i="3"/>
  <c r="AH318" i="3"/>
  <c r="AE318" i="3"/>
  <c r="AD318" i="3"/>
  <c r="AC318" i="3"/>
  <c r="AB318" i="3"/>
  <c r="AA318" i="3"/>
  <c r="Z318" i="3"/>
  <c r="X318" i="3"/>
  <c r="Q318" i="3"/>
  <c r="N318" i="3"/>
  <c r="M318" i="3"/>
  <c r="L318" i="3"/>
  <c r="R318" i="3" s="1"/>
  <c r="K318" i="3"/>
  <c r="J318" i="3"/>
  <c r="I318" i="3"/>
  <c r="H318" i="3"/>
  <c r="G318" i="3"/>
  <c r="F318" i="3"/>
  <c r="E318" i="3"/>
  <c r="D318" i="3"/>
  <c r="C318" i="3"/>
  <c r="B318" i="3"/>
  <c r="A318" i="3"/>
  <c r="BD317" i="3"/>
  <c r="BC317" i="3"/>
  <c r="BB317" i="3"/>
  <c r="BA317" i="3"/>
  <c r="AZ317" i="3"/>
  <c r="AY317" i="3"/>
  <c r="AX317" i="3"/>
  <c r="AW317" i="3"/>
  <c r="AV317" i="3"/>
  <c r="AU317" i="3"/>
  <c r="AT317" i="3"/>
  <c r="AS317" i="3"/>
  <c r="AR317" i="3"/>
  <c r="AL317" i="3"/>
  <c r="AK317" i="3"/>
  <c r="AJ317" i="3"/>
  <c r="AI317" i="3"/>
  <c r="AH317" i="3"/>
  <c r="AG317" i="3"/>
  <c r="AF317" i="3"/>
  <c r="O317" i="3" s="1"/>
  <c r="AE317" i="3"/>
  <c r="AD317" i="3"/>
  <c r="AC317" i="3"/>
  <c r="AB317" i="3"/>
  <c r="AA317" i="3"/>
  <c r="Z317" i="3"/>
  <c r="X317" i="3"/>
  <c r="S317" i="3"/>
  <c r="N317" i="3"/>
  <c r="T317" i="3" s="1"/>
  <c r="M317" i="3"/>
  <c r="BG317" i="3" s="1"/>
  <c r="L317" i="3"/>
  <c r="K317" i="3"/>
  <c r="J317" i="3"/>
  <c r="I317" i="3"/>
  <c r="H317" i="3"/>
  <c r="G317" i="3"/>
  <c r="F317" i="3"/>
  <c r="E317" i="3"/>
  <c r="D317" i="3"/>
  <c r="C317" i="3"/>
  <c r="R317" i="3" s="1"/>
  <c r="B317" i="3"/>
  <c r="A317" i="3"/>
  <c r="BI316" i="3"/>
  <c r="BD316" i="3"/>
  <c r="BC316" i="3"/>
  <c r="BB316" i="3"/>
  <c r="BA316" i="3"/>
  <c r="AZ316" i="3"/>
  <c r="AY316" i="3"/>
  <c r="AX316" i="3"/>
  <c r="AW316" i="3"/>
  <c r="AV316" i="3"/>
  <c r="AU316" i="3"/>
  <c r="AT316" i="3"/>
  <c r="AS316" i="3"/>
  <c r="AR316" i="3"/>
  <c r="AL316" i="3"/>
  <c r="AK316" i="3"/>
  <c r="AG316" i="3" s="1"/>
  <c r="P316" i="3" s="1"/>
  <c r="AJ316" i="3"/>
  <c r="AI316" i="3"/>
  <c r="AH316" i="3"/>
  <c r="AF316" i="3"/>
  <c r="AE316" i="3"/>
  <c r="AD316" i="3"/>
  <c r="AC316" i="3"/>
  <c r="AB316" i="3"/>
  <c r="AA316" i="3"/>
  <c r="Z316" i="3"/>
  <c r="X316" i="3"/>
  <c r="U316" i="3"/>
  <c r="T316" i="3"/>
  <c r="BH316" i="3" s="1"/>
  <c r="S316" i="3"/>
  <c r="O316" i="3"/>
  <c r="N316" i="3"/>
  <c r="M316" i="3"/>
  <c r="BG316" i="3" s="1"/>
  <c r="L316" i="3"/>
  <c r="K316" i="3"/>
  <c r="J316" i="3"/>
  <c r="I316" i="3"/>
  <c r="H316" i="3"/>
  <c r="G316" i="3"/>
  <c r="F316" i="3"/>
  <c r="E316" i="3"/>
  <c r="D316" i="3"/>
  <c r="C316" i="3"/>
  <c r="R316" i="3" s="1"/>
  <c r="B316" i="3"/>
  <c r="A316" i="3"/>
  <c r="BD315" i="3"/>
  <c r="BC315" i="3"/>
  <c r="BB315" i="3"/>
  <c r="BA315" i="3"/>
  <c r="AZ315" i="3"/>
  <c r="AY315" i="3"/>
  <c r="AX315" i="3"/>
  <c r="AW315" i="3"/>
  <c r="AV315" i="3"/>
  <c r="AU315" i="3"/>
  <c r="AT315" i="3"/>
  <c r="AS315" i="3"/>
  <c r="AR315" i="3"/>
  <c r="AL315" i="3"/>
  <c r="AK315" i="3"/>
  <c r="AJ315" i="3"/>
  <c r="AI315" i="3"/>
  <c r="AH315" i="3"/>
  <c r="AF315" i="3"/>
  <c r="AE315" i="3"/>
  <c r="AD315" i="3"/>
  <c r="AC315" i="3"/>
  <c r="BE315" i="3" s="1"/>
  <c r="AB315" i="3"/>
  <c r="AA315" i="3"/>
  <c r="Z315" i="3"/>
  <c r="X315" i="3"/>
  <c r="R315" i="3"/>
  <c r="Q315" i="3"/>
  <c r="N315" i="3"/>
  <c r="M315" i="3"/>
  <c r="L315" i="3"/>
  <c r="BF315" i="3" s="1"/>
  <c r="K315" i="3"/>
  <c r="J315" i="3"/>
  <c r="I315" i="3"/>
  <c r="H315" i="3"/>
  <c r="G315" i="3"/>
  <c r="F315" i="3"/>
  <c r="E315" i="3"/>
  <c r="D315" i="3"/>
  <c r="C315" i="3"/>
  <c r="B315" i="3"/>
  <c r="A315" i="3"/>
  <c r="BD314" i="3"/>
  <c r="BC314" i="3"/>
  <c r="BB314" i="3"/>
  <c r="BA314" i="3"/>
  <c r="AZ314" i="3"/>
  <c r="AY314" i="3"/>
  <c r="AX314" i="3"/>
  <c r="AW314" i="3"/>
  <c r="AV314" i="3"/>
  <c r="AU314" i="3"/>
  <c r="AT314" i="3"/>
  <c r="AS314" i="3"/>
  <c r="AR314" i="3"/>
  <c r="AL314" i="3"/>
  <c r="AK314" i="3"/>
  <c r="AJ314" i="3"/>
  <c r="AI314" i="3"/>
  <c r="AG314" i="3" s="1"/>
  <c r="P314" i="3" s="1"/>
  <c r="AH314" i="3"/>
  <c r="AF314" i="3" s="1"/>
  <c r="O314" i="3" s="1"/>
  <c r="AE314" i="3"/>
  <c r="AD314" i="3"/>
  <c r="AC314" i="3"/>
  <c r="AB314" i="3"/>
  <c r="AA314" i="3"/>
  <c r="Z314" i="3"/>
  <c r="X314" i="3"/>
  <c r="N314" i="3"/>
  <c r="M314" i="3"/>
  <c r="S314" i="3" s="1"/>
  <c r="L314" i="3"/>
  <c r="K314" i="3"/>
  <c r="J314" i="3"/>
  <c r="I314" i="3"/>
  <c r="H314" i="3"/>
  <c r="G314" i="3"/>
  <c r="F314" i="3"/>
  <c r="E314" i="3"/>
  <c r="D314" i="3"/>
  <c r="BG314" i="3" s="1"/>
  <c r="C314" i="3"/>
  <c r="R314" i="3" s="1"/>
  <c r="BF314" i="3" s="1"/>
  <c r="B314" i="3"/>
  <c r="A314" i="3"/>
  <c r="BD313" i="3"/>
  <c r="BC313" i="3"/>
  <c r="BB313" i="3"/>
  <c r="BA313" i="3"/>
  <c r="AZ313" i="3"/>
  <c r="AY313" i="3"/>
  <c r="AX313" i="3"/>
  <c r="AW313" i="3"/>
  <c r="AV313" i="3"/>
  <c r="AU313" i="3"/>
  <c r="AT313" i="3"/>
  <c r="AS313" i="3"/>
  <c r="AR313" i="3"/>
  <c r="AL313" i="3"/>
  <c r="AK313" i="3"/>
  <c r="AJ313" i="3"/>
  <c r="AF313" i="3" s="1"/>
  <c r="AI313" i="3"/>
  <c r="AH313" i="3"/>
  <c r="AG313" i="3"/>
  <c r="AE313" i="3"/>
  <c r="AD313" i="3"/>
  <c r="AC313" i="3"/>
  <c r="AB313" i="3"/>
  <c r="AA313" i="3"/>
  <c r="Z313" i="3"/>
  <c r="X313" i="3"/>
  <c r="S313" i="3"/>
  <c r="Q313" i="3"/>
  <c r="N313" i="3"/>
  <c r="M313" i="3"/>
  <c r="O313" i="3" s="1"/>
  <c r="L313" i="3"/>
  <c r="K313" i="3"/>
  <c r="J313" i="3"/>
  <c r="I313" i="3"/>
  <c r="H313" i="3"/>
  <c r="G313" i="3"/>
  <c r="F313" i="3"/>
  <c r="E313" i="3"/>
  <c r="D313" i="3"/>
  <c r="C313" i="3"/>
  <c r="R313" i="3" s="1"/>
  <c r="B313" i="3"/>
  <c r="A313" i="3"/>
  <c r="BD312" i="3"/>
  <c r="BC312" i="3"/>
  <c r="BB312" i="3"/>
  <c r="BA312" i="3"/>
  <c r="AZ312" i="3"/>
  <c r="AY312" i="3"/>
  <c r="AX312" i="3"/>
  <c r="AW312" i="3"/>
  <c r="AV312" i="3"/>
  <c r="AU312" i="3"/>
  <c r="AT312" i="3"/>
  <c r="AS312" i="3"/>
  <c r="AR312" i="3"/>
  <c r="AL312" i="3"/>
  <c r="AK312" i="3"/>
  <c r="AJ312" i="3"/>
  <c r="AI312" i="3"/>
  <c r="AH312" i="3"/>
  <c r="AG312" i="3"/>
  <c r="AE312" i="3"/>
  <c r="AD312" i="3"/>
  <c r="AC312" i="3"/>
  <c r="AB312" i="3"/>
  <c r="AA312" i="3"/>
  <c r="AF312" i="3" s="1"/>
  <c r="O312" i="3" s="1"/>
  <c r="Z312" i="3"/>
  <c r="X312" i="3"/>
  <c r="T312" i="3"/>
  <c r="S312" i="3"/>
  <c r="BG312" i="3" s="1"/>
  <c r="R312" i="3"/>
  <c r="BF312" i="3" s="1"/>
  <c r="Q312" i="3"/>
  <c r="N312" i="3"/>
  <c r="P312" i="3" s="1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BD311" i="3"/>
  <c r="BC311" i="3"/>
  <c r="BB311" i="3"/>
  <c r="BA311" i="3"/>
  <c r="AZ311" i="3"/>
  <c r="AY311" i="3"/>
  <c r="AX311" i="3"/>
  <c r="AW311" i="3"/>
  <c r="AV311" i="3"/>
  <c r="AU311" i="3"/>
  <c r="AT311" i="3"/>
  <c r="AS311" i="3"/>
  <c r="AR311" i="3"/>
  <c r="AL311" i="3"/>
  <c r="AK311" i="3"/>
  <c r="AJ311" i="3"/>
  <c r="AF311" i="3" s="1"/>
  <c r="AI311" i="3"/>
  <c r="AH311" i="3"/>
  <c r="AE311" i="3"/>
  <c r="AD311" i="3"/>
  <c r="AC311" i="3"/>
  <c r="AB311" i="3"/>
  <c r="AA311" i="3"/>
  <c r="Z311" i="3"/>
  <c r="X311" i="3"/>
  <c r="Q311" i="3"/>
  <c r="O311" i="3"/>
  <c r="N311" i="3"/>
  <c r="M311" i="3"/>
  <c r="L311" i="3"/>
  <c r="K311" i="3"/>
  <c r="BE311" i="3" s="1"/>
  <c r="J311" i="3"/>
  <c r="I311" i="3"/>
  <c r="H311" i="3"/>
  <c r="G311" i="3"/>
  <c r="F311" i="3"/>
  <c r="E311" i="3"/>
  <c r="D311" i="3"/>
  <c r="C311" i="3"/>
  <c r="B311" i="3"/>
  <c r="A311" i="3"/>
  <c r="BD310" i="3"/>
  <c r="BC310" i="3"/>
  <c r="BB310" i="3"/>
  <c r="BA310" i="3"/>
  <c r="AZ310" i="3"/>
  <c r="AY310" i="3"/>
  <c r="AX310" i="3"/>
  <c r="AW310" i="3"/>
  <c r="AV310" i="3"/>
  <c r="AU310" i="3"/>
  <c r="AT310" i="3"/>
  <c r="AS310" i="3"/>
  <c r="AR310" i="3"/>
  <c r="AL310" i="3"/>
  <c r="AK310" i="3"/>
  <c r="AJ310" i="3"/>
  <c r="AI310" i="3"/>
  <c r="AH310" i="3"/>
  <c r="AF310" i="3" s="1"/>
  <c r="O310" i="3" s="1"/>
  <c r="AG310" i="3"/>
  <c r="P310" i="3" s="1"/>
  <c r="AE310" i="3"/>
  <c r="AD310" i="3"/>
  <c r="AC310" i="3"/>
  <c r="AB310" i="3"/>
  <c r="AA310" i="3"/>
  <c r="Z310" i="3"/>
  <c r="X310" i="3"/>
  <c r="N310" i="3"/>
  <c r="BH310" i="3" s="1"/>
  <c r="M310" i="3"/>
  <c r="BG310" i="3" s="1"/>
  <c r="L310" i="3"/>
  <c r="K310" i="3"/>
  <c r="BE310" i="3" s="1"/>
  <c r="J310" i="3"/>
  <c r="I310" i="3"/>
  <c r="H310" i="3"/>
  <c r="G310" i="3"/>
  <c r="F310" i="3"/>
  <c r="E310" i="3"/>
  <c r="T310" i="3" s="1"/>
  <c r="D310" i="3"/>
  <c r="S310" i="3" s="1"/>
  <c r="C310" i="3"/>
  <c r="B310" i="3"/>
  <c r="A310" i="3"/>
  <c r="BD309" i="3"/>
  <c r="BC309" i="3"/>
  <c r="BB309" i="3"/>
  <c r="BA309" i="3"/>
  <c r="AZ309" i="3"/>
  <c r="AY309" i="3"/>
  <c r="AX309" i="3"/>
  <c r="AW309" i="3"/>
  <c r="AV309" i="3"/>
  <c r="AU309" i="3"/>
  <c r="AT309" i="3"/>
  <c r="AS309" i="3"/>
  <c r="AR309" i="3"/>
  <c r="AL309" i="3"/>
  <c r="AK309" i="3"/>
  <c r="AJ309" i="3"/>
  <c r="AI309" i="3"/>
  <c r="AH309" i="3"/>
  <c r="AE309" i="3"/>
  <c r="AD309" i="3"/>
  <c r="AC309" i="3"/>
  <c r="AB309" i="3"/>
  <c r="AA309" i="3"/>
  <c r="Z309" i="3"/>
  <c r="X309" i="3"/>
  <c r="R309" i="3"/>
  <c r="N309" i="3"/>
  <c r="T309" i="3" s="1"/>
  <c r="M309" i="3"/>
  <c r="L309" i="3"/>
  <c r="K309" i="3"/>
  <c r="J309" i="3"/>
  <c r="I309" i="3"/>
  <c r="H309" i="3"/>
  <c r="G309" i="3"/>
  <c r="F309" i="3"/>
  <c r="E309" i="3"/>
  <c r="D309" i="3"/>
  <c r="S309" i="3" s="1"/>
  <c r="C309" i="3"/>
  <c r="B309" i="3"/>
  <c r="A309" i="3"/>
  <c r="BD308" i="3"/>
  <c r="BC308" i="3"/>
  <c r="BB308" i="3"/>
  <c r="BA308" i="3"/>
  <c r="AZ308" i="3"/>
  <c r="AY308" i="3"/>
  <c r="AX308" i="3"/>
  <c r="AW308" i="3"/>
  <c r="AV308" i="3"/>
  <c r="AU308" i="3"/>
  <c r="AT308" i="3"/>
  <c r="AS308" i="3"/>
  <c r="AR308" i="3"/>
  <c r="AL308" i="3"/>
  <c r="AK308" i="3"/>
  <c r="AJ308" i="3"/>
  <c r="AF308" i="3" s="1"/>
  <c r="AI308" i="3"/>
  <c r="AG308" i="3" s="1"/>
  <c r="AH308" i="3"/>
  <c r="AE308" i="3"/>
  <c r="AD308" i="3"/>
  <c r="AC308" i="3"/>
  <c r="AB308" i="3"/>
  <c r="AA308" i="3"/>
  <c r="Z308" i="3"/>
  <c r="X308" i="3"/>
  <c r="T308" i="3"/>
  <c r="N308" i="3"/>
  <c r="M308" i="3"/>
  <c r="L308" i="3"/>
  <c r="K308" i="3"/>
  <c r="J308" i="3"/>
  <c r="I308" i="3"/>
  <c r="H308" i="3"/>
  <c r="G308" i="3"/>
  <c r="F308" i="3"/>
  <c r="E308" i="3"/>
  <c r="D308" i="3"/>
  <c r="S308" i="3" s="1"/>
  <c r="C308" i="3"/>
  <c r="B308" i="3"/>
  <c r="Q308" i="3" s="1"/>
  <c r="A308" i="3"/>
  <c r="BD307" i="3"/>
  <c r="BC307" i="3"/>
  <c r="BB307" i="3"/>
  <c r="BA307" i="3"/>
  <c r="AZ307" i="3"/>
  <c r="AY307" i="3"/>
  <c r="AX307" i="3"/>
  <c r="AW307" i="3"/>
  <c r="AV307" i="3"/>
  <c r="AU307" i="3"/>
  <c r="AT307" i="3"/>
  <c r="AS307" i="3"/>
  <c r="AR307" i="3"/>
  <c r="AL307" i="3"/>
  <c r="AK307" i="3"/>
  <c r="AG307" i="3" s="1"/>
  <c r="AJ307" i="3"/>
  <c r="AI307" i="3"/>
  <c r="AH307" i="3"/>
  <c r="AE307" i="3"/>
  <c r="AD307" i="3"/>
  <c r="AC307" i="3"/>
  <c r="AB307" i="3"/>
  <c r="AA307" i="3"/>
  <c r="Z307" i="3"/>
  <c r="X307" i="3"/>
  <c r="T307" i="3"/>
  <c r="S307" i="3"/>
  <c r="BG307" i="3" s="1"/>
  <c r="R307" i="3"/>
  <c r="BF307" i="3" s="1"/>
  <c r="Q307" i="3"/>
  <c r="P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BH306" i="3"/>
  <c r="BG306" i="3"/>
  <c r="BF306" i="3"/>
  <c r="BE306" i="3"/>
  <c r="BD306" i="3"/>
  <c r="BC306" i="3"/>
  <c r="BB306" i="3"/>
  <c r="BA306" i="3"/>
  <c r="AZ306" i="3"/>
  <c r="AY306" i="3"/>
  <c r="AX306" i="3"/>
  <c r="AW306" i="3"/>
  <c r="AV306" i="3"/>
  <c r="AU306" i="3"/>
  <c r="AT306" i="3"/>
  <c r="AS306" i="3"/>
  <c r="AR306" i="3"/>
  <c r="AL306" i="3"/>
  <c r="AK306" i="3"/>
  <c r="AG306" i="3" s="1"/>
  <c r="P306" i="3" s="1"/>
  <c r="AJ306" i="3"/>
  <c r="AI306" i="3"/>
  <c r="AH306" i="3"/>
  <c r="AE306" i="3"/>
  <c r="AD306" i="3"/>
  <c r="AC306" i="3"/>
  <c r="AB306" i="3"/>
  <c r="AA306" i="3"/>
  <c r="Z306" i="3"/>
  <c r="X306" i="3"/>
  <c r="T306" i="3"/>
  <c r="N306" i="3"/>
  <c r="M306" i="3"/>
  <c r="S306" i="3" s="1"/>
  <c r="L306" i="3"/>
  <c r="R306" i="3" s="1"/>
  <c r="K306" i="3"/>
  <c r="J306" i="3"/>
  <c r="I306" i="3"/>
  <c r="H306" i="3"/>
  <c r="G306" i="3"/>
  <c r="F306" i="3"/>
  <c r="E306" i="3"/>
  <c r="D306" i="3"/>
  <c r="C306" i="3"/>
  <c r="B306" i="3"/>
  <c r="A306" i="3"/>
  <c r="BD305" i="3"/>
  <c r="BC305" i="3"/>
  <c r="BB305" i="3"/>
  <c r="BA305" i="3"/>
  <c r="AZ305" i="3"/>
  <c r="AY305" i="3"/>
  <c r="AX305" i="3"/>
  <c r="AW305" i="3"/>
  <c r="AV305" i="3"/>
  <c r="AU305" i="3"/>
  <c r="AT305" i="3"/>
  <c r="AS305" i="3"/>
  <c r="AR305" i="3"/>
  <c r="AL305" i="3"/>
  <c r="AK305" i="3"/>
  <c r="AG305" i="3" s="1"/>
  <c r="AJ305" i="3"/>
  <c r="AF305" i="3" s="1"/>
  <c r="AI305" i="3"/>
  <c r="AH305" i="3"/>
  <c r="AE305" i="3"/>
  <c r="AD305" i="3"/>
  <c r="AC305" i="3"/>
  <c r="AB305" i="3"/>
  <c r="AA305" i="3"/>
  <c r="Z305" i="3"/>
  <c r="X305" i="3"/>
  <c r="P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BD304" i="3"/>
  <c r="BC304" i="3"/>
  <c r="BB304" i="3"/>
  <c r="BA304" i="3"/>
  <c r="AZ304" i="3"/>
  <c r="AY304" i="3"/>
  <c r="AX304" i="3"/>
  <c r="AW304" i="3"/>
  <c r="AV304" i="3"/>
  <c r="AU304" i="3"/>
  <c r="AT304" i="3"/>
  <c r="AS304" i="3"/>
  <c r="AR304" i="3"/>
  <c r="AL304" i="3"/>
  <c r="AK304" i="3"/>
  <c r="AJ304" i="3"/>
  <c r="AI304" i="3"/>
  <c r="AG304" i="3" s="1"/>
  <c r="P304" i="3" s="1"/>
  <c r="AH304" i="3"/>
  <c r="AF304" i="3"/>
  <c r="AE304" i="3"/>
  <c r="AD304" i="3"/>
  <c r="AC304" i="3"/>
  <c r="AB304" i="3"/>
  <c r="AA304" i="3"/>
  <c r="Z304" i="3"/>
  <c r="X304" i="3"/>
  <c r="N304" i="3"/>
  <c r="T304" i="3" s="1"/>
  <c r="M304" i="3"/>
  <c r="O304" i="3" s="1"/>
  <c r="L304" i="3"/>
  <c r="K304" i="3"/>
  <c r="J304" i="3"/>
  <c r="I304" i="3"/>
  <c r="H304" i="3"/>
  <c r="G304" i="3"/>
  <c r="F304" i="3"/>
  <c r="E304" i="3"/>
  <c r="D304" i="3"/>
  <c r="C304" i="3"/>
  <c r="B304" i="3"/>
  <c r="A304" i="3"/>
  <c r="BD303" i="3"/>
  <c r="BC303" i="3"/>
  <c r="BB303" i="3"/>
  <c r="BA303" i="3"/>
  <c r="AZ303" i="3"/>
  <c r="AY303" i="3"/>
  <c r="AX303" i="3"/>
  <c r="AW303" i="3"/>
  <c r="AV303" i="3"/>
  <c r="AU303" i="3"/>
  <c r="AT303" i="3"/>
  <c r="AS303" i="3"/>
  <c r="AR303" i="3"/>
  <c r="AL303" i="3"/>
  <c r="AK303" i="3"/>
  <c r="AJ303" i="3"/>
  <c r="AI303" i="3"/>
  <c r="AH303" i="3"/>
  <c r="AE303" i="3"/>
  <c r="AD303" i="3"/>
  <c r="AC303" i="3"/>
  <c r="AB303" i="3"/>
  <c r="AA303" i="3"/>
  <c r="Z303" i="3"/>
  <c r="X303" i="3"/>
  <c r="T303" i="3"/>
  <c r="Q303" i="3"/>
  <c r="N303" i="3"/>
  <c r="M303" i="3"/>
  <c r="L303" i="3"/>
  <c r="R303" i="3" s="1"/>
  <c r="K303" i="3"/>
  <c r="J303" i="3"/>
  <c r="I303" i="3"/>
  <c r="H303" i="3"/>
  <c r="G303" i="3"/>
  <c r="F303" i="3"/>
  <c r="E303" i="3"/>
  <c r="D303" i="3"/>
  <c r="C303" i="3"/>
  <c r="B303" i="3"/>
  <c r="A303" i="3"/>
  <c r="BG302" i="3"/>
  <c r="BD302" i="3"/>
  <c r="BC302" i="3"/>
  <c r="BB302" i="3"/>
  <c r="BA302" i="3"/>
  <c r="AZ302" i="3"/>
  <c r="AY302" i="3"/>
  <c r="AX302" i="3"/>
  <c r="AW302" i="3"/>
  <c r="AV302" i="3"/>
  <c r="AU302" i="3"/>
  <c r="AT302" i="3"/>
  <c r="AS302" i="3"/>
  <c r="AR302" i="3"/>
  <c r="AL302" i="3"/>
  <c r="AK302" i="3"/>
  <c r="AG302" i="3" s="1"/>
  <c r="AJ302" i="3"/>
  <c r="AF302" i="3" s="1"/>
  <c r="O302" i="3" s="1"/>
  <c r="U302" i="3" s="1"/>
  <c r="AI302" i="3"/>
  <c r="AH302" i="3"/>
  <c r="AE302" i="3"/>
  <c r="AD302" i="3"/>
  <c r="AC302" i="3"/>
  <c r="AB302" i="3"/>
  <c r="AA302" i="3"/>
  <c r="Z302" i="3"/>
  <c r="X302" i="3"/>
  <c r="S302" i="3"/>
  <c r="R302" i="3"/>
  <c r="N302" i="3"/>
  <c r="M302" i="3"/>
  <c r="L302" i="3"/>
  <c r="BF302" i="3" s="1"/>
  <c r="K302" i="3"/>
  <c r="J302" i="3"/>
  <c r="I302" i="3"/>
  <c r="H302" i="3"/>
  <c r="G302" i="3"/>
  <c r="F302" i="3"/>
  <c r="E302" i="3"/>
  <c r="D302" i="3"/>
  <c r="C302" i="3"/>
  <c r="B302" i="3"/>
  <c r="A302" i="3"/>
  <c r="BD301" i="3"/>
  <c r="BC301" i="3"/>
  <c r="BB301" i="3"/>
  <c r="BA301" i="3"/>
  <c r="AZ301" i="3"/>
  <c r="AY301" i="3"/>
  <c r="AX301" i="3"/>
  <c r="AW301" i="3"/>
  <c r="AV301" i="3"/>
  <c r="AU301" i="3"/>
  <c r="AT301" i="3"/>
  <c r="AS301" i="3"/>
  <c r="AR301" i="3"/>
  <c r="AL301" i="3"/>
  <c r="AK301" i="3"/>
  <c r="AG301" i="3" s="1"/>
  <c r="AJ301" i="3"/>
  <c r="AF301" i="3" s="1"/>
  <c r="O301" i="3" s="1"/>
  <c r="AI301" i="3"/>
  <c r="AH301" i="3"/>
  <c r="AE301" i="3"/>
  <c r="AD301" i="3"/>
  <c r="AC301" i="3"/>
  <c r="AB301" i="3"/>
  <c r="AA301" i="3"/>
  <c r="Z301" i="3"/>
  <c r="X301" i="3"/>
  <c r="S301" i="3"/>
  <c r="BG301" i="3" s="1"/>
  <c r="R301" i="3"/>
  <c r="Q301" i="3"/>
  <c r="N301" i="3"/>
  <c r="T301" i="3" s="1"/>
  <c r="M301" i="3"/>
  <c r="L301" i="3"/>
  <c r="BF301" i="3" s="1"/>
  <c r="K301" i="3"/>
  <c r="J301" i="3"/>
  <c r="I301" i="3"/>
  <c r="H301" i="3"/>
  <c r="G301" i="3"/>
  <c r="F301" i="3"/>
  <c r="E301" i="3"/>
  <c r="D301" i="3"/>
  <c r="C301" i="3"/>
  <c r="B301" i="3"/>
  <c r="A301" i="3"/>
  <c r="BE300" i="3"/>
  <c r="BD300" i="3"/>
  <c r="BC300" i="3"/>
  <c r="BB300" i="3"/>
  <c r="BA300" i="3"/>
  <c r="AZ300" i="3"/>
  <c r="AY300" i="3"/>
  <c r="AX300" i="3"/>
  <c r="AW300" i="3"/>
  <c r="AV300" i="3"/>
  <c r="AU300" i="3"/>
  <c r="AT300" i="3"/>
  <c r="AS300" i="3"/>
  <c r="AR300" i="3"/>
  <c r="AL300" i="3"/>
  <c r="AK300" i="3"/>
  <c r="AJ300" i="3"/>
  <c r="AI300" i="3"/>
  <c r="AH300" i="3"/>
  <c r="AE300" i="3"/>
  <c r="AD300" i="3"/>
  <c r="AC300" i="3"/>
  <c r="AB300" i="3"/>
  <c r="AA300" i="3"/>
  <c r="Z300" i="3"/>
  <c r="X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L299" i="3"/>
  <c r="AK299" i="3"/>
  <c r="AJ299" i="3"/>
  <c r="AI299" i="3"/>
  <c r="AH299" i="3"/>
  <c r="AE299" i="3"/>
  <c r="AD299" i="3"/>
  <c r="AC299" i="3"/>
  <c r="AB299" i="3"/>
  <c r="AA299" i="3"/>
  <c r="Z299" i="3"/>
  <c r="X299" i="3"/>
  <c r="N299" i="3"/>
  <c r="T299" i="3" s="1"/>
  <c r="M299" i="3"/>
  <c r="BG299" i="3" s="1"/>
  <c r="L299" i="3"/>
  <c r="K299" i="3"/>
  <c r="J299" i="3"/>
  <c r="I299" i="3"/>
  <c r="H299" i="3"/>
  <c r="G299" i="3"/>
  <c r="F299" i="3"/>
  <c r="E299" i="3"/>
  <c r="BH299" i="3" s="1"/>
  <c r="D299" i="3"/>
  <c r="S299" i="3" s="1"/>
  <c r="C299" i="3"/>
  <c r="B299" i="3"/>
  <c r="A299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L298" i="3"/>
  <c r="AK298" i="3"/>
  <c r="AJ298" i="3"/>
  <c r="AI298" i="3"/>
  <c r="AH298" i="3"/>
  <c r="AE298" i="3"/>
  <c r="AD298" i="3"/>
  <c r="AC298" i="3"/>
  <c r="S298" i="3" s="1"/>
  <c r="AB298" i="3"/>
  <c r="AA298" i="3"/>
  <c r="Z298" i="3"/>
  <c r="X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BH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L297" i="3"/>
  <c r="AK297" i="3"/>
  <c r="AJ297" i="3"/>
  <c r="AI297" i="3"/>
  <c r="AH297" i="3"/>
  <c r="AE297" i="3"/>
  <c r="AD297" i="3"/>
  <c r="AC297" i="3"/>
  <c r="AB297" i="3"/>
  <c r="AA297" i="3"/>
  <c r="Z297" i="3"/>
  <c r="X297" i="3"/>
  <c r="S297" i="3"/>
  <c r="N297" i="3"/>
  <c r="M297" i="3"/>
  <c r="L297" i="3"/>
  <c r="K297" i="3"/>
  <c r="J297" i="3"/>
  <c r="I297" i="3"/>
  <c r="H297" i="3"/>
  <c r="G297" i="3"/>
  <c r="F297" i="3"/>
  <c r="E297" i="3"/>
  <c r="T297" i="3" s="1"/>
  <c r="D297" i="3"/>
  <c r="C297" i="3"/>
  <c r="R297" i="3" s="1"/>
  <c r="B297" i="3"/>
  <c r="A297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L296" i="3"/>
  <c r="AK296" i="3"/>
  <c r="AG296" i="3" s="1"/>
  <c r="AJ296" i="3"/>
  <c r="AI296" i="3"/>
  <c r="AH296" i="3"/>
  <c r="AE296" i="3"/>
  <c r="AD296" i="3"/>
  <c r="AC296" i="3"/>
  <c r="AB296" i="3"/>
  <c r="AA296" i="3"/>
  <c r="Z296" i="3"/>
  <c r="X296" i="3"/>
  <c r="V296" i="3"/>
  <c r="T296" i="3"/>
  <c r="S296" i="3"/>
  <c r="R296" i="3"/>
  <c r="Q296" i="3"/>
  <c r="N296" i="3"/>
  <c r="P296" i="3" s="1"/>
  <c r="M296" i="3"/>
  <c r="L296" i="3"/>
  <c r="BF296" i="3" s="1"/>
  <c r="K296" i="3"/>
  <c r="J296" i="3"/>
  <c r="I296" i="3"/>
  <c r="H296" i="3"/>
  <c r="G296" i="3"/>
  <c r="F296" i="3"/>
  <c r="E296" i="3"/>
  <c r="D296" i="3"/>
  <c r="C296" i="3"/>
  <c r="B296" i="3"/>
  <c r="A296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L295" i="3"/>
  <c r="AK295" i="3"/>
  <c r="AG295" i="3" s="1"/>
  <c r="AJ295" i="3"/>
  <c r="AI295" i="3"/>
  <c r="AH295" i="3"/>
  <c r="AE295" i="3"/>
  <c r="AD295" i="3"/>
  <c r="AC295" i="3"/>
  <c r="AB295" i="3"/>
  <c r="AA295" i="3"/>
  <c r="Z295" i="3"/>
  <c r="X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L294" i="3"/>
  <c r="AK294" i="3"/>
  <c r="AJ294" i="3"/>
  <c r="AI294" i="3"/>
  <c r="AH294" i="3"/>
  <c r="AE294" i="3"/>
  <c r="AD294" i="3"/>
  <c r="AC294" i="3"/>
  <c r="AB294" i="3"/>
  <c r="AA294" i="3"/>
  <c r="Z294" i="3"/>
  <c r="X294" i="3"/>
  <c r="N294" i="3"/>
  <c r="T294" i="3" s="1"/>
  <c r="M294" i="3"/>
  <c r="S294" i="3" s="1"/>
  <c r="L294" i="3"/>
  <c r="R294" i="3" s="1"/>
  <c r="K294" i="3"/>
  <c r="J294" i="3"/>
  <c r="I294" i="3"/>
  <c r="H294" i="3"/>
  <c r="G294" i="3"/>
  <c r="F294" i="3"/>
  <c r="E294" i="3"/>
  <c r="D294" i="3"/>
  <c r="C294" i="3"/>
  <c r="B294" i="3"/>
  <c r="A294" i="3"/>
  <c r="BE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L293" i="3"/>
  <c r="AK293" i="3"/>
  <c r="AJ293" i="3"/>
  <c r="AI293" i="3"/>
  <c r="AH293" i="3"/>
  <c r="AF293" i="3"/>
  <c r="AE293" i="3"/>
  <c r="AD293" i="3"/>
  <c r="AC293" i="3"/>
  <c r="AB293" i="3"/>
  <c r="AA293" i="3"/>
  <c r="Z293" i="3"/>
  <c r="X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L292" i="3"/>
  <c r="AK292" i="3"/>
  <c r="AJ292" i="3"/>
  <c r="AI292" i="3"/>
  <c r="AH292" i="3"/>
  <c r="AE292" i="3"/>
  <c r="AD292" i="3"/>
  <c r="AC292" i="3"/>
  <c r="AB292" i="3"/>
  <c r="AA292" i="3"/>
  <c r="Z292" i="3"/>
  <c r="X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BE291" i="3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L291" i="3"/>
  <c r="AK291" i="3"/>
  <c r="AJ291" i="3"/>
  <c r="AI291" i="3"/>
  <c r="AH291" i="3"/>
  <c r="AE291" i="3"/>
  <c r="AD291" i="3"/>
  <c r="AC291" i="3"/>
  <c r="AB291" i="3"/>
  <c r="AA291" i="3"/>
  <c r="Z291" i="3"/>
  <c r="X291" i="3"/>
  <c r="Q291" i="3"/>
  <c r="N291" i="3"/>
  <c r="T291" i="3" s="1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R290" i="3"/>
  <c r="AL290" i="3"/>
  <c r="AK290" i="3"/>
  <c r="AJ290" i="3"/>
  <c r="AI290" i="3"/>
  <c r="AH290" i="3"/>
  <c r="AE290" i="3"/>
  <c r="AD290" i="3"/>
  <c r="AC290" i="3"/>
  <c r="AB290" i="3"/>
  <c r="AA290" i="3"/>
  <c r="Z290" i="3"/>
  <c r="X290" i="3"/>
  <c r="N290" i="3"/>
  <c r="M290" i="3"/>
  <c r="L290" i="3"/>
  <c r="K290" i="3"/>
  <c r="J290" i="3"/>
  <c r="I290" i="3"/>
  <c r="H290" i="3"/>
  <c r="G290" i="3"/>
  <c r="F290" i="3"/>
  <c r="E290" i="3"/>
  <c r="T290" i="3" s="1"/>
  <c r="D290" i="3"/>
  <c r="C290" i="3"/>
  <c r="B290" i="3"/>
  <c r="A290" i="3"/>
  <c r="BD289" i="3"/>
  <c r="BC289" i="3"/>
  <c r="BB289" i="3"/>
  <c r="BA289" i="3"/>
  <c r="AZ289" i="3"/>
  <c r="AY289" i="3"/>
  <c r="AX289" i="3"/>
  <c r="AW289" i="3"/>
  <c r="AV289" i="3"/>
  <c r="AU289" i="3"/>
  <c r="AT289" i="3"/>
  <c r="AS289" i="3"/>
  <c r="AR289" i="3"/>
  <c r="AL289" i="3"/>
  <c r="AK289" i="3"/>
  <c r="AG289" i="3" s="1"/>
  <c r="P289" i="3" s="1"/>
  <c r="AJ289" i="3"/>
  <c r="AF289" i="3" s="1"/>
  <c r="AI289" i="3"/>
  <c r="AH289" i="3"/>
  <c r="AE289" i="3"/>
  <c r="AD289" i="3"/>
  <c r="AC289" i="3"/>
  <c r="AB289" i="3"/>
  <c r="AA289" i="3"/>
  <c r="Z289" i="3"/>
  <c r="X289" i="3"/>
  <c r="V289" i="3"/>
  <c r="T289" i="3"/>
  <c r="BH289" i="3" s="1"/>
  <c r="S289" i="3"/>
  <c r="R289" i="3"/>
  <c r="N289" i="3"/>
  <c r="M289" i="3"/>
  <c r="O289" i="3" s="1"/>
  <c r="L289" i="3"/>
  <c r="K289" i="3"/>
  <c r="J289" i="3"/>
  <c r="I289" i="3"/>
  <c r="H289" i="3"/>
  <c r="G289" i="3"/>
  <c r="F289" i="3"/>
  <c r="E289" i="3"/>
  <c r="D289" i="3"/>
  <c r="C289" i="3"/>
  <c r="B289" i="3"/>
  <c r="A289" i="3"/>
  <c r="BG288" i="3"/>
  <c r="BE288" i="3"/>
  <c r="BD288" i="3"/>
  <c r="BC288" i="3"/>
  <c r="BB288" i="3"/>
  <c r="BA288" i="3"/>
  <c r="AZ288" i="3"/>
  <c r="AY288" i="3"/>
  <c r="AX288" i="3"/>
  <c r="AW288" i="3"/>
  <c r="AV288" i="3"/>
  <c r="AU288" i="3"/>
  <c r="AT288" i="3"/>
  <c r="AS288" i="3"/>
  <c r="AR288" i="3"/>
  <c r="AL288" i="3"/>
  <c r="AK288" i="3"/>
  <c r="AJ288" i="3"/>
  <c r="AF288" i="3" s="1"/>
  <c r="AI288" i="3"/>
  <c r="AH288" i="3"/>
  <c r="AE288" i="3"/>
  <c r="AD288" i="3"/>
  <c r="AC288" i="3"/>
  <c r="AB288" i="3"/>
  <c r="AA288" i="3"/>
  <c r="Z288" i="3"/>
  <c r="X288" i="3"/>
  <c r="Q288" i="3"/>
  <c r="N288" i="3"/>
  <c r="T288" i="3" s="1"/>
  <c r="M288" i="3"/>
  <c r="S288" i="3" s="1"/>
  <c r="L288" i="3"/>
  <c r="K288" i="3"/>
  <c r="J288" i="3"/>
  <c r="I288" i="3"/>
  <c r="H288" i="3"/>
  <c r="G288" i="3"/>
  <c r="F288" i="3"/>
  <c r="E288" i="3"/>
  <c r="D288" i="3"/>
  <c r="C288" i="3"/>
  <c r="B288" i="3"/>
  <c r="A288" i="3"/>
  <c r="BD287" i="3"/>
  <c r="BC287" i="3"/>
  <c r="BB287" i="3"/>
  <c r="BA287" i="3"/>
  <c r="AZ287" i="3"/>
  <c r="AY287" i="3"/>
  <c r="AX287" i="3"/>
  <c r="AW287" i="3"/>
  <c r="AV287" i="3"/>
  <c r="AU287" i="3"/>
  <c r="AT287" i="3"/>
  <c r="AS287" i="3"/>
  <c r="AR287" i="3"/>
  <c r="AL287" i="3"/>
  <c r="AK287" i="3"/>
  <c r="AJ287" i="3"/>
  <c r="AI287" i="3"/>
  <c r="AH287" i="3"/>
  <c r="AE287" i="3"/>
  <c r="AD287" i="3"/>
  <c r="AC287" i="3"/>
  <c r="AB287" i="3"/>
  <c r="AA287" i="3"/>
  <c r="Z287" i="3"/>
  <c r="X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BD286" i="3"/>
  <c r="BC286" i="3"/>
  <c r="BB286" i="3"/>
  <c r="BA286" i="3"/>
  <c r="AZ286" i="3"/>
  <c r="AY286" i="3"/>
  <c r="AX286" i="3"/>
  <c r="AW286" i="3"/>
  <c r="AV286" i="3"/>
  <c r="AU286" i="3"/>
  <c r="AT286" i="3"/>
  <c r="AS286" i="3"/>
  <c r="AR286" i="3"/>
  <c r="AL286" i="3"/>
  <c r="AK286" i="3"/>
  <c r="AG286" i="3" s="1"/>
  <c r="AJ286" i="3"/>
  <c r="AI286" i="3"/>
  <c r="AH286" i="3"/>
  <c r="AF286" i="3"/>
  <c r="AE286" i="3"/>
  <c r="AD286" i="3"/>
  <c r="AC286" i="3"/>
  <c r="AB286" i="3"/>
  <c r="AA286" i="3"/>
  <c r="Z286" i="3"/>
  <c r="X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BD285" i="3"/>
  <c r="BC285" i="3"/>
  <c r="BB285" i="3"/>
  <c r="BA285" i="3"/>
  <c r="AZ285" i="3"/>
  <c r="AY285" i="3"/>
  <c r="AX285" i="3"/>
  <c r="AW285" i="3"/>
  <c r="AV285" i="3"/>
  <c r="AU285" i="3"/>
  <c r="AT285" i="3"/>
  <c r="AS285" i="3"/>
  <c r="AR285" i="3"/>
  <c r="AL285" i="3"/>
  <c r="AK285" i="3"/>
  <c r="AJ285" i="3"/>
  <c r="AI285" i="3"/>
  <c r="AH285" i="3"/>
  <c r="AE285" i="3"/>
  <c r="AD285" i="3"/>
  <c r="AC285" i="3"/>
  <c r="AB285" i="3"/>
  <c r="AA285" i="3"/>
  <c r="Z285" i="3"/>
  <c r="X285" i="3"/>
  <c r="N285" i="3"/>
  <c r="M285" i="3"/>
  <c r="L285" i="3"/>
  <c r="K285" i="3"/>
  <c r="J285" i="3"/>
  <c r="I285" i="3"/>
  <c r="H285" i="3"/>
  <c r="G285" i="3"/>
  <c r="F285" i="3"/>
  <c r="E285" i="3"/>
  <c r="D285" i="3"/>
  <c r="S285" i="3" s="1"/>
  <c r="C285" i="3"/>
  <c r="B285" i="3"/>
  <c r="A285" i="3"/>
  <c r="BD284" i="3"/>
  <c r="BC284" i="3"/>
  <c r="BB284" i="3"/>
  <c r="BA284" i="3"/>
  <c r="AZ284" i="3"/>
  <c r="AY284" i="3"/>
  <c r="AX284" i="3"/>
  <c r="AW284" i="3"/>
  <c r="AV284" i="3"/>
  <c r="AU284" i="3"/>
  <c r="AT284" i="3"/>
  <c r="AS284" i="3"/>
  <c r="AR284" i="3"/>
  <c r="AL284" i="3"/>
  <c r="AK284" i="3"/>
  <c r="AJ284" i="3"/>
  <c r="AI284" i="3"/>
  <c r="AH284" i="3"/>
  <c r="AE284" i="3"/>
  <c r="AD284" i="3"/>
  <c r="AC284" i="3"/>
  <c r="AB284" i="3"/>
  <c r="AA284" i="3"/>
  <c r="Z284" i="3"/>
  <c r="X284" i="3"/>
  <c r="N284" i="3"/>
  <c r="T284" i="3" s="1"/>
  <c r="BH284" i="3" s="1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BD283" i="3"/>
  <c r="BC283" i="3"/>
  <c r="BB283" i="3"/>
  <c r="BA283" i="3"/>
  <c r="AZ283" i="3"/>
  <c r="AY283" i="3"/>
  <c r="AX283" i="3"/>
  <c r="AW283" i="3"/>
  <c r="AV283" i="3"/>
  <c r="AU283" i="3"/>
  <c r="AT283" i="3"/>
  <c r="AS283" i="3"/>
  <c r="AR283" i="3"/>
  <c r="AL283" i="3"/>
  <c r="AK283" i="3"/>
  <c r="AJ283" i="3"/>
  <c r="AI283" i="3"/>
  <c r="AH283" i="3"/>
  <c r="AE283" i="3"/>
  <c r="AD283" i="3"/>
  <c r="AC283" i="3"/>
  <c r="AB283" i="3"/>
  <c r="AA283" i="3"/>
  <c r="Z283" i="3"/>
  <c r="X283" i="3"/>
  <c r="S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Q283" i="3" s="1"/>
  <c r="A283" i="3"/>
  <c r="BE282" i="3"/>
  <c r="BD282" i="3"/>
  <c r="BC282" i="3"/>
  <c r="BB282" i="3"/>
  <c r="BA282" i="3"/>
  <c r="AZ282" i="3"/>
  <c r="AY282" i="3"/>
  <c r="AX282" i="3"/>
  <c r="AW282" i="3"/>
  <c r="AV282" i="3"/>
  <c r="AU282" i="3"/>
  <c r="AT282" i="3"/>
  <c r="AS282" i="3"/>
  <c r="AR282" i="3"/>
  <c r="AL282" i="3"/>
  <c r="AK282" i="3"/>
  <c r="AJ282" i="3"/>
  <c r="AF282" i="3" s="1"/>
  <c r="AI282" i="3"/>
  <c r="AH282" i="3"/>
  <c r="AE282" i="3"/>
  <c r="AD282" i="3"/>
  <c r="AC282" i="3"/>
  <c r="AB282" i="3"/>
  <c r="AA282" i="3"/>
  <c r="Z282" i="3"/>
  <c r="X282" i="3"/>
  <c r="T282" i="3"/>
  <c r="S282" i="3"/>
  <c r="R282" i="3"/>
  <c r="Q282" i="3"/>
  <c r="N282" i="3"/>
  <c r="BH282" i="3" s="1"/>
  <c r="M282" i="3"/>
  <c r="L282" i="3"/>
  <c r="BF282" i="3" s="1"/>
  <c r="K282" i="3"/>
  <c r="J282" i="3"/>
  <c r="I282" i="3"/>
  <c r="H282" i="3"/>
  <c r="G282" i="3"/>
  <c r="F282" i="3"/>
  <c r="E282" i="3"/>
  <c r="D282" i="3"/>
  <c r="C282" i="3"/>
  <c r="B282" i="3"/>
  <c r="A282" i="3"/>
  <c r="BH281" i="3"/>
  <c r="BG281" i="3"/>
  <c r="BF281" i="3"/>
  <c r="BD281" i="3"/>
  <c r="BC281" i="3"/>
  <c r="BB281" i="3"/>
  <c r="BA281" i="3"/>
  <c r="AZ281" i="3"/>
  <c r="AY281" i="3"/>
  <c r="AX281" i="3"/>
  <c r="AW281" i="3"/>
  <c r="AV281" i="3"/>
  <c r="AU281" i="3"/>
  <c r="AT281" i="3"/>
  <c r="AS281" i="3"/>
  <c r="AR281" i="3"/>
  <c r="AL281" i="3"/>
  <c r="AK281" i="3"/>
  <c r="AG281" i="3" s="1"/>
  <c r="AJ281" i="3"/>
  <c r="AI281" i="3"/>
  <c r="AH281" i="3"/>
  <c r="AE281" i="3"/>
  <c r="AD281" i="3"/>
  <c r="AC281" i="3"/>
  <c r="AB281" i="3"/>
  <c r="AA281" i="3"/>
  <c r="AF281" i="3" s="1"/>
  <c r="O281" i="3" s="1"/>
  <c r="Z281" i="3"/>
  <c r="X281" i="3"/>
  <c r="R281" i="3"/>
  <c r="Q281" i="3"/>
  <c r="P281" i="3"/>
  <c r="N281" i="3"/>
  <c r="T281" i="3" s="1"/>
  <c r="M281" i="3"/>
  <c r="S281" i="3" s="1"/>
  <c r="L281" i="3"/>
  <c r="K281" i="3"/>
  <c r="J281" i="3"/>
  <c r="I281" i="3"/>
  <c r="H281" i="3"/>
  <c r="G281" i="3"/>
  <c r="F281" i="3"/>
  <c r="E281" i="3"/>
  <c r="D281" i="3"/>
  <c r="C281" i="3"/>
  <c r="B281" i="3"/>
  <c r="A281" i="3"/>
  <c r="BD280" i="3"/>
  <c r="BC280" i="3"/>
  <c r="BB280" i="3"/>
  <c r="BA280" i="3"/>
  <c r="AZ280" i="3"/>
  <c r="AY280" i="3"/>
  <c r="AX280" i="3"/>
  <c r="AW280" i="3"/>
  <c r="AV280" i="3"/>
  <c r="AU280" i="3"/>
  <c r="AT280" i="3"/>
  <c r="AS280" i="3"/>
  <c r="AR280" i="3"/>
  <c r="AL280" i="3"/>
  <c r="AK280" i="3"/>
  <c r="AJ280" i="3"/>
  <c r="AI280" i="3"/>
  <c r="AH280" i="3"/>
  <c r="AE280" i="3"/>
  <c r="AD280" i="3"/>
  <c r="AC280" i="3"/>
  <c r="AB280" i="3"/>
  <c r="AA280" i="3"/>
  <c r="Z280" i="3"/>
  <c r="X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BE279" i="3"/>
  <c r="BD279" i="3"/>
  <c r="BC279" i="3"/>
  <c r="BB279" i="3"/>
  <c r="BA279" i="3"/>
  <c r="AZ279" i="3"/>
  <c r="AY279" i="3"/>
  <c r="AX279" i="3"/>
  <c r="AW279" i="3"/>
  <c r="AV279" i="3"/>
  <c r="AU279" i="3"/>
  <c r="AT279" i="3"/>
  <c r="AS279" i="3"/>
  <c r="AR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X279" i="3"/>
  <c r="T279" i="3"/>
  <c r="P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BD278" i="3"/>
  <c r="BC278" i="3"/>
  <c r="BB278" i="3"/>
  <c r="BA278" i="3"/>
  <c r="AZ278" i="3"/>
  <c r="AY278" i="3"/>
  <c r="AX278" i="3"/>
  <c r="AW278" i="3"/>
  <c r="AV278" i="3"/>
  <c r="AU278" i="3"/>
  <c r="AT278" i="3"/>
  <c r="AS278" i="3"/>
  <c r="AR278" i="3"/>
  <c r="AL278" i="3"/>
  <c r="AK278" i="3"/>
  <c r="AJ278" i="3"/>
  <c r="AI278" i="3"/>
  <c r="AH278" i="3"/>
  <c r="AE278" i="3"/>
  <c r="AD278" i="3"/>
  <c r="AC278" i="3"/>
  <c r="AB278" i="3"/>
  <c r="AA278" i="3"/>
  <c r="Z278" i="3"/>
  <c r="X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BD277" i="3"/>
  <c r="BC277" i="3"/>
  <c r="BB277" i="3"/>
  <c r="BA277" i="3"/>
  <c r="AZ277" i="3"/>
  <c r="AY277" i="3"/>
  <c r="AX277" i="3"/>
  <c r="AW277" i="3"/>
  <c r="AV277" i="3"/>
  <c r="AU277" i="3"/>
  <c r="AT277" i="3"/>
  <c r="AS277" i="3"/>
  <c r="AR277" i="3"/>
  <c r="AL277" i="3"/>
  <c r="AK277" i="3"/>
  <c r="AJ277" i="3"/>
  <c r="AI277" i="3"/>
  <c r="AH277" i="3"/>
  <c r="AE277" i="3"/>
  <c r="AD277" i="3"/>
  <c r="AC277" i="3"/>
  <c r="AF277" i="3" s="1"/>
  <c r="O277" i="3" s="1"/>
  <c r="AB277" i="3"/>
  <c r="AA277" i="3"/>
  <c r="Z277" i="3"/>
  <c r="X277" i="3"/>
  <c r="T277" i="3"/>
  <c r="S277" i="3"/>
  <c r="BG277" i="3" s="1"/>
  <c r="Q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BH276" i="3"/>
  <c r="BF276" i="3"/>
  <c r="BD276" i="3"/>
  <c r="BC276" i="3"/>
  <c r="BB276" i="3"/>
  <c r="BA276" i="3"/>
  <c r="AZ276" i="3"/>
  <c r="AY276" i="3"/>
  <c r="AX276" i="3"/>
  <c r="AW276" i="3"/>
  <c r="AV276" i="3"/>
  <c r="AU276" i="3"/>
  <c r="AT276" i="3"/>
  <c r="AS276" i="3"/>
  <c r="AR276" i="3"/>
  <c r="AL276" i="3"/>
  <c r="AK276" i="3"/>
  <c r="AJ276" i="3"/>
  <c r="AI276" i="3"/>
  <c r="AH276" i="3"/>
  <c r="AG276" i="3"/>
  <c r="P276" i="3" s="1"/>
  <c r="AE276" i="3"/>
  <c r="AD276" i="3"/>
  <c r="AC276" i="3"/>
  <c r="AB276" i="3"/>
  <c r="AA276" i="3"/>
  <c r="Z276" i="3"/>
  <c r="X276" i="3"/>
  <c r="T276" i="3"/>
  <c r="N276" i="3"/>
  <c r="M276" i="3"/>
  <c r="L276" i="3"/>
  <c r="R276" i="3" s="1"/>
  <c r="K276" i="3"/>
  <c r="J276" i="3"/>
  <c r="I276" i="3"/>
  <c r="H276" i="3"/>
  <c r="G276" i="3"/>
  <c r="F276" i="3"/>
  <c r="E276" i="3"/>
  <c r="D276" i="3"/>
  <c r="C276" i="3"/>
  <c r="B276" i="3"/>
  <c r="A276" i="3"/>
  <c r="BD275" i="3"/>
  <c r="BC275" i="3"/>
  <c r="BB275" i="3"/>
  <c r="BA275" i="3"/>
  <c r="AZ275" i="3"/>
  <c r="AY275" i="3"/>
  <c r="AX275" i="3"/>
  <c r="AW275" i="3"/>
  <c r="AV275" i="3"/>
  <c r="AU275" i="3"/>
  <c r="AT275" i="3"/>
  <c r="AS275" i="3"/>
  <c r="AR275" i="3"/>
  <c r="AL275" i="3"/>
  <c r="AK275" i="3"/>
  <c r="AG275" i="3" s="1"/>
  <c r="AJ275" i="3"/>
  <c r="AF275" i="3" s="1"/>
  <c r="AI275" i="3"/>
  <c r="AH275" i="3"/>
  <c r="AE275" i="3"/>
  <c r="AD275" i="3"/>
  <c r="AC275" i="3"/>
  <c r="AB275" i="3"/>
  <c r="AA275" i="3"/>
  <c r="Z275" i="3"/>
  <c r="X275" i="3"/>
  <c r="N275" i="3"/>
  <c r="M275" i="3"/>
  <c r="L275" i="3"/>
  <c r="K275" i="3"/>
  <c r="J275" i="3"/>
  <c r="I275" i="3"/>
  <c r="H275" i="3"/>
  <c r="G275" i="3"/>
  <c r="F275" i="3"/>
  <c r="E275" i="3"/>
  <c r="D275" i="3"/>
  <c r="S275" i="3" s="1"/>
  <c r="C275" i="3"/>
  <c r="B275" i="3"/>
  <c r="Q275" i="3" s="1"/>
  <c r="A275" i="3"/>
  <c r="BD274" i="3"/>
  <c r="BC274" i="3"/>
  <c r="BB274" i="3"/>
  <c r="BA274" i="3"/>
  <c r="AZ274" i="3"/>
  <c r="AY274" i="3"/>
  <c r="AX274" i="3"/>
  <c r="AW274" i="3"/>
  <c r="AV274" i="3"/>
  <c r="AU274" i="3"/>
  <c r="AT274" i="3"/>
  <c r="AS274" i="3"/>
  <c r="AR274" i="3"/>
  <c r="AL274" i="3"/>
  <c r="AK274" i="3"/>
  <c r="AJ274" i="3"/>
  <c r="AF274" i="3" s="1"/>
  <c r="O274" i="3" s="1"/>
  <c r="AI274" i="3"/>
  <c r="AH274" i="3"/>
  <c r="AE274" i="3"/>
  <c r="AD274" i="3"/>
  <c r="AC274" i="3"/>
  <c r="AB274" i="3"/>
  <c r="AA274" i="3"/>
  <c r="AG274" i="3" s="1"/>
  <c r="P274" i="3" s="1"/>
  <c r="BJ274" i="3" s="1"/>
  <c r="Z274" i="3"/>
  <c r="X274" i="3"/>
  <c r="U274" i="3"/>
  <c r="T274" i="3"/>
  <c r="S274" i="3"/>
  <c r="BG274" i="3" s="1"/>
  <c r="R274" i="3"/>
  <c r="N274" i="3"/>
  <c r="BH274" i="3" s="1"/>
  <c r="M274" i="3"/>
  <c r="L274" i="3"/>
  <c r="BF274" i="3" s="1"/>
  <c r="K274" i="3"/>
  <c r="J274" i="3"/>
  <c r="I274" i="3"/>
  <c r="H274" i="3"/>
  <c r="G274" i="3"/>
  <c r="F274" i="3"/>
  <c r="E274" i="3"/>
  <c r="D274" i="3"/>
  <c r="C274" i="3"/>
  <c r="B274" i="3"/>
  <c r="A274" i="3"/>
  <c r="BH273" i="3"/>
  <c r="BG273" i="3"/>
  <c r="BD273" i="3"/>
  <c r="BC273" i="3"/>
  <c r="BB273" i="3"/>
  <c r="BA273" i="3"/>
  <c r="AZ273" i="3"/>
  <c r="AY273" i="3"/>
  <c r="AX273" i="3"/>
  <c r="AW273" i="3"/>
  <c r="AV273" i="3"/>
  <c r="AU273" i="3"/>
  <c r="AT273" i="3"/>
  <c r="AS273" i="3"/>
  <c r="AR273" i="3"/>
  <c r="AL273" i="3"/>
  <c r="AK273" i="3"/>
  <c r="AG273" i="3" s="1"/>
  <c r="AJ273" i="3"/>
  <c r="AI273" i="3"/>
  <c r="AH273" i="3"/>
  <c r="AE273" i="3"/>
  <c r="AD273" i="3"/>
  <c r="AC273" i="3"/>
  <c r="AB273" i="3"/>
  <c r="AA273" i="3"/>
  <c r="Z273" i="3"/>
  <c r="X273" i="3"/>
  <c r="N273" i="3"/>
  <c r="M273" i="3"/>
  <c r="S273" i="3" s="1"/>
  <c r="L273" i="3"/>
  <c r="K273" i="3"/>
  <c r="J273" i="3"/>
  <c r="I273" i="3"/>
  <c r="H273" i="3"/>
  <c r="G273" i="3"/>
  <c r="F273" i="3"/>
  <c r="E273" i="3"/>
  <c r="D273" i="3"/>
  <c r="C273" i="3"/>
  <c r="B273" i="3"/>
  <c r="A273" i="3"/>
  <c r="BD272" i="3"/>
  <c r="BC272" i="3"/>
  <c r="BB272" i="3"/>
  <c r="BA272" i="3"/>
  <c r="AZ272" i="3"/>
  <c r="AY272" i="3"/>
  <c r="AX272" i="3"/>
  <c r="AW272" i="3"/>
  <c r="AV272" i="3"/>
  <c r="AU272" i="3"/>
  <c r="AT272" i="3"/>
  <c r="AS272" i="3"/>
  <c r="AR272" i="3"/>
  <c r="AL272" i="3"/>
  <c r="AK272" i="3"/>
  <c r="AJ272" i="3"/>
  <c r="AI272" i="3"/>
  <c r="AH272" i="3"/>
  <c r="AE272" i="3"/>
  <c r="AD272" i="3"/>
  <c r="AC272" i="3"/>
  <c r="AB272" i="3"/>
  <c r="AA272" i="3"/>
  <c r="Z272" i="3"/>
  <c r="X272" i="3"/>
  <c r="N272" i="3"/>
  <c r="M272" i="3"/>
  <c r="L272" i="3"/>
  <c r="R272" i="3" s="1"/>
  <c r="K272" i="3"/>
  <c r="J272" i="3"/>
  <c r="I272" i="3"/>
  <c r="H272" i="3"/>
  <c r="G272" i="3"/>
  <c r="F272" i="3"/>
  <c r="E272" i="3"/>
  <c r="D272" i="3"/>
  <c r="C272" i="3"/>
  <c r="B272" i="3"/>
  <c r="A272" i="3"/>
  <c r="BD271" i="3"/>
  <c r="BC271" i="3"/>
  <c r="BB271" i="3"/>
  <c r="BA271" i="3"/>
  <c r="AZ271" i="3"/>
  <c r="AY271" i="3"/>
  <c r="AX271" i="3"/>
  <c r="AW271" i="3"/>
  <c r="AV271" i="3"/>
  <c r="AU271" i="3"/>
  <c r="AT271" i="3"/>
  <c r="AS271" i="3"/>
  <c r="AR271" i="3"/>
  <c r="AL271" i="3"/>
  <c r="AK271" i="3"/>
  <c r="AJ271" i="3"/>
  <c r="AI271" i="3"/>
  <c r="AH271" i="3"/>
  <c r="AF271" i="3"/>
  <c r="AE271" i="3"/>
  <c r="AD271" i="3"/>
  <c r="AC271" i="3"/>
  <c r="AB271" i="3"/>
  <c r="AA271" i="3"/>
  <c r="AG271" i="3" s="1"/>
  <c r="P271" i="3" s="1"/>
  <c r="V271" i="3" s="1"/>
  <c r="Z271" i="3"/>
  <c r="X271" i="3"/>
  <c r="S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BD270" i="3"/>
  <c r="BC270" i="3"/>
  <c r="BB270" i="3"/>
  <c r="BA270" i="3"/>
  <c r="AZ270" i="3"/>
  <c r="AY270" i="3"/>
  <c r="AX270" i="3"/>
  <c r="AW270" i="3"/>
  <c r="AV270" i="3"/>
  <c r="AU270" i="3"/>
  <c r="AT270" i="3"/>
  <c r="AS270" i="3"/>
  <c r="AR270" i="3"/>
  <c r="AL270" i="3"/>
  <c r="AK270" i="3"/>
  <c r="AJ270" i="3"/>
  <c r="AI270" i="3"/>
  <c r="AH270" i="3"/>
  <c r="AG270" i="3"/>
  <c r="P270" i="3" s="1"/>
  <c r="AF270" i="3"/>
  <c r="AE270" i="3"/>
  <c r="AD270" i="3"/>
  <c r="AC270" i="3"/>
  <c r="AB270" i="3"/>
  <c r="AA270" i="3"/>
  <c r="Z270" i="3"/>
  <c r="X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R270" i="3" s="1"/>
  <c r="B270" i="3"/>
  <c r="Q270" i="3" s="1"/>
  <c r="A270" i="3"/>
  <c r="BD269" i="3"/>
  <c r="BC269" i="3"/>
  <c r="BB269" i="3"/>
  <c r="BA269" i="3"/>
  <c r="AZ269" i="3"/>
  <c r="AY269" i="3"/>
  <c r="AX269" i="3"/>
  <c r="AW269" i="3"/>
  <c r="AV269" i="3"/>
  <c r="AU269" i="3"/>
  <c r="AT269" i="3"/>
  <c r="AS269" i="3"/>
  <c r="AR269" i="3"/>
  <c r="AL269" i="3"/>
  <c r="AK269" i="3"/>
  <c r="AJ269" i="3"/>
  <c r="AI269" i="3"/>
  <c r="AH269" i="3"/>
  <c r="AF269" i="3"/>
  <c r="AE269" i="3"/>
  <c r="AD269" i="3"/>
  <c r="AC269" i="3"/>
  <c r="AB269" i="3"/>
  <c r="AA269" i="3"/>
  <c r="Z269" i="3"/>
  <c r="X269" i="3"/>
  <c r="U269" i="3"/>
  <c r="S269" i="3"/>
  <c r="N269" i="3"/>
  <c r="M269" i="3"/>
  <c r="O269" i="3" s="1"/>
  <c r="L269" i="3"/>
  <c r="R269" i="3" s="1"/>
  <c r="K269" i="3"/>
  <c r="J269" i="3"/>
  <c r="I269" i="3"/>
  <c r="H269" i="3"/>
  <c r="G269" i="3"/>
  <c r="F269" i="3"/>
  <c r="E269" i="3"/>
  <c r="D269" i="3"/>
  <c r="C269" i="3"/>
  <c r="B269" i="3"/>
  <c r="Q269" i="3" s="1"/>
  <c r="A269" i="3"/>
  <c r="BD268" i="3"/>
  <c r="BC268" i="3"/>
  <c r="BB268" i="3"/>
  <c r="BA268" i="3"/>
  <c r="AZ268" i="3"/>
  <c r="AY268" i="3"/>
  <c r="AX268" i="3"/>
  <c r="AW268" i="3"/>
  <c r="AV268" i="3"/>
  <c r="AU268" i="3"/>
  <c r="AT268" i="3"/>
  <c r="AS268" i="3"/>
  <c r="AR268" i="3"/>
  <c r="AL268" i="3"/>
  <c r="AK268" i="3"/>
  <c r="AJ268" i="3"/>
  <c r="AF268" i="3" s="1"/>
  <c r="O268" i="3" s="1"/>
  <c r="AI268" i="3"/>
  <c r="AH268" i="3"/>
  <c r="AE268" i="3"/>
  <c r="AD268" i="3"/>
  <c r="AC268" i="3"/>
  <c r="AB268" i="3"/>
  <c r="AA268" i="3"/>
  <c r="Z268" i="3"/>
  <c r="X268" i="3"/>
  <c r="N268" i="3"/>
  <c r="T268" i="3" s="1"/>
  <c r="M268" i="3"/>
  <c r="L268" i="3"/>
  <c r="R268" i="3" s="1"/>
  <c r="K268" i="3"/>
  <c r="J268" i="3"/>
  <c r="I268" i="3"/>
  <c r="H268" i="3"/>
  <c r="G268" i="3"/>
  <c r="F268" i="3"/>
  <c r="E268" i="3"/>
  <c r="D268" i="3"/>
  <c r="S268" i="3" s="1"/>
  <c r="BG268" i="3" s="1"/>
  <c r="C268" i="3"/>
  <c r="B268" i="3"/>
  <c r="A268" i="3"/>
  <c r="BD267" i="3"/>
  <c r="BC267" i="3"/>
  <c r="BB267" i="3"/>
  <c r="BA267" i="3"/>
  <c r="AZ267" i="3"/>
  <c r="AY267" i="3"/>
  <c r="AX267" i="3"/>
  <c r="AW267" i="3"/>
  <c r="AV267" i="3"/>
  <c r="AU267" i="3"/>
  <c r="AT267" i="3"/>
  <c r="AS267" i="3"/>
  <c r="AR267" i="3"/>
  <c r="AL267" i="3"/>
  <c r="AK267" i="3"/>
  <c r="AJ267" i="3"/>
  <c r="AI267" i="3"/>
  <c r="AH267" i="3"/>
  <c r="AG267" i="3"/>
  <c r="P267" i="3" s="1"/>
  <c r="AE267" i="3"/>
  <c r="AD267" i="3"/>
  <c r="AC267" i="3"/>
  <c r="AB267" i="3"/>
  <c r="AA267" i="3"/>
  <c r="Z267" i="3"/>
  <c r="X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BD266" i="3"/>
  <c r="BC266" i="3"/>
  <c r="BB266" i="3"/>
  <c r="BA266" i="3"/>
  <c r="AZ266" i="3"/>
  <c r="AY266" i="3"/>
  <c r="AX266" i="3"/>
  <c r="AW266" i="3"/>
  <c r="AV266" i="3"/>
  <c r="AU266" i="3"/>
  <c r="AT266" i="3"/>
  <c r="AS266" i="3"/>
  <c r="AR266" i="3"/>
  <c r="AL266" i="3"/>
  <c r="AK266" i="3"/>
  <c r="AJ266" i="3"/>
  <c r="AI266" i="3"/>
  <c r="AH266" i="3"/>
  <c r="AE266" i="3"/>
  <c r="AD266" i="3"/>
  <c r="AC266" i="3"/>
  <c r="AB266" i="3"/>
  <c r="AA266" i="3"/>
  <c r="Z266" i="3"/>
  <c r="X266" i="3"/>
  <c r="Q266" i="3"/>
  <c r="N266" i="3"/>
  <c r="M266" i="3"/>
  <c r="BG266" i="3" s="1"/>
  <c r="L266" i="3"/>
  <c r="K266" i="3"/>
  <c r="J266" i="3"/>
  <c r="I266" i="3"/>
  <c r="H266" i="3"/>
  <c r="G266" i="3"/>
  <c r="F266" i="3"/>
  <c r="E266" i="3"/>
  <c r="T266" i="3" s="1"/>
  <c r="D266" i="3"/>
  <c r="S266" i="3" s="1"/>
  <c r="C266" i="3"/>
  <c r="B266" i="3"/>
  <c r="A266" i="3"/>
  <c r="BJ265" i="3"/>
  <c r="BG265" i="3"/>
  <c r="BE265" i="3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X265" i="3"/>
  <c r="R265" i="3"/>
  <c r="Q265" i="3"/>
  <c r="P265" i="3"/>
  <c r="V265" i="3" s="1"/>
  <c r="O265" i="3"/>
  <c r="N265" i="3"/>
  <c r="M265" i="3"/>
  <c r="S265" i="3" s="1"/>
  <c r="L265" i="3"/>
  <c r="BF265" i="3" s="1"/>
  <c r="K265" i="3"/>
  <c r="J265" i="3"/>
  <c r="I265" i="3"/>
  <c r="H265" i="3"/>
  <c r="G265" i="3"/>
  <c r="F265" i="3"/>
  <c r="E265" i="3"/>
  <c r="D265" i="3"/>
  <c r="C265" i="3"/>
  <c r="B265" i="3"/>
  <c r="A265" i="3"/>
  <c r="BG264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R264" i="3"/>
  <c r="AL264" i="3"/>
  <c r="AK264" i="3"/>
  <c r="AJ264" i="3"/>
  <c r="AI264" i="3"/>
  <c r="AG264" i="3" s="1"/>
  <c r="AH264" i="3"/>
  <c r="AF264" i="3"/>
  <c r="O264" i="3" s="1"/>
  <c r="AE264" i="3"/>
  <c r="AD264" i="3"/>
  <c r="AC264" i="3"/>
  <c r="AB264" i="3"/>
  <c r="AA264" i="3"/>
  <c r="Z264" i="3"/>
  <c r="X264" i="3"/>
  <c r="S264" i="3"/>
  <c r="N264" i="3"/>
  <c r="M264" i="3"/>
  <c r="L264" i="3"/>
  <c r="K264" i="3"/>
  <c r="J264" i="3"/>
  <c r="I264" i="3"/>
  <c r="H264" i="3"/>
  <c r="G264" i="3"/>
  <c r="F264" i="3"/>
  <c r="E264" i="3"/>
  <c r="T264" i="3" s="1"/>
  <c r="D264" i="3"/>
  <c r="C264" i="3"/>
  <c r="B264" i="3"/>
  <c r="A264" i="3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L263" i="3"/>
  <c r="AK263" i="3"/>
  <c r="AJ263" i="3"/>
  <c r="AI263" i="3"/>
  <c r="AH263" i="3"/>
  <c r="AE263" i="3"/>
  <c r="AD263" i="3"/>
  <c r="AC263" i="3"/>
  <c r="AB263" i="3"/>
  <c r="AA263" i="3"/>
  <c r="Z263" i="3"/>
  <c r="X263" i="3"/>
  <c r="S263" i="3"/>
  <c r="N263" i="3"/>
  <c r="T263" i="3" s="1"/>
  <c r="M263" i="3"/>
  <c r="BG263" i="3" s="1"/>
  <c r="L263" i="3"/>
  <c r="BF263" i="3" s="1"/>
  <c r="K263" i="3"/>
  <c r="J263" i="3"/>
  <c r="I263" i="3"/>
  <c r="H263" i="3"/>
  <c r="G263" i="3"/>
  <c r="F263" i="3"/>
  <c r="E263" i="3"/>
  <c r="D263" i="3"/>
  <c r="C263" i="3"/>
  <c r="R263" i="3" s="1"/>
  <c r="B263" i="3"/>
  <c r="Q263" i="3" s="1"/>
  <c r="A263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L262" i="3"/>
  <c r="AK262" i="3"/>
  <c r="AG262" i="3" s="1"/>
  <c r="AJ262" i="3"/>
  <c r="AI262" i="3"/>
  <c r="AH262" i="3"/>
  <c r="AE262" i="3"/>
  <c r="AD262" i="3"/>
  <c r="AC262" i="3"/>
  <c r="AB262" i="3"/>
  <c r="AA262" i="3"/>
  <c r="Z262" i="3"/>
  <c r="X262" i="3"/>
  <c r="S262" i="3"/>
  <c r="R262" i="3"/>
  <c r="P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L261" i="3"/>
  <c r="AK261" i="3"/>
  <c r="AJ261" i="3"/>
  <c r="AI261" i="3"/>
  <c r="AH261" i="3"/>
  <c r="AG261" i="3"/>
  <c r="P261" i="3" s="1"/>
  <c r="AF261" i="3"/>
  <c r="AE261" i="3"/>
  <c r="AD261" i="3"/>
  <c r="AC261" i="3"/>
  <c r="AB261" i="3"/>
  <c r="AA261" i="3"/>
  <c r="Z261" i="3"/>
  <c r="X261" i="3"/>
  <c r="N261" i="3"/>
  <c r="M261" i="3"/>
  <c r="L261" i="3"/>
  <c r="K261" i="3"/>
  <c r="J261" i="3"/>
  <c r="I261" i="3"/>
  <c r="H261" i="3"/>
  <c r="G261" i="3"/>
  <c r="F261" i="3"/>
  <c r="E261" i="3"/>
  <c r="T261" i="3" s="1"/>
  <c r="D261" i="3"/>
  <c r="C261" i="3"/>
  <c r="B261" i="3"/>
  <c r="A261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L260" i="3"/>
  <c r="AK260" i="3"/>
  <c r="AJ260" i="3"/>
  <c r="AI260" i="3"/>
  <c r="AH260" i="3"/>
  <c r="AE260" i="3"/>
  <c r="AD260" i="3"/>
  <c r="AC260" i="3"/>
  <c r="AB260" i="3"/>
  <c r="AA260" i="3"/>
  <c r="Z260" i="3"/>
  <c r="X260" i="3"/>
  <c r="N260" i="3"/>
  <c r="M260" i="3"/>
  <c r="L260" i="3"/>
  <c r="R260" i="3" s="1"/>
  <c r="K260" i="3"/>
  <c r="J260" i="3"/>
  <c r="I260" i="3"/>
  <c r="H260" i="3"/>
  <c r="G260" i="3"/>
  <c r="F260" i="3"/>
  <c r="E260" i="3"/>
  <c r="D260" i="3"/>
  <c r="C260" i="3"/>
  <c r="B260" i="3"/>
  <c r="Q260" i="3" s="1"/>
  <c r="A260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L259" i="3"/>
  <c r="AK259" i="3"/>
  <c r="AJ259" i="3"/>
  <c r="AI259" i="3"/>
  <c r="AH259" i="3"/>
  <c r="AE259" i="3"/>
  <c r="AD259" i="3"/>
  <c r="AC259" i="3"/>
  <c r="R259" i="3" s="1"/>
  <c r="AB259" i="3"/>
  <c r="AA259" i="3"/>
  <c r="Z259" i="3"/>
  <c r="X259" i="3"/>
  <c r="N259" i="3"/>
  <c r="T259" i="3" s="1"/>
  <c r="M259" i="3"/>
  <c r="L259" i="3"/>
  <c r="BF259" i="3" s="1"/>
  <c r="K259" i="3"/>
  <c r="J259" i="3"/>
  <c r="I259" i="3"/>
  <c r="H259" i="3"/>
  <c r="G259" i="3"/>
  <c r="F259" i="3"/>
  <c r="E259" i="3"/>
  <c r="D259" i="3"/>
  <c r="C259" i="3"/>
  <c r="B259" i="3"/>
  <c r="A259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L258" i="3"/>
  <c r="AK258" i="3"/>
  <c r="AG258" i="3" s="1"/>
  <c r="AJ258" i="3"/>
  <c r="AI258" i="3"/>
  <c r="AH258" i="3"/>
  <c r="AE258" i="3"/>
  <c r="AD258" i="3"/>
  <c r="AC258" i="3"/>
  <c r="AB258" i="3"/>
  <c r="AA258" i="3"/>
  <c r="AF258" i="3" s="1"/>
  <c r="O258" i="3" s="1"/>
  <c r="BI258" i="3" s="1"/>
  <c r="Z258" i="3"/>
  <c r="X258" i="3"/>
  <c r="U258" i="3"/>
  <c r="T258" i="3"/>
  <c r="S258" i="3"/>
  <c r="BG258" i="3" s="1"/>
  <c r="R258" i="3"/>
  <c r="Q258" i="3"/>
  <c r="N258" i="3"/>
  <c r="P258" i="3" s="1"/>
  <c r="M258" i="3"/>
  <c r="L258" i="3"/>
  <c r="K258" i="3"/>
  <c r="BE258" i="3" s="1"/>
  <c r="J258" i="3"/>
  <c r="I258" i="3"/>
  <c r="H258" i="3"/>
  <c r="G258" i="3"/>
  <c r="F258" i="3"/>
  <c r="E258" i="3"/>
  <c r="D258" i="3"/>
  <c r="C258" i="3"/>
  <c r="B258" i="3"/>
  <c r="A258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L257" i="3"/>
  <c r="AK257" i="3"/>
  <c r="AJ257" i="3"/>
  <c r="AI257" i="3"/>
  <c r="AH257" i="3"/>
  <c r="AE257" i="3"/>
  <c r="AD257" i="3"/>
  <c r="AC257" i="3"/>
  <c r="AB257" i="3"/>
  <c r="AA257" i="3"/>
  <c r="Z257" i="3"/>
  <c r="X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L256" i="3"/>
  <c r="AK256" i="3"/>
  <c r="AJ256" i="3"/>
  <c r="AI256" i="3"/>
  <c r="AH256" i="3"/>
  <c r="AE256" i="3"/>
  <c r="AD256" i="3"/>
  <c r="AC256" i="3"/>
  <c r="AB256" i="3"/>
  <c r="AA256" i="3"/>
  <c r="Z256" i="3"/>
  <c r="X256" i="3"/>
  <c r="N256" i="3"/>
  <c r="M256" i="3"/>
  <c r="L256" i="3"/>
  <c r="R256" i="3" s="1"/>
  <c r="K256" i="3"/>
  <c r="J256" i="3"/>
  <c r="I256" i="3"/>
  <c r="H256" i="3"/>
  <c r="G256" i="3"/>
  <c r="F256" i="3"/>
  <c r="E256" i="3"/>
  <c r="E64" i="2" s="1"/>
  <c r="D256" i="3"/>
  <c r="C256" i="3"/>
  <c r="B256" i="3"/>
  <c r="A256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L255" i="3"/>
  <c r="AK255" i="3"/>
  <c r="AJ255" i="3"/>
  <c r="AI255" i="3"/>
  <c r="AG255" i="3" s="1"/>
  <c r="P255" i="3" s="1"/>
  <c r="AH255" i="3"/>
  <c r="AF255" i="3" s="1"/>
  <c r="AF63" i="2" s="1"/>
  <c r="AE255" i="3"/>
  <c r="AD255" i="3"/>
  <c r="AC255" i="3"/>
  <c r="AB255" i="3"/>
  <c r="AA255" i="3"/>
  <c r="Z255" i="3"/>
  <c r="X255" i="3"/>
  <c r="N255" i="3"/>
  <c r="M255" i="3"/>
  <c r="L255" i="3"/>
  <c r="K255" i="3"/>
  <c r="J255" i="3"/>
  <c r="I255" i="3"/>
  <c r="H255" i="3"/>
  <c r="G255" i="3"/>
  <c r="F255" i="3"/>
  <c r="E255" i="3"/>
  <c r="T255" i="3" s="1"/>
  <c r="D255" i="3"/>
  <c r="C255" i="3"/>
  <c r="B255" i="3"/>
  <c r="A255" i="3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L254" i="3"/>
  <c r="AK254" i="3"/>
  <c r="AJ254" i="3"/>
  <c r="AI254" i="3"/>
  <c r="AH254" i="3"/>
  <c r="AF254" i="3"/>
  <c r="AE254" i="3"/>
  <c r="AD254" i="3"/>
  <c r="AC254" i="3"/>
  <c r="AB254" i="3"/>
  <c r="AA254" i="3"/>
  <c r="AG254" i="3" s="1"/>
  <c r="P254" i="3" s="1"/>
  <c r="Z254" i="3"/>
  <c r="X254" i="3"/>
  <c r="N254" i="3"/>
  <c r="M254" i="3"/>
  <c r="L254" i="3"/>
  <c r="R254" i="3" s="1"/>
  <c r="K254" i="3"/>
  <c r="J254" i="3"/>
  <c r="I254" i="3"/>
  <c r="H254" i="3"/>
  <c r="G254" i="3"/>
  <c r="F254" i="3"/>
  <c r="E254" i="3"/>
  <c r="D254" i="3"/>
  <c r="S254" i="3" s="1"/>
  <c r="C254" i="3"/>
  <c r="BF254" i="3" s="1"/>
  <c r="B254" i="3"/>
  <c r="Q254" i="3" s="1"/>
  <c r="A254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L253" i="3"/>
  <c r="AK253" i="3"/>
  <c r="AJ253" i="3"/>
  <c r="AI253" i="3"/>
  <c r="AH253" i="3"/>
  <c r="AE253" i="3"/>
  <c r="AD253" i="3"/>
  <c r="AC253" i="3"/>
  <c r="Q253" i="3" s="1"/>
  <c r="AB253" i="3"/>
  <c r="AA253" i="3"/>
  <c r="Z253" i="3"/>
  <c r="X253" i="3"/>
  <c r="R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BF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L252" i="3"/>
  <c r="AK252" i="3"/>
  <c r="AG252" i="3" s="1"/>
  <c r="AJ252" i="3"/>
  <c r="AF252" i="3" s="1"/>
  <c r="AI252" i="3"/>
  <c r="AH252" i="3"/>
  <c r="AE252" i="3"/>
  <c r="AD252" i="3"/>
  <c r="AC252" i="3"/>
  <c r="AB252" i="3"/>
  <c r="AA252" i="3"/>
  <c r="Z252" i="3"/>
  <c r="X252" i="3"/>
  <c r="O252" i="3"/>
  <c r="N252" i="3"/>
  <c r="M252" i="3"/>
  <c r="S252" i="3" s="1"/>
  <c r="L252" i="3"/>
  <c r="K252" i="3"/>
  <c r="J252" i="3"/>
  <c r="I252" i="3"/>
  <c r="H252" i="3"/>
  <c r="G252" i="3"/>
  <c r="F252" i="3"/>
  <c r="E252" i="3"/>
  <c r="D252" i="3"/>
  <c r="C252" i="3"/>
  <c r="R252" i="3" s="1"/>
  <c r="B252" i="3"/>
  <c r="A252" i="3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AR251" i="3"/>
  <c r="AL251" i="3"/>
  <c r="AK251" i="3"/>
  <c r="AJ251" i="3"/>
  <c r="AI251" i="3"/>
  <c r="AH251" i="3"/>
  <c r="AG251" i="3"/>
  <c r="AE251" i="3"/>
  <c r="AD251" i="3"/>
  <c r="AC251" i="3"/>
  <c r="AB251" i="3"/>
  <c r="AA251" i="3"/>
  <c r="Z251" i="3"/>
  <c r="X251" i="3"/>
  <c r="T251" i="3"/>
  <c r="S251" i="3"/>
  <c r="BG251" i="3" s="1"/>
  <c r="R251" i="3"/>
  <c r="Q251" i="3"/>
  <c r="N251" i="3"/>
  <c r="BH251" i="3" s="1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BF250" i="3"/>
  <c r="BD250" i="3"/>
  <c r="BC250" i="3"/>
  <c r="BB250" i="3"/>
  <c r="BA250" i="3"/>
  <c r="AZ250" i="3"/>
  <c r="AY250" i="3"/>
  <c r="AX250" i="3"/>
  <c r="AW250" i="3"/>
  <c r="AV250" i="3"/>
  <c r="AU250" i="3"/>
  <c r="AT250" i="3"/>
  <c r="AS250" i="3"/>
  <c r="AR250" i="3"/>
  <c r="AL250" i="3"/>
  <c r="AK250" i="3"/>
  <c r="AG250" i="3" s="1"/>
  <c r="AJ250" i="3"/>
  <c r="AI250" i="3"/>
  <c r="AH250" i="3"/>
  <c r="AE250" i="3"/>
  <c r="AD250" i="3"/>
  <c r="AC250" i="3"/>
  <c r="AB250" i="3"/>
  <c r="AA250" i="3"/>
  <c r="Z250" i="3"/>
  <c r="X250" i="3"/>
  <c r="S250" i="3"/>
  <c r="BG250" i="3" s="1"/>
  <c r="R250" i="3"/>
  <c r="Q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BH249" i="3"/>
  <c r="BG249" i="3"/>
  <c r="BF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L249" i="3"/>
  <c r="AK249" i="3"/>
  <c r="AJ249" i="3"/>
  <c r="AI249" i="3"/>
  <c r="AH249" i="3"/>
  <c r="AE249" i="3"/>
  <c r="AD249" i="3"/>
  <c r="AC249" i="3"/>
  <c r="AB249" i="3"/>
  <c r="AA249" i="3"/>
  <c r="Z249" i="3"/>
  <c r="X249" i="3"/>
  <c r="Q249" i="3"/>
  <c r="N249" i="3"/>
  <c r="T249" i="3" s="1"/>
  <c r="M249" i="3"/>
  <c r="S249" i="3" s="1"/>
  <c r="L249" i="3"/>
  <c r="R249" i="3" s="1"/>
  <c r="K249" i="3"/>
  <c r="J249" i="3"/>
  <c r="I249" i="3"/>
  <c r="H249" i="3"/>
  <c r="G249" i="3"/>
  <c r="F249" i="3"/>
  <c r="E249" i="3"/>
  <c r="D249" i="3"/>
  <c r="C249" i="3"/>
  <c r="B249" i="3"/>
  <c r="A249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L248" i="3"/>
  <c r="AK248" i="3"/>
  <c r="AJ248" i="3"/>
  <c r="AF248" i="3" s="1"/>
  <c r="AI248" i="3"/>
  <c r="AH248" i="3"/>
  <c r="AG248" i="3"/>
  <c r="AE248" i="3"/>
  <c r="AD248" i="3"/>
  <c r="AC248" i="3"/>
  <c r="AB248" i="3"/>
  <c r="AA248" i="3"/>
  <c r="Z248" i="3"/>
  <c r="X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L247" i="3"/>
  <c r="AK247" i="3"/>
  <c r="AJ247" i="3"/>
  <c r="AI247" i="3"/>
  <c r="AH247" i="3"/>
  <c r="AE247" i="3"/>
  <c r="AD247" i="3"/>
  <c r="AC247" i="3"/>
  <c r="AB247" i="3"/>
  <c r="AA247" i="3"/>
  <c r="Z247" i="3"/>
  <c r="X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R246" i="3"/>
  <c r="AL246" i="3"/>
  <c r="AK246" i="3"/>
  <c r="AJ246" i="3"/>
  <c r="AI246" i="3"/>
  <c r="AH246" i="3"/>
  <c r="AE246" i="3"/>
  <c r="AD246" i="3"/>
  <c r="AC246" i="3"/>
  <c r="R246" i="3" s="1"/>
  <c r="AB246" i="3"/>
  <c r="AA246" i="3"/>
  <c r="Z246" i="3"/>
  <c r="X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Q246" i="3" s="1"/>
  <c r="A246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L245" i="3"/>
  <c r="AK245" i="3"/>
  <c r="AJ245" i="3"/>
  <c r="AI245" i="3"/>
  <c r="AH245" i="3"/>
  <c r="AE245" i="3"/>
  <c r="AD245" i="3"/>
  <c r="AC245" i="3"/>
  <c r="AB245" i="3"/>
  <c r="AA245" i="3"/>
  <c r="Z245" i="3"/>
  <c r="X245" i="3"/>
  <c r="N245" i="3"/>
  <c r="M245" i="3"/>
  <c r="L245" i="3"/>
  <c r="K245" i="3"/>
  <c r="J245" i="3"/>
  <c r="I245" i="3"/>
  <c r="H245" i="3"/>
  <c r="G245" i="3"/>
  <c r="F245" i="3"/>
  <c r="E245" i="3"/>
  <c r="D245" i="3"/>
  <c r="S245" i="3" s="1"/>
  <c r="C245" i="3"/>
  <c r="B245" i="3"/>
  <c r="A245" i="3"/>
  <c r="BE244" i="3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R244" i="3"/>
  <c r="AL244" i="3"/>
  <c r="AK244" i="3"/>
  <c r="AG244" i="3" s="1"/>
  <c r="AJ244" i="3"/>
  <c r="AI244" i="3"/>
  <c r="AH244" i="3"/>
  <c r="AE244" i="3"/>
  <c r="AD244" i="3"/>
  <c r="AC244" i="3"/>
  <c r="AB244" i="3"/>
  <c r="AA244" i="3"/>
  <c r="AF244" i="3" s="1"/>
  <c r="Z244" i="3"/>
  <c r="X244" i="3"/>
  <c r="T244" i="3"/>
  <c r="BH244" i="3" s="1"/>
  <c r="P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BH243" i="3"/>
  <c r="BG243" i="3"/>
  <c r="BE243" i="3"/>
  <c r="BD243" i="3"/>
  <c r="BC243" i="3"/>
  <c r="BB243" i="3"/>
  <c r="BA243" i="3"/>
  <c r="AZ243" i="3"/>
  <c r="AY243" i="3"/>
  <c r="AX243" i="3"/>
  <c r="AW243" i="3"/>
  <c r="AV243" i="3"/>
  <c r="AU243" i="3"/>
  <c r="AT243" i="3"/>
  <c r="AS243" i="3"/>
  <c r="AR243" i="3"/>
  <c r="AL243" i="3"/>
  <c r="AK243" i="3"/>
  <c r="AJ243" i="3"/>
  <c r="AI243" i="3"/>
  <c r="AH243" i="3"/>
  <c r="AF243" i="3"/>
  <c r="O243" i="3" s="1"/>
  <c r="AE243" i="3"/>
  <c r="AD243" i="3"/>
  <c r="AC243" i="3"/>
  <c r="AB243" i="3"/>
  <c r="AA243" i="3"/>
  <c r="AG243" i="3" s="1"/>
  <c r="P243" i="3" s="1"/>
  <c r="Z243" i="3"/>
  <c r="X243" i="3"/>
  <c r="T243" i="3"/>
  <c r="S243" i="3"/>
  <c r="R243" i="3"/>
  <c r="Q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L242" i="3"/>
  <c r="AK242" i="3"/>
  <c r="AJ242" i="3"/>
  <c r="AI242" i="3"/>
  <c r="AH242" i="3"/>
  <c r="AF242" i="3"/>
  <c r="AE242" i="3"/>
  <c r="AD242" i="3"/>
  <c r="AC242" i="3"/>
  <c r="AB242" i="3"/>
  <c r="AA242" i="3"/>
  <c r="Z242" i="3"/>
  <c r="X242" i="3"/>
  <c r="Q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L241" i="3"/>
  <c r="AK241" i="3"/>
  <c r="AJ241" i="3"/>
  <c r="AF241" i="3" s="1"/>
  <c r="AI241" i="3"/>
  <c r="AG241" i="3" s="1"/>
  <c r="AH241" i="3"/>
  <c r="AE241" i="3"/>
  <c r="AD241" i="3"/>
  <c r="AC241" i="3"/>
  <c r="AB241" i="3"/>
  <c r="AA241" i="3"/>
  <c r="Z241" i="3"/>
  <c r="X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L240" i="3"/>
  <c r="AK240" i="3"/>
  <c r="AJ240" i="3"/>
  <c r="AI240" i="3"/>
  <c r="AH240" i="3"/>
  <c r="AF240" i="3" s="1"/>
  <c r="O240" i="3" s="1"/>
  <c r="AG240" i="3"/>
  <c r="P240" i="3" s="1"/>
  <c r="AE240" i="3"/>
  <c r="AD240" i="3"/>
  <c r="AC240" i="3"/>
  <c r="AB240" i="3"/>
  <c r="AA240" i="3"/>
  <c r="Z240" i="3"/>
  <c r="X240" i="3"/>
  <c r="V240" i="3"/>
  <c r="N240" i="3"/>
  <c r="T240" i="3" s="1"/>
  <c r="T48" i="2" s="1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L239" i="3"/>
  <c r="AK239" i="3"/>
  <c r="AJ239" i="3"/>
  <c r="AI239" i="3"/>
  <c r="AH239" i="3"/>
  <c r="AE239" i="3"/>
  <c r="AD239" i="3"/>
  <c r="AC239" i="3"/>
  <c r="AB239" i="3"/>
  <c r="AA239" i="3"/>
  <c r="Z239" i="3"/>
  <c r="X239" i="3"/>
  <c r="T239" i="3"/>
  <c r="S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BH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L238" i="3"/>
  <c r="AK238" i="3"/>
  <c r="AJ238" i="3"/>
  <c r="AI238" i="3"/>
  <c r="AH238" i="3"/>
  <c r="AE238" i="3"/>
  <c r="AD238" i="3"/>
  <c r="AC238" i="3"/>
  <c r="AB238" i="3"/>
  <c r="AA238" i="3"/>
  <c r="Z238" i="3"/>
  <c r="X238" i="3"/>
  <c r="Q238" i="3"/>
  <c r="N238" i="3"/>
  <c r="M238" i="3"/>
  <c r="L238" i="3"/>
  <c r="K238" i="3"/>
  <c r="J238" i="3"/>
  <c r="I238" i="3"/>
  <c r="H238" i="3"/>
  <c r="G238" i="3"/>
  <c r="F238" i="3"/>
  <c r="E238" i="3"/>
  <c r="T238" i="3" s="1"/>
  <c r="D238" i="3"/>
  <c r="C238" i="3"/>
  <c r="B238" i="3"/>
  <c r="A238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L237" i="3"/>
  <c r="AK237" i="3"/>
  <c r="AJ237" i="3"/>
  <c r="AF237" i="3" s="1"/>
  <c r="AI237" i="3"/>
  <c r="AH237" i="3"/>
  <c r="AE237" i="3"/>
  <c r="AD237" i="3"/>
  <c r="AC237" i="3"/>
  <c r="AB237" i="3"/>
  <c r="AA237" i="3"/>
  <c r="Z237" i="3"/>
  <c r="X237" i="3"/>
  <c r="T237" i="3"/>
  <c r="Q237" i="3"/>
  <c r="N237" i="3"/>
  <c r="M237" i="3"/>
  <c r="L237" i="3"/>
  <c r="R237" i="3" s="1"/>
  <c r="BF237" i="3" s="1"/>
  <c r="K237" i="3"/>
  <c r="J237" i="3"/>
  <c r="I237" i="3"/>
  <c r="H237" i="3"/>
  <c r="G237" i="3"/>
  <c r="F237" i="3"/>
  <c r="E237" i="3"/>
  <c r="D237" i="3"/>
  <c r="C237" i="3"/>
  <c r="B237" i="3"/>
  <c r="A237" i="3"/>
  <c r="BF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X236" i="3"/>
  <c r="S236" i="3"/>
  <c r="R236" i="3"/>
  <c r="Q236" i="3"/>
  <c r="N236" i="3"/>
  <c r="T236" i="3" s="1"/>
  <c r="M236" i="3"/>
  <c r="BG236" i="3" s="1"/>
  <c r="L236" i="3"/>
  <c r="K236" i="3"/>
  <c r="J236" i="3"/>
  <c r="I236" i="3"/>
  <c r="H236" i="3"/>
  <c r="G236" i="3"/>
  <c r="F236" i="3"/>
  <c r="E236" i="3"/>
  <c r="D236" i="3"/>
  <c r="C236" i="3"/>
  <c r="B236" i="3"/>
  <c r="A236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L235" i="3"/>
  <c r="AK235" i="3"/>
  <c r="AJ235" i="3"/>
  <c r="AF235" i="3" s="1"/>
  <c r="AI235" i="3"/>
  <c r="AH235" i="3"/>
  <c r="AG235" i="3"/>
  <c r="AE235" i="3"/>
  <c r="AD235" i="3"/>
  <c r="AC235" i="3"/>
  <c r="BF235" i="3" s="1"/>
  <c r="AB235" i="3"/>
  <c r="AA235" i="3"/>
  <c r="Z235" i="3"/>
  <c r="X235" i="3"/>
  <c r="R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BF234" i="3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L234" i="3"/>
  <c r="AK234" i="3"/>
  <c r="AJ234" i="3"/>
  <c r="AI234" i="3"/>
  <c r="AH234" i="3"/>
  <c r="AE234" i="3"/>
  <c r="AD234" i="3"/>
  <c r="AC234" i="3"/>
  <c r="AB234" i="3"/>
  <c r="AA234" i="3"/>
  <c r="Z234" i="3"/>
  <c r="X234" i="3"/>
  <c r="N234" i="3"/>
  <c r="M234" i="3"/>
  <c r="L234" i="3"/>
  <c r="R234" i="3" s="1"/>
  <c r="K234" i="3"/>
  <c r="J234" i="3"/>
  <c r="I234" i="3"/>
  <c r="H234" i="3"/>
  <c r="G234" i="3"/>
  <c r="F234" i="3"/>
  <c r="E234" i="3"/>
  <c r="D234" i="3"/>
  <c r="C234" i="3"/>
  <c r="B234" i="3"/>
  <c r="A234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L233" i="3"/>
  <c r="AK233" i="3"/>
  <c r="AJ233" i="3"/>
  <c r="AI233" i="3"/>
  <c r="AH233" i="3"/>
  <c r="AE233" i="3"/>
  <c r="AD233" i="3"/>
  <c r="AC233" i="3"/>
  <c r="AB233" i="3"/>
  <c r="AA233" i="3"/>
  <c r="Z233" i="3"/>
  <c r="X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BE232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L232" i="3"/>
  <c r="AK232" i="3"/>
  <c r="AJ232" i="3"/>
  <c r="AI232" i="3"/>
  <c r="AH232" i="3"/>
  <c r="AE232" i="3"/>
  <c r="AD232" i="3"/>
  <c r="AC232" i="3"/>
  <c r="AB232" i="3"/>
  <c r="AA232" i="3"/>
  <c r="Z232" i="3"/>
  <c r="X232" i="3"/>
  <c r="T232" i="3"/>
  <c r="S232" i="3"/>
  <c r="Q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BH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L231" i="3"/>
  <c r="AK231" i="3"/>
  <c r="AJ231" i="3"/>
  <c r="AI231" i="3"/>
  <c r="AH231" i="3"/>
  <c r="AE231" i="3"/>
  <c r="AD231" i="3"/>
  <c r="AC231" i="3"/>
  <c r="AB231" i="3"/>
  <c r="AA231" i="3"/>
  <c r="Z231" i="3"/>
  <c r="X231" i="3"/>
  <c r="N231" i="3"/>
  <c r="M231" i="3"/>
  <c r="L231" i="3"/>
  <c r="K231" i="3"/>
  <c r="J231" i="3"/>
  <c r="I231" i="3"/>
  <c r="H231" i="3"/>
  <c r="G231" i="3"/>
  <c r="F231" i="3"/>
  <c r="E231" i="3"/>
  <c r="T231" i="3" s="1"/>
  <c r="D231" i="3"/>
  <c r="C231" i="3"/>
  <c r="B231" i="3"/>
  <c r="A231" i="3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R230" i="3"/>
  <c r="AL230" i="3"/>
  <c r="AK230" i="3"/>
  <c r="AG230" i="3" s="1"/>
  <c r="AJ230" i="3"/>
  <c r="AF230" i="3" s="1"/>
  <c r="AI230" i="3"/>
  <c r="AH230" i="3"/>
  <c r="AE230" i="3"/>
  <c r="AD230" i="3"/>
  <c r="AC230" i="3"/>
  <c r="AB230" i="3"/>
  <c r="AA230" i="3"/>
  <c r="Z230" i="3"/>
  <c r="X230" i="3"/>
  <c r="T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R230" i="3" s="1"/>
  <c r="BF230" i="3" s="1"/>
  <c r="B230" i="3"/>
  <c r="Q230" i="3" s="1"/>
  <c r="A230" i="3"/>
  <c r="BG229" i="3"/>
  <c r="BD229" i="3"/>
  <c r="BC229" i="3"/>
  <c r="BB229" i="3"/>
  <c r="BA229" i="3"/>
  <c r="AZ229" i="3"/>
  <c r="AY229" i="3"/>
  <c r="AX229" i="3"/>
  <c r="AW229" i="3"/>
  <c r="AV229" i="3"/>
  <c r="AU229" i="3"/>
  <c r="AT229" i="3"/>
  <c r="AS229" i="3"/>
  <c r="AR229" i="3"/>
  <c r="AL229" i="3"/>
  <c r="AK229" i="3"/>
  <c r="AJ229" i="3"/>
  <c r="AI229" i="3"/>
  <c r="AH229" i="3"/>
  <c r="AF229" i="3" s="1"/>
  <c r="O229" i="3" s="1"/>
  <c r="AG229" i="3"/>
  <c r="AE229" i="3"/>
  <c r="AD229" i="3"/>
  <c r="AC229" i="3"/>
  <c r="AB229" i="3"/>
  <c r="AA229" i="3"/>
  <c r="Z229" i="3"/>
  <c r="X229" i="3"/>
  <c r="T229" i="3"/>
  <c r="S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R228" i="3"/>
  <c r="AL228" i="3"/>
  <c r="AK228" i="3"/>
  <c r="AG228" i="3" s="1"/>
  <c r="AJ228" i="3"/>
  <c r="AI228" i="3"/>
  <c r="AH228" i="3"/>
  <c r="AE228" i="3"/>
  <c r="AD228" i="3"/>
  <c r="AC228" i="3"/>
  <c r="S228" i="3" s="1"/>
  <c r="BG228" i="3" s="1"/>
  <c r="AB228" i="3"/>
  <c r="AA228" i="3"/>
  <c r="AF228" i="3" s="1"/>
  <c r="Z228" i="3"/>
  <c r="X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BE227" i="3"/>
  <c r="BD227" i="3"/>
  <c r="BC227" i="3"/>
  <c r="BB227" i="3"/>
  <c r="BA227" i="3"/>
  <c r="AZ227" i="3"/>
  <c r="AY227" i="3"/>
  <c r="AX227" i="3"/>
  <c r="AW227" i="3"/>
  <c r="AV227" i="3"/>
  <c r="AU227" i="3"/>
  <c r="AT227" i="3"/>
  <c r="AS227" i="3"/>
  <c r="AR227" i="3"/>
  <c r="AL227" i="3"/>
  <c r="AK227" i="3"/>
  <c r="AJ227" i="3"/>
  <c r="AI227" i="3"/>
  <c r="AH227" i="3"/>
  <c r="AG227" i="3"/>
  <c r="P227" i="3" s="1"/>
  <c r="AE227" i="3"/>
  <c r="AD227" i="3"/>
  <c r="AC227" i="3"/>
  <c r="AB227" i="3"/>
  <c r="AA227" i="3"/>
  <c r="AF227" i="3" s="1"/>
  <c r="O227" i="3" s="1"/>
  <c r="Z227" i="3"/>
  <c r="X227" i="3"/>
  <c r="Q227" i="3"/>
  <c r="N227" i="3"/>
  <c r="M227" i="3"/>
  <c r="L227" i="3"/>
  <c r="R227" i="3" s="1"/>
  <c r="K227" i="3"/>
  <c r="J227" i="3"/>
  <c r="I227" i="3"/>
  <c r="H227" i="3"/>
  <c r="G227" i="3"/>
  <c r="F227" i="3"/>
  <c r="E227" i="3"/>
  <c r="D227" i="3"/>
  <c r="C227" i="3"/>
  <c r="B227" i="3"/>
  <c r="A227" i="3"/>
  <c r="BF226" i="3"/>
  <c r="BE226" i="3"/>
  <c r="BD226" i="3"/>
  <c r="BC226" i="3"/>
  <c r="BB226" i="3"/>
  <c r="BA226" i="3"/>
  <c r="AZ226" i="3"/>
  <c r="AY226" i="3"/>
  <c r="AX226" i="3"/>
  <c r="AW226" i="3"/>
  <c r="AV226" i="3"/>
  <c r="AU226" i="3"/>
  <c r="AT226" i="3"/>
  <c r="AS226" i="3"/>
  <c r="AR226" i="3"/>
  <c r="AL226" i="3"/>
  <c r="AK226" i="3"/>
  <c r="AJ226" i="3"/>
  <c r="AI226" i="3"/>
  <c r="AG226" i="3" s="1"/>
  <c r="AH226" i="3"/>
  <c r="AF226" i="3" s="1"/>
  <c r="AE226" i="3"/>
  <c r="AD226" i="3"/>
  <c r="AC226" i="3"/>
  <c r="AB226" i="3"/>
  <c r="AA226" i="3"/>
  <c r="Z226" i="3"/>
  <c r="X226" i="3"/>
  <c r="N226" i="3"/>
  <c r="M226" i="3"/>
  <c r="L226" i="3"/>
  <c r="R226" i="3" s="1"/>
  <c r="K226" i="3"/>
  <c r="J226" i="3"/>
  <c r="I226" i="3"/>
  <c r="H226" i="3"/>
  <c r="G226" i="3"/>
  <c r="F226" i="3"/>
  <c r="E226" i="3"/>
  <c r="D226" i="3"/>
  <c r="C226" i="3"/>
  <c r="B226" i="3"/>
  <c r="A226" i="3"/>
  <c r="BD225" i="3"/>
  <c r="BC225" i="3"/>
  <c r="BB225" i="3"/>
  <c r="BA225" i="3"/>
  <c r="AZ225" i="3"/>
  <c r="AY225" i="3"/>
  <c r="AX225" i="3"/>
  <c r="AW225" i="3"/>
  <c r="AV225" i="3"/>
  <c r="AU225" i="3"/>
  <c r="AT225" i="3"/>
  <c r="AS225" i="3"/>
  <c r="AR225" i="3"/>
  <c r="AL225" i="3"/>
  <c r="AK225" i="3"/>
  <c r="AJ225" i="3"/>
  <c r="AI225" i="3"/>
  <c r="AH225" i="3"/>
  <c r="AE225" i="3"/>
  <c r="AD225" i="3"/>
  <c r="AC225" i="3"/>
  <c r="AB225" i="3"/>
  <c r="AA225" i="3"/>
  <c r="AG225" i="3" s="1"/>
  <c r="Z225" i="3"/>
  <c r="X225" i="3"/>
  <c r="N225" i="3"/>
  <c r="M225" i="3"/>
  <c r="L225" i="3"/>
  <c r="K225" i="3"/>
  <c r="J225" i="3"/>
  <c r="I225" i="3"/>
  <c r="H225" i="3"/>
  <c r="G225" i="3"/>
  <c r="F225" i="3"/>
  <c r="E225" i="3"/>
  <c r="T225" i="3" s="1"/>
  <c r="D225" i="3"/>
  <c r="C225" i="3"/>
  <c r="B225" i="3"/>
  <c r="A225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R224" i="3"/>
  <c r="AL224" i="3"/>
  <c r="AK224" i="3"/>
  <c r="AJ224" i="3"/>
  <c r="AI224" i="3"/>
  <c r="AH224" i="3"/>
  <c r="AE224" i="3"/>
  <c r="AD224" i="3"/>
  <c r="AC224" i="3"/>
  <c r="AB224" i="3"/>
  <c r="AA224" i="3"/>
  <c r="Z224" i="3"/>
  <c r="X224" i="3"/>
  <c r="Q224" i="3"/>
  <c r="N224" i="3"/>
  <c r="M224" i="3"/>
  <c r="L224" i="3"/>
  <c r="K224" i="3"/>
  <c r="J224" i="3"/>
  <c r="I224" i="3"/>
  <c r="H224" i="3"/>
  <c r="G224" i="3"/>
  <c r="F224" i="3"/>
  <c r="E224" i="3"/>
  <c r="D224" i="3"/>
  <c r="S224" i="3" s="1"/>
  <c r="C224" i="3"/>
  <c r="R224" i="3" s="1"/>
  <c r="B224" i="3"/>
  <c r="A224" i="3"/>
  <c r="BF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L223" i="3"/>
  <c r="AK223" i="3"/>
  <c r="AJ223" i="3"/>
  <c r="AI223" i="3"/>
  <c r="AH223" i="3"/>
  <c r="AE223" i="3"/>
  <c r="AD223" i="3"/>
  <c r="AC223" i="3"/>
  <c r="AB223" i="3"/>
  <c r="AA223" i="3"/>
  <c r="Z223" i="3"/>
  <c r="X223" i="3"/>
  <c r="S223" i="3"/>
  <c r="BG223" i="3" s="1"/>
  <c r="N223" i="3"/>
  <c r="M223" i="3"/>
  <c r="L223" i="3"/>
  <c r="K223" i="3"/>
  <c r="J223" i="3"/>
  <c r="I223" i="3"/>
  <c r="H223" i="3"/>
  <c r="G223" i="3"/>
  <c r="F223" i="3"/>
  <c r="E223" i="3"/>
  <c r="D223" i="3"/>
  <c r="C223" i="3"/>
  <c r="R223" i="3" s="1"/>
  <c r="B223" i="3"/>
  <c r="A223" i="3"/>
  <c r="BE222" i="3"/>
  <c r="BD222" i="3"/>
  <c r="BC222" i="3"/>
  <c r="BB222" i="3"/>
  <c r="BA222" i="3"/>
  <c r="AZ222" i="3"/>
  <c r="AY222" i="3"/>
  <c r="AX222" i="3"/>
  <c r="AW222" i="3"/>
  <c r="AV222" i="3"/>
  <c r="AU222" i="3"/>
  <c r="AT222" i="3"/>
  <c r="AS222" i="3"/>
  <c r="AR222" i="3"/>
  <c r="AL222" i="3"/>
  <c r="AK222" i="3"/>
  <c r="AJ222" i="3"/>
  <c r="AI222" i="3"/>
  <c r="AH222" i="3"/>
  <c r="AG222" i="3"/>
  <c r="P222" i="3" s="1"/>
  <c r="V222" i="3" s="1"/>
  <c r="AE222" i="3"/>
  <c r="AD222" i="3"/>
  <c r="AC222" i="3"/>
  <c r="AB222" i="3"/>
  <c r="AA222" i="3"/>
  <c r="AF222" i="3" s="1"/>
  <c r="Z222" i="3"/>
  <c r="X222" i="3"/>
  <c r="T222" i="3"/>
  <c r="BH222" i="3" s="1"/>
  <c r="S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BE221" i="3"/>
  <c r="BD221" i="3"/>
  <c r="BC221" i="3"/>
  <c r="BB221" i="3"/>
  <c r="BA221" i="3"/>
  <c r="AZ221" i="3"/>
  <c r="AY221" i="3"/>
  <c r="AX221" i="3"/>
  <c r="AW221" i="3"/>
  <c r="AV221" i="3"/>
  <c r="AU221" i="3"/>
  <c r="AT221" i="3"/>
  <c r="AS221" i="3"/>
  <c r="AR221" i="3"/>
  <c r="AL221" i="3"/>
  <c r="AK221" i="3"/>
  <c r="AJ221" i="3"/>
  <c r="AI221" i="3"/>
  <c r="AH221" i="3"/>
  <c r="AF221" i="3"/>
  <c r="AE221" i="3"/>
  <c r="AD221" i="3"/>
  <c r="AC221" i="3"/>
  <c r="AB221" i="3"/>
  <c r="AA221" i="3"/>
  <c r="AG221" i="3" s="1"/>
  <c r="Z221" i="3"/>
  <c r="X221" i="3"/>
  <c r="U221" i="3"/>
  <c r="T221" i="3"/>
  <c r="BH221" i="3" s="1"/>
  <c r="S221" i="3"/>
  <c r="BG221" i="3" s="1"/>
  <c r="R221" i="3"/>
  <c r="Q221" i="3"/>
  <c r="P221" i="3"/>
  <c r="O221" i="3"/>
  <c r="BI221" i="3" s="1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BF220" i="3"/>
  <c r="BE220" i="3"/>
  <c r="BD220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L220" i="3"/>
  <c r="AK220" i="3"/>
  <c r="AJ220" i="3"/>
  <c r="AI220" i="3"/>
  <c r="AH220" i="3"/>
  <c r="AF220" i="3"/>
  <c r="AE220" i="3"/>
  <c r="AD220" i="3"/>
  <c r="AC220" i="3"/>
  <c r="AB220" i="3"/>
  <c r="AA220" i="3"/>
  <c r="Z220" i="3"/>
  <c r="X220" i="3"/>
  <c r="Q220" i="3"/>
  <c r="N220" i="3"/>
  <c r="M220" i="3"/>
  <c r="L220" i="3"/>
  <c r="R220" i="3" s="1"/>
  <c r="K220" i="3"/>
  <c r="J220" i="3"/>
  <c r="I220" i="3"/>
  <c r="H220" i="3"/>
  <c r="G220" i="3"/>
  <c r="F220" i="3"/>
  <c r="E220" i="3"/>
  <c r="D220" i="3"/>
  <c r="C220" i="3"/>
  <c r="B220" i="3"/>
  <c r="A220" i="3"/>
  <c r="BD219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L219" i="3"/>
  <c r="AK219" i="3"/>
  <c r="AJ219" i="3"/>
  <c r="AI219" i="3"/>
  <c r="AH219" i="3"/>
  <c r="AE219" i="3"/>
  <c r="AD219" i="3"/>
  <c r="AC219" i="3"/>
  <c r="AB219" i="3"/>
  <c r="AA219" i="3"/>
  <c r="Z219" i="3"/>
  <c r="X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BD218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L218" i="3"/>
  <c r="AK218" i="3"/>
  <c r="AJ218" i="3"/>
  <c r="AI218" i="3"/>
  <c r="AH218" i="3"/>
  <c r="AF218" i="3" s="1"/>
  <c r="O218" i="3" s="1"/>
  <c r="AE218" i="3"/>
  <c r="AD218" i="3"/>
  <c r="AC218" i="3"/>
  <c r="AB218" i="3"/>
  <c r="AA218" i="3"/>
  <c r="Z218" i="3"/>
  <c r="X218" i="3"/>
  <c r="U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BE217" i="3"/>
  <c r="BD217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L217" i="3"/>
  <c r="AK217" i="3"/>
  <c r="AJ217" i="3"/>
  <c r="AI217" i="3"/>
  <c r="AH217" i="3"/>
  <c r="AE217" i="3"/>
  <c r="AD217" i="3"/>
  <c r="AC217" i="3"/>
  <c r="AB217" i="3"/>
  <c r="AA217" i="3"/>
  <c r="Z217" i="3"/>
  <c r="X217" i="3"/>
  <c r="T217" i="3"/>
  <c r="S217" i="3"/>
  <c r="R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BH216" i="3"/>
  <c r="BD216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L216" i="3"/>
  <c r="AK216" i="3"/>
  <c r="AJ216" i="3"/>
  <c r="AI216" i="3"/>
  <c r="AH216" i="3"/>
  <c r="AE216" i="3"/>
  <c r="AD216" i="3"/>
  <c r="AC216" i="3"/>
  <c r="AB216" i="3"/>
  <c r="AA216" i="3"/>
  <c r="Z216" i="3"/>
  <c r="X216" i="3"/>
  <c r="T216" i="3"/>
  <c r="N216" i="3"/>
  <c r="M216" i="3"/>
  <c r="L216" i="3"/>
  <c r="K216" i="3"/>
  <c r="J216" i="3"/>
  <c r="I216" i="3"/>
  <c r="H216" i="3"/>
  <c r="G216" i="3"/>
  <c r="F216" i="3"/>
  <c r="E216" i="3"/>
  <c r="D216" i="3"/>
  <c r="S216" i="3" s="1"/>
  <c r="C216" i="3"/>
  <c r="B216" i="3"/>
  <c r="A216" i="3"/>
  <c r="BH215" i="3"/>
  <c r="BD215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L215" i="3"/>
  <c r="AK215" i="3"/>
  <c r="AJ215" i="3"/>
  <c r="AF215" i="3" s="1"/>
  <c r="AI215" i="3"/>
  <c r="AH215" i="3"/>
  <c r="AE215" i="3"/>
  <c r="AD215" i="3"/>
  <c r="AC215" i="3"/>
  <c r="AB215" i="3"/>
  <c r="AA215" i="3"/>
  <c r="AG215" i="3" s="1"/>
  <c r="Z215" i="3"/>
  <c r="X215" i="3"/>
  <c r="T215" i="3"/>
  <c r="Q215" i="3"/>
  <c r="N215" i="3"/>
  <c r="P215" i="3" s="1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BF214" i="3"/>
  <c r="BD214" i="3"/>
  <c r="BC214" i="3"/>
  <c r="BB214" i="3"/>
  <c r="BA214" i="3"/>
  <c r="AZ214" i="3"/>
  <c r="AY214" i="3"/>
  <c r="AX214" i="3"/>
  <c r="AW214" i="3"/>
  <c r="AV214" i="3"/>
  <c r="AU214" i="3"/>
  <c r="AT214" i="3"/>
  <c r="AS214" i="3"/>
  <c r="AR214" i="3"/>
  <c r="AL214" i="3"/>
  <c r="AK214" i="3"/>
  <c r="AJ214" i="3"/>
  <c r="AF214" i="3" s="1"/>
  <c r="AI214" i="3"/>
  <c r="AH214" i="3"/>
  <c r="AG214" i="3"/>
  <c r="AE214" i="3"/>
  <c r="AD214" i="3"/>
  <c r="AC214" i="3"/>
  <c r="AB214" i="3"/>
  <c r="AA214" i="3"/>
  <c r="Z214" i="3"/>
  <c r="X214" i="3"/>
  <c r="R214" i="3"/>
  <c r="N214" i="3"/>
  <c r="T214" i="3" s="1"/>
  <c r="BH214" i="3" s="1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BD213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L213" i="3"/>
  <c r="AK213" i="3"/>
  <c r="AG213" i="3" s="1"/>
  <c r="P213" i="3" s="1"/>
  <c r="AJ213" i="3"/>
  <c r="AF213" i="3" s="1"/>
  <c r="O213" i="3" s="1"/>
  <c r="AI213" i="3"/>
  <c r="AH213" i="3"/>
  <c r="AE213" i="3"/>
  <c r="AD213" i="3"/>
  <c r="AC213" i="3"/>
  <c r="AB213" i="3"/>
  <c r="AA213" i="3"/>
  <c r="Z213" i="3"/>
  <c r="X213" i="3"/>
  <c r="S213" i="3"/>
  <c r="BG213" i="3" s="1"/>
  <c r="R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F213" i="3" s="1"/>
  <c r="B213" i="3"/>
  <c r="A213" i="3"/>
  <c r="BE212" i="3"/>
  <c r="BD212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L212" i="3"/>
  <c r="AK212" i="3"/>
  <c r="AJ212" i="3"/>
  <c r="AI212" i="3"/>
  <c r="AH212" i="3"/>
  <c r="AE212" i="3"/>
  <c r="AD212" i="3"/>
  <c r="AC212" i="3"/>
  <c r="AB212" i="3"/>
  <c r="AA212" i="3"/>
  <c r="Z212" i="3"/>
  <c r="X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BE211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L211" i="3"/>
  <c r="AK211" i="3"/>
  <c r="AJ211" i="3"/>
  <c r="AI211" i="3"/>
  <c r="AG211" i="3" s="1"/>
  <c r="P211" i="3" s="1"/>
  <c r="AH211" i="3"/>
  <c r="AF211" i="3"/>
  <c r="AE211" i="3"/>
  <c r="AD211" i="3"/>
  <c r="AC211" i="3"/>
  <c r="AB211" i="3"/>
  <c r="AA211" i="3"/>
  <c r="Z211" i="3"/>
  <c r="X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BD210" i="3"/>
  <c r="BC210" i="3"/>
  <c r="BB210" i="3"/>
  <c r="BA210" i="3"/>
  <c r="AZ210" i="3"/>
  <c r="AY210" i="3"/>
  <c r="AX210" i="3"/>
  <c r="AW210" i="3"/>
  <c r="AV210" i="3"/>
  <c r="AU210" i="3"/>
  <c r="AT210" i="3"/>
  <c r="AS210" i="3"/>
  <c r="AR210" i="3"/>
  <c r="AL210" i="3"/>
  <c r="AK210" i="3"/>
  <c r="AJ210" i="3"/>
  <c r="AI210" i="3"/>
  <c r="AH210" i="3"/>
  <c r="AE210" i="3"/>
  <c r="AD210" i="3"/>
  <c r="AC210" i="3"/>
  <c r="AB210" i="3"/>
  <c r="AA210" i="3"/>
  <c r="AG210" i="3" s="1"/>
  <c r="P210" i="3" s="1"/>
  <c r="Z210" i="3"/>
  <c r="X210" i="3"/>
  <c r="T210" i="3"/>
  <c r="S210" i="3"/>
  <c r="N210" i="3"/>
  <c r="M210" i="3"/>
  <c r="BG210" i="3" s="1"/>
  <c r="L210" i="3"/>
  <c r="R210" i="3" s="1"/>
  <c r="K210" i="3"/>
  <c r="J210" i="3"/>
  <c r="I210" i="3"/>
  <c r="H210" i="3"/>
  <c r="G210" i="3"/>
  <c r="F210" i="3"/>
  <c r="E210" i="3"/>
  <c r="BH210" i="3" s="1"/>
  <c r="D210" i="3"/>
  <c r="C210" i="3"/>
  <c r="B210" i="3"/>
  <c r="A210" i="3"/>
  <c r="BD209" i="3"/>
  <c r="BC209" i="3"/>
  <c r="BB209" i="3"/>
  <c r="BA209" i="3"/>
  <c r="AZ209" i="3"/>
  <c r="AY209" i="3"/>
  <c r="AX209" i="3"/>
  <c r="AW209" i="3"/>
  <c r="AV209" i="3"/>
  <c r="AU209" i="3"/>
  <c r="AT209" i="3"/>
  <c r="AS209" i="3"/>
  <c r="AR209" i="3"/>
  <c r="AL209" i="3"/>
  <c r="AK209" i="3"/>
  <c r="AJ209" i="3"/>
  <c r="AI209" i="3"/>
  <c r="AH209" i="3"/>
  <c r="AE209" i="3"/>
  <c r="AD209" i="3"/>
  <c r="AC209" i="3"/>
  <c r="R209" i="3" s="1"/>
  <c r="AB209" i="3"/>
  <c r="AA209" i="3"/>
  <c r="Z209" i="3"/>
  <c r="X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BE208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R208" i="3"/>
  <c r="AL208" i="3"/>
  <c r="AK208" i="3"/>
  <c r="AG208" i="3" s="1"/>
  <c r="AJ208" i="3"/>
  <c r="AF208" i="3" s="1"/>
  <c r="AI208" i="3"/>
  <c r="AH208" i="3"/>
  <c r="AE208" i="3"/>
  <c r="AD208" i="3"/>
  <c r="AC208" i="3"/>
  <c r="AB208" i="3"/>
  <c r="AA208" i="3"/>
  <c r="Z208" i="3"/>
  <c r="X208" i="3"/>
  <c r="R208" i="3"/>
  <c r="BF208" i="3" s="1"/>
  <c r="Q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BD207" i="3"/>
  <c r="BC207" i="3"/>
  <c r="BB207" i="3"/>
  <c r="BA207" i="3"/>
  <c r="AZ207" i="3"/>
  <c r="AY207" i="3"/>
  <c r="AX207" i="3"/>
  <c r="AW207" i="3"/>
  <c r="AV207" i="3"/>
  <c r="AU207" i="3"/>
  <c r="AT207" i="3"/>
  <c r="AS207" i="3"/>
  <c r="AR207" i="3"/>
  <c r="AL207" i="3"/>
  <c r="AK207" i="3"/>
  <c r="AJ207" i="3"/>
  <c r="AI207" i="3"/>
  <c r="AH207" i="3"/>
  <c r="AE207" i="3"/>
  <c r="AD207" i="3"/>
  <c r="AC207" i="3"/>
  <c r="AB207" i="3"/>
  <c r="AA207" i="3"/>
  <c r="Z207" i="3"/>
  <c r="X207" i="3"/>
  <c r="T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BD206" i="3"/>
  <c r="BC206" i="3"/>
  <c r="BB206" i="3"/>
  <c r="BA206" i="3"/>
  <c r="AZ206" i="3"/>
  <c r="AY206" i="3"/>
  <c r="AX206" i="3"/>
  <c r="AW206" i="3"/>
  <c r="AV206" i="3"/>
  <c r="AU206" i="3"/>
  <c r="AT206" i="3"/>
  <c r="AS206" i="3"/>
  <c r="AR206" i="3"/>
  <c r="AL206" i="3"/>
  <c r="AK206" i="3"/>
  <c r="AJ206" i="3"/>
  <c r="AI206" i="3"/>
  <c r="AH206" i="3"/>
  <c r="AE206" i="3"/>
  <c r="AD206" i="3"/>
  <c r="AC206" i="3"/>
  <c r="AG206" i="3" s="1"/>
  <c r="AB206" i="3"/>
  <c r="AA206" i="3"/>
  <c r="Z206" i="3"/>
  <c r="X206" i="3"/>
  <c r="T206" i="3"/>
  <c r="BH206" i="3" s="1"/>
  <c r="S206" i="3"/>
  <c r="BG206" i="3" s="1"/>
  <c r="R206" i="3"/>
  <c r="BF206" i="3" s="1"/>
  <c r="Q206" i="3"/>
  <c r="P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BF205" i="3"/>
  <c r="BE205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L205" i="3"/>
  <c r="AK205" i="3"/>
  <c r="AJ205" i="3"/>
  <c r="AI205" i="3"/>
  <c r="AH205" i="3"/>
  <c r="AE205" i="3"/>
  <c r="AD205" i="3"/>
  <c r="AC205" i="3"/>
  <c r="AB205" i="3"/>
  <c r="AA205" i="3"/>
  <c r="AF205" i="3" s="1"/>
  <c r="Z205" i="3"/>
  <c r="X205" i="3"/>
  <c r="Q205" i="3"/>
  <c r="N205" i="3"/>
  <c r="T205" i="3" s="1"/>
  <c r="M205" i="3"/>
  <c r="L205" i="3"/>
  <c r="R205" i="3" s="1"/>
  <c r="K205" i="3"/>
  <c r="J205" i="3"/>
  <c r="I205" i="3"/>
  <c r="H205" i="3"/>
  <c r="G205" i="3"/>
  <c r="F205" i="3"/>
  <c r="E205" i="3"/>
  <c r="D205" i="3"/>
  <c r="C205" i="3"/>
  <c r="B205" i="3"/>
  <c r="A205" i="3"/>
  <c r="BE204" i="3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L204" i="3"/>
  <c r="AK204" i="3"/>
  <c r="AJ204" i="3"/>
  <c r="AI204" i="3"/>
  <c r="AG204" i="3" s="1"/>
  <c r="AH204" i="3"/>
  <c r="AF204" i="3"/>
  <c r="AE204" i="3"/>
  <c r="AD204" i="3"/>
  <c r="AC204" i="3"/>
  <c r="AB204" i="3"/>
  <c r="AA204" i="3"/>
  <c r="Z204" i="3"/>
  <c r="X204" i="3"/>
  <c r="N204" i="3"/>
  <c r="M204" i="3"/>
  <c r="L204" i="3"/>
  <c r="K204" i="3"/>
  <c r="J204" i="3"/>
  <c r="I204" i="3"/>
  <c r="H204" i="3"/>
  <c r="G204" i="3"/>
  <c r="F204" i="3"/>
  <c r="E204" i="3"/>
  <c r="T204" i="3" s="1"/>
  <c r="D204" i="3"/>
  <c r="C204" i="3"/>
  <c r="B204" i="3"/>
  <c r="A204" i="3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L203" i="3"/>
  <c r="AK203" i="3"/>
  <c r="AJ203" i="3"/>
  <c r="AI203" i="3"/>
  <c r="AH203" i="3"/>
  <c r="AE203" i="3"/>
  <c r="AD203" i="3"/>
  <c r="AC203" i="3"/>
  <c r="AB203" i="3"/>
  <c r="AA203" i="3"/>
  <c r="Z203" i="3"/>
  <c r="X203" i="3"/>
  <c r="Q203" i="3"/>
  <c r="N203" i="3"/>
  <c r="M203" i="3"/>
  <c r="L203" i="3"/>
  <c r="K203" i="3"/>
  <c r="J203" i="3"/>
  <c r="I203" i="3"/>
  <c r="H203" i="3"/>
  <c r="G203" i="3"/>
  <c r="F203" i="3"/>
  <c r="E203" i="3"/>
  <c r="T203" i="3" s="1"/>
  <c r="D203" i="3"/>
  <c r="C203" i="3"/>
  <c r="B203" i="3"/>
  <c r="A203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L202" i="3"/>
  <c r="AK202" i="3"/>
  <c r="AJ202" i="3"/>
  <c r="AI202" i="3"/>
  <c r="AH202" i="3"/>
  <c r="AE202" i="3"/>
  <c r="AD202" i="3"/>
  <c r="AC202" i="3"/>
  <c r="AB202" i="3"/>
  <c r="AA202" i="3"/>
  <c r="Z202" i="3"/>
  <c r="X202" i="3"/>
  <c r="R202" i="3"/>
  <c r="Q202" i="3"/>
  <c r="N202" i="3"/>
  <c r="M202" i="3"/>
  <c r="L202" i="3"/>
  <c r="K202" i="3"/>
  <c r="J202" i="3"/>
  <c r="I202" i="3"/>
  <c r="H202" i="3"/>
  <c r="G202" i="3"/>
  <c r="F202" i="3"/>
  <c r="E202" i="3"/>
  <c r="D202" i="3"/>
  <c r="S202" i="3" s="1"/>
  <c r="C202" i="3"/>
  <c r="BF202" i="3" s="1"/>
  <c r="B202" i="3"/>
  <c r="A202" i="3"/>
  <c r="BF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L201" i="3"/>
  <c r="AK201" i="3"/>
  <c r="AG201" i="3" s="1"/>
  <c r="AJ201" i="3"/>
  <c r="AI201" i="3"/>
  <c r="AH201" i="3"/>
  <c r="AE201" i="3"/>
  <c r="AD201" i="3"/>
  <c r="AC201" i="3"/>
  <c r="AB201" i="3"/>
  <c r="AA201" i="3"/>
  <c r="Z201" i="3"/>
  <c r="X201" i="3"/>
  <c r="R201" i="3"/>
  <c r="P201" i="3"/>
  <c r="N201" i="3"/>
  <c r="M201" i="3"/>
  <c r="L201" i="3"/>
  <c r="K201" i="3"/>
  <c r="J201" i="3"/>
  <c r="I201" i="3"/>
  <c r="H201" i="3"/>
  <c r="G201" i="3"/>
  <c r="F201" i="3"/>
  <c r="E201" i="3"/>
  <c r="D201" i="3"/>
  <c r="S201" i="3" s="1"/>
  <c r="BG201" i="3" s="1"/>
  <c r="C201" i="3"/>
  <c r="B201" i="3"/>
  <c r="A201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L200" i="3"/>
  <c r="AK200" i="3"/>
  <c r="AG200" i="3" s="1"/>
  <c r="P200" i="3" s="1"/>
  <c r="AJ200" i="3"/>
  <c r="AI200" i="3"/>
  <c r="AH200" i="3"/>
  <c r="AE200" i="3"/>
  <c r="AD200" i="3"/>
  <c r="AC200" i="3"/>
  <c r="AB200" i="3"/>
  <c r="AA200" i="3"/>
  <c r="AF200" i="3" s="1"/>
  <c r="Z200" i="3"/>
  <c r="X200" i="3"/>
  <c r="T200" i="3"/>
  <c r="BH200" i="3" s="1"/>
  <c r="S200" i="3"/>
  <c r="N200" i="3"/>
  <c r="M200" i="3"/>
  <c r="O200" i="3" s="1"/>
  <c r="L200" i="3"/>
  <c r="K200" i="3"/>
  <c r="BE200" i="3" s="1"/>
  <c r="J200" i="3"/>
  <c r="I200" i="3"/>
  <c r="H200" i="3"/>
  <c r="G200" i="3"/>
  <c r="F200" i="3"/>
  <c r="E200" i="3"/>
  <c r="D200" i="3"/>
  <c r="C200" i="3"/>
  <c r="B200" i="3"/>
  <c r="A200" i="3"/>
  <c r="BH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L199" i="3"/>
  <c r="AK199" i="3"/>
  <c r="AJ199" i="3"/>
  <c r="AI199" i="3"/>
  <c r="AH199" i="3"/>
  <c r="AF199" i="3" s="1"/>
  <c r="AE199" i="3"/>
  <c r="AD199" i="3"/>
  <c r="AC199" i="3"/>
  <c r="AB199" i="3"/>
  <c r="AA199" i="3"/>
  <c r="Z199" i="3"/>
  <c r="X199" i="3"/>
  <c r="T199" i="3"/>
  <c r="S199" i="3"/>
  <c r="Q199" i="3"/>
  <c r="N199" i="3"/>
  <c r="M199" i="3"/>
  <c r="BG199" i="3" s="1"/>
  <c r="L199" i="3"/>
  <c r="K199" i="3"/>
  <c r="J199" i="3"/>
  <c r="I199" i="3"/>
  <c r="H199" i="3"/>
  <c r="G199" i="3"/>
  <c r="F199" i="3"/>
  <c r="E199" i="3"/>
  <c r="D199" i="3"/>
  <c r="C199" i="3"/>
  <c r="B199" i="3"/>
  <c r="A199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L198" i="3"/>
  <c r="AK198" i="3"/>
  <c r="AJ198" i="3"/>
  <c r="AI198" i="3"/>
  <c r="AH198" i="3"/>
  <c r="AE198" i="3"/>
  <c r="AD198" i="3"/>
  <c r="AC198" i="3"/>
  <c r="AB198" i="3"/>
  <c r="AA198" i="3"/>
  <c r="Z198" i="3"/>
  <c r="X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L197" i="3"/>
  <c r="AK197" i="3"/>
  <c r="AJ197" i="3"/>
  <c r="AF197" i="3" s="1"/>
  <c r="O197" i="3" s="1"/>
  <c r="AI197" i="3"/>
  <c r="AG197" i="3" s="1"/>
  <c r="AH197" i="3"/>
  <c r="AE197" i="3"/>
  <c r="AD197" i="3"/>
  <c r="AC197" i="3"/>
  <c r="AB197" i="3"/>
  <c r="AA197" i="3"/>
  <c r="Z197" i="3"/>
  <c r="X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L196" i="3"/>
  <c r="AK196" i="3"/>
  <c r="AJ196" i="3"/>
  <c r="AI196" i="3"/>
  <c r="AH196" i="3"/>
  <c r="AF196" i="3" s="1"/>
  <c r="O196" i="3" s="1"/>
  <c r="AG196" i="3"/>
  <c r="P196" i="3" s="1"/>
  <c r="AE196" i="3"/>
  <c r="AD196" i="3"/>
  <c r="AC196" i="3"/>
  <c r="AB196" i="3"/>
  <c r="AA196" i="3"/>
  <c r="Z196" i="3"/>
  <c r="X196" i="3"/>
  <c r="U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L195" i="3"/>
  <c r="AK195" i="3"/>
  <c r="AJ195" i="3"/>
  <c r="AI195" i="3"/>
  <c r="AH195" i="3"/>
  <c r="AE195" i="3"/>
  <c r="AD195" i="3"/>
  <c r="AC195" i="3"/>
  <c r="AB195" i="3"/>
  <c r="AA195" i="3"/>
  <c r="Z195" i="3"/>
  <c r="X195" i="3"/>
  <c r="N195" i="3"/>
  <c r="M195" i="3"/>
  <c r="L195" i="3"/>
  <c r="K195" i="3"/>
  <c r="J195" i="3"/>
  <c r="I195" i="3"/>
  <c r="H195" i="3"/>
  <c r="G195" i="3"/>
  <c r="F195" i="3"/>
  <c r="E195" i="3"/>
  <c r="D195" i="3"/>
  <c r="S195" i="3" s="1"/>
  <c r="C195" i="3"/>
  <c r="B195" i="3"/>
  <c r="A195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L194" i="3"/>
  <c r="AK194" i="3"/>
  <c r="AJ194" i="3"/>
  <c r="AI194" i="3"/>
  <c r="AH194" i="3"/>
  <c r="AF194" i="3"/>
  <c r="O194" i="3" s="1"/>
  <c r="U194" i="3" s="1"/>
  <c r="AE194" i="3"/>
  <c r="AD194" i="3"/>
  <c r="AC194" i="3"/>
  <c r="AB194" i="3"/>
  <c r="AA194" i="3"/>
  <c r="AG194" i="3" s="1"/>
  <c r="P194" i="3" s="1"/>
  <c r="V194" i="3" s="1"/>
  <c r="Z194" i="3"/>
  <c r="X194" i="3"/>
  <c r="Q194" i="3"/>
  <c r="N194" i="3"/>
  <c r="M194" i="3"/>
  <c r="L194" i="3"/>
  <c r="K194" i="3"/>
  <c r="J194" i="3"/>
  <c r="I194" i="3"/>
  <c r="H194" i="3"/>
  <c r="G194" i="3"/>
  <c r="F194" i="3"/>
  <c r="E194" i="3"/>
  <c r="D194" i="3"/>
  <c r="S194" i="3" s="1"/>
  <c r="BG194" i="3" s="1"/>
  <c r="C194" i="3"/>
  <c r="B194" i="3"/>
  <c r="A194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L193" i="3"/>
  <c r="AK193" i="3"/>
  <c r="AJ193" i="3"/>
  <c r="AF193" i="3" s="1"/>
  <c r="AI193" i="3"/>
  <c r="AH193" i="3"/>
  <c r="AE193" i="3"/>
  <c r="AD193" i="3"/>
  <c r="AC193" i="3"/>
  <c r="BH193" i="3" s="1"/>
  <c r="AB193" i="3"/>
  <c r="AA193" i="3"/>
  <c r="AG193" i="3" s="1"/>
  <c r="P193" i="3" s="1"/>
  <c r="BJ193" i="3" s="1"/>
  <c r="Z193" i="3"/>
  <c r="X193" i="3"/>
  <c r="V193" i="3"/>
  <c r="T193" i="3"/>
  <c r="S193" i="3"/>
  <c r="Q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BH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L192" i="3"/>
  <c r="AK192" i="3"/>
  <c r="AJ192" i="3"/>
  <c r="AF192" i="3" s="1"/>
  <c r="AI192" i="3"/>
  <c r="AG192" i="3" s="1"/>
  <c r="AH192" i="3"/>
  <c r="AE192" i="3"/>
  <c r="AD192" i="3"/>
  <c r="AC192" i="3"/>
  <c r="AB192" i="3"/>
  <c r="AA192" i="3"/>
  <c r="Z192" i="3"/>
  <c r="X192" i="3"/>
  <c r="S192" i="3"/>
  <c r="R192" i="3"/>
  <c r="Q192" i="3"/>
  <c r="N192" i="3"/>
  <c r="T192" i="3" s="1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L191" i="3"/>
  <c r="AK191" i="3"/>
  <c r="AJ191" i="3"/>
  <c r="AI191" i="3"/>
  <c r="AH191" i="3"/>
  <c r="AG191" i="3"/>
  <c r="P191" i="3" s="1"/>
  <c r="AF191" i="3"/>
  <c r="AE191" i="3"/>
  <c r="AD191" i="3"/>
  <c r="AC191" i="3"/>
  <c r="AB191" i="3"/>
  <c r="AA191" i="3"/>
  <c r="Z191" i="3"/>
  <c r="X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L190" i="3"/>
  <c r="AK190" i="3"/>
  <c r="AJ190" i="3"/>
  <c r="AI190" i="3"/>
  <c r="AH190" i="3"/>
  <c r="AE190" i="3"/>
  <c r="AD190" i="3"/>
  <c r="AC190" i="3"/>
  <c r="AB190" i="3"/>
  <c r="AA190" i="3"/>
  <c r="Z190" i="3"/>
  <c r="X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L189" i="3"/>
  <c r="AK189" i="3"/>
  <c r="AJ189" i="3"/>
  <c r="AI189" i="3"/>
  <c r="AH189" i="3"/>
  <c r="AE189" i="3"/>
  <c r="AD189" i="3"/>
  <c r="AC189" i="3"/>
  <c r="AB189" i="3"/>
  <c r="AA189" i="3"/>
  <c r="Z189" i="3"/>
  <c r="X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L188" i="3"/>
  <c r="AK188" i="3"/>
  <c r="AJ188" i="3"/>
  <c r="AI188" i="3"/>
  <c r="AH188" i="3"/>
  <c r="AE188" i="3"/>
  <c r="AD188" i="3"/>
  <c r="AC188" i="3"/>
  <c r="AF188" i="3" s="1"/>
  <c r="AB188" i="3"/>
  <c r="AA188" i="3"/>
  <c r="Z188" i="3"/>
  <c r="X188" i="3"/>
  <c r="S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L187" i="3"/>
  <c r="AK187" i="3"/>
  <c r="AJ187" i="3"/>
  <c r="AI187" i="3"/>
  <c r="AG187" i="3" s="1"/>
  <c r="P187" i="3" s="1"/>
  <c r="V187" i="3" s="1"/>
  <c r="AH187" i="3"/>
  <c r="AF187" i="3"/>
  <c r="AE187" i="3"/>
  <c r="AD187" i="3"/>
  <c r="AC187" i="3"/>
  <c r="AB187" i="3"/>
  <c r="AA187" i="3"/>
  <c r="Z187" i="3"/>
  <c r="X187" i="3"/>
  <c r="R187" i="3"/>
  <c r="Q187" i="3"/>
  <c r="N187" i="3"/>
  <c r="M187" i="3"/>
  <c r="L187" i="3"/>
  <c r="BF187" i="3" s="1"/>
  <c r="K187" i="3"/>
  <c r="J187" i="3"/>
  <c r="I187" i="3"/>
  <c r="H187" i="3"/>
  <c r="G187" i="3"/>
  <c r="F187" i="3"/>
  <c r="E187" i="3"/>
  <c r="D187" i="3"/>
  <c r="C187" i="3"/>
  <c r="B187" i="3"/>
  <c r="A187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L186" i="3"/>
  <c r="AK186" i="3"/>
  <c r="AJ186" i="3"/>
  <c r="AF186" i="3" s="1"/>
  <c r="AI186" i="3"/>
  <c r="AH186" i="3"/>
  <c r="AE186" i="3"/>
  <c r="AD186" i="3"/>
  <c r="AC186" i="3"/>
  <c r="AB186" i="3"/>
  <c r="AA186" i="3"/>
  <c r="Z186" i="3"/>
  <c r="X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BI185" i="3"/>
  <c r="BG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L185" i="3"/>
  <c r="AK185" i="3"/>
  <c r="AG185" i="3" s="1"/>
  <c r="AJ185" i="3"/>
  <c r="AI185" i="3"/>
  <c r="AH185" i="3"/>
  <c r="AE185" i="3"/>
  <c r="AD185" i="3"/>
  <c r="AC185" i="3"/>
  <c r="R185" i="3" s="1"/>
  <c r="BF185" i="3" s="1"/>
  <c r="AB185" i="3"/>
  <c r="AA185" i="3"/>
  <c r="AF185" i="3" s="1"/>
  <c r="O185" i="3" s="1"/>
  <c r="U185" i="3" s="1"/>
  <c r="Z185" i="3"/>
  <c r="X185" i="3"/>
  <c r="T185" i="3"/>
  <c r="S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BD184" i="3"/>
  <c r="BC184" i="3"/>
  <c r="BB184" i="3"/>
  <c r="BA184" i="3"/>
  <c r="AZ184" i="3"/>
  <c r="AY184" i="3"/>
  <c r="AX184" i="3"/>
  <c r="AW184" i="3"/>
  <c r="AV184" i="3"/>
  <c r="AU184" i="3"/>
  <c r="AT184" i="3"/>
  <c r="AS184" i="3"/>
  <c r="AR184" i="3"/>
  <c r="AL184" i="3"/>
  <c r="AK184" i="3"/>
  <c r="AJ184" i="3"/>
  <c r="AI184" i="3"/>
  <c r="AH184" i="3"/>
  <c r="AE184" i="3"/>
  <c r="AD184" i="3"/>
  <c r="AC184" i="3"/>
  <c r="Q184" i="3" s="1"/>
  <c r="AB184" i="3"/>
  <c r="AA184" i="3"/>
  <c r="Z184" i="3"/>
  <c r="X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BF183" i="3"/>
  <c r="BE183" i="3"/>
  <c r="BD183" i="3"/>
  <c r="BC183" i="3"/>
  <c r="BB183" i="3"/>
  <c r="BA183" i="3"/>
  <c r="AZ183" i="3"/>
  <c r="AY183" i="3"/>
  <c r="AX183" i="3"/>
  <c r="AW183" i="3"/>
  <c r="AV183" i="3"/>
  <c r="AU183" i="3"/>
  <c r="AT183" i="3"/>
  <c r="AS183" i="3"/>
  <c r="AR183" i="3"/>
  <c r="AL183" i="3"/>
  <c r="AK183" i="3"/>
  <c r="AJ183" i="3"/>
  <c r="AI183" i="3"/>
  <c r="AH183" i="3"/>
  <c r="AE183" i="3"/>
  <c r="AD183" i="3"/>
  <c r="AC183" i="3"/>
  <c r="AB183" i="3"/>
  <c r="AA183" i="3"/>
  <c r="Z183" i="3"/>
  <c r="X183" i="3"/>
  <c r="Q183" i="3"/>
  <c r="N183" i="3"/>
  <c r="M183" i="3"/>
  <c r="S183" i="3" s="1"/>
  <c r="L183" i="3"/>
  <c r="R183" i="3" s="1"/>
  <c r="K183" i="3"/>
  <c r="J183" i="3"/>
  <c r="I183" i="3"/>
  <c r="H183" i="3"/>
  <c r="G183" i="3"/>
  <c r="F183" i="3"/>
  <c r="E183" i="3"/>
  <c r="D183" i="3"/>
  <c r="C183" i="3"/>
  <c r="B183" i="3"/>
  <c r="A183" i="3"/>
  <c r="BF182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L182" i="3"/>
  <c r="AK182" i="3"/>
  <c r="AJ182" i="3"/>
  <c r="AI182" i="3"/>
  <c r="AH182" i="3"/>
  <c r="AG182" i="3"/>
  <c r="AE182" i="3"/>
  <c r="AD182" i="3"/>
  <c r="AC182" i="3"/>
  <c r="AB182" i="3"/>
  <c r="AA182" i="3"/>
  <c r="Z182" i="3"/>
  <c r="X182" i="3"/>
  <c r="R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L181" i="3"/>
  <c r="AK181" i="3"/>
  <c r="AJ181" i="3"/>
  <c r="AI181" i="3"/>
  <c r="AH181" i="3"/>
  <c r="AE181" i="3"/>
  <c r="AD181" i="3"/>
  <c r="AC181" i="3"/>
  <c r="T181" i="3" s="1"/>
  <c r="AB181" i="3"/>
  <c r="AA181" i="3"/>
  <c r="Z181" i="3"/>
  <c r="X181" i="3"/>
  <c r="Q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L180" i="3"/>
  <c r="AK180" i="3"/>
  <c r="AJ180" i="3"/>
  <c r="AI180" i="3"/>
  <c r="AH180" i="3"/>
  <c r="AE180" i="3"/>
  <c r="AD180" i="3"/>
  <c r="AC180" i="3"/>
  <c r="AG180" i="3" s="1"/>
  <c r="AB180" i="3"/>
  <c r="AA180" i="3"/>
  <c r="Z180" i="3"/>
  <c r="X180" i="3"/>
  <c r="N180" i="3"/>
  <c r="M180" i="3"/>
  <c r="L180" i="3"/>
  <c r="R180" i="3" s="1"/>
  <c r="K180" i="3"/>
  <c r="J180" i="3"/>
  <c r="I180" i="3"/>
  <c r="H180" i="3"/>
  <c r="G180" i="3"/>
  <c r="F180" i="3"/>
  <c r="E180" i="3"/>
  <c r="D180" i="3"/>
  <c r="S180" i="3" s="1"/>
  <c r="C180" i="3"/>
  <c r="B180" i="3"/>
  <c r="A180" i="3"/>
  <c r="BH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L179" i="3"/>
  <c r="AK179" i="3"/>
  <c r="AJ179" i="3"/>
  <c r="AI179" i="3"/>
  <c r="AH179" i="3"/>
  <c r="AE179" i="3"/>
  <c r="AD179" i="3"/>
  <c r="AC179" i="3"/>
  <c r="AB179" i="3"/>
  <c r="AA179" i="3"/>
  <c r="AF179" i="3" s="1"/>
  <c r="O179" i="3" s="1"/>
  <c r="Z179" i="3"/>
  <c r="X179" i="3"/>
  <c r="U179" i="3"/>
  <c r="R179" i="3"/>
  <c r="BF179" i="3" s="1"/>
  <c r="Q179" i="3"/>
  <c r="N179" i="3"/>
  <c r="T179" i="3" s="1"/>
  <c r="M179" i="3"/>
  <c r="L179" i="3"/>
  <c r="K179" i="3"/>
  <c r="J179" i="3"/>
  <c r="I179" i="3"/>
  <c r="H179" i="3"/>
  <c r="G179" i="3"/>
  <c r="F179" i="3"/>
  <c r="E179" i="3"/>
  <c r="D179" i="3"/>
  <c r="S179" i="3" s="1"/>
  <c r="C179" i="3"/>
  <c r="B179" i="3"/>
  <c r="A179" i="3"/>
  <c r="BH178" i="3"/>
  <c r="BG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L178" i="3"/>
  <c r="AK178" i="3"/>
  <c r="AJ178" i="3"/>
  <c r="AI178" i="3"/>
  <c r="AH178" i="3"/>
  <c r="AE178" i="3"/>
  <c r="AD178" i="3"/>
  <c r="AC178" i="3"/>
  <c r="AB178" i="3"/>
  <c r="AA178" i="3"/>
  <c r="Z178" i="3"/>
  <c r="X178" i="3"/>
  <c r="S178" i="3"/>
  <c r="N178" i="3"/>
  <c r="M178" i="3"/>
  <c r="L178" i="3"/>
  <c r="R178" i="3" s="1"/>
  <c r="K178" i="3"/>
  <c r="J178" i="3"/>
  <c r="I178" i="3"/>
  <c r="H178" i="3"/>
  <c r="G178" i="3"/>
  <c r="F178" i="3"/>
  <c r="E178" i="3"/>
  <c r="D178" i="3"/>
  <c r="C178" i="3"/>
  <c r="B178" i="3"/>
  <c r="A178" i="3"/>
  <c r="BH177" i="3"/>
  <c r="BF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L177" i="3"/>
  <c r="AK177" i="3"/>
  <c r="AJ177" i="3"/>
  <c r="AI177" i="3"/>
  <c r="AH177" i="3"/>
  <c r="AF177" i="3" s="1"/>
  <c r="AG177" i="3"/>
  <c r="AE177" i="3"/>
  <c r="AD177" i="3"/>
  <c r="AC177" i="3"/>
  <c r="AB177" i="3"/>
  <c r="AA177" i="3"/>
  <c r="Z177" i="3"/>
  <c r="X177" i="3"/>
  <c r="S177" i="3"/>
  <c r="N177" i="3"/>
  <c r="M177" i="3"/>
  <c r="L177" i="3"/>
  <c r="R177" i="3" s="1"/>
  <c r="K177" i="3"/>
  <c r="J177" i="3"/>
  <c r="I177" i="3"/>
  <c r="H177" i="3"/>
  <c r="G177" i="3"/>
  <c r="F177" i="3"/>
  <c r="E177" i="3"/>
  <c r="D177" i="3"/>
  <c r="C177" i="3"/>
  <c r="B177" i="3"/>
  <c r="A177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L176" i="3"/>
  <c r="AK176" i="3"/>
  <c r="AJ176" i="3"/>
  <c r="AI176" i="3"/>
  <c r="AH176" i="3"/>
  <c r="AE176" i="3"/>
  <c r="AD176" i="3"/>
  <c r="AC176" i="3"/>
  <c r="BF176" i="3" s="1"/>
  <c r="AB176" i="3"/>
  <c r="AA176" i="3"/>
  <c r="AG176" i="3" s="1"/>
  <c r="P176" i="3" s="1"/>
  <c r="Z176" i="3"/>
  <c r="X176" i="3"/>
  <c r="R176" i="3"/>
  <c r="N176" i="3"/>
  <c r="T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Q176" i="3" s="1"/>
  <c r="A176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L175" i="3"/>
  <c r="AK175" i="3"/>
  <c r="AG175" i="3" s="1"/>
  <c r="AJ175" i="3"/>
  <c r="AF175" i="3" s="1"/>
  <c r="AI175" i="3"/>
  <c r="AH175" i="3"/>
  <c r="AE175" i="3"/>
  <c r="AD175" i="3"/>
  <c r="AC175" i="3"/>
  <c r="AB175" i="3"/>
  <c r="AA175" i="3"/>
  <c r="Z175" i="3"/>
  <c r="X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175" i="3"/>
  <c r="BG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L174" i="3"/>
  <c r="AK174" i="3"/>
  <c r="AJ174" i="3"/>
  <c r="AI174" i="3"/>
  <c r="AH174" i="3"/>
  <c r="AF174" i="3"/>
  <c r="AE174" i="3"/>
  <c r="AD174" i="3"/>
  <c r="AC174" i="3"/>
  <c r="AB174" i="3"/>
  <c r="AA174" i="3"/>
  <c r="AG174" i="3" s="1"/>
  <c r="Z174" i="3"/>
  <c r="X174" i="3"/>
  <c r="R174" i="3"/>
  <c r="BF174" i="3" s="1"/>
  <c r="O174" i="3"/>
  <c r="N174" i="3"/>
  <c r="M174" i="3"/>
  <c r="L174" i="3"/>
  <c r="K174" i="3"/>
  <c r="J174" i="3"/>
  <c r="I174" i="3"/>
  <c r="H174" i="3"/>
  <c r="G174" i="3"/>
  <c r="F174" i="3"/>
  <c r="E174" i="3"/>
  <c r="D174" i="3"/>
  <c r="S174" i="3" s="1"/>
  <c r="C174" i="3"/>
  <c r="B174" i="3"/>
  <c r="A174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L173" i="3"/>
  <c r="AK173" i="3"/>
  <c r="AJ173" i="3"/>
  <c r="AI173" i="3"/>
  <c r="AH173" i="3"/>
  <c r="AE173" i="3"/>
  <c r="AD173" i="3"/>
  <c r="AC173" i="3"/>
  <c r="AB173" i="3"/>
  <c r="AA173" i="3"/>
  <c r="AF173" i="3" s="1"/>
  <c r="Z173" i="3"/>
  <c r="X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L172" i="3"/>
  <c r="AK172" i="3"/>
  <c r="AJ172" i="3"/>
  <c r="AI172" i="3"/>
  <c r="AH172" i="3"/>
  <c r="AE172" i="3"/>
  <c r="AD172" i="3"/>
  <c r="AC172" i="3"/>
  <c r="AB172" i="3"/>
  <c r="AA172" i="3"/>
  <c r="Z172" i="3"/>
  <c r="X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R172" i="3" s="1"/>
  <c r="B172" i="3"/>
  <c r="Q172" i="3" s="1"/>
  <c r="A172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L171" i="3"/>
  <c r="AK171" i="3"/>
  <c r="AJ171" i="3"/>
  <c r="AI171" i="3"/>
  <c r="AH171" i="3"/>
  <c r="AE171" i="3"/>
  <c r="AD171" i="3"/>
  <c r="AC171" i="3"/>
  <c r="AB171" i="3"/>
  <c r="AA171" i="3"/>
  <c r="Z171" i="3"/>
  <c r="X171" i="3"/>
  <c r="T171" i="3"/>
  <c r="S171" i="3"/>
  <c r="Q171" i="3"/>
  <c r="N171" i="3"/>
  <c r="M171" i="3"/>
  <c r="BG171" i="3" s="1"/>
  <c r="L171" i="3"/>
  <c r="K171" i="3"/>
  <c r="J171" i="3"/>
  <c r="I171" i="3"/>
  <c r="H171" i="3"/>
  <c r="G171" i="3"/>
  <c r="F171" i="3"/>
  <c r="E171" i="3"/>
  <c r="D171" i="3"/>
  <c r="C171" i="3"/>
  <c r="B171" i="3"/>
  <c r="A171" i="3"/>
  <c r="BJ170" i="3"/>
  <c r="BH170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L170" i="3"/>
  <c r="AK170" i="3"/>
  <c r="AG170" i="3" s="1"/>
  <c r="AJ170" i="3"/>
  <c r="AF170" i="3" s="1"/>
  <c r="AI170" i="3"/>
  <c r="AH170" i="3"/>
  <c r="AE170" i="3"/>
  <c r="AD170" i="3"/>
  <c r="AC170" i="3"/>
  <c r="AB170" i="3"/>
  <c r="AA170" i="3"/>
  <c r="Z170" i="3"/>
  <c r="X170" i="3"/>
  <c r="R170" i="3"/>
  <c r="BF170" i="3" s="1"/>
  <c r="Q170" i="3"/>
  <c r="P170" i="3"/>
  <c r="V170" i="3" s="1"/>
  <c r="O170" i="3"/>
  <c r="N170" i="3"/>
  <c r="T170" i="3" s="1"/>
  <c r="M170" i="3"/>
  <c r="S170" i="3" s="1"/>
  <c r="BG170" i="3" s="1"/>
  <c r="L170" i="3"/>
  <c r="K170" i="3"/>
  <c r="J170" i="3"/>
  <c r="I170" i="3"/>
  <c r="H170" i="3"/>
  <c r="G170" i="3"/>
  <c r="F170" i="3"/>
  <c r="E170" i="3"/>
  <c r="D170" i="3"/>
  <c r="C170" i="3"/>
  <c r="B170" i="3"/>
  <c r="A170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L169" i="3"/>
  <c r="AK169" i="3"/>
  <c r="AJ169" i="3"/>
  <c r="AI169" i="3"/>
  <c r="AH169" i="3"/>
  <c r="AE169" i="3"/>
  <c r="AD169" i="3"/>
  <c r="AC169" i="3"/>
  <c r="R169" i="3" s="1"/>
  <c r="AB169" i="3"/>
  <c r="AA169" i="3"/>
  <c r="Z169" i="3"/>
  <c r="X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L168" i="3"/>
  <c r="AK168" i="3"/>
  <c r="AJ168" i="3"/>
  <c r="AI168" i="3"/>
  <c r="AH168" i="3"/>
  <c r="AG168" i="3"/>
  <c r="P168" i="3" s="1"/>
  <c r="BJ168" i="3" s="1"/>
  <c r="AE168" i="3"/>
  <c r="AD168" i="3"/>
  <c r="AC168" i="3"/>
  <c r="AB168" i="3"/>
  <c r="AA168" i="3"/>
  <c r="Z168" i="3"/>
  <c r="X168" i="3"/>
  <c r="V168" i="3"/>
  <c r="S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R168" i="3" s="1"/>
  <c r="B168" i="3"/>
  <c r="A168" i="3"/>
  <c r="BH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L167" i="3"/>
  <c r="AK167" i="3"/>
  <c r="AJ167" i="3"/>
  <c r="AI167" i="3"/>
  <c r="AH167" i="3"/>
  <c r="AF167" i="3"/>
  <c r="AE167" i="3"/>
  <c r="AD167" i="3"/>
  <c r="AC167" i="3"/>
  <c r="AB167" i="3"/>
  <c r="AA167" i="3"/>
  <c r="Z167" i="3"/>
  <c r="X167" i="3"/>
  <c r="S167" i="3"/>
  <c r="R167" i="3"/>
  <c r="Q167" i="3"/>
  <c r="N167" i="3"/>
  <c r="M167" i="3"/>
  <c r="O167" i="3" s="1"/>
  <c r="L167" i="3"/>
  <c r="K167" i="3"/>
  <c r="J167" i="3"/>
  <c r="I167" i="3"/>
  <c r="H167" i="3"/>
  <c r="G167" i="3"/>
  <c r="F167" i="3"/>
  <c r="E167" i="3"/>
  <c r="T167" i="3" s="1"/>
  <c r="D167" i="3"/>
  <c r="C167" i="3"/>
  <c r="B167" i="3"/>
  <c r="BE167" i="3" s="1"/>
  <c r="A167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L166" i="3"/>
  <c r="AK166" i="3"/>
  <c r="AJ166" i="3"/>
  <c r="AI166" i="3"/>
  <c r="AH166" i="3"/>
  <c r="AF166" i="3"/>
  <c r="O166" i="3" s="1"/>
  <c r="AE166" i="3"/>
  <c r="AD166" i="3"/>
  <c r="AC166" i="3"/>
  <c r="AB166" i="3"/>
  <c r="AA166" i="3"/>
  <c r="Z166" i="3"/>
  <c r="X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L165" i="3"/>
  <c r="AK165" i="3"/>
  <c r="AJ165" i="3"/>
  <c r="AI165" i="3"/>
  <c r="AH165" i="3"/>
  <c r="AF165" i="3"/>
  <c r="AE165" i="3"/>
  <c r="AD165" i="3"/>
  <c r="AC165" i="3"/>
  <c r="AB165" i="3"/>
  <c r="AA165" i="3"/>
  <c r="AG165" i="3" s="1"/>
  <c r="P165" i="3" s="1"/>
  <c r="V165" i="3" s="1"/>
  <c r="Z165" i="3"/>
  <c r="X165" i="3"/>
  <c r="Q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R165" i="3" s="1"/>
  <c r="B165" i="3"/>
  <c r="A165" i="3"/>
  <c r="BH164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R164" i="3"/>
  <c r="AL164" i="3"/>
  <c r="AK164" i="3"/>
  <c r="AJ164" i="3"/>
  <c r="AI164" i="3"/>
  <c r="AG164" i="3" s="1"/>
  <c r="P164" i="3" s="1"/>
  <c r="AH164" i="3"/>
  <c r="AE164" i="3"/>
  <c r="AD164" i="3"/>
  <c r="AC164" i="3"/>
  <c r="AB164" i="3"/>
  <c r="AA164" i="3"/>
  <c r="Z164" i="3"/>
  <c r="X164" i="3"/>
  <c r="T164" i="3"/>
  <c r="S164" i="3"/>
  <c r="R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BH163" i="3"/>
  <c r="BD163" i="3"/>
  <c r="BC163" i="3"/>
  <c r="BB163" i="3"/>
  <c r="BA163" i="3"/>
  <c r="AZ163" i="3"/>
  <c r="AY163" i="3"/>
  <c r="AX163" i="3"/>
  <c r="AW163" i="3"/>
  <c r="AV163" i="3"/>
  <c r="AU163" i="3"/>
  <c r="AT163" i="3"/>
  <c r="AS163" i="3"/>
  <c r="AR163" i="3"/>
  <c r="AL163" i="3"/>
  <c r="AK163" i="3"/>
  <c r="AJ163" i="3"/>
  <c r="AI163" i="3"/>
  <c r="AH163" i="3"/>
  <c r="AF163" i="3"/>
  <c r="AE163" i="3"/>
  <c r="AD163" i="3"/>
  <c r="AC163" i="3"/>
  <c r="AB163" i="3"/>
  <c r="AA163" i="3"/>
  <c r="Z163" i="3"/>
  <c r="X163" i="3"/>
  <c r="T163" i="3"/>
  <c r="R163" i="3"/>
  <c r="Q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BF162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L162" i="3"/>
  <c r="AK162" i="3"/>
  <c r="AJ162" i="3"/>
  <c r="AI162" i="3"/>
  <c r="AH162" i="3"/>
  <c r="AG162" i="3"/>
  <c r="AE162" i="3"/>
  <c r="AD162" i="3"/>
  <c r="AC162" i="3"/>
  <c r="AB162" i="3"/>
  <c r="AA162" i="3"/>
  <c r="Z162" i="3"/>
  <c r="X162" i="3"/>
  <c r="T162" i="3"/>
  <c r="N162" i="3"/>
  <c r="P162" i="3" s="1"/>
  <c r="M162" i="3"/>
  <c r="L162" i="3"/>
  <c r="K162" i="3"/>
  <c r="J162" i="3"/>
  <c r="I162" i="3"/>
  <c r="H162" i="3"/>
  <c r="G162" i="3"/>
  <c r="F162" i="3"/>
  <c r="E162" i="3"/>
  <c r="D162" i="3"/>
  <c r="C162" i="3"/>
  <c r="R162" i="3" s="1"/>
  <c r="B162" i="3"/>
  <c r="A162" i="3"/>
  <c r="BH161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L161" i="3"/>
  <c r="AK161" i="3"/>
  <c r="AJ161" i="3"/>
  <c r="AI161" i="3"/>
  <c r="AG161" i="3" s="1"/>
  <c r="AH161" i="3"/>
  <c r="AF161" i="3"/>
  <c r="AE161" i="3"/>
  <c r="AD161" i="3"/>
  <c r="AC161" i="3"/>
  <c r="AB161" i="3"/>
  <c r="AA161" i="3"/>
  <c r="Z161" i="3"/>
  <c r="X161" i="3"/>
  <c r="N161" i="3"/>
  <c r="M161" i="3"/>
  <c r="L161" i="3"/>
  <c r="K161" i="3"/>
  <c r="J161" i="3"/>
  <c r="I161" i="3"/>
  <c r="H161" i="3"/>
  <c r="G161" i="3"/>
  <c r="F161" i="3"/>
  <c r="E161" i="3"/>
  <c r="T161" i="3" s="1"/>
  <c r="D161" i="3"/>
  <c r="S161" i="3" s="1"/>
  <c r="C161" i="3"/>
  <c r="B161" i="3"/>
  <c r="A161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L160" i="3"/>
  <c r="AK160" i="3"/>
  <c r="AJ160" i="3"/>
  <c r="AI160" i="3"/>
  <c r="AH160" i="3"/>
  <c r="AE160" i="3"/>
  <c r="AD160" i="3"/>
  <c r="AC160" i="3"/>
  <c r="S160" i="3" s="1"/>
  <c r="AB160" i="3"/>
  <c r="AA160" i="3"/>
  <c r="Z160" i="3"/>
  <c r="X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L159" i="3"/>
  <c r="AK159" i="3"/>
  <c r="AJ159" i="3"/>
  <c r="AF159" i="3" s="1"/>
  <c r="AI159" i="3"/>
  <c r="AH159" i="3"/>
  <c r="AE159" i="3"/>
  <c r="AD159" i="3"/>
  <c r="AC159" i="3"/>
  <c r="AB159" i="3"/>
  <c r="AA159" i="3"/>
  <c r="Z159" i="3"/>
  <c r="X159" i="3"/>
  <c r="T159" i="3"/>
  <c r="BH159" i="3" s="1"/>
  <c r="R159" i="3"/>
  <c r="Q159" i="3"/>
  <c r="O159" i="3"/>
  <c r="N159" i="3"/>
  <c r="M159" i="3"/>
  <c r="L159" i="3"/>
  <c r="K159" i="3"/>
  <c r="BE159" i="3" s="1"/>
  <c r="J159" i="3"/>
  <c r="I159" i="3"/>
  <c r="H159" i="3"/>
  <c r="G159" i="3"/>
  <c r="F159" i="3"/>
  <c r="E159" i="3"/>
  <c r="D159" i="3"/>
  <c r="C159" i="3"/>
  <c r="B159" i="3"/>
  <c r="A159" i="3"/>
  <c r="BG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L158" i="3"/>
  <c r="AK158" i="3"/>
  <c r="AJ158" i="3"/>
  <c r="AI158" i="3"/>
  <c r="AG158" i="3" s="1"/>
  <c r="AH158" i="3"/>
  <c r="AF158" i="3"/>
  <c r="AE158" i="3"/>
  <c r="AD158" i="3"/>
  <c r="AC158" i="3"/>
  <c r="Q158" i="3" s="1"/>
  <c r="AB158" i="3"/>
  <c r="AA158" i="3"/>
  <c r="Z158" i="3"/>
  <c r="X158" i="3"/>
  <c r="S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L157" i="3"/>
  <c r="AK157" i="3"/>
  <c r="AJ157" i="3"/>
  <c r="AI157" i="3"/>
  <c r="AH157" i="3"/>
  <c r="AE157" i="3"/>
  <c r="AD157" i="3"/>
  <c r="AC157" i="3"/>
  <c r="AB157" i="3"/>
  <c r="AA157" i="3"/>
  <c r="Z157" i="3"/>
  <c r="X157" i="3"/>
  <c r="S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L156" i="3"/>
  <c r="AK156" i="3"/>
  <c r="AJ156" i="3"/>
  <c r="AI156" i="3"/>
  <c r="AH156" i="3"/>
  <c r="AG156" i="3"/>
  <c r="AE156" i="3"/>
  <c r="AD156" i="3"/>
  <c r="AC156" i="3"/>
  <c r="AB156" i="3"/>
  <c r="AA156" i="3"/>
  <c r="AF156" i="3" s="1"/>
  <c r="O156" i="3" s="1"/>
  <c r="BI156" i="3" s="1"/>
  <c r="Z156" i="3"/>
  <c r="X156" i="3"/>
  <c r="V156" i="3"/>
  <c r="U156" i="3"/>
  <c r="S156" i="3"/>
  <c r="R156" i="3"/>
  <c r="P156" i="3"/>
  <c r="N156" i="3"/>
  <c r="M156" i="3"/>
  <c r="L156" i="3"/>
  <c r="BF156" i="3" s="1"/>
  <c r="K156" i="3"/>
  <c r="J156" i="3"/>
  <c r="I156" i="3"/>
  <c r="H156" i="3"/>
  <c r="G156" i="3"/>
  <c r="F156" i="3"/>
  <c r="E156" i="3"/>
  <c r="D156" i="3"/>
  <c r="C156" i="3"/>
  <c r="B156" i="3"/>
  <c r="Q156" i="3" s="1"/>
  <c r="A156" i="3"/>
  <c r="BH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L155" i="3"/>
  <c r="AK155" i="3"/>
  <c r="AJ155" i="3"/>
  <c r="AI155" i="3"/>
  <c r="AH155" i="3"/>
  <c r="AG155" i="3"/>
  <c r="P155" i="3" s="1"/>
  <c r="AE155" i="3"/>
  <c r="AD155" i="3"/>
  <c r="AC155" i="3"/>
  <c r="AB155" i="3"/>
  <c r="AA155" i="3"/>
  <c r="AF155" i="3" s="1"/>
  <c r="O155" i="3" s="1"/>
  <c r="Z155" i="3"/>
  <c r="X155" i="3"/>
  <c r="Q155" i="3"/>
  <c r="N155" i="3"/>
  <c r="M155" i="3"/>
  <c r="L155" i="3"/>
  <c r="K155" i="3"/>
  <c r="J155" i="3"/>
  <c r="I155" i="3"/>
  <c r="H155" i="3"/>
  <c r="G155" i="3"/>
  <c r="F155" i="3"/>
  <c r="E155" i="3"/>
  <c r="T155" i="3" s="1"/>
  <c r="D155" i="3"/>
  <c r="S155" i="3" s="1"/>
  <c r="C155" i="3"/>
  <c r="B155" i="3"/>
  <c r="A155" i="3"/>
  <c r="BG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L154" i="3"/>
  <c r="AK154" i="3"/>
  <c r="AJ154" i="3"/>
  <c r="AI154" i="3"/>
  <c r="AH154" i="3"/>
  <c r="AE154" i="3"/>
  <c r="AD154" i="3"/>
  <c r="AC154" i="3"/>
  <c r="AB154" i="3"/>
  <c r="AA154" i="3"/>
  <c r="Z154" i="3"/>
  <c r="X154" i="3"/>
  <c r="T154" i="3"/>
  <c r="Q154" i="3"/>
  <c r="N154" i="3"/>
  <c r="BH154" i="3" s="1"/>
  <c r="M154" i="3"/>
  <c r="S154" i="3" s="1"/>
  <c r="L154" i="3"/>
  <c r="K154" i="3"/>
  <c r="BE154" i="3" s="1"/>
  <c r="J154" i="3"/>
  <c r="I154" i="3"/>
  <c r="H154" i="3"/>
  <c r="G154" i="3"/>
  <c r="F154" i="3"/>
  <c r="E154" i="3"/>
  <c r="D154" i="3"/>
  <c r="C154" i="3"/>
  <c r="B154" i="3"/>
  <c r="A154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X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R153" i="3" s="1"/>
  <c r="B153" i="3"/>
  <c r="A153" i="3"/>
  <c r="BI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L152" i="3"/>
  <c r="AK152" i="3"/>
  <c r="AJ152" i="3"/>
  <c r="AI152" i="3"/>
  <c r="AH152" i="3"/>
  <c r="AF152" i="3"/>
  <c r="O152" i="3" s="1"/>
  <c r="U152" i="3" s="1"/>
  <c r="AE152" i="3"/>
  <c r="AD152" i="3"/>
  <c r="AC152" i="3"/>
  <c r="AB152" i="3"/>
  <c r="AA152" i="3"/>
  <c r="AG152" i="3" s="1"/>
  <c r="Z152" i="3"/>
  <c r="X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R152" i="3" s="1"/>
  <c r="B152" i="3"/>
  <c r="Q152" i="3" s="1"/>
  <c r="A152" i="3"/>
  <c r="BG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L151" i="3"/>
  <c r="AK151" i="3"/>
  <c r="AJ151" i="3"/>
  <c r="AI151" i="3"/>
  <c r="AH151" i="3"/>
  <c r="AG151" i="3"/>
  <c r="AE151" i="3"/>
  <c r="AD151" i="3"/>
  <c r="AC151" i="3"/>
  <c r="AB151" i="3"/>
  <c r="AA151" i="3"/>
  <c r="Z151" i="3"/>
  <c r="X151" i="3"/>
  <c r="T151" i="3"/>
  <c r="BH151" i="3" s="1"/>
  <c r="S151" i="3"/>
  <c r="R151" i="3"/>
  <c r="Q151" i="3"/>
  <c r="P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L150" i="3"/>
  <c r="AK150" i="3"/>
  <c r="AJ150" i="3"/>
  <c r="AI150" i="3"/>
  <c r="AH150" i="3"/>
  <c r="AG150" i="3"/>
  <c r="AE150" i="3"/>
  <c r="AD150" i="3"/>
  <c r="AC150" i="3"/>
  <c r="AB150" i="3"/>
  <c r="AA150" i="3"/>
  <c r="Z150" i="3"/>
  <c r="X150" i="3"/>
  <c r="Q150" i="3"/>
  <c r="N150" i="3"/>
  <c r="M150" i="3"/>
  <c r="L150" i="3"/>
  <c r="R150" i="3" s="1"/>
  <c r="K150" i="3"/>
  <c r="J150" i="3"/>
  <c r="I150" i="3"/>
  <c r="H150" i="3"/>
  <c r="G150" i="3"/>
  <c r="F150" i="3"/>
  <c r="E150" i="3"/>
  <c r="D150" i="3"/>
  <c r="C150" i="3"/>
  <c r="B150" i="3"/>
  <c r="A150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L149" i="3"/>
  <c r="AK149" i="3"/>
  <c r="AJ149" i="3"/>
  <c r="AI149" i="3"/>
  <c r="AH149" i="3"/>
  <c r="AE149" i="3"/>
  <c r="AD149" i="3"/>
  <c r="AC149" i="3"/>
  <c r="AG149" i="3" s="1"/>
  <c r="AB149" i="3"/>
  <c r="AA149" i="3"/>
  <c r="Z149" i="3"/>
  <c r="X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L148" i="3"/>
  <c r="AK148" i="3"/>
  <c r="AJ148" i="3"/>
  <c r="AI148" i="3"/>
  <c r="AH148" i="3"/>
  <c r="AE148" i="3"/>
  <c r="AD148" i="3"/>
  <c r="AC148" i="3"/>
  <c r="AB148" i="3"/>
  <c r="AA148" i="3"/>
  <c r="Z148" i="3"/>
  <c r="X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L147" i="3"/>
  <c r="AK147" i="3"/>
  <c r="AJ147" i="3"/>
  <c r="AI147" i="3"/>
  <c r="AH147" i="3"/>
  <c r="AE147" i="3"/>
  <c r="AD147" i="3"/>
  <c r="AC147" i="3"/>
  <c r="AB147" i="3"/>
  <c r="AA147" i="3"/>
  <c r="Z147" i="3"/>
  <c r="X147" i="3"/>
  <c r="T147" i="3"/>
  <c r="R147" i="3"/>
  <c r="N147" i="3"/>
  <c r="M147" i="3"/>
  <c r="L147" i="3"/>
  <c r="K147" i="3"/>
  <c r="J147" i="3"/>
  <c r="I147" i="3"/>
  <c r="H147" i="3"/>
  <c r="G147" i="3"/>
  <c r="F147" i="3"/>
  <c r="E147" i="3"/>
  <c r="D147" i="3"/>
  <c r="S147" i="3" s="1"/>
  <c r="C147" i="3"/>
  <c r="B147" i="3"/>
  <c r="A147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L146" i="3"/>
  <c r="AK146" i="3"/>
  <c r="AJ146" i="3"/>
  <c r="AI146" i="3"/>
  <c r="AH146" i="3"/>
  <c r="AE146" i="3"/>
  <c r="AD146" i="3"/>
  <c r="AC146" i="3"/>
  <c r="AB146" i="3"/>
  <c r="AA146" i="3"/>
  <c r="Z146" i="3"/>
  <c r="X146" i="3"/>
  <c r="Q146" i="3"/>
  <c r="N146" i="3"/>
  <c r="M146" i="3"/>
  <c r="L146" i="3"/>
  <c r="K146" i="3"/>
  <c r="J146" i="3"/>
  <c r="I146" i="3"/>
  <c r="H146" i="3"/>
  <c r="G146" i="3"/>
  <c r="F146" i="3"/>
  <c r="E146" i="3"/>
  <c r="D146" i="3"/>
  <c r="S146" i="3" s="1"/>
  <c r="C146" i="3"/>
  <c r="B146" i="3"/>
  <c r="A146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L145" i="3"/>
  <c r="AK145" i="3"/>
  <c r="AJ145" i="3"/>
  <c r="AI145" i="3"/>
  <c r="AH145" i="3"/>
  <c r="AE145" i="3"/>
  <c r="AD145" i="3"/>
  <c r="AC145" i="3"/>
  <c r="AB145" i="3"/>
  <c r="AA145" i="3"/>
  <c r="Z145" i="3"/>
  <c r="X145" i="3"/>
  <c r="T145" i="3"/>
  <c r="Q145" i="3"/>
  <c r="N145" i="3"/>
  <c r="M145" i="3"/>
  <c r="L145" i="3"/>
  <c r="R145" i="3" s="1"/>
  <c r="K145" i="3"/>
  <c r="J145" i="3"/>
  <c r="I145" i="3"/>
  <c r="H145" i="3"/>
  <c r="G145" i="3"/>
  <c r="F145" i="3"/>
  <c r="E145" i="3"/>
  <c r="D145" i="3"/>
  <c r="C145" i="3"/>
  <c r="B145" i="3"/>
  <c r="A145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L144" i="3"/>
  <c r="AK144" i="3"/>
  <c r="AJ144" i="3"/>
  <c r="AF144" i="3" s="1"/>
  <c r="O144" i="3" s="1"/>
  <c r="AI144" i="3"/>
  <c r="AH144" i="3"/>
  <c r="AG144" i="3"/>
  <c r="P144" i="3" s="1"/>
  <c r="AE144" i="3"/>
  <c r="AD144" i="3"/>
  <c r="AC144" i="3"/>
  <c r="AB144" i="3"/>
  <c r="AA144" i="3"/>
  <c r="Z144" i="3"/>
  <c r="X144" i="3"/>
  <c r="T144" i="3"/>
  <c r="R144" i="3"/>
  <c r="N144" i="3"/>
  <c r="BH144" i="3" s="1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L143" i="3"/>
  <c r="AK143" i="3"/>
  <c r="AG143" i="3" s="1"/>
  <c r="P143" i="3" s="1"/>
  <c r="BJ143" i="3" s="1"/>
  <c r="AJ143" i="3"/>
  <c r="AI143" i="3"/>
  <c r="AH143" i="3"/>
  <c r="AE143" i="3"/>
  <c r="AD143" i="3"/>
  <c r="AC143" i="3"/>
  <c r="AB143" i="3"/>
  <c r="AA143" i="3"/>
  <c r="Z143" i="3"/>
  <c r="X143" i="3"/>
  <c r="S143" i="3"/>
  <c r="BG143" i="3" s="1"/>
  <c r="R143" i="3"/>
  <c r="N143" i="3"/>
  <c r="M143" i="3"/>
  <c r="L143" i="3"/>
  <c r="BF143" i="3" s="1"/>
  <c r="K143" i="3"/>
  <c r="J143" i="3"/>
  <c r="I143" i="3"/>
  <c r="H143" i="3"/>
  <c r="G143" i="3"/>
  <c r="F143" i="3"/>
  <c r="E143" i="3"/>
  <c r="D143" i="3"/>
  <c r="C143" i="3"/>
  <c r="B143" i="3"/>
  <c r="A143" i="3"/>
  <c r="BH142" i="3"/>
  <c r="BF142" i="3"/>
  <c r="BE142" i="3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L142" i="3"/>
  <c r="AK142" i="3"/>
  <c r="AJ142" i="3"/>
  <c r="AI142" i="3"/>
  <c r="AG142" i="3" s="1"/>
  <c r="P142" i="3" s="1"/>
  <c r="AH142" i="3"/>
  <c r="AE142" i="3"/>
  <c r="AD142" i="3"/>
  <c r="AC142" i="3"/>
  <c r="AB142" i="3"/>
  <c r="AA142" i="3"/>
  <c r="Z142" i="3"/>
  <c r="X142" i="3"/>
  <c r="S142" i="3"/>
  <c r="BG142" i="3" s="1"/>
  <c r="N142" i="3"/>
  <c r="T142" i="3" s="1"/>
  <c r="M142" i="3"/>
  <c r="L142" i="3"/>
  <c r="R142" i="3" s="1"/>
  <c r="K142" i="3"/>
  <c r="J142" i="3"/>
  <c r="I142" i="3"/>
  <c r="H142" i="3"/>
  <c r="G142" i="3"/>
  <c r="F142" i="3"/>
  <c r="E142" i="3"/>
  <c r="D142" i="3"/>
  <c r="C142" i="3"/>
  <c r="B142" i="3"/>
  <c r="A142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L141" i="3"/>
  <c r="AK141" i="3"/>
  <c r="AJ141" i="3"/>
  <c r="AI141" i="3"/>
  <c r="AH141" i="3"/>
  <c r="AE141" i="3"/>
  <c r="AD141" i="3"/>
  <c r="AC141" i="3"/>
  <c r="AB141" i="3"/>
  <c r="AA141" i="3"/>
  <c r="Z141" i="3"/>
  <c r="X141" i="3"/>
  <c r="Q141" i="3"/>
  <c r="N141" i="3"/>
  <c r="M141" i="3"/>
  <c r="S141" i="3" s="1"/>
  <c r="L141" i="3"/>
  <c r="K141" i="3"/>
  <c r="J141" i="3"/>
  <c r="I141" i="3"/>
  <c r="H141" i="3"/>
  <c r="G141" i="3"/>
  <c r="F141" i="3"/>
  <c r="E141" i="3"/>
  <c r="D141" i="3"/>
  <c r="C141" i="3"/>
  <c r="B141" i="3"/>
  <c r="A141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L140" i="3"/>
  <c r="AK140" i="3"/>
  <c r="AJ140" i="3"/>
  <c r="AI140" i="3"/>
  <c r="AH140" i="3"/>
  <c r="AE140" i="3"/>
  <c r="AD140" i="3"/>
  <c r="AC140" i="3"/>
  <c r="AB140" i="3"/>
  <c r="AA140" i="3"/>
  <c r="Z140" i="3"/>
  <c r="X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BI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L139" i="3"/>
  <c r="AK139" i="3"/>
  <c r="AJ139" i="3"/>
  <c r="AI139" i="3"/>
  <c r="AH139" i="3"/>
  <c r="AG139" i="3"/>
  <c r="P139" i="3" s="1"/>
  <c r="AE139" i="3"/>
  <c r="AD139" i="3"/>
  <c r="AC139" i="3"/>
  <c r="AB139" i="3"/>
  <c r="AA139" i="3"/>
  <c r="AF139" i="3" s="1"/>
  <c r="O139" i="3" s="1"/>
  <c r="U139" i="3" s="1"/>
  <c r="Z139" i="3"/>
  <c r="X139" i="3"/>
  <c r="R139" i="3"/>
  <c r="Q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L138" i="3"/>
  <c r="AK138" i="3"/>
  <c r="AJ138" i="3"/>
  <c r="AI138" i="3"/>
  <c r="AH138" i="3"/>
  <c r="AE138" i="3"/>
  <c r="AD138" i="3"/>
  <c r="AC138" i="3"/>
  <c r="AB138" i="3"/>
  <c r="AA138" i="3"/>
  <c r="Z138" i="3"/>
  <c r="X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BJ137" i="3"/>
  <c r="BI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L137" i="3"/>
  <c r="AK137" i="3"/>
  <c r="AG137" i="3" s="1"/>
  <c r="AJ137" i="3"/>
  <c r="AI137" i="3"/>
  <c r="AH137" i="3"/>
  <c r="AF137" i="3"/>
  <c r="AE137" i="3"/>
  <c r="AD137" i="3"/>
  <c r="AC137" i="3"/>
  <c r="AB137" i="3"/>
  <c r="AA137" i="3"/>
  <c r="Z137" i="3"/>
  <c r="X137" i="3"/>
  <c r="T137" i="3"/>
  <c r="BH137" i="3" s="1"/>
  <c r="S137" i="3"/>
  <c r="R137" i="3"/>
  <c r="Q137" i="3"/>
  <c r="P137" i="3"/>
  <c r="V137" i="3" s="1"/>
  <c r="O137" i="3"/>
  <c r="U137" i="3" s="1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L136" i="3"/>
  <c r="AK136" i="3"/>
  <c r="AJ136" i="3"/>
  <c r="AI136" i="3"/>
  <c r="AH136" i="3"/>
  <c r="AE136" i="3"/>
  <c r="AD136" i="3"/>
  <c r="AC136" i="3"/>
  <c r="AB136" i="3"/>
  <c r="AA136" i="3"/>
  <c r="Z136" i="3"/>
  <c r="X136" i="3"/>
  <c r="R136" i="3"/>
  <c r="Q136" i="3"/>
  <c r="N136" i="3"/>
  <c r="T136" i="3" s="1"/>
  <c r="BH136" i="3" s="1"/>
  <c r="M136" i="3"/>
  <c r="S136" i="3" s="1"/>
  <c r="L136" i="3"/>
  <c r="K136" i="3"/>
  <c r="J136" i="3"/>
  <c r="I136" i="3"/>
  <c r="H136" i="3"/>
  <c r="G136" i="3"/>
  <c r="F136" i="3"/>
  <c r="E136" i="3"/>
  <c r="D136" i="3"/>
  <c r="C136" i="3"/>
  <c r="B136" i="3"/>
  <c r="A136" i="3"/>
  <c r="BF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L135" i="3"/>
  <c r="AK135" i="3"/>
  <c r="AJ135" i="3"/>
  <c r="AI135" i="3"/>
  <c r="AH135" i="3"/>
  <c r="AE135" i="3"/>
  <c r="AD135" i="3"/>
  <c r="AC135" i="3"/>
  <c r="AB135" i="3"/>
  <c r="AA135" i="3"/>
  <c r="AG135" i="3" s="1"/>
  <c r="Z135" i="3"/>
  <c r="X135" i="3"/>
  <c r="N135" i="3"/>
  <c r="M135" i="3"/>
  <c r="L135" i="3"/>
  <c r="R135" i="3" s="1"/>
  <c r="K135" i="3"/>
  <c r="J135" i="3"/>
  <c r="I135" i="3"/>
  <c r="H135" i="3"/>
  <c r="G135" i="3"/>
  <c r="F135" i="3"/>
  <c r="E135" i="3"/>
  <c r="D135" i="3"/>
  <c r="S135" i="3" s="1"/>
  <c r="C135" i="3"/>
  <c r="B135" i="3"/>
  <c r="A135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L134" i="3"/>
  <c r="AK134" i="3"/>
  <c r="AJ134" i="3"/>
  <c r="AI134" i="3"/>
  <c r="AG134" i="3" s="1"/>
  <c r="P134" i="3" s="1"/>
  <c r="AH134" i="3"/>
  <c r="AE134" i="3"/>
  <c r="AD134" i="3"/>
  <c r="AC134" i="3"/>
  <c r="AB134" i="3"/>
  <c r="AA134" i="3"/>
  <c r="Z134" i="3"/>
  <c r="X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L133" i="3"/>
  <c r="AK133" i="3"/>
  <c r="AJ133" i="3"/>
  <c r="AI133" i="3"/>
  <c r="AH133" i="3"/>
  <c r="AE133" i="3"/>
  <c r="AD133" i="3"/>
  <c r="AC133" i="3"/>
  <c r="AB133" i="3"/>
  <c r="AA133" i="3"/>
  <c r="Z133" i="3"/>
  <c r="X133" i="3"/>
  <c r="T133" i="3"/>
  <c r="N133" i="3"/>
  <c r="M133" i="3"/>
  <c r="S133" i="3" s="1"/>
  <c r="L133" i="3"/>
  <c r="K133" i="3"/>
  <c r="J133" i="3"/>
  <c r="I133" i="3"/>
  <c r="H133" i="3"/>
  <c r="G133" i="3"/>
  <c r="F133" i="3"/>
  <c r="E133" i="3"/>
  <c r="D133" i="3"/>
  <c r="C133" i="3"/>
  <c r="B133" i="3"/>
  <c r="A133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L132" i="3"/>
  <c r="AK132" i="3"/>
  <c r="AJ132" i="3"/>
  <c r="AI132" i="3"/>
  <c r="AH132" i="3"/>
  <c r="AG132" i="3"/>
  <c r="P132" i="3" s="1"/>
  <c r="AE132" i="3"/>
  <c r="AD132" i="3"/>
  <c r="AC132" i="3"/>
  <c r="AB132" i="3"/>
  <c r="AA132" i="3"/>
  <c r="AF132" i="3" s="1"/>
  <c r="Z132" i="3"/>
  <c r="X132" i="3"/>
  <c r="Q132" i="3"/>
  <c r="N132" i="3"/>
  <c r="M132" i="3"/>
  <c r="L132" i="3"/>
  <c r="K132" i="3"/>
  <c r="J132" i="3"/>
  <c r="I132" i="3"/>
  <c r="H132" i="3"/>
  <c r="G132" i="3"/>
  <c r="F132" i="3"/>
  <c r="E132" i="3"/>
  <c r="D132" i="3"/>
  <c r="S132" i="3" s="1"/>
  <c r="C132" i="3"/>
  <c r="B132" i="3"/>
  <c r="A132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L131" i="3"/>
  <c r="AK131" i="3"/>
  <c r="AJ131" i="3"/>
  <c r="AI131" i="3"/>
  <c r="AH131" i="3"/>
  <c r="AE131" i="3"/>
  <c r="AD131" i="3"/>
  <c r="AC131" i="3"/>
  <c r="AB131" i="3"/>
  <c r="AA131" i="3"/>
  <c r="Z131" i="3"/>
  <c r="X131" i="3"/>
  <c r="S131" i="3"/>
  <c r="Q131" i="3"/>
  <c r="N131" i="3"/>
  <c r="M131" i="3"/>
  <c r="L131" i="3"/>
  <c r="K131" i="3"/>
  <c r="J131" i="3"/>
  <c r="I131" i="3"/>
  <c r="H131" i="3"/>
  <c r="G131" i="3"/>
  <c r="F131" i="3"/>
  <c r="E131" i="3"/>
  <c r="D131" i="3"/>
  <c r="BG131" i="3" s="1"/>
  <c r="C131" i="3"/>
  <c r="B131" i="3"/>
  <c r="A131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L130" i="3"/>
  <c r="AK130" i="3"/>
  <c r="AJ130" i="3"/>
  <c r="AI130" i="3"/>
  <c r="AG130" i="3" s="1"/>
  <c r="P130" i="3" s="1"/>
  <c r="BJ130" i="3" s="1"/>
  <c r="AH130" i="3"/>
  <c r="AE130" i="3"/>
  <c r="AD130" i="3"/>
  <c r="AC130" i="3"/>
  <c r="AB130" i="3"/>
  <c r="AA130" i="3"/>
  <c r="Z130" i="3"/>
  <c r="X130" i="3"/>
  <c r="V130" i="3"/>
  <c r="R130" i="3"/>
  <c r="N130" i="3"/>
  <c r="M130" i="3"/>
  <c r="L130" i="3"/>
  <c r="BF130" i="3" s="1"/>
  <c r="K130" i="3"/>
  <c r="J130" i="3"/>
  <c r="I130" i="3"/>
  <c r="H130" i="3"/>
  <c r="G130" i="3"/>
  <c r="F130" i="3"/>
  <c r="E130" i="3"/>
  <c r="T130" i="3" s="1"/>
  <c r="D130" i="3"/>
  <c r="C130" i="3"/>
  <c r="B130" i="3"/>
  <c r="A130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L129" i="3"/>
  <c r="AK129" i="3"/>
  <c r="AJ129" i="3"/>
  <c r="AI129" i="3"/>
  <c r="AH129" i="3"/>
  <c r="AF129" i="3"/>
  <c r="O129" i="3" s="1"/>
  <c r="AE129" i="3"/>
  <c r="AD129" i="3"/>
  <c r="AC129" i="3"/>
  <c r="AB129" i="3"/>
  <c r="AA129" i="3"/>
  <c r="Z129" i="3"/>
  <c r="X129" i="3"/>
  <c r="T129" i="3"/>
  <c r="Q129" i="3"/>
  <c r="N129" i="3"/>
  <c r="BH129" i="3" s="1"/>
  <c r="M129" i="3"/>
  <c r="S129" i="3" s="1"/>
  <c r="L129" i="3"/>
  <c r="K129" i="3"/>
  <c r="J129" i="3"/>
  <c r="I129" i="3"/>
  <c r="H129" i="3"/>
  <c r="G129" i="3"/>
  <c r="F129" i="3"/>
  <c r="E129" i="3"/>
  <c r="D129" i="3"/>
  <c r="C129" i="3"/>
  <c r="B129" i="3"/>
  <c r="A129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L128" i="3"/>
  <c r="AK128" i="3"/>
  <c r="AJ128" i="3"/>
  <c r="AI128" i="3"/>
  <c r="AH128" i="3"/>
  <c r="AG128" i="3"/>
  <c r="P128" i="3" s="1"/>
  <c r="AE128" i="3"/>
  <c r="AD128" i="3"/>
  <c r="AC128" i="3"/>
  <c r="AB128" i="3"/>
  <c r="AA128" i="3"/>
  <c r="AF128" i="3" s="1"/>
  <c r="O128" i="3" s="1"/>
  <c r="Z128" i="3"/>
  <c r="X128" i="3"/>
  <c r="U128" i="3"/>
  <c r="R128" i="3"/>
  <c r="BF128" i="3" s="1"/>
  <c r="Q128" i="3"/>
  <c r="N128" i="3"/>
  <c r="M128" i="3"/>
  <c r="S128" i="3" s="1"/>
  <c r="L128" i="3"/>
  <c r="K128" i="3"/>
  <c r="J128" i="3"/>
  <c r="I128" i="3"/>
  <c r="H128" i="3"/>
  <c r="G128" i="3"/>
  <c r="F128" i="3"/>
  <c r="E128" i="3"/>
  <c r="D128" i="3"/>
  <c r="C128" i="3"/>
  <c r="B128" i="3"/>
  <c r="A128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L127" i="3"/>
  <c r="AK127" i="3"/>
  <c r="AJ127" i="3"/>
  <c r="AI127" i="3"/>
  <c r="AG127" i="3" s="1"/>
  <c r="AH127" i="3"/>
  <c r="AE127" i="3"/>
  <c r="AD127" i="3"/>
  <c r="AC127" i="3"/>
  <c r="AB127" i="3"/>
  <c r="AA127" i="3"/>
  <c r="Z127" i="3"/>
  <c r="X127" i="3"/>
  <c r="N127" i="3"/>
  <c r="M127" i="3"/>
  <c r="S127" i="3" s="1"/>
  <c r="BG127" i="3" s="1"/>
  <c r="L127" i="3"/>
  <c r="K127" i="3"/>
  <c r="J127" i="3"/>
  <c r="I127" i="3"/>
  <c r="H127" i="3"/>
  <c r="G127" i="3"/>
  <c r="F127" i="3"/>
  <c r="E127" i="3"/>
  <c r="D127" i="3"/>
  <c r="C127" i="3"/>
  <c r="B127" i="3"/>
  <c r="A127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L126" i="3"/>
  <c r="AK126" i="3"/>
  <c r="AJ126" i="3"/>
  <c r="AF126" i="3" s="1"/>
  <c r="O126" i="3" s="1"/>
  <c r="AI126" i="3"/>
  <c r="AH126" i="3"/>
  <c r="AE126" i="3"/>
  <c r="AD126" i="3"/>
  <c r="AC126" i="3"/>
  <c r="AB126" i="3"/>
  <c r="AA126" i="3"/>
  <c r="Z126" i="3"/>
  <c r="X126" i="3"/>
  <c r="N126" i="3"/>
  <c r="M126" i="3"/>
  <c r="L126" i="3"/>
  <c r="K126" i="3"/>
  <c r="J126" i="3"/>
  <c r="I126" i="3"/>
  <c r="H126" i="3"/>
  <c r="G126" i="3"/>
  <c r="F126" i="3"/>
  <c r="E126" i="3"/>
  <c r="D126" i="3"/>
  <c r="S126" i="3" s="1"/>
  <c r="C126" i="3"/>
  <c r="B126" i="3"/>
  <c r="A126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L125" i="3"/>
  <c r="AK125" i="3"/>
  <c r="AJ125" i="3"/>
  <c r="AI125" i="3"/>
  <c r="AH125" i="3"/>
  <c r="AG125" i="3"/>
  <c r="AE125" i="3"/>
  <c r="AD125" i="3"/>
  <c r="AC125" i="3"/>
  <c r="AB125" i="3"/>
  <c r="AA125" i="3"/>
  <c r="Z125" i="3"/>
  <c r="X125" i="3"/>
  <c r="S125" i="3"/>
  <c r="N125" i="3"/>
  <c r="M125" i="3"/>
  <c r="L125" i="3"/>
  <c r="K125" i="3"/>
  <c r="J125" i="3"/>
  <c r="I125" i="3"/>
  <c r="H125" i="3"/>
  <c r="G125" i="3"/>
  <c r="F125" i="3"/>
  <c r="E125" i="3"/>
  <c r="T125" i="3" s="1"/>
  <c r="D125" i="3"/>
  <c r="C125" i="3"/>
  <c r="R125" i="3" s="1"/>
  <c r="B125" i="3"/>
  <c r="A125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L124" i="3"/>
  <c r="AK124" i="3"/>
  <c r="AG124" i="3" s="1"/>
  <c r="AJ124" i="3"/>
  <c r="AI124" i="3"/>
  <c r="AH124" i="3"/>
  <c r="AF124" i="3"/>
  <c r="O124" i="3" s="1"/>
  <c r="AE124" i="3"/>
  <c r="AD124" i="3"/>
  <c r="AC124" i="3"/>
  <c r="AB124" i="3"/>
  <c r="AA124" i="3"/>
  <c r="Z124" i="3"/>
  <c r="X124" i="3"/>
  <c r="N124" i="3"/>
  <c r="M124" i="3"/>
  <c r="L124" i="3"/>
  <c r="K124" i="3"/>
  <c r="J124" i="3"/>
  <c r="I124" i="3"/>
  <c r="H124" i="3"/>
  <c r="G124" i="3"/>
  <c r="F124" i="3"/>
  <c r="E124" i="3"/>
  <c r="D124" i="3"/>
  <c r="S124" i="3" s="1"/>
  <c r="C124" i="3"/>
  <c r="B124" i="3"/>
  <c r="A124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L123" i="3"/>
  <c r="AK123" i="3"/>
  <c r="AJ123" i="3"/>
  <c r="AI123" i="3"/>
  <c r="AH123" i="3"/>
  <c r="AE123" i="3"/>
  <c r="AD123" i="3"/>
  <c r="AC123" i="3"/>
  <c r="AB123" i="3"/>
  <c r="AA123" i="3"/>
  <c r="Z123" i="3"/>
  <c r="X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BG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L122" i="3"/>
  <c r="AK122" i="3"/>
  <c r="AG122" i="3" s="1"/>
  <c r="AJ122" i="3"/>
  <c r="AF122" i="3" s="1"/>
  <c r="AI122" i="3"/>
  <c r="AH122" i="3"/>
  <c r="AE122" i="3"/>
  <c r="AD122" i="3"/>
  <c r="AC122" i="3"/>
  <c r="AB122" i="3"/>
  <c r="AA122" i="3"/>
  <c r="Z122" i="3"/>
  <c r="X122" i="3"/>
  <c r="S122" i="3"/>
  <c r="R122" i="3"/>
  <c r="Q122" i="3"/>
  <c r="P122" i="3"/>
  <c r="O122" i="3"/>
  <c r="N122" i="3"/>
  <c r="T122" i="3" s="1"/>
  <c r="BH122" i="3" s="1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BH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L121" i="3"/>
  <c r="AK121" i="3"/>
  <c r="AJ121" i="3"/>
  <c r="AI121" i="3"/>
  <c r="AH121" i="3"/>
  <c r="AE121" i="3"/>
  <c r="AD121" i="3"/>
  <c r="AC121" i="3"/>
  <c r="AB121" i="3"/>
  <c r="AA121" i="3"/>
  <c r="Z121" i="3"/>
  <c r="X121" i="3"/>
  <c r="N121" i="3"/>
  <c r="T121" i="3" s="1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L120" i="3"/>
  <c r="AK120" i="3"/>
  <c r="AJ120" i="3"/>
  <c r="AI120" i="3"/>
  <c r="AH120" i="3"/>
  <c r="AE120" i="3"/>
  <c r="AD120" i="3"/>
  <c r="AC120" i="3"/>
  <c r="AB120" i="3"/>
  <c r="AA120" i="3"/>
  <c r="AF120" i="3" s="1"/>
  <c r="O120" i="3" s="1"/>
  <c r="Z120" i="3"/>
  <c r="X120" i="3"/>
  <c r="U120" i="3"/>
  <c r="R120" i="3"/>
  <c r="BF120" i="3" s="1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BH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L119" i="3"/>
  <c r="AK119" i="3"/>
  <c r="AJ119" i="3"/>
  <c r="AI119" i="3"/>
  <c r="AH119" i="3"/>
  <c r="AF119" i="3"/>
  <c r="AE119" i="3"/>
  <c r="AD119" i="3"/>
  <c r="AC119" i="3"/>
  <c r="AB119" i="3"/>
  <c r="AA119" i="3"/>
  <c r="Z119" i="3"/>
  <c r="X119" i="3"/>
  <c r="N119" i="3"/>
  <c r="M119" i="3"/>
  <c r="L119" i="3"/>
  <c r="K119" i="3"/>
  <c r="J119" i="3"/>
  <c r="I119" i="3"/>
  <c r="H119" i="3"/>
  <c r="G119" i="3"/>
  <c r="F119" i="3"/>
  <c r="E119" i="3"/>
  <c r="T119" i="3" s="1"/>
  <c r="D119" i="3"/>
  <c r="C119" i="3"/>
  <c r="B119" i="3"/>
  <c r="A119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L118" i="3"/>
  <c r="AK118" i="3"/>
  <c r="AJ118" i="3"/>
  <c r="AI118" i="3"/>
  <c r="AH118" i="3"/>
  <c r="AE118" i="3"/>
  <c r="AD118" i="3"/>
  <c r="AC118" i="3"/>
  <c r="BF118" i="3" s="1"/>
  <c r="AB118" i="3"/>
  <c r="AA118" i="3"/>
  <c r="Z118" i="3"/>
  <c r="X118" i="3"/>
  <c r="T118" i="3"/>
  <c r="S118" i="3"/>
  <c r="R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BH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L117" i="3"/>
  <c r="AK117" i="3"/>
  <c r="AJ117" i="3"/>
  <c r="AI117" i="3"/>
  <c r="AH117" i="3"/>
  <c r="AF117" i="3"/>
  <c r="AE117" i="3"/>
  <c r="AD117" i="3"/>
  <c r="AC117" i="3"/>
  <c r="AB117" i="3"/>
  <c r="AA117" i="3"/>
  <c r="AG117" i="3" s="1"/>
  <c r="Z117" i="3"/>
  <c r="X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T117" i="3" s="1"/>
  <c r="D117" i="3"/>
  <c r="C117" i="3"/>
  <c r="B117" i="3"/>
  <c r="A117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L116" i="3"/>
  <c r="AK116" i="3"/>
  <c r="AJ116" i="3"/>
  <c r="AI116" i="3"/>
  <c r="AH116" i="3"/>
  <c r="AE116" i="3"/>
  <c r="AD116" i="3"/>
  <c r="AC116" i="3"/>
  <c r="AB116" i="3"/>
  <c r="AA116" i="3"/>
  <c r="Z116" i="3"/>
  <c r="X116" i="3"/>
  <c r="Q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BH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L115" i="3"/>
  <c r="AK115" i="3"/>
  <c r="AJ115" i="3"/>
  <c r="AI115" i="3"/>
  <c r="AH115" i="3"/>
  <c r="AE115" i="3"/>
  <c r="AD115" i="3"/>
  <c r="AC115" i="3"/>
  <c r="AB115" i="3"/>
  <c r="AA115" i="3"/>
  <c r="Z115" i="3"/>
  <c r="X115" i="3"/>
  <c r="T115" i="3"/>
  <c r="S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R115" i="3" s="1"/>
  <c r="B115" i="3"/>
  <c r="A115" i="3"/>
  <c r="BH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L114" i="3"/>
  <c r="AK114" i="3"/>
  <c r="AG114" i="3" s="1"/>
  <c r="P114" i="3" s="1"/>
  <c r="AJ114" i="3"/>
  <c r="AI114" i="3"/>
  <c r="AH114" i="3"/>
  <c r="AE114" i="3"/>
  <c r="AD114" i="3"/>
  <c r="AC114" i="3"/>
  <c r="AB114" i="3"/>
  <c r="AA114" i="3"/>
  <c r="Z114" i="3"/>
  <c r="X114" i="3"/>
  <c r="S114" i="3"/>
  <c r="R114" i="3"/>
  <c r="N114" i="3"/>
  <c r="T114" i="3" s="1"/>
  <c r="M114" i="3"/>
  <c r="L114" i="3"/>
  <c r="K114" i="3"/>
  <c r="J114" i="3"/>
  <c r="I114" i="3"/>
  <c r="H114" i="3"/>
  <c r="G114" i="3"/>
  <c r="V114" i="3" s="1"/>
  <c r="F114" i="3"/>
  <c r="E114" i="3"/>
  <c r="D114" i="3"/>
  <c r="C114" i="3"/>
  <c r="B114" i="3"/>
  <c r="Q114" i="3" s="1"/>
  <c r="A114" i="3"/>
  <c r="BF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L113" i="3"/>
  <c r="AK113" i="3"/>
  <c r="AJ113" i="3"/>
  <c r="AF113" i="3" s="1"/>
  <c r="O113" i="3" s="1"/>
  <c r="U113" i="3" s="1"/>
  <c r="AI113" i="3"/>
  <c r="AG113" i="3" s="1"/>
  <c r="AH113" i="3"/>
  <c r="AE113" i="3"/>
  <c r="AD113" i="3"/>
  <c r="AC113" i="3"/>
  <c r="AB113" i="3"/>
  <c r="AA113" i="3"/>
  <c r="Z113" i="3"/>
  <c r="X113" i="3"/>
  <c r="N113" i="3"/>
  <c r="M113" i="3"/>
  <c r="S113" i="3" s="1"/>
  <c r="BG113" i="3" s="1"/>
  <c r="L113" i="3"/>
  <c r="R113" i="3" s="1"/>
  <c r="K113" i="3"/>
  <c r="J113" i="3"/>
  <c r="I113" i="3"/>
  <c r="H113" i="3"/>
  <c r="G113" i="3"/>
  <c r="F113" i="3"/>
  <c r="E113" i="3"/>
  <c r="D113" i="3"/>
  <c r="C113" i="3"/>
  <c r="B113" i="3"/>
  <c r="A113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X112" i="3"/>
  <c r="S112" i="3"/>
  <c r="P112" i="3"/>
  <c r="N112" i="3"/>
  <c r="M112" i="3"/>
  <c r="L112" i="3"/>
  <c r="BF112" i="3" s="1"/>
  <c r="K112" i="3"/>
  <c r="J112" i="3"/>
  <c r="I112" i="3"/>
  <c r="H112" i="3"/>
  <c r="G112" i="3"/>
  <c r="F112" i="3"/>
  <c r="E112" i="3"/>
  <c r="D112" i="3"/>
  <c r="C112" i="3"/>
  <c r="R112" i="3" s="1"/>
  <c r="B112" i="3"/>
  <c r="A112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L111" i="3"/>
  <c r="AK111" i="3"/>
  <c r="AJ111" i="3"/>
  <c r="AI111" i="3"/>
  <c r="AH111" i="3"/>
  <c r="AE111" i="3"/>
  <c r="AD111" i="3"/>
  <c r="AC111" i="3"/>
  <c r="AB111" i="3"/>
  <c r="AA111" i="3"/>
  <c r="Z111" i="3"/>
  <c r="X111" i="3"/>
  <c r="T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L110" i="3"/>
  <c r="AK110" i="3"/>
  <c r="AJ110" i="3"/>
  <c r="AI110" i="3"/>
  <c r="AH110" i="3"/>
  <c r="AE110" i="3"/>
  <c r="AD110" i="3"/>
  <c r="AC110" i="3"/>
  <c r="AB110" i="3"/>
  <c r="AA110" i="3"/>
  <c r="Z110" i="3"/>
  <c r="X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BH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L109" i="3"/>
  <c r="AK109" i="3"/>
  <c r="AJ109" i="3"/>
  <c r="AI109" i="3"/>
  <c r="AH109" i="3"/>
  <c r="AE109" i="3"/>
  <c r="AD109" i="3"/>
  <c r="AC109" i="3"/>
  <c r="AB109" i="3"/>
  <c r="AA109" i="3"/>
  <c r="Z109" i="3"/>
  <c r="X109" i="3"/>
  <c r="T109" i="3"/>
  <c r="Q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L108" i="3"/>
  <c r="AK108" i="3"/>
  <c r="AJ108" i="3"/>
  <c r="AI108" i="3"/>
  <c r="AG108" i="3" s="1"/>
  <c r="P108" i="3" s="1"/>
  <c r="AH108" i="3"/>
  <c r="AE108" i="3"/>
  <c r="AD108" i="3"/>
  <c r="AC108" i="3"/>
  <c r="BF108" i="3" s="1"/>
  <c r="AB108" i="3"/>
  <c r="AA108" i="3"/>
  <c r="Z108" i="3"/>
  <c r="X108" i="3"/>
  <c r="R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L107" i="3"/>
  <c r="AK107" i="3"/>
  <c r="AJ107" i="3"/>
  <c r="AF107" i="3" s="1"/>
  <c r="AI107" i="3"/>
  <c r="AH107" i="3"/>
  <c r="AG107" i="3"/>
  <c r="AE107" i="3"/>
  <c r="AD107" i="3"/>
  <c r="AC107" i="3"/>
  <c r="AB107" i="3"/>
  <c r="AA107" i="3"/>
  <c r="Z107" i="3"/>
  <c r="X107" i="3"/>
  <c r="R107" i="3"/>
  <c r="BF107" i="3" s="1"/>
  <c r="P107" i="3"/>
  <c r="N107" i="3"/>
  <c r="T107" i="3" s="1"/>
  <c r="BH107" i="3" s="1"/>
  <c r="M107" i="3"/>
  <c r="L107" i="3"/>
  <c r="K107" i="3"/>
  <c r="BE107" i="3" s="1"/>
  <c r="J107" i="3"/>
  <c r="I107" i="3"/>
  <c r="H107" i="3"/>
  <c r="G107" i="3"/>
  <c r="F107" i="3"/>
  <c r="E107" i="3"/>
  <c r="D107" i="3"/>
  <c r="C107" i="3"/>
  <c r="B107" i="3"/>
  <c r="A107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L106" i="3"/>
  <c r="AK106" i="3"/>
  <c r="AJ106" i="3"/>
  <c r="AI106" i="3"/>
  <c r="AH106" i="3"/>
  <c r="AE106" i="3"/>
  <c r="AD106" i="3"/>
  <c r="AC106" i="3"/>
  <c r="AB106" i="3"/>
  <c r="AA106" i="3"/>
  <c r="Z106" i="3"/>
  <c r="X106" i="3"/>
  <c r="R106" i="3"/>
  <c r="BF106" i="3" s="1"/>
  <c r="Q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L105" i="3"/>
  <c r="AK105" i="3"/>
  <c r="AJ105" i="3"/>
  <c r="AI105" i="3"/>
  <c r="AH105" i="3"/>
  <c r="AG105" i="3"/>
  <c r="AE105" i="3"/>
  <c r="AD105" i="3"/>
  <c r="AC105" i="3"/>
  <c r="AB105" i="3"/>
  <c r="AA105" i="3"/>
  <c r="AF105" i="3" s="1"/>
  <c r="Z105" i="3"/>
  <c r="X105" i="3"/>
  <c r="S105" i="3"/>
  <c r="Q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R105" i="3" s="1"/>
  <c r="B105" i="3"/>
  <c r="A105" i="3"/>
  <c r="BG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L104" i="3"/>
  <c r="AK104" i="3"/>
  <c r="AG104" i="3" s="1"/>
  <c r="AJ104" i="3"/>
  <c r="AI104" i="3"/>
  <c r="AH104" i="3"/>
  <c r="AF104" i="3" s="1"/>
  <c r="AE104" i="3"/>
  <c r="AD104" i="3"/>
  <c r="AC104" i="3"/>
  <c r="AB104" i="3"/>
  <c r="AA104" i="3"/>
  <c r="Z104" i="3"/>
  <c r="X104" i="3"/>
  <c r="N104" i="3"/>
  <c r="M104" i="3"/>
  <c r="L104" i="3"/>
  <c r="K104" i="3"/>
  <c r="J104" i="3"/>
  <c r="I104" i="3"/>
  <c r="H104" i="3"/>
  <c r="G104" i="3"/>
  <c r="F104" i="3"/>
  <c r="E104" i="3"/>
  <c r="D104" i="3"/>
  <c r="S104" i="3" s="1"/>
  <c r="C104" i="3"/>
  <c r="B104" i="3"/>
  <c r="A104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L103" i="3"/>
  <c r="AK103" i="3"/>
  <c r="AJ103" i="3"/>
  <c r="AI103" i="3"/>
  <c r="AH103" i="3"/>
  <c r="AE103" i="3"/>
  <c r="AD103" i="3"/>
  <c r="AC103" i="3"/>
  <c r="AB103" i="3"/>
  <c r="AA103" i="3"/>
  <c r="Z103" i="3"/>
  <c r="X103" i="3"/>
  <c r="S103" i="3"/>
  <c r="N103" i="3"/>
  <c r="M103" i="3"/>
  <c r="L103" i="3"/>
  <c r="K103" i="3"/>
  <c r="BE103" i="3" s="1"/>
  <c r="J103" i="3"/>
  <c r="I103" i="3"/>
  <c r="H103" i="3"/>
  <c r="G103" i="3"/>
  <c r="F103" i="3"/>
  <c r="E103" i="3"/>
  <c r="D103" i="3"/>
  <c r="C103" i="3"/>
  <c r="B103" i="3"/>
  <c r="A103" i="3"/>
  <c r="BH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L102" i="3"/>
  <c r="AK102" i="3"/>
  <c r="AJ102" i="3"/>
  <c r="AF102" i="3" s="1"/>
  <c r="O102" i="3" s="1"/>
  <c r="AI102" i="3"/>
  <c r="AH102" i="3"/>
  <c r="AE102" i="3"/>
  <c r="AD102" i="3"/>
  <c r="AC102" i="3"/>
  <c r="AB102" i="3"/>
  <c r="AA102" i="3"/>
  <c r="AG102" i="3" s="1"/>
  <c r="P102" i="3" s="1"/>
  <c r="BJ102" i="3" s="1"/>
  <c r="Z102" i="3"/>
  <c r="X102" i="3"/>
  <c r="V102" i="3"/>
  <c r="V102" i="1" s="1"/>
  <c r="S102" i="3"/>
  <c r="BG102" i="3" s="1"/>
  <c r="Q102" i="3"/>
  <c r="N102" i="3"/>
  <c r="T102" i="3" s="1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BG101" i="3"/>
  <c r="BE101" i="3"/>
  <c r="BD101" i="3"/>
  <c r="BC101" i="3"/>
  <c r="BC101" i="1" s="1"/>
  <c r="BB101" i="3"/>
  <c r="BA101" i="3"/>
  <c r="AZ101" i="3"/>
  <c r="AY101" i="3"/>
  <c r="AX101" i="3"/>
  <c r="AW101" i="3"/>
  <c r="AV101" i="3"/>
  <c r="AU101" i="3"/>
  <c r="AT101" i="3"/>
  <c r="AS101" i="3"/>
  <c r="AR101" i="3"/>
  <c r="AL101" i="3"/>
  <c r="AK101" i="3"/>
  <c r="AJ101" i="3"/>
  <c r="AI101" i="3"/>
  <c r="AH101" i="3"/>
  <c r="AG101" i="3"/>
  <c r="AE101" i="3"/>
  <c r="AD101" i="3"/>
  <c r="AC101" i="3"/>
  <c r="AB101" i="3"/>
  <c r="AA101" i="3"/>
  <c r="AF101" i="3" s="1"/>
  <c r="O101" i="3" s="1"/>
  <c r="Z101" i="3"/>
  <c r="X101" i="3"/>
  <c r="S101" i="3"/>
  <c r="R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BG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L100" i="3"/>
  <c r="AK100" i="3"/>
  <c r="AG100" i="3" s="1"/>
  <c r="AJ100" i="3"/>
  <c r="AI100" i="3"/>
  <c r="AH100" i="3"/>
  <c r="AF100" i="3"/>
  <c r="AE100" i="3"/>
  <c r="AD100" i="3"/>
  <c r="AC100" i="3"/>
  <c r="AB100" i="3"/>
  <c r="AA100" i="3"/>
  <c r="Z100" i="3"/>
  <c r="X100" i="3"/>
  <c r="Q100" i="3"/>
  <c r="O100" i="3"/>
  <c r="N100" i="3"/>
  <c r="M100" i="3"/>
  <c r="S100" i="3" s="1"/>
  <c r="L100" i="3"/>
  <c r="K100" i="3"/>
  <c r="J100" i="3"/>
  <c r="I100" i="3"/>
  <c r="H100" i="3"/>
  <c r="G100" i="3"/>
  <c r="F100" i="3"/>
  <c r="E100" i="3"/>
  <c r="D100" i="3"/>
  <c r="C100" i="3"/>
  <c r="B100" i="3"/>
  <c r="A100" i="3"/>
  <c r="BG99" i="3"/>
  <c r="BE99" i="3"/>
  <c r="BD99" i="3"/>
  <c r="BC99" i="3"/>
  <c r="BB99" i="3"/>
  <c r="BA99" i="3"/>
  <c r="AZ99" i="3"/>
  <c r="AY99" i="3"/>
  <c r="AX99" i="3"/>
  <c r="AW99" i="3"/>
  <c r="AW99" i="1" s="1"/>
  <c r="AV99" i="3"/>
  <c r="AU99" i="3"/>
  <c r="AT99" i="3"/>
  <c r="AS99" i="3"/>
  <c r="AR99" i="3"/>
  <c r="AL99" i="3"/>
  <c r="AK99" i="3"/>
  <c r="AJ99" i="3"/>
  <c r="AI99" i="3"/>
  <c r="AH99" i="3"/>
  <c r="AE99" i="3"/>
  <c r="AD99" i="3"/>
  <c r="AC99" i="3"/>
  <c r="AB99" i="3"/>
  <c r="AA99" i="3"/>
  <c r="Z99" i="3"/>
  <c r="X99" i="3"/>
  <c r="R99" i="3"/>
  <c r="Q99" i="3"/>
  <c r="N99" i="3"/>
  <c r="M99" i="3"/>
  <c r="S99" i="3" s="1"/>
  <c r="L99" i="3"/>
  <c r="K99" i="3"/>
  <c r="J99" i="3"/>
  <c r="I99" i="3"/>
  <c r="H99" i="3"/>
  <c r="G99" i="3"/>
  <c r="F99" i="3"/>
  <c r="E99" i="3"/>
  <c r="D99" i="3"/>
  <c r="C99" i="3"/>
  <c r="B99" i="3"/>
  <c r="A99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L98" i="3"/>
  <c r="AK98" i="3"/>
  <c r="AJ98" i="3"/>
  <c r="AI98" i="3"/>
  <c r="AG98" i="3" s="1"/>
  <c r="AG98" i="1" s="1"/>
  <c r="AH98" i="3"/>
  <c r="AE98" i="3"/>
  <c r="AD98" i="3"/>
  <c r="AC98" i="3"/>
  <c r="AB98" i="3"/>
  <c r="AA98" i="3"/>
  <c r="Z98" i="3"/>
  <c r="X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L97" i="3"/>
  <c r="AK97" i="3"/>
  <c r="AJ97" i="3"/>
  <c r="AI97" i="3"/>
  <c r="AH97" i="3"/>
  <c r="AF97" i="3"/>
  <c r="O97" i="3" s="1"/>
  <c r="AE97" i="3"/>
  <c r="AD97" i="3"/>
  <c r="AC97" i="3"/>
  <c r="AB97" i="3"/>
  <c r="AA97" i="3"/>
  <c r="Z97" i="3"/>
  <c r="X97" i="3"/>
  <c r="N97" i="3"/>
  <c r="T97" i="3" s="1"/>
  <c r="BH97" i="3" s="1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L96" i="3"/>
  <c r="AK96" i="3"/>
  <c r="AJ96" i="3"/>
  <c r="AI96" i="3"/>
  <c r="AH96" i="3"/>
  <c r="AE96" i="3"/>
  <c r="AD96" i="3"/>
  <c r="AC96" i="3"/>
  <c r="AB96" i="3"/>
  <c r="AA96" i="3"/>
  <c r="Z96" i="3"/>
  <c r="X96" i="3"/>
  <c r="S96" i="3"/>
  <c r="R96" i="3"/>
  <c r="R96" i="1" s="1"/>
  <c r="N96" i="3"/>
  <c r="M96" i="3"/>
  <c r="L96" i="3"/>
  <c r="K96" i="3"/>
  <c r="J96" i="3"/>
  <c r="I96" i="3"/>
  <c r="H96" i="3"/>
  <c r="G96" i="3"/>
  <c r="F96" i="3"/>
  <c r="E96" i="3"/>
  <c r="T96" i="3" s="1"/>
  <c r="D96" i="3"/>
  <c r="C96" i="3"/>
  <c r="B96" i="3"/>
  <c r="A96" i="3"/>
  <c r="BH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L95" i="3"/>
  <c r="AK95" i="3"/>
  <c r="AG95" i="3" s="1"/>
  <c r="P95" i="3" s="1"/>
  <c r="AJ95" i="3"/>
  <c r="AI95" i="3"/>
  <c r="AH95" i="3"/>
  <c r="AE95" i="3"/>
  <c r="AD95" i="3"/>
  <c r="AC95" i="3"/>
  <c r="T95" i="3" s="1"/>
  <c r="AB95" i="3"/>
  <c r="AA95" i="3"/>
  <c r="Z95" i="3"/>
  <c r="X95" i="3"/>
  <c r="S95" i="3"/>
  <c r="BG95" i="3" s="1"/>
  <c r="BG95" i="1" s="1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Q95" i="3" s="1"/>
  <c r="A95" i="3"/>
  <c r="BF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L94" i="3"/>
  <c r="AK94" i="3"/>
  <c r="AJ94" i="3"/>
  <c r="AI94" i="3"/>
  <c r="AH94" i="3"/>
  <c r="AH94" i="1" s="1"/>
  <c r="AE94" i="3"/>
  <c r="AD94" i="3"/>
  <c r="AC94" i="3"/>
  <c r="AB94" i="3"/>
  <c r="AA94" i="3"/>
  <c r="Z94" i="3"/>
  <c r="X94" i="3"/>
  <c r="N94" i="3"/>
  <c r="M94" i="3"/>
  <c r="L94" i="3"/>
  <c r="K94" i="3"/>
  <c r="J94" i="3"/>
  <c r="I94" i="3"/>
  <c r="H94" i="3"/>
  <c r="G94" i="3"/>
  <c r="F94" i="3"/>
  <c r="E94" i="3"/>
  <c r="D94" i="3"/>
  <c r="C94" i="3"/>
  <c r="R94" i="3" s="1"/>
  <c r="B94" i="3"/>
  <c r="A94" i="3"/>
  <c r="BD93" i="3"/>
  <c r="BC93" i="3"/>
  <c r="BB93" i="3"/>
  <c r="BA93" i="3"/>
  <c r="AZ93" i="3"/>
  <c r="AY93" i="3"/>
  <c r="AX93" i="3"/>
  <c r="AW93" i="3"/>
  <c r="AW93" i="1" s="1"/>
  <c r="AV93" i="3"/>
  <c r="AU93" i="3"/>
  <c r="AT93" i="3"/>
  <c r="AS93" i="3"/>
  <c r="AS93" i="1" s="1"/>
  <c r="AR93" i="3"/>
  <c r="AL93" i="3"/>
  <c r="AK93" i="3"/>
  <c r="AG93" i="3" s="1"/>
  <c r="AJ93" i="3"/>
  <c r="AF93" i="3" s="1"/>
  <c r="AI93" i="3"/>
  <c r="AH93" i="3"/>
  <c r="AE93" i="3"/>
  <c r="AD93" i="3"/>
  <c r="AC93" i="3"/>
  <c r="AB93" i="3"/>
  <c r="AA93" i="3"/>
  <c r="Z93" i="3"/>
  <c r="X93" i="3"/>
  <c r="T93" i="3"/>
  <c r="N93" i="3"/>
  <c r="M93" i="3"/>
  <c r="L93" i="3"/>
  <c r="R93" i="3" s="1"/>
  <c r="BF93" i="3" s="1"/>
  <c r="K93" i="3"/>
  <c r="J93" i="3"/>
  <c r="I93" i="3"/>
  <c r="H93" i="3"/>
  <c r="G93" i="3"/>
  <c r="F93" i="3"/>
  <c r="E93" i="3"/>
  <c r="D93" i="3"/>
  <c r="C93" i="3"/>
  <c r="B93" i="3"/>
  <c r="A93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L92" i="3"/>
  <c r="AK92" i="3"/>
  <c r="AJ92" i="3"/>
  <c r="AI92" i="3"/>
  <c r="AH92" i="3"/>
  <c r="AE92" i="3"/>
  <c r="AD92" i="3"/>
  <c r="AC92" i="3"/>
  <c r="AB92" i="3"/>
  <c r="AA92" i="3"/>
  <c r="Z92" i="3"/>
  <c r="X92" i="3"/>
  <c r="N92" i="3"/>
  <c r="M92" i="3"/>
  <c r="S92" i="3" s="1"/>
  <c r="L92" i="3"/>
  <c r="K92" i="3"/>
  <c r="J92" i="3"/>
  <c r="I92" i="3"/>
  <c r="H92" i="3"/>
  <c r="G92" i="3"/>
  <c r="F92" i="3"/>
  <c r="E92" i="3"/>
  <c r="D92" i="3"/>
  <c r="C92" i="3"/>
  <c r="B92" i="3"/>
  <c r="A92" i="3"/>
  <c r="BH91" i="3"/>
  <c r="BH91" i="1" s="1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L91" i="3"/>
  <c r="AK91" i="3"/>
  <c r="AK91" i="1" s="1"/>
  <c r="AJ91" i="3"/>
  <c r="AI91" i="3"/>
  <c r="AG91" i="3" s="1"/>
  <c r="P91" i="3" s="1"/>
  <c r="AH91" i="3"/>
  <c r="AE91" i="3"/>
  <c r="AD91" i="3"/>
  <c r="AC91" i="3"/>
  <c r="AB91" i="3"/>
  <c r="AA91" i="3"/>
  <c r="Z91" i="3"/>
  <c r="X91" i="3"/>
  <c r="N91" i="3"/>
  <c r="T91" i="3" s="1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L90" i="3"/>
  <c r="AK90" i="3"/>
  <c r="AJ90" i="3"/>
  <c r="AI90" i="3"/>
  <c r="AH90" i="3"/>
  <c r="AH90" i="1" s="1"/>
  <c r="AE90" i="3"/>
  <c r="AD90" i="3"/>
  <c r="AC90" i="3"/>
  <c r="AB90" i="3"/>
  <c r="AA90" i="3"/>
  <c r="Z90" i="3"/>
  <c r="X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L89" i="3"/>
  <c r="AK89" i="3"/>
  <c r="AJ89" i="3"/>
  <c r="AI89" i="3"/>
  <c r="AH89" i="3"/>
  <c r="AF89" i="3"/>
  <c r="AE89" i="3"/>
  <c r="AD89" i="3"/>
  <c r="AC89" i="3"/>
  <c r="AB89" i="3"/>
  <c r="AA89" i="3"/>
  <c r="Z89" i="3"/>
  <c r="X89" i="3"/>
  <c r="N89" i="3"/>
  <c r="M89" i="3"/>
  <c r="BG89" i="3" s="1"/>
  <c r="L89" i="3"/>
  <c r="K89" i="3"/>
  <c r="J89" i="3"/>
  <c r="I89" i="3"/>
  <c r="H89" i="3"/>
  <c r="G89" i="3"/>
  <c r="F89" i="3"/>
  <c r="F89" i="1" s="1"/>
  <c r="E89" i="3"/>
  <c r="D89" i="3"/>
  <c r="C89" i="3"/>
  <c r="B89" i="3"/>
  <c r="A89" i="3"/>
  <c r="BH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R88" i="1" s="1"/>
  <c r="AL88" i="3"/>
  <c r="AK88" i="3"/>
  <c r="AJ88" i="3"/>
  <c r="AI88" i="3"/>
  <c r="AH88" i="3"/>
  <c r="AF88" i="3" s="1"/>
  <c r="AF88" i="1" s="1"/>
  <c r="AE88" i="3"/>
  <c r="AD88" i="3"/>
  <c r="AC88" i="3"/>
  <c r="T88" i="3" s="1"/>
  <c r="AB88" i="3"/>
  <c r="AA88" i="3"/>
  <c r="Z88" i="3"/>
  <c r="X88" i="3"/>
  <c r="S88" i="3"/>
  <c r="N88" i="3"/>
  <c r="M88" i="3"/>
  <c r="L88" i="3"/>
  <c r="K88" i="3"/>
  <c r="J88" i="3"/>
  <c r="I88" i="3"/>
  <c r="H88" i="3"/>
  <c r="H88" i="1" s="1"/>
  <c r="G88" i="3"/>
  <c r="G88" i="1" s="1"/>
  <c r="F88" i="3"/>
  <c r="F88" i="1" s="1"/>
  <c r="E88" i="3"/>
  <c r="D88" i="3"/>
  <c r="C88" i="3"/>
  <c r="B88" i="3"/>
  <c r="A88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L87" i="3"/>
  <c r="AK87" i="3"/>
  <c r="AJ87" i="3"/>
  <c r="AI87" i="3"/>
  <c r="AH87" i="3"/>
  <c r="AE87" i="3"/>
  <c r="AD87" i="3"/>
  <c r="AC87" i="3"/>
  <c r="AB87" i="3"/>
  <c r="AA87" i="3"/>
  <c r="Z87" i="3"/>
  <c r="X87" i="3"/>
  <c r="T87" i="3"/>
  <c r="S87" i="3"/>
  <c r="Q87" i="3"/>
  <c r="N87" i="3"/>
  <c r="M87" i="3"/>
  <c r="BG87" i="3" s="1"/>
  <c r="L87" i="3"/>
  <c r="K87" i="3"/>
  <c r="J87" i="3"/>
  <c r="I87" i="3"/>
  <c r="H87" i="3"/>
  <c r="G87" i="3"/>
  <c r="F87" i="3"/>
  <c r="E87" i="3"/>
  <c r="D87" i="3"/>
  <c r="C87" i="3"/>
  <c r="B87" i="3"/>
  <c r="A87" i="3"/>
  <c r="BG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L86" i="3"/>
  <c r="AL86" i="1" s="1"/>
  <c r="AK86" i="3"/>
  <c r="AJ86" i="3"/>
  <c r="AI86" i="3"/>
  <c r="AG86" i="3" s="1"/>
  <c r="AH86" i="3"/>
  <c r="AE86" i="3"/>
  <c r="AD86" i="3"/>
  <c r="AC86" i="3"/>
  <c r="AB86" i="3"/>
  <c r="AA86" i="3"/>
  <c r="Z86" i="3"/>
  <c r="X86" i="3"/>
  <c r="N86" i="3"/>
  <c r="M86" i="3"/>
  <c r="S86" i="3" s="1"/>
  <c r="L86" i="3"/>
  <c r="K86" i="3"/>
  <c r="J86" i="3"/>
  <c r="I86" i="3"/>
  <c r="H86" i="3"/>
  <c r="G86" i="3"/>
  <c r="F86" i="3"/>
  <c r="F86" i="1" s="1"/>
  <c r="E86" i="3"/>
  <c r="D86" i="3"/>
  <c r="C86" i="3"/>
  <c r="B86" i="3"/>
  <c r="A86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L85" i="3"/>
  <c r="AK85" i="3"/>
  <c r="AJ85" i="3"/>
  <c r="AF85" i="3" s="1"/>
  <c r="AI85" i="3"/>
  <c r="AH85" i="3"/>
  <c r="AE85" i="3"/>
  <c r="AD85" i="3"/>
  <c r="AC85" i="3"/>
  <c r="AG85" i="3" s="1"/>
  <c r="AB85" i="3"/>
  <c r="AA85" i="3"/>
  <c r="Z85" i="3"/>
  <c r="X85" i="3"/>
  <c r="S85" i="3"/>
  <c r="S85" i="1" s="1"/>
  <c r="R85" i="3"/>
  <c r="Q85" i="3"/>
  <c r="P85" i="3"/>
  <c r="N85" i="3"/>
  <c r="M85" i="3"/>
  <c r="L85" i="3"/>
  <c r="BF85" i="3" s="1"/>
  <c r="K85" i="3"/>
  <c r="J85" i="3"/>
  <c r="I85" i="3"/>
  <c r="H85" i="3"/>
  <c r="G85" i="3"/>
  <c r="F85" i="3"/>
  <c r="E85" i="3"/>
  <c r="D85" i="3"/>
  <c r="C85" i="3"/>
  <c r="B85" i="3"/>
  <c r="A85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L84" i="3"/>
  <c r="AL84" i="1" s="1"/>
  <c r="AK84" i="3"/>
  <c r="AJ84" i="3"/>
  <c r="AI84" i="3"/>
  <c r="AH84" i="3"/>
  <c r="AG84" i="3"/>
  <c r="P84" i="3" s="1"/>
  <c r="V84" i="3" s="1"/>
  <c r="AE84" i="3"/>
  <c r="AD84" i="3"/>
  <c r="AC84" i="3"/>
  <c r="AB84" i="3"/>
  <c r="AA84" i="3"/>
  <c r="Z84" i="3"/>
  <c r="X84" i="3"/>
  <c r="T84" i="3"/>
  <c r="Q84" i="3"/>
  <c r="N84" i="3"/>
  <c r="BH84" i="3" s="1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L83" i="3"/>
  <c r="AK83" i="3"/>
  <c r="AJ83" i="3"/>
  <c r="AI83" i="3"/>
  <c r="AH83" i="3"/>
  <c r="AE83" i="3"/>
  <c r="AD83" i="3"/>
  <c r="AC83" i="3"/>
  <c r="AB83" i="3"/>
  <c r="AA83" i="3"/>
  <c r="AG83" i="3" s="1"/>
  <c r="Z83" i="3"/>
  <c r="X83" i="3"/>
  <c r="T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BF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L82" i="3"/>
  <c r="AK82" i="3"/>
  <c r="AJ82" i="3"/>
  <c r="AI82" i="3"/>
  <c r="AH82" i="3"/>
  <c r="AF82" i="3" s="1"/>
  <c r="AG82" i="3"/>
  <c r="AE82" i="3"/>
  <c r="AD82" i="3"/>
  <c r="AC82" i="3"/>
  <c r="AB82" i="3"/>
  <c r="AA82" i="3"/>
  <c r="Z82" i="3"/>
  <c r="X82" i="3"/>
  <c r="V82" i="3"/>
  <c r="T82" i="3"/>
  <c r="Q82" i="3"/>
  <c r="P82" i="3"/>
  <c r="BJ82" i="3" s="1"/>
  <c r="O82" i="3"/>
  <c r="N82" i="3"/>
  <c r="M82" i="3"/>
  <c r="L82" i="3"/>
  <c r="R82" i="3" s="1"/>
  <c r="K82" i="3"/>
  <c r="J82" i="3"/>
  <c r="I82" i="3"/>
  <c r="H82" i="3"/>
  <c r="G82" i="3"/>
  <c r="F82" i="3"/>
  <c r="E82" i="3"/>
  <c r="D82" i="3"/>
  <c r="C82" i="3"/>
  <c r="B82" i="3"/>
  <c r="A82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L81" i="3"/>
  <c r="AK81" i="3"/>
  <c r="AJ81" i="3"/>
  <c r="AI81" i="3"/>
  <c r="AH81" i="3"/>
  <c r="AG81" i="3"/>
  <c r="AE81" i="3"/>
  <c r="AD81" i="3"/>
  <c r="AC81" i="3"/>
  <c r="AB81" i="3"/>
  <c r="AA81" i="3"/>
  <c r="Z81" i="3"/>
  <c r="X81" i="3"/>
  <c r="N81" i="3"/>
  <c r="M81" i="3"/>
  <c r="L81" i="3"/>
  <c r="K81" i="3"/>
  <c r="J81" i="3"/>
  <c r="I81" i="3"/>
  <c r="H81" i="3"/>
  <c r="G81" i="3"/>
  <c r="F81" i="3"/>
  <c r="E81" i="3"/>
  <c r="T81" i="3" s="1"/>
  <c r="D81" i="3"/>
  <c r="C81" i="3"/>
  <c r="R81" i="3" s="1"/>
  <c r="B81" i="3"/>
  <c r="A81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L80" i="3"/>
  <c r="AK80" i="3"/>
  <c r="AJ80" i="3"/>
  <c r="AI80" i="3"/>
  <c r="AH80" i="3"/>
  <c r="AG80" i="3"/>
  <c r="AE80" i="3"/>
  <c r="AD80" i="3"/>
  <c r="AC80" i="3"/>
  <c r="AB80" i="3"/>
  <c r="AA80" i="3"/>
  <c r="AF80" i="3" s="1"/>
  <c r="O80" i="3" s="1"/>
  <c r="Z80" i="3"/>
  <c r="X80" i="3"/>
  <c r="U80" i="3"/>
  <c r="T80" i="3"/>
  <c r="R80" i="3"/>
  <c r="BF80" i="3" s="1"/>
  <c r="Q80" i="3"/>
  <c r="P80" i="3"/>
  <c r="BJ80" i="3" s="1"/>
  <c r="N80" i="3"/>
  <c r="M80" i="3"/>
  <c r="L80" i="3"/>
  <c r="K80" i="3"/>
  <c r="J80" i="3"/>
  <c r="I80" i="3"/>
  <c r="H80" i="3"/>
  <c r="G80" i="3"/>
  <c r="F80" i="3"/>
  <c r="E80" i="3"/>
  <c r="D80" i="3"/>
  <c r="S80" i="3" s="1"/>
  <c r="C80" i="3"/>
  <c r="B80" i="3"/>
  <c r="A80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L79" i="3"/>
  <c r="AK79" i="3"/>
  <c r="AJ79" i="3"/>
  <c r="AF79" i="3" s="1"/>
  <c r="AI79" i="3"/>
  <c r="AH79" i="3"/>
  <c r="AE79" i="3"/>
  <c r="AD79" i="3"/>
  <c r="AC79" i="3"/>
  <c r="AB79" i="3"/>
  <c r="AA79" i="3"/>
  <c r="Z79" i="3"/>
  <c r="X79" i="3"/>
  <c r="S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BD78" i="3"/>
  <c r="BC78" i="3"/>
  <c r="BB78" i="3"/>
  <c r="BA78" i="3"/>
  <c r="AZ78" i="3"/>
  <c r="AZ78" i="1" s="1"/>
  <c r="AY78" i="3"/>
  <c r="AX78" i="3"/>
  <c r="AW78" i="3"/>
  <c r="AV78" i="3"/>
  <c r="AU78" i="3"/>
  <c r="AT78" i="3"/>
  <c r="AS78" i="3"/>
  <c r="AR78" i="3"/>
  <c r="AL78" i="3"/>
  <c r="AK78" i="3"/>
  <c r="AJ78" i="3"/>
  <c r="AI78" i="3"/>
  <c r="AH78" i="3"/>
  <c r="AE78" i="3"/>
  <c r="AD78" i="3"/>
  <c r="AC78" i="3"/>
  <c r="AB78" i="3"/>
  <c r="AA78" i="3"/>
  <c r="Z78" i="3"/>
  <c r="X78" i="3"/>
  <c r="T78" i="3"/>
  <c r="T78" i="1" s="1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L77" i="3"/>
  <c r="AK77" i="3"/>
  <c r="AJ77" i="3"/>
  <c r="AI77" i="3"/>
  <c r="AH77" i="3"/>
  <c r="AG77" i="3"/>
  <c r="AE77" i="3"/>
  <c r="AD77" i="3"/>
  <c r="AC77" i="3"/>
  <c r="AB77" i="3"/>
  <c r="AA77" i="3"/>
  <c r="Z77" i="3"/>
  <c r="X77" i="3"/>
  <c r="P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BD76" i="3"/>
  <c r="BC76" i="3"/>
  <c r="BB76" i="3"/>
  <c r="BA76" i="3"/>
  <c r="AZ76" i="3"/>
  <c r="AY76" i="3"/>
  <c r="AX76" i="3"/>
  <c r="AW76" i="3"/>
  <c r="AV76" i="3"/>
  <c r="AU76" i="3"/>
  <c r="AT76" i="3"/>
  <c r="AT76" i="1" s="1"/>
  <c r="AS76" i="3"/>
  <c r="AR76" i="3"/>
  <c r="AL76" i="3"/>
  <c r="AK76" i="3"/>
  <c r="AJ76" i="3"/>
  <c r="AI76" i="3"/>
  <c r="AH76" i="3"/>
  <c r="AE76" i="3"/>
  <c r="AD76" i="3"/>
  <c r="AC76" i="3"/>
  <c r="AB76" i="3"/>
  <c r="AA76" i="3"/>
  <c r="Z76" i="3"/>
  <c r="X76" i="3"/>
  <c r="N76" i="3"/>
  <c r="T76" i="3" s="1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L75" i="3"/>
  <c r="AK75" i="3"/>
  <c r="AJ75" i="3"/>
  <c r="AI75" i="3"/>
  <c r="AH75" i="3"/>
  <c r="AE75" i="3"/>
  <c r="AD75" i="3"/>
  <c r="AC75" i="3"/>
  <c r="AB75" i="3"/>
  <c r="AA75" i="3"/>
  <c r="Z75" i="3"/>
  <c r="X75" i="3"/>
  <c r="S75" i="3"/>
  <c r="Q75" i="3"/>
  <c r="BE75" i="3" s="1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BH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L74" i="3"/>
  <c r="AK74" i="3"/>
  <c r="AJ74" i="3"/>
  <c r="AI74" i="3"/>
  <c r="AG74" i="3" s="1"/>
  <c r="AH74" i="3"/>
  <c r="AF74" i="3"/>
  <c r="AE74" i="3"/>
  <c r="AD74" i="3"/>
  <c r="AC74" i="3"/>
  <c r="AB74" i="3"/>
  <c r="AA74" i="3"/>
  <c r="Z74" i="3"/>
  <c r="X74" i="3"/>
  <c r="N74" i="3"/>
  <c r="T74" i="3" s="1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L73" i="3"/>
  <c r="AK73" i="3"/>
  <c r="AJ73" i="3"/>
  <c r="AI73" i="3"/>
  <c r="AH73" i="3"/>
  <c r="AE73" i="3"/>
  <c r="AD73" i="3"/>
  <c r="AC73" i="3"/>
  <c r="AB73" i="3"/>
  <c r="AA73" i="3"/>
  <c r="Z73" i="3"/>
  <c r="X73" i="3"/>
  <c r="T73" i="3"/>
  <c r="S73" i="3"/>
  <c r="Q73" i="3"/>
  <c r="N73" i="3"/>
  <c r="BH73" i="3" s="1"/>
  <c r="M73" i="3"/>
  <c r="BG73" i="3" s="1"/>
  <c r="L73" i="3"/>
  <c r="K73" i="3"/>
  <c r="J73" i="3"/>
  <c r="I73" i="3"/>
  <c r="H73" i="3"/>
  <c r="G73" i="3"/>
  <c r="F73" i="3"/>
  <c r="E73" i="3"/>
  <c r="D73" i="3"/>
  <c r="C73" i="3"/>
  <c r="B73" i="3"/>
  <c r="A73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L72" i="3"/>
  <c r="AK72" i="3"/>
  <c r="AJ72" i="3"/>
  <c r="AF72" i="3" s="1"/>
  <c r="O72" i="3" s="1"/>
  <c r="AI72" i="3"/>
  <c r="AH72" i="3"/>
  <c r="AE72" i="3"/>
  <c r="AD72" i="3"/>
  <c r="AC72" i="3"/>
  <c r="BF72" i="3" s="1"/>
  <c r="AB72" i="3"/>
  <c r="AA72" i="3"/>
  <c r="Z72" i="3"/>
  <c r="X72" i="3"/>
  <c r="N72" i="3"/>
  <c r="M72" i="3"/>
  <c r="L72" i="3"/>
  <c r="K72" i="3"/>
  <c r="J72" i="3"/>
  <c r="I72" i="3"/>
  <c r="H72" i="3"/>
  <c r="H72" i="1" s="1"/>
  <c r="G72" i="3"/>
  <c r="F72" i="3"/>
  <c r="E72" i="3"/>
  <c r="D72" i="3"/>
  <c r="C72" i="3"/>
  <c r="R72" i="3" s="1"/>
  <c r="B72" i="3"/>
  <c r="A72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R71" i="1" s="1"/>
  <c r="AL71" i="3"/>
  <c r="AK71" i="3"/>
  <c r="AJ71" i="3"/>
  <c r="AI71" i="3"/>
  <c r="AH71" i="3"/>
  <c r="AE71" i="3"/>
  <c r="AD71" i="3"/>
  <c r="AC71" i="3"/>
  <c r="AB71" i="3"/>
  <c r="AA71" i="3"/>
  <c r="Z71" i="3"/>
  <c r="X71" i="3"/>
  <c r="S71" i="3"/>
  <c r="N71" i="3"/>
  <c r="M71" i="3"/>
  <c r="L71" i="3"/>
  <c r="R71" i="3" s="1"/>
  <c r="K71" i="3"/>
  <c r="J71" i="3"/>
  <c r="I71" i="3"/>
  <c r="H71" i="3"/>
  <c r="G71" i="3"/>
  <c r="F71" i="3"/>
  <c r="E71" i="3"/>
  <c r="D71" i="3"/>
  <c r="C71" i="3"/>
  <c r="B71" i="3"/>
  <c r="Q71" i="3" s="1"/>
  <c r="A71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L70" i="3"/>
  <c r="AK70" i="3"/>
  <c r="AJ70" i="3"/>
  <c r="AI70" i="3"/>
  <c r="AH70" i="3"/>
  <c r="AE70" i="3"/>
  <c r="AD70" i="3"/>
  <c r="AC70" i="3"/>
  <c r="AB70" i="3"/>
  <c r="AA70" i="3"/>
  <c r="AG70" i="3" s="1"/>
  <c r="Z70" i="3"/>
  <c r="X70" i="3"/>
  <c r="T70" i="3"/>
  <c r="S70" i="3"/>
  <c r="R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L69" i="3"/>
  <c r="AK69" i="3"/>
  <c r="AJ69" i="3"/>
  <c r="AI69" i="3"/>
  <c r="AH69" i="3"/>
  <c r="AH69" i="1" s="1"/>
  <c r="AG69" i="3"/>
  <c r="P69" i="3" s="1"/>
  <c r="AE69" i="3"/>
  <c r="AD69" i="3"/>
  <c r="AC69" i="3"/>
  <c r="AB69" i="3"/>
  <c r="AA69" i="3"/>
  <c r="Z69" i="3"/>
  <c r="X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L68" i="3"/>
  <c r="AK68" i="3"/>
  <c r="AJ68" i="3"/>
  <c r="AI68" i="3"/>
  <c r="AH68" i="3"/>
  <c r="AE68" i="3"/>
  <c r="AD68" i="3"/>
  <c r="AC68" i="3"/>
  <c r="AB68" i="3"/>
  <c r="AA68" i="3"/>
  <c r="AG68" i="3" s="1"/>
  <c r="Z68" i="3"/>
  <c r="X68" i="3"/>
  <c r="T68" i="3"/>
  <c r="S68" i="3"/>
  <c r="Q68" i="3"/>
  <c r="N68" i="3"/>
  <c r="M68" i="3"/>
  <c r="L68" i="3"/>
  <c r="K68" i="3"/>
  <c r="J68" i="3"/>
  <c r="I68" i="3"/>
  <c r="H68" i="3"/>
  <c r="G68" i="3"/>
  <c r="F68" i="3"/>
  <c r="E68" i="3"/>
  <c r="D68" i="3"/>
  <c r="BG68" i="3" s="1"/>
  <c r="C68" i="3"/>
  <c r="R68" i="3" s="1"/>
  <c r="R68" i="1" s="1"/>
  <c r="B68" i="3"/>
  <c r="BE68" i="3" s="1"/>
  <c r="A68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L67" i="3"/>
  <c r="AK67" i="3"/>
  <c r="AG67" i="3" s="1"/>
  <c r="AJ67" i="3"/>
  <c r="AI67" i="3"/>
  <c r="AH67" i="3"/>
  <c r="AE67" i="3"/>
  <c r="AD67" i="3"/>
  <c r="AC67" i="3"/>
  <c r="AB67" i="3"/>
  <c r="AA67" i="3"/>
  <c r="Z67" i="3"/>
  <c r="X67" i="3"/>
  <c r="R67" i="3"/>
  <c r="BF67" i="3" s="1"/>
  <c r="Q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BG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X66" i="3"/>
  <c r="R66" i="3"/>
  <c r="N66" i="3"/>
  <c r="M66" i="3"/>
  <c r="S66" i="3" s="1"/>
  <c r="L66" i="3"/>
  <c r="K66" i="3"/>
  <c r="J66" i="3"/>
  <c r="I66" i="3"/>
  <c r="H66" i="3"/>
  <c r="G66" i="3"/>
  <c r="F66" i="3"/>
  <c r="E66" i="3"/>
  <c r="D66" i="3"/>
  <c r="C66" i="3"/>
  <c r="B66" i="3"/>
  <c r="A66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L65" i="3"/>
  <c r="AK65" i="3"/>
  <c r="AJ65" i="3"/>
  <c r="AI65" i="3"/>
  <c r="AH65" i="3"/>
  <c r="AF65" i="3"/>
  <c r="O65" i="3" s="1"/>
  <c r="AE65" i="3"/>
  <c r="AD65" i="3"/>
  <c r="AC65" i="3"/>
  <c r="AB65" i="3"/>
  <c r="AA65" i="3"/>
  <c r="AG65" i="3" s="1"/>
  <c r="P65" i="3" s="1"/>
  <c r="Z65" i="3"/>
  <c r="X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L64" i="3"/>
  <c r="AK64" i="3"/>
  <c r="AJ64" i="3"/>
  <c r="AI64" i="3"/>
  <c r="AH64" i="3"/>
  <c r="AE64" i="3"/>
  <c r="AD64" i="3"/>
  <c r="AC64" i="3"/>
  <c r="AB64" i="3"/>
  <c r="AB64" i="1" s="1"/>
  <c r="AA64" i="3"/>
  <c r="Z64" i="3"/>
  <c r="X64" i="3"/>
  <c r="N64" i="3"/>
  <c r="M64" i="3"/>
  <c r="L64" i="3"/>
  <c r="R64" i="3" s="1"/>
  <c r="K64" i="3"/>
  <c r="J64" i="3"/>
  <c r="I64" i="3"/>
  <c r="H64" i="3"/>
  <c r="G64" i="3"/>
  <c r="F64" i="3"/>
  <c r="E64" i="3"/>
  <c r="D64" i="3"/>
  <c r="C64" i="3"/>
  <c r="B64" i="3"/>
  <c r="A64" i="3"/>
  <c r="BJ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L63" i="3"/>
  <c r="AK63" i="3"/>
  <c r="AJ63" i="3"/>
  <c r="AI63" i="3"/>
  <c r="AH63" i="3"/>
  <c r="AE63" i="3"/>
  <c r="AD63" i="3"/>
  <c r="AC63" i="3"/>
  <c r="AF63" i="3" s="1"/>
  <c r="O63" i="3" s="1"/>
  <c r="AB63" i="3"/>
  <c r="AA63" i="3"/>
  <c r="AG63" i="3" s="1"/>
  <c r="P63" i="3" s="1"/>
  <c r="V63" i="3" s="1"/>
  <c r="Z63" i="3"/>
  <c r="X63" i="3"/>
  <c r="R63" i="3"/>
  <c r="Q63" i="3"/>
  <c r="N63" i="3"/>
  <c r="M63" i="3"/>
  <c r="L63" i="3"/>
  <c r="K63" i="3"/>
  <c r="J63" i="3"/>
  <c r="I63" i="3"/>
  <c r="H63" i="3"/>
  <c r="G63" i="3"/>
  <c r="F63" i="3"/>
  <c r="E63" i="3"/>
  <c r="D63" i="3"/>
  <c r="C63" i="3"/>
  <c r="BF63" i="3" s="1"/>
  <c r="BF63" i="1" s="1"/>
  <c r="B63" i="3"/>
  <c r="BE63" i="3" s="1"/>
  <c r="A63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L62" i="3"/>
  <c r="AK62" i="3"/>
  <c r="AJ62" i="3"/>
  <c r="AI62" i="3"/>
  <c r="AH62" i="3"/>
  <c r="AH62" i="1" s="1"/>
  <c r="AE62" i="3"/>
  <c r="AD62" i="3"/>
  <c r="AC62" i="3"/>
  <c r="AB62" i="3"/>
  <c r="AA62" i="3"/>
  <c r="Z62" i="3"/>
  <c r="X62" i="3"/>
  <c r="N62" i="3"/>
  <c r="M62" i="3"/>
  <c r="L62" i="3"/>
  <c r="K62" i="3"/>
  <c r="J62" i="3"/>
  <c r="I62" i="3"/>
  <c r="H62" i="3"/>
  <c r="H62" i="1" s="1"/>
  <c r="G62" i="3"/>
  <c r="F62" i="3"/>
  <c r="E62" i="3"/>
  <c r="D62" i="3"/>
  <c r="C62" i="3"/>
  <c r="B62" i="3"/>
  <c r="A62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L61" i="3"/>
  <c r="AK61" i="3"/>
  <c r="AJ61" i="3"/>
  <c r="AI61" i="3"/>
  <c r="AH61" i="3"/>
  <c r="AE61" i="3"/>
  <c r="AD61" i="3"/>
  <c r="AD61" i="1" s="1"/>
  <c r="AC61" i="3"/>
  <c r="AB61" i="3"/>
  <c r="AB61" i="1" s="1"/>
  <c r="AA61" i="3"/>
  <c r="Z61" i="3"/>
  <c r="X61" i="3"/>
  <c r="N61" i="3"/>
  <c r="M61" i="3"/>
  <c r="L61" i="3"/>
  <c r="K61" i="3"/>
  <c r="J61" i="3"/>
  <c r="I61" i="3"/>
  <c r="H61" i="3"/>
  <c r="G61" i="3"/>
  <c r="F61" i="3"/>
  <c r="E61" i="3"/>
  <c r="T61" i="3" s="1"/>
  <c r="D61" i="3"/>
  <c r="C61" i="3"/>
  <c r="B61" i="3"/>
  <c r="A61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L60" i="3"/>
  <c r="AK60" i="3"/>
  <c r="AJ60" i="3"/>
  <c r="AI60" i="3"/>
  <c r="AH60" i="3"/>
  <c r="AE60" i="3"/>
  <c r="AD60" i="3"/>
  <c r="AC60" i="3"/>
  <c r="AF60" i="3" s="1"/>
  <c r="O60" i="3" s="1"/>
  <c r="BI60" i="3" s="1"/>
  <c r="AB60" i="3"/>
  <c r="AB60" i="1" s="1"/>
  <c r="AA60" i="3"/>
  <c r="Z60" i="3"/>
  <c r="X60" i="3"/>
  <c r="T60" i="3"/>
  <c r="S60" i="3"/>
  <c r="R60" i="3"/>
  <c r="Q60" i="3"/>
  <c r="N60" i="3"/>
  <c r="BH60" i="3" s="1"/>
  <c r="M60" i="3"/>
  <c r="L60" i="3"/>
  <c r="BF60" i="3" s="1"/>
  <c r="K60" i="3"/>
  <c r="J60" i="3"/>
  <c r="I60" i="3"/>
  <c r="H60" i="3"/>
  <c r="G60" i="3"/>
  <c r="F60" i="3"/>
  <c r="E60" i="3"/>
  <c r="D60" i="3"/>
  <c r="BG60" i="3" s="1"/>
  <c r="C60" i="3"/>
  <c r="B60" i="3"/>
  <c r="A60" i="3"/>
  <c r="BF59" i="3"/>
  <c r="BF59" i="1" s="1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L59" i="3"/>
  <c r="AK59" i="3"/>
  <c r="AJ59" i="3"/>
  <c r="AI59" i="3"/>
  <c r="AH59" i="3"/>
  <c r="AE59" i="3"/>
  <c r="AD59" i="3"/>
  <c r="AC59" i="3"/>
  <c r="AB59" i="3"/>
  <c r="AA59" i="3"/>
  <c r="Z59" i="3"/>
  <c r="X59" i="3"/>
  <c r="S59" i="3"/>
  <c r="R59" i="3"/>
  <c r="N59" i="3"/>
  <c r="T59" i="3" s="1"/>
  <c r="M59" i="3"/>
  <c r="BG59" i="3" s="1"/>
  <c r="L59" i="3"/>
  <c r="K59" i="3"/>
  <c r="J59" i="3"/>
  <c r="I59" i="3"/>
  <c r="H59" i="3"/>
  <c r="G59" i="3"/>
  <c r="F59" i="3"/>
  <c r="E59" i="3"/>
  <c r="D59" i="3"/>
  <c r="C59" i="3"/>
  <c r="B59" i="3"/>
  <c r="A59" i="3"/>
  <c r="BG58" i="3"/>
  <c r="BG58" i="1" s="1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L58" i="3"/>
  <c r="AK58" i="3"/>
  <c r="AG58" i="3" s="1"/>
  <c r="P58" i="3" s="1"/>
  <c r="AJ58" i="3"/>
  <c r="AI58" i="3"/>
  <c r="AH58" i="3"/>
  <c r="AF58" i="3" s="1"/>
  <c r="AF58" i="1" s="1"/>
  <c r="AE58" i="3"/>
  <c r="AD58" i="3"/>
  <c r="AC58" i="3"/>
  <c r="AB58" i="3"/>
  <c r="AA58" i="3"/>
  <c r="Z58" i="3"/>
  <c r="X58" i="3"/>
  <c r="Q58" i="3"/>
  <c r="N58" i="3"/>
  <c r="M58" i="3"/>
  <c r="S58" i="3" s="1"/>
  <c r="L58" i="3"/>
  <c r="K58" i="3"/>
  <c r="J58" i="3"/>
  <c r="J58" i="1" s="1"/>
  <c r="I58" i="3"/>
  <c r="H58" i="3"/>
  <c r="G58" i="3"/>
  <c r="F58" i="3"/>
  <c r="E58" i="3"/>
  <c r="D58" i="3"/>
  <c r="C58" i="3"/>
  <c r="B58" i="3"/>
  <c r="A58" i="3"/>
  <c r="BD57" i="3"/>
  <c r="BC57" i="3"/>
  <c r="BB57" i="3"/>
  <c r="BA57" i="3"/>
  <c r="AZ57" i="3"/>
  <c r="AY57" i="3"/>
  <c r="AY57" i="1" s="1"/>
  <c r="AX57" i="3"/>
  <c r="AW57" i="3"/>
  <c r="AV57" i="3"/>
  <c r="AU57" i="3"/>
  <c r="AT57" i="3"/>
  <c r="AS57" i="3"/>
  <c r="AR57" i="3"/>
  <c r="AL57" i="3"/>
  <c r="AK57" i="3"/>
  <c r="AJ57" i="3"/>
  <c r="AF57" i="3" s="1"/>
  <c r="O57" i="3" s="1"/>
  <c r="AI57" i="3"/>
  <c r="AH57" i="3"/>
  <c r="AE57" i="3"/>
  <c r="AD57" i="3"/>
  <c r="AC57" i="3"/>
  <c r="AB57" i="3"/>
  <c r="AA57" i="3"/>
  <c r="Z57" i="3"/>
  <c r="X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L56" i="3"/>
  <c r="AK56" i="3"/>
  <c r="AJ56" i="3"/>
  <c r="AI56" i="3"/>
  <c r="AH56" i="3"/>
  <c r="AE56" i="3"/>
  <c r="AD56" i="3"/>
  <c r="AC56" i="3"/>
  <c r="AB56" i="3"/>
  <c r="AA56" i="3"/>
  <c r="Z56" i="3"/>
  <c r="X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BD55" i="3"/>
  <c r="BC55" i="3"/>
  <c r="BB55" i="3"/>
  <c r="BA55" i="3"/>
  <c r="AZ55" i="3"/>
  <c r="AY55" i="3"/>
  <c r="AX55" i="3"/>
  <c r="AW55" i="3"/>
  <c r="AW55" i="1" s="1"/>
  <c r="AV55" i="3"/>
  <c r="AU55" i="3"/>
  <c r="AT55" i="3"/>
  <c r="AS55" i="3"/>
  <c r="AS55" i="1" s="1"/>
  <c r="AR55" i="3"/>
  <c r="AL55" i="3"/>
  <c r="AK55" i="3"/>
  <c r="AJ55" i="3"/>
  <c r="AI55" i="3"/>
  <c r="AH55" i="3"/>
  <c r="AE55" i="3"/>
  <c r="AD55" i="3"/>
  <c r="AC55" i="3"/>
  <c r="AB55" i="3"/>
  <c r="AA55" i="3"/>
  <c r="AG55" i="3" s="1"/>
  <c r="P55" i="3" s="1"/>
  <c r="Z55" i="3"/>
  <c r="X55" i="3"/>
  <c r="S55" i="3"/>
  <c r="N55" i="3"/>
  <c r="M55" i="3"/>
  <c r="BG55" i="3" s="1"/>
  <c r="L55" i="3"/>
  <c r="K55" i="3"/>
  <c r="J55" i="3"/>
  <c r="I55" i="3"/>
  <c r="H55" i="3"/>
  <c r="G55" i="3"/>
  <c r="F55" i="3"/>
  <c r="E55" i="3"/>
  <c r="D55" i="3"/>
  <c r="C55" i="3"/>
  <c r="R55" i="3" s="1"/>
  <c r="B55" i="3"/>
  <c r="A55" i="3"/>
  <c r="BG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L54" i="3"/>
  <c r="AK54" i="3"/>
  <c r="AJ54" i="3"/>
  <c r="AF54" i="3" s="1"/>
  <c r="O54" i="3" s="1"/>
  <c r="BI54" i="3" s="1"/>
  <c r="AI54" i="3"/>
  <c r="AH54" i="3"/>
  <c r="AE54" i="3"/>
  <c r="AD54" i="3"/>
  <c r="AC54" i="3"/>
  <c r="AB54" i="3"/>
  <c r="AA54" i="3"/>
  <c r="Z54" i="3"/>
  <c r="X54" i="3"/>
  <c r="U54" i="3"/>
  <c r="T54" i="3"/>
  <c r="S54" i="3"/>
  <c r="R54" i="3"/>
  <c r="Q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BG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L53" i="3"/>
  <c r="AK53" i="3"/>
  <c r="AG53" i="3" s="1"/>
  <c r="AJ53" i="3"/>
  <c r="AI53" i="3"/>
  <c r="AH53" i="3"/>
  <c r="AE53" i="3"/>
  <c r="AD53" i="3"/>
  <c r="AC53" i="3"/>
  <c r="AB53" i="3"/>
  <c r="AA53" i="3"/>
  <c r="Z53" i="3"/>
  <c r="X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L52" i="3"/>
  <c r="AK52" i="3"/>
  <c r="AJ52" i="3"/>
  <c r="AF52" i="3" s="1"/>
  <c r="AI52" i="3"/>
  <c r="AH52" i="3"/>
  <c r="AG52" i="3"/>
  <c r="AE52" i="3"/>
  <c r="AD52" i="3"/>
  <c r="AC52" i="3"/>
  <c r="AB52" i="3"/>
  <c r="AA52" i="3"/>
  <c r="Z52" i="3"/>
  <c r="X52" i="3"/>
  <c r="S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BH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L51" i="3"/>
  <c r="AK51" i="3"/>
  <c r="AJ51" i="3"/>
  <c r="AI51" i="3"/>
  <c r="AH51" i="3"/>
  <c r="AE51" i="3"/>
  <c r="AD51" i="3"/>
  <c r="AC51" i="3"/>
  <c r="AB51" i="3"/>
  <c r="AA51" i="3"/>
  <c r="Z51" i="3"/>
  <c r="X51" i="3"/>
  <c r="N51" i="3"/>
  <c r="T51" i="3" s="1"/>
  <c r="T51" i="1" s="1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BD50" i="3"/>
  <c r="BC50" i="3"/>
  <c r="BB50" i="3"/>
  <c r="BA50" i="3"/>
  <c r="AZ50" i="3"/>
  <c r="AY50" i="3"/>
  <c r="AX50" i="3"/>
  <c r="AX50" i="1" s="1"/>
  <c r="AW50" i="3"/>
  <c r="AV50" i="3"/>
  <c r="AU50" i="3"/>
  <c r="AT50" i="3"/>
  <c r="AS50" i="3"/>
  <c r="AR50" i="3"/>
  <c r="AL50" i="3"/>
  <c r="AK50" i="3"/>
  <c r="AJ50" i="3"/>
  <c r="AI50" i="3"/>
  <c r="AH50" i="3"/>
  <c r="AE50" i="3"/>
  <c r="AD50" i="3"/>
  <c r="AC50" i="3"/>
  <c r="AB50" i="3"/>
  <c r="AA50" i="3"/>
  <c r="AG50" i="3" s="1"/>
  <c r="Z50" i="3"/>
  <c r="X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L49" i="3"/>
  <c r="AK49" i="3"/>
  <c r="AJ49" i="3"/>
  <c r="AI49" i="3"/>
  <c r="AH49" i="3"/>
  <c r="AG49" i="3"/>
  <c r="AE49" i="3"/>
  <c r="AD49" i="3"/>
  <c r="AC49" i="3"/>
  <c r="AB49" i="3"/>
  <c r="AA49" i="3"/>
  <c r="AF49" i="3" s="1"/>
  <c r="Z49" i="3"/>
  <c r="X49" i="3"/>
  <c r="X49" i="1" s="1"/>
  <c r="N49" i="3"/>
  <c r="T49" i="3" s="1"/>
  <c r="M49" i="3"/>
  <c r="L49" i="3"/>
  <c r="K49" i="3"/>
  <c r="J49" i="3"/>
  <c r="I49" i="3"/>
  <c r="H49" i="3"/>
  <c r="G49" i="3"/>
  <c r="F49" i="3"/>
  <c r="E49" i="3"/>
  <c r="D49" i="3"/>
  <c r="S49" i="3" s="1"/>
  <c r="C49" i="3"/>
  <c r="B49" i="3"/>
  <c r="A49" i="3"/>
  <c r="BJ48" i="3"/>
  <c r="BH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L48" i="3"/>
  <c r="AK48" i="3"/>
  <c r="AJ48" i="3"/>
  <c r="AI48" i="3"/>
  <c r="AH48" i="3"/>
  <c r="AE48" i="3"/>
  <c r="AD48" i="3"/>
  <c r="AC48" i="3"/>
  <c r="AB48" i="3"/>
  <c r="AA48" i="3"/>
  <c r="AG48" i="3" s="1"/>
  <c r="P48" i="3" s="1"/>
  <c r="V48" i="3" s="1"/>
  <c r="Z48" i="3"/>
  <c r="X48" i="3"/>
  <c r="T48" i="3"/>
  <c r="S48" i="3"/>
  <c r="N48" i="3"/>
  <c r="M48" i="3"/>
  <c r="BG48" i="3" s="1"/>
  <c r="L48" i="3"/>
  <c r="BF48" i="3" s="1"/>
  <c r="K48" i="3"/>
  <c r="J48" i="3"/>
  <c r="I48" i="3"/>
  <c r="H48" i="3"/>
  <c r="G48" i="3"/>
  <c r="F48" i="3"/>
  <c r="E48" i="3"/>
  <c r="D48" i="3"/>
  <c r="C48" i="3"/>
  <c r="R48" i="3" s="1"/>
  <c r="B48" i="3"/>
  <c r="A48" i="3"/>
  <c r="BH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L47" i="3"/>
  <c r="AK47" i="3"/>
  <c r="AJ47" i="3"/>
  <c r="AI47" i="3"/>
  <c r="AH47" i="3"/>
  <c r="AE47" i="3"/>
  <c r="AD47" i="3"/>
  <c r="AC47" i="3"/>
  <c r="AB47" i="3"/>
  <c r="AA47" i="3"/>
  <c r="Z47" i="3"/>
  <c r="X47" i="3"/>
  <c r="T47" i="3"/>
  <c r="T47" i="1" s="1"/>
  <c r="R47" i="3"/>
  <c r="Q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BF46" i="3"/>
  <c r="BE46" i="3"/>
  <c r="BE46" i="1" s="1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L46" i="3"/>
  <c r="AK46" i="3"/>
  <c r="AJ46" i="3"/>
  <c r="AF46" i="3" s="1"/>
  <c r="AF46" i="1" s="1"/>
  <c r="AI46" i="3"/>
  <c r="AI46" i="1" s="1"/>
  <c r="AH46" i="3"/>
  <c r="AE46" i="3"/>
  <c r="AD46" i="3"/>
  <c r="AC46" i="3"/>
  <c r="AB46" i="3"/>
  <c r="AA46" i="3"/>
  <c r="Z46" i="3"/>
  <c r="X46" i="3"/>
  <c r="Q46" i="3"/>
  <c r="N46" i="3"/>
  <c r="M46" i="3"/>
  <c r="L46" i="3"/>
  <c r="R46" i="3" s="1"/>
  <c r="K46" i="3"/>
  <c r="J46" i="3"/>
  <c r="I46" i="3"/>
  <c r="H46" i="3"/>
  <c r="G46" i="3"/>
  <c r="F46" i="3"/>
  <c r="E46" i="3"/>
  <c r="D46" i="3"/>
  <c r="C46" i="3"/>
  <c r="B46" i="3"/>
  <c r="A46" i="3"/>
  <c r="BG45" i="3"/>
  <c r="BF45" i="3"/>
  <c r="BD45" i="3"/>
  <c r="BC45" i="3"/>
  <c r="BB45" i="3"/>
  <c r="BA45" i="3"/>
  <c r="BA45" i="1" s="1"/>
  <c r="AZ45" i="3"/>
  <c r="AY45" i="3"/>
  <c r="AX45" i="3"/>
  <c r="AW45" i="3"/>
  <c r="AV45" i="3"/>
  <c r="AU45" i="3"/>
  <c r="AT45" i="3"/>
  <c r="AS45" i="3"/>
  <c r="AR45" i="3"/>
  <c r="AL45" i="3"/>
  <c r="AK45" i="3"/>
  <c r="AJ45" i="3"/>
  <c r="AI45" i="3"/>
  <c r="AG45" i="3" s="1"/>
  <c r="P45" i="3" s="1"/>
  <c r="AH45" i="3"/>
  <c r="AF45" i="3" s="1"/>
  <c r="AF45" i="1" s="1"/>
  <c r="AE45" i="3"/>
  <c r="AD45" i="3"/>
  <c r="AC45" i="3"/>
  <c r="AB45" i="3"/>
  <c r="AA45" i="3"/>
  <c r="Z45" i="3"/>
  <c r="X45" i="3"/>
  <c r="T45" i="3"/>
  <c r="T45" i="1" s="1"/>
  <c r="Q45" i="3"/>
  <c r="N45" i="3"/>
  <c r="BH45" i="3" s="1"/>
  <c r="M45" i="3"/>
  <c r="S45" i="3" s="1"/>
  <c r="L45" i="3"/>
  <c r="R45" i="3" s="1"/>
  <c r="K45" i="3"/>
  <c r="J45" i="3"/>
  <c r="I45" i="3"/>
  <c r="H45" i="3"/>
  <c r="G45" i="3"/>
  <c r="F45" i="3"/>
  <c r="E45" i="3"/>
  <c r="D45" i="3"/>
  <c r="C45" i="3"/>
  <c r="B45" i="3"/>
  <c r="A45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L44" i="3"/>
  <c r="AK44" i="3"/>
  <c r="AJ44" i="3"/>
  <c r="AF44" i="3" s="1"/>
  <c r="AI44" i="3"/>
  <c r="AG44" i="3" s="1"/>
  <c r="AH44" i="3"/>
  <c r="AE44" i="3"/>
  <c r="AD44" i="3"/>
  <c r="AC44" i="3"/>
  <c r="AB44" i="3"/>
  <c r="AA44" i="3"/>
  <c r="Z44" i="3"/>
  <c r="X44" i="3"/>
  <c r="N44" i="3"/>
  <c r="M44" i="3"/>
  <c r="L44" i="3"/>
  <c r="K44" i="3"/>
  <c r="K44" i="1" s="1"/>
  <c r="J44" i="3"/>
  <c r="J44" i="1" s="1"/>
  <c r="I44" i="3"/>
  <c r="H44" i="3"/>
  <c r="G44" i="3"/>
  <c r="G44" i="1" s="1"/>
  <c r="F44" i="3"/>
  <c r="E44" i="3"/>
  <c r="D44" i="3"/>
  <c r="C44" i="3"/>
  <c r="B44" i="3"/>
  <c r="A44" i="3"/>
  <c r="BD43" i="3"/>
  <c r="BC43" i="3"/>
  <c r="BB43" i="3"/>
  <c r="BA43" i="3"/>
  <c r="AZ43" i="3"/>
  <c r="AY43" i="3"/>
  <c r="AX43" i="3"/>
  <c r="AW43" i="3"/>
  <c r="AV43" i="3"/>
  <c r="AV43" i="1" s="1"/>
  <c r="AU43" i="3"/>
  <c r="AT43" i="3"/>
  <c r="AS43" i="3"/>
  <c r="AR43" i="3"/>
  <c r="AL43" i="3"/>
  <c r="AK43" i="3"/>
  <c r="AG43" i="3" s="1"/>
  <c r="AJ43" i="3"/>
  <c r="AI43" i="3"/>
  <c r="AH43" i="3"/>
  <c r="AF43" i="3"/>
  <c r="O43" i="3" s="1"/>
  <c r="AE43" i="3"/>
  <c r="AD43" i="3"/>
  <c r="AC43" i="3"/>
  <c r="AB43" i="3"/>
  <c r="AA43" i="3"/>
  <c r="Z43" i="3"/>
  <c r="X43" i="3"/>
  <c r="N43" i="3"/>
  <c r="M43" i="3"/>
  <c r="L43" i="3"/>
  <c r="R43" i="3" s="1"/>
  <c r="K43" i="3"/>
  <c r="J43" i="3"/>
  <c r="I43" i="3"/>
  <c r="H43" i="3"/>
  <c r="H43" i="1" s="1"/>
  <c r="G43" i="3"/>
  <c r="G43" i="1" s="1"/>
  <c r="F43" i="3"/>
  <c r="E43" i="3"/>
  <c r="D43" i="3"/>
  <c r="C43" i="3"/>
  <c r="B43" i="3"/>
  <c r="A43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S42" i="1" s="1"/>
  <c r="AR42" i="3"/>
  <c r="AL42" i="3"/>
  <c r="AK42" i="3"/>
  <c r="AJ42" i="3"/>
  <c r="AI42" i="3"/>
  <c r="AH42" i="3"/>
  <c r="AE42" i="3"/>
  <c r="AD42" i="3"/>
  <c r="AC42" i="3"/>
  <c r="AB42" i="3"/>
  <c r="AA42" i="3"/>
  <c r="Z42" i="3"/>
  <c r="X42" i="3"/>
  <c r="N42" i="3"/>
  <c r="M42" i="3"/>
  <c r="L42" i="3"/>
  <c r="K42" i="3"/>
  <c r="J42" i="3"/>
  <c r="I42" i="3"/>
  <c r="H42" i="3"/>
  <c r="G42" i="3"/>
  <c r="F42" i="3"/>
  <c r="E42" i="3"/>
  <c r="T42" i="3" s="1"/>
  <c r="D42" i="3"/>
  <c r="C42" i="3"/>
  <c r="B42" i="3"/>
  <c r="B42" i="1" s="1"/>
  <c r="A42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L41" i="3"/>
  <c r="AK41" i="3"/>
  <c r="AJ41" i="3"/>
  <c r="AI41" i="3"/>
  <c r="AH41" i="3"/>
  <c r="AE41" i="3"/>
  <c r="AD41" i="3"/>
  <c r="AC41" i="3"/>
  <c r="AB41" i="3"/>
  <c r="AA41" i="3"/>
  <c r="Z41" i="3"/>
  <c r="X41" i="3"/>
  <c r="T41" i="3"/>
  <c r="S41" i="3"/>
  <c r="Q41" i="3"/>
  <c r="N41" i="3"/>
  <c r="BH41" i="3" s="1"/>
  <c r="BH41" i="1" s="1"/>
  <c r="M41" i="3"/>
  <c r="BG41" i="3" s="1"/>
  <c r="L41" i="3"/>
  <c r="R41" i="3" s="1"/>
  <c r="K41" i="3"/>
  <c r="J41" i="3"/>
  <c r="I41" i="3"/>
  <c r="H41" i="3"/>
  <c r="G41" i="3"/>
  <c r="F41" i="3"/>
  <c r="E41" i="3"/>
  <c r="D41" i="3"/>
  <c r="C41" i="3"/>
  <c r="B41" i="3"/>
  <c r="A41" i="3"/>
  <c r="BF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L40" i="3"/>
  <c r="AK40" i="3"/>
  <c r="AJ40" i="3"/>
  <c r="AI40" i="3"/>
  <c r="AH40" i="3"/>
  <c r="AE40" i="3"/>
  <c r="AD40" i="3"/>
  <c r="AC40" i="3"/>
  <c r="AB40" i="3"/>
  <c r="AA40" i="3"/>
  <c r="Z40" i="3"/>
  <c r="X40" i="3"/>
  <c r="T40" i="3"/>
  <c r="BH40" i="3" s="1"/>
  <c r="S40" i="3"/>
  <c r="BG40" i="3" s="1"/>
  <c r="R40" i="3"/>
  <c r="Q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L39" i="3"/>
  <c r="AK39" i="3"/>
  <c r="AJ39" i="3"/>
  <c r="AI39" i="3"/>
  <c r="AH39" i="3"/>
  <c r="AG39" i="3"/>
  <c r="AE39" i="3"/>
  <c r="AD39" i="3"/>
  <c r="AC39" i="3"/>
  <c r="AB39" i="3"/>
  <c r="AA39" i="3"/>
  <c r="AF39" i="3" s="1"/>
  <c r="Z39" i="3"/>
  <c r="X39" i="3"/>
  <c r="S39" i="3"/>
  <c r="Q39" i="3"/>
  <c r="N39" i="3"/>
  <c r="P39" i="3" s="1"/>
  <c r="V39" i="3" s="1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L38" i="3"/>
  <c r="AK38" i="3"/>
  <c r="AG38" i="3" s="1"/>
  <c r="AJ38" i="3"/>
  <c r="AI38" i="3"/>
  <c r="AH38" i="3"/>
  <c r="AE38" i="3"/>
  <c r="AD38" i="3"/>
  <c r="AC38" i="3"/>
  <c r="AB38" i="3"/>
  <c r="AA38" i="3"/>
  <c r="Z38" i="3"/>
  <c r="X38" i="3"/>
  <c r="N38" i="3"/>
  <c r="T38" i="3" s="1"/>
  <c r="M38" i="3"/>
  <c r="L38" i="3"/>
  <c r="K38" i="3"/>
  <c r="J38" i="3"/>
  <c r="I38" i="3"/>
  <c r="H38" i="3"/>
  <c r="H38" i="1" s="1"/>
  <c r="G38" i="3"/>
  <c r="F38" i="3"/>
  <c r="E38" i="3"/>
  <c r="D38" i="3"/>
  <c r="C38" i="3"/>
  <c r="B38" i="3"/>
  <c r="A38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L37" i="3"/>
  <c r="AK37" i="3"/>
  <c r="AJ37" i="3"/>
  <c r="AI37" i="3"/>
  <c r="AH37" i="3"/>
  <c r="AE37" i="3"/>
  <c r="AD37" i="3"/>
  <c r="AC37" i="3"/>
  <c r="BG37" i="3" s="1"/>
  <c r="AB37" i="3"/>
  <c r="AA37" i="3"/>
  <c r="Z37" i="3"/>
  <c r="X37" i="3"/>
  <c r="S37" i="3"/>
  <c r="R37" i="3"/>
  <c r="R37" i="1" s="1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BD36" i="3"/>
  <c r="BC36" i="3"/>
  <c r="BB36" i="3"/>
  <c r="BA36" i="3"/>
  <c r="AZ36" i="3"/>
  <c r="AZ36" i="1" s="1"/>
  <c r="AY36" i="3"/>
  <c r="AX36" i="3"/>
  <c r="AW36" i="3"/>
  <c r="AV36" i="3"/>
  <c r="AU36" i="3"/>
  <c r="AT36" i="3"/>
  <c r="AS36" i="3"/>
  <c r="AR36" i="3"/>
  <c r="AL36" i="3"/>
  <c r="AK36" i="3"/>
  <c r="AJ36" i="3"/>
  <c r="AI36" i="3"/>
  <c r="AH36" i="3"/>
  <c r="AE36" i="3"/>
  <c r="AD36" i="3"/>
  <c r="AC36" i="3"/>
  <c r="AF36" i="3" s="1"/>
  <c r="O36" i="3" s="1"/>
  <c r="AB36" i="3"/>
  <c r="AA36" i="3"/>
  <c r="Z36" i="3"/>
  <c r="X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L35" i="3"/>
  <c r="AK35" i="3"/>
  <c r="AJ35" i="3"/>
  <c r="AI35" i="3"/>
  <c r="AH35" i="3"/>
  <c r="AE35" i="3"/>
  <c r="AD35" i="3"/>
  <c r="AC35" i="3"/>
  <c r="AB35" i="3"/>
  <c r="AA35" i="3"/>
  <c r="Z35" i="3"/>
  <c r="X35" i="3"/>
  <c r="Q35" i="3"/>
  <c r="N35" i="3"/>
  <c r="T35" i="3" s="1"/>
  <c r="T35" i="1" s="1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L34" i="3"/>
  <c r="AK34" i="3"/>
  <c r="AJ34" i="3"/>
  <c r="AI34" i="3"/>
  <c r="AH34" i="3"/>
  <c r="AF34" i="3"/>
  <c r="AE34" i="3"/>
  <c r="AD34" i="3"/>
  <c r="AC34" i="3"/>
  <c r="AB34" i="3"/>
  <c r="AA34" i="3"/>
  <c r="Z34" i="3"/>
  <c r="X34" i="3"/>
  <c r="R34" i="3"/>
  <c r="N34" i="3"/>
  <c r="M34" i="3"/>
  <c r="L34" i="3"/>
  <c r="K34" i="3"/>
  <c r="J34" i="3"/>
  <c r="I34" i="3"/>
  <c r="I34" i="1" s="1"/>
  <c r="H34" i="3"/>
  <c r="G34" i="3"/>
  <c r="F34" i="3"/>
  <c r="F34" i="1" s="1"/>
  <c r="E34" i="3"/>
  <c r="T34" i="3" s="1"/>
  <c r="D34" i="3"/>
  <c r="D34" i="1" s="1"/>
  <c r="C34" i="3"/>
  <c r="B34" i="3"/>
  <c r="A34" i="3"/>
  <c r="BJ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R33" i="1" s="1"/>
  <c r="AL33" i="3"/>
  <c r="AK33" i="3"/>
  <c r="AG33" i="3" s="1"/>
  <c r="P33" i="3" s="1"/>
  <c r="AJ33" i="3"/>
  <c r="AI33" i="3"/>
  <c r="AH33" i="3"/>
  <c r="AF33" i="3"/>
  <c r="O33" i="3" s="1"/>
  <c r="BI33" i="3" s="1"/>
  <c r="AE33" i="3"/>
  <c r="AD33" i="3"/>
  <c r="AC33" i="3"/>
  <c r="AB33" i="3"/>
  <c r="AA33" i="3"/>
  <c r="Z33" i="3"/>
  <c r="X33" i="3"/>
  <c r="V33" i="3"/>
  <c r="U33" i="3"/>
  <c r="T33" i="3"/>
  <c r="S33" i="3"/>
  <c r="BG33" i="3" s="1"/>
  <c r="Q33" i="3"/>
  <c r="N33" i="3"/>
  <c r="M33" i="3"/>
  <c r="L33" i="3"/>
  <c r="K33" i="3"/>
  <c r="J33" i="3"/>
  <c r="I33" i="3"/>
  <c r="H33" i="3"/>
  <c r="G33" i="3"/>
  <c r="F33" i="3"/>
  <c r="E33" i="3"/>
  <c r="D33" i="3"/>
  <c r="C33" i="3"/>
  <c r="R33" i="3" s="1"/>
  <c r="R33" i="1" s="1"/>
  <c r="B33" i="3"/>
  <c r="A33" i="3"/>
  <c r="BG32" i="3"/>
  <c r="BG32" i="1" s="1"/>
  <c r="BF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L32" i="3"/>
  <c r="AK32" i="3"/>
  <c r="AJ32" i="3"/>
  <c r="AI32" i="3"/>
  <c r="AH32" i="3"/>
  <c r="AE32" i="3"/>
  <c r="AD32" i="3"/>
  <c r="AC32" i="3"/>
  <c r="AB32" i="3"/>
  <c r="AA32" i="3"/>
  <c r="Z32" i="3"/>
  <c r="X32" i="3"/>
  <c r="Q32" i="3"/>
  <c r="N32" i="3"/>
  <c r="M32" i="3"/>
  <c r="L32" i="3"/>
  <c r="R32" i="3" s="1"/>
  <c r="K32" i="3"/>
  <c r="J32" i="3"/>
  <c r="I32" i="3"/>
  <c r="H32" i="3"/>
  <c r="G32" i="3"/>
  <c r="F32" i="3"/>
  <c r="E32" i="3"/>
  <c r="D32" i="3"/>
  <c r="S32" i="3" s="1"/>
  <c r="C32" i="3"/>
  <c r="B32" i="3"/>
  <c r="A32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L31" i="3"/>
  <c r="AK31" i="3"/>
  <c r="AJ31" i="3"/>
  <c r="AI31" i="3"/>
  <c r="AH31" i="3"/>
  <c r="AG31" i="3"/>
  <c r="AE31" i="3"/>
  <c r="AD31" i="3"/>
  <c r="AC31" i="3"/>
  <c r="AB31" i="3"/>
  <c r="AA31" i="3"/>
  <c r="Z31" i="3"/>
  <c r="X31" i="3"/>
  <c r="R31" i="3"/>
  <c r="Q31" i="3"/>
  <c r="N31" i="3"/>
  <c r="T31" i="3" s="1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BF30" i="3"/>
  <c r="BF30" i="1" s="1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L30" i="3"/>
  <c r="AK30" i="3"/>
  <c r="AJ30" i="3"/>
  <c r="AI30" i="3"/>
  <c r="AH30" i="3"/>
  <c r="AG30" i="3"/>
  <c r="P30" i="3" s="1"/>
  <c r="AF30" i="3"/>
  <c r="AE30" i="3"/>
  <c r="AD30" i="3"/>
  <c r="AC30" i="3"/>
  <c r="AB30" i="3"/>
  <c r="AA30" i="3"/>
  <c r="Z30" i="3"/>
  <c r="X30" i="3"/>
  <c r="T30" i="3"/>
  <c r="Q30" i="3"/>
  <c r="N30" i="3"/>
  <c r="M30" i="3"/>
  <c r="S30" i="3" s="1"/>
  <c r="L30" i="3"/>
  <c r="R30" i="3" s="1"/>
  <c r="K30" i="3"/>
  <c r="J30" i="3"/>
  <c r="I30" i="3"/>
  <c r="H30" i="3"/>
  <c r="G30" i="3"/>
  <c r="F30" i="3"/>
  <c r="E30" i="3"/>
  <c r="D30" i="3"/>
  <c r="C30" i="3"/>
  <c r="B30" i="3"/>
  <c r="A30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L29" i="3"/>
  <c r="AK29" i="3"/>
  <c r="AJ29" i="3"/>
  <c r="AI29" i="3"/>
  <c r="AH29" i="3"/>
  <c r="AE29" i="3"/>
  <c r="AD29" i="3"/>
  <c r="AC29" i="3"/>
  <c r="AC29" i="1" s="1"/>
  <c r="AB29" i="3"/>
  <c r="AA29" i="3"/>
  <c r="Z29" i="3"/>
  <c r="X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L28" i="3"/>
  <c r="AK28" i="3"/>
  <c r="AJ28" i="3"/>
  <c r="AI28" i="3"/>
  <c r="AH28" i="3"/>
  <c r="AG28" i="3"/>
  <c r="AG28" i="1" s="1"/>
  <c r="AE28" i="3"/>
  <c r="AD28" i="3"/>
  <c r="AC28" i="3"/>
  <c r="AF28" i="3" s="1"/>
  <c r="AF28" i="1" s="1"/>
  <c r="AB28" i="3"/>
  <c r="AA28" i="3"/>
  <c r="Z28" i="3"/>
  <c r="X28" i="3"/>
  <c r="Q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B28" i="1" s="1"/>
  <c r="A28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R27" i="1" s="1"/>
  <c r="AL27" i="3"/>
  <c r="AK27" i="3"/>
  <c r="AJ27" i="3"/>
  <c r="AI27" i="3"/>
  <c r="AH27" i="3"/>
  <c r="AG27" i="3"/>
  <c r="AE27" i="3"/>
  <c r="AD27" i="3"/>
  <c r="AC27" i="3"/>
  <c r="S27" i="3" s="1"/>
  <c r="AB27" i="3"/>
  <c r="AA27" i="3"/>
  <c r="Z27" i="3"/>
  <c r="X27" i="3"/>
  <c r="N27" i="3"/>
  <c r="M27" i="3"/>
  <c r="BG27" i="3" s="1"/>
  <c r="L27" i="3"/>
  <c r="K27" i="3"/>
  <c r="J27" i="3"/>
  <c r="I27" i="3"/>
  <c r="H27" i="3"/>
  <c r="G27" i="3"/>
  <c r="F27" i="3"/>
  <c r="E27" i="3"/>
  <c r="D27" i="3"/>
  <c r="C27" i="3"/>
  <c r="B27" i="3"/>
  <c r="A27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L26" i="3"/>
  <c r="AK26" i="3"/>
  <c r="AJ26" i="3"/>
  <c r="AI26" i="3"/>
  <c r="AH26" i="3"/>
  <c r="AE26" i="3"/>
  <c r="AD26" i="3"/>
  <c r="AC26" i="3"/>
  <c r="AB26" i="3"/>
  <c r="AA26" i="3"/>
  <c r="Z26" i="3"/>
  <c r="X26" i="3"/>
  <c r="T26" i="3"/>
  <c r="BH26" i="3" s="1"/>
  <c r="S26" i="3"/>
  <c r="S26" i="1" s="1"/>
  <c r="R26" i="3"/>
  <c r="N26" i="3"/>
  <c r="M26" i="3"/>
  <c r="BG26" i="3" s="1"/>
  <c r="BG26" i="1" s="1"/>
  <c r="L26" i="3"/>
  <c r="K26" i="3"/>
  <c r="J26" i="3"/>
  <c r="I26" i="3"/>
  <c r="H26" i="3"/>
  <c r="G26" i="3"/>
  <c r="F26" i="3"/>
  <c r="E26" i="3"/>
  <c r="D26" i="3"/>
  <c r="C26" i="3"/>
  <c r="B26" i="3"/>
  <c r="A26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L25" i="3"/>
  <c r="AK25" i="3"/>
  <c r="AJ25" i="3"/>
  <c r="AI25" i="3"/>
  <c r="AH25" i="3"/>
  <c r="AE25" i="3"/>
  <c r="AD25" i="3"/>
  <c r="AC25" i="3"/>
  <c r="AB25" i="3"/>
  <c r="AA25" i="3"/>
  <c r="Z25" i="3"/>
  <c r="X25" i="3"/>
  <c r="R25" i="3"/>
  <c r="BF25" i="3" s="1"/>
  <c r="Q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BF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L24" i="3"/>
  <c r="AK24" i="3"/>
  <c r="AJ24" i="3"/>
  <c r="AI24" i="3"/>
  <c r="AI24" i="1" s="1"/>
  <c r="AH24" i="3"/>
  <c r="AF24" i="3"/>
  <c r="AE24" i="3"/>
  <c r="AD24" i="3"/>
  <c r="AC24" i="3"/>
  <c r="AB24" i="3"/>
  <c r="AA24" i="3"/>
  <c r="Z24" i="3"/>
  <c r="X24" i="3"/>
  <c r="N24" i="3"/>
  <c r="M24" i="3"/>
  <c r="L24" i="3"/>
  <c r="R24" i="3" s="1"/>
  <c r="K24" i="3"/>
  <c r="J24" i="3"/>
  <c r="I24" i="3"/>
  <c r="H24" i="3"/>
  <c r="G24" i="3"/>
  <c r="F24" i="3"/>
  <c r="E24" i="3"/>
  <c r="T24" i="3" s="1"/>
  <c r="D24" i="3"/>
  <c r="C24" i="3"/>
  <c r="B24" i="3"/>
  <c r="A24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L23" i="3"/>
  <c r="AK23" i="3"/>
  <c r="AG23" i="3" s="1"/>
  <c r="AJ23" i="3"/>
  <c r="AI23" i="3"/>
  <c r="AH23" i="3"/>
  <c r="AE23" i="3"/>
  <c r="AD23" i="3"/>
  <c r="AC23" i="3"/>
  <c r="AB23" i="3"/>
  <c r="AA23" i="3"/>
  <c r="Z23" i="3"/>
  <c r="X23" i="3"/>
  <c r="R23" i="3"/>
  <c r="R23" i="1" s="1"/>
  <c r="Q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BD22" i="3"/>
  <c r="BC22" i="3"/>
  <c r="BB22" i="3"/>
  <c r="BB22" i="1" s="1"/>
  <c r="BA22" i="3"/>
  <c r="AZ22" i="3"/>
  <c r="AZ22" i="1" s="1"/>
  <c r="AY22" i="3"/>
  <c r="AX22" i="3"/>
  <c r="AW22" i="3"/>
  <c r="AV22" i="3"/>
  <c r="AU22" i="3"/>
  <c r="AT22" i="3"/>
  <c r="AS22" i="3"/>
  <c r="AR22" i="3"/>
  <c r="AL22" i="3"/>
  <c r="AK22" i="3"/>
  <c r="AJ22" i="3"/>
  <c r="AI22" i="3"/>
  <c r="AH22" i="3"/>
  <c r="AE22" i="3"/>
  <c r="AD22" i="3"/>
  <c r="AC22" i="3"/>
  <c r="AB22" i="3"/>
  <c r="AA22" i="3"/>
  <c r="AG22" i="3" s="1"/>
  <c r="AG22" i="1" s="1"/>
  <c r="Z22" i="3"/>
  <c r="X22" i="3"/>
  <c r="R22" i="3"/>
  <c r="R22" i="1" s="1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BG21" i="3"/>
  <c r="BD21" i="3"/>
  <c r="BC21" i="3"/>
  <c r="BB21" i="3"/>
  <c r="BB21" i="1" s="1"/>
  <c r="BA21" i="3"/>
  <c r="AZ21" i="3"/>
  <c r="AY21" i="3"/>
  <c r="AX21" i="3"/>
  <c r="AW21" i="3"/>
  <c r="AV21" i="3"/>
  <c r="AV21" i="1" s="1"/>
  <c r="AU21" i="3"/>
  <c r="AT21" i="3"/>
  <c r="AS21" i="3"/>
  <c r="AR21" i="3"/>
  <c r="AL21" i="3"/>
  <c r="AK21" i="3"/>
  <c r="AJ21" i="3"/>
  <c r="AI21" i="3"/>
  <c r="AH21" i="3"/>
  <c r="AG21" i="3"/>
  <c r="AF21" i="3"/>
  <c r="O21" i="3" s="1"/>
  <c r="AE21" i="3"/>
  <c r="AD21" i="3"/>
  <c r="AC21" i="3"/>
  <c r="AB21" i="3"/>
  <c r="AA21" i="3"/>
  <c r="Z21" i="3"/>
  <c r="X21" i="3"/>
  <c r="X21" i="1" s="1"/>
  <c r="N21" i="3"/>
  <c r="M21" i="3"/>
  <c r="L21" i="3"/>
  <c r="K21" i="3"/>
  <c r="J21" i="3"/>
  <c r="I21" i="3"/>
  <c r="H21" i="3"/>
  <c r="G21" i="3"/>
  <c r="F21" i="3"/>
  <c r="F21" i="1" s="1"/>
  <c r="E21" i="3"/>
  <c r="D21" i="3"/>
  <c r="S21" i="3" s="1"/>
  <c r="C21" i="3"/>
  <c r="B21" i="3"/>
  <c r="A21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L20" i="3"/>
  <c r="AK20" i="3"/>
  <c r="AJ20" i="3"/>
  <c r="AI20" i="3"/>
  <c r="AH20" i="3"/>
  <c r="AE20" i="3"/>
  <c r="AD20" i="3"/>
  <c r="AC20" i="3"/>
  <c r="AB20" i="3"/>
  <c r="AA20" i="3"/>
  <c r="Z20" i="3"/>
  <c r="X20" i="3"/>
  <c r="N20" i="3"/>
  <c r="M20" i="3"/>
  <c r="L20" i="3"/>
  <c r="K20" i="3"/>
  <c r="J20" i="3"/>
  <c r="I20" i="3"/>
  <c r="H20" i="3"/>
  <c r="G20" i="3"/>
  <c r="F20" i="3"/>
  <c r="E20" i="3"/>
  <c r="T20" i="3" s="1"/>
  <c r="D20" i="3"/>
  <c r="C20" i="3"/>
  <c r="B20" i="3"/>
  <c r="A20" i="3"/>
  <c r="A20" i="1" s="1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L19" i="3"/>
  <c r="AK19" i="3"/>
  <c r="AJ19" i="3"/>
  <c r="AI19" i="3"/>
  <c r="AH19" i="3"/>
  <c r="AH19" i="1" s="1"/>
  <c r="AE19" i="3"/>
  <c r="AD19" i="3"/>
  <c r="AC19" i="3"/>
  <c r="AB19" i="3"/>
  <c r="AA19" i="3"/>
  <c r="Z19" i="3"/>
  <c r="X19" i="3"/>
  <c r="Q19" i="3"/>
  <c r="N19" i="3"/>
  <c r="M19" i="3"/>
  <c r="L19" i="3"/>
  <c r="K19" i="3"/>
  <c r="J19" i="3"/>
  <c r="I19" i="3"/>
  <c r="H19" i="3"/>
  <c r="G19" i="3"/>
  <c r="F19" i="3"/>
  <c r="E19" i="3"/>
  <c r="T19" i="3" s="1"/>
  <c r="D19" i="3"/>
  <c r="S19" i="3" s="1"/>
  <c r="C19" i="3"/>
  <c r="R19" i="3" s="1"/>
  <c r="B19" i="3"/>
  <c r="A19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L18" i="3"/>
  <c r="AL18" i="1" s="1"/>
  <c r="AK18" i="3"/>
  <c r="AJ18" i="3"/>
  <c r="AI18" i="3"/>
  <c r="AH18" i="3"/>
  <c r="AE18" i="3"/>
  <c r="AD18" i="3"/>
  <c r="AC18" i="3"/>
  <c r="AB18" i="3"/>
  <c r="AA18" i="3"/>
  <c r="Z18" i="3"/>
  <c r="X18" i="3"/>
  <c r="S18" i="3"/>
  <c r="BG18" i="3" s="1"/>
  <c r="Q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L17" i="3"/>
  <c r="AK17" i="3"/>
  <c r="AJ17" i="3"/>
  <c r="AI17" i="3"/>
  <c r="AH17" i="3"/>
  <c r="AG17" i="3"/>
  <c r="AE17" i="3"/>
  <c r="AD17" i="3"/>
  <c r="AC17" i="3"/>
  <c r="AB17" i="3"/>
  <c r="AA17" i="3"/>
  <c r="Z17" i="3"/>
  <c r="X17" i="3"/>
  <c r="S17" i="3"/>
  <c r="N17" i="3"/>
  <c r="M17" i="3"/>
  <c r="BG17" i="3" s="1"/>
  <c r="BG17" i="1" s="1"/>
  <c r="L17" i="3"/>
  <c r="R17" i="3" s="1"/>
  <c r="BF17" i="3" s="1"/>
  <c r="BF17" i="1" s="1"/>
  <c r="K17" i="3"/>
  <c r="J17" i="3"/>
  <c r="I17" i="3"/>
  <c r="H17" i="3"/>
  <c r="G17" i="3"/>
  <c r="F17" i="3"/>
  <c r="E17" i="3"/>
  <c r="D17" i="3"/>
  <c r="C17" i="3"/>
  <c r="B17" i="3"/>
  <c r="A17" i="3"/>
  <c r="BH16" i="3"/>
  <c r="BG16" i="3"/>
  <c r="BD16" i="3"/>
  <c r="BC16" i="3"/>
  <c r="BC16" i="1" s="1"/>
  <c r="BB16" i="3"/>
  <c r="BA16" i="3"/>
  <c r="AZ16" i="3"/>
  <c r="AY16" i="3"/>
  <c r="AX16" i="3"/>
  <c r="AW16" i="3"/>
  <c r="AV16" i="3"/>
  <c r="AU16" i="3"/>
  <c r="AT16" i="3"/>
  <c r="AS16" i="3"/>
  <c r="AR16" i="3"/>
  <c r="AL16" i="3"/>
  <c r="AK16" i="3"/>
  <c r="AG16" i="3" s="1"/>
  <c r="AJ16" i="3"/>
  <c r="AI16" i="3"/>
  <c r="AH16" i="3"/>
  <c r="AF16" i="3" s="1"/>
  <c r="AF16" i="1" s="1"/>
  <c r="AE16" i="3"/>
  <c r="AD16" i="3"/>
  <c r="AC16" i="3"/>
  <c r="AB16" i="3"/>
  <c r="AA16" i="3"/>
  <c r="Z16" i="3"/>
  <c r="X16" i="3"/>
  <c r="Q16" i="3"/>
  <c r="N16" i="3"/>
  <c r="T16" i="3" s="1"/>
  <c r="M16" i="3"/>
  <c r="S16" i="3" s="1"/>
  <c r="L16" i="3"/>
  <c r="K16" i="3"/>
  <c r="BE16" i="3" s="1"/>
  <c r="BE16" i="1" s="1"/>
  <c r="J16" i="3"/>
  <c r="I16" i="3"/>
  <c r="H16" i="3"/>
  <c r="G16" i="3"/>
  <c r="F16" i="3"/>
  <c r="E16" i="3"/>
  <c r="D16" i="3"/>
  <c r="C16" i="3"/>
  <c r="B16" i="3"/>
  <c r="A16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L15" i="3"/>
  <c r="AK15" i="3"/>
  <c r="AJ15" i="3"/>
  <c r="AI15" i="3"/>
  <c r="AH15" i="3"/>
  <c r="AE15" i="3"/>
  <c r="AD15" i="3"/>
  <c r="AC15" i="3"/>
  <c r="AB15" i="3"/>
  <c r="AA15" i="3"/>
  <c r="Z15" i="3"/>
  <c r="X15" i="3"/>
  <c r="N15" i="3"/>
  <c r="M15" i="3"/>
  <c r="L15" i="3"/>
  <c r="K15" i="3"/>
  <c r="J15" i="3"/>
  <c r="I15" i="3"/>
  <c r="I15" i="1" s="1"/>
  <c r="H15" i="3"/>
  <c r="G15" i="3"/>
  <c r="F15" i="3"/>
  <c r="E15" i="3"/>
  <c r="D15" i="3"/>
  <c r="C15" i="3"/>
  <c r="B15" i="3"/>
  <c r="A15" i="3"/>
  <c r="BG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L14" i="3"/>
  <c r="AK14" i="3"/>
  <c r="AG14" i="3" s="1"/>
  <c r="P14" i="3" s="1"/>
  <c r="AJ14" i="3"/>
  <c r="AI14" i="3"/>
  <c r="AH14" i="3"/>
  <c r="AF14" i="3"/>
  <c r="O14" i="3" s="1"/>
  <c r="AE14" i="3"/>
  <c r="AD14" i="3"/>
  <c r="AC14" i="3"/>
  <c r="AB14" i="3"/>
  <c r="AA14" i="3"/>
  <c r="Z14" i="3"/>
  <c r="X14" i="3"/>
  <c r="N14" i="3"/>
  <c r="M14" i="3"/>
  <c r="L14" i="3"/>
  <c r="K14" i="3"/>
  <c r="J14" i="3"/>
  <c r="I14" i="3"/>
  <c r="H14" i="3"/>
  <c r="G14" i="3"/>
  <c r="F14" i="3"/>
  <c r="E14" i="3"/>
  <c r="E14" i="1" s="1"/>
  <c r="D14" i="3"/>
  <c r="S14" i="3" s="1"/>
  <c r="C14" i="3"/>
  <c r="B14" i="3"/>
  <c r="A14" i="3"/>
  <c r="BH13" i="3"/>
  <c r="BD13" i="3"/>
  <c r="BC13" i="3"/>
  <c r="BB13" i="3"/>
  <c r="BA13" i="3"/>
  <c r="AZ13" i="3"/>
  <c r="AY13" i="3"/>
  <c r="AX13" i="3"/>
  <c r="AW13" i="3"/>
  <c r="AV13" i="3"/>
  <c r="AU13" i="3"/>
  <c r="AT13" i="3"/>
  <c r="AT13" i="1" s="1"/>
  <c r="AS13" i="3"/>
  <c r="AR13" i="3"/>
  <c r="AL13" i="3"/>
  <c r="AK13" i="3"/>
  <c r="AJ13" i="3"/>
  <c r="AI13" i="3"/>
  <c r="AH13" i="3"/>
  <c r="AE13" i="3"/>
  <c r="AD13" i="3"/>
  <c r="AC13" i="3"/>
  <c r="AB13" i="3"/>
  <c r="AA13" i="3"/>
  <c r="Z13" i="3"/>
  <c r="X13" i="3"/>
  <c r="N13" i="3"/>
  <c r="T13" i="3" s="1"/>
  <c r="M13" i="3"/>
  <c r="L13" i="3"/>
  <c r="K13" i="3"/>
  <c r="J13" i="3"/>
  <c r="I13" i="3"/>
  <c r="H13" i="3"/>
  <c r="G13" i="3"/>
  <c r="F13" i="3"/>
  <c r="F13" i="1" s="1"/>
  <c r="E13" i="3"/>
  <c r="D13" i="3"/>
  <c r="C13" i="3"/>
  <c r="B13" i="3"/>
  <c r="A13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L12" i="3"/>
  <c r="AK12" i="3"/>
  <c r="AJ12" i="3"/>
  <c r="AI12" i="3"/>
  <c r="AH12" i="3"/>
  <c r="AE12" i="3"/>
  <c r="AD12" i="3"/>
  <c r="AC12" i="3"/>
  <c r="AB12" i="3"/>
  <c r="AA12" i="3"/>
  <c r="Z12" i="3"/>
  <c r="X12" i="3"/>
  <c r="T12" i="3"/>
  <c r="T12" i="1" s="1"/>
  <c r="S12" i="3"/>
  <c r="N12" i="3"/>
  <c r="M12" i="3"/>
  <c r="L12" i="3"/>
  <c r="BF12" i="3" s="1"/>
  <c r="K12" i="3"/>
  <c r="J12" i="3"/>
  <c r="I12" i="3"/>
  <c r="H12" i="3"/>
  <c r="G12" i="3"/>
  <c r="F12" i="3"/>
  <c r="E12" i="3"/>
  <c r="D12" i="3"/>
  <c r="C12" i="3"/>
  <c r="R12" i="3" s="1"/>
  <c r="B12" i="3"/>
  <c r="A12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L11" i="3"/>
  <c r="AK11" i="3"/>
  <c r="AJ11" i="3"/>
  <c r="AI11" i="3"/>
  <c r="AH11" i="3"/>
  <c r="AE11" i="3"/>
  <c r="AD11" i="3"/>
  <c r="AC11" i="3"/>
  <c r="AB11" i="3"/>
  <c r="AA11" i="3"/>
  <c r="Z11" i="3"/>
  <c r="X11" i="3"/>
  <c r="S11" i="3"/>
  <c r="Q11" i="3"/>
  <c r="Q11" i="1" s="1"/>
  <c r="N11" i="3"/>
  <c r="M11" i="3"/>
  <c r="L11" i="3"/>
  <c r="K11" i="3"/>
  <c r="J11" i="3"/>
  <c r="I11" i="3"/>
  <c r="H11" i="3"/>
  <c r="G11" i="3"/>
  <c r="F11" i="3"/>
  <c r="E11" i="3"/>
  <c r="D11" i="3"/>
  <c r="C11" i="3"/>
  <c r="R11" i="3" s="1"/>
  <c r="R11" i="1" s="1"/>
  <c r="B11" i="3"/>
  <c r="A11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L10" i="3"/>
  <c r="AK10" i="3"/>
  <c r="AJ10" i="3"/>
  <c r="AI10" i="3"/>
  <c r="AH10" i="3"/>
  <c r="AE10" i="3"/>
  <c r="AD10" i="3"/>
  <c r="AC10" i="3"/>
  <c r="AB10" i="3"/>
  <c r="AA10" i="3"/>
  <c r="AG10" i="3" s="1"/>
  <c r="AG10" i="1" s="1"/>
  <c r="Z10" i="3"/>
  <c r="X10" i="3"/>
  <c r="Q10" i="3"/>
  <c r="N10" i="3"/>
  <c r="M10" i="3"/>
  <c r="L10" i="3"/>
  <c r="L10" i="1" s="1"/>
  <c r="K10" i="3"/>
  <c r="J10" i="3"/>
  <c r="I10" i="3"/>
  <c r="H10" i="3"/>
  <c r="G10" i="3"/>
  <c r="F10" i="3"/>
  <c r="E10" i="3"/>
  <c r="D10" i="3"/>
  <c r="C10" i="3"/>
  <c r="B10" i="3"/>
  <c r="A10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L9" i="3"/>
  <c r="AK9" i="3"/>
  <c r="AG9" i="3" s="1"/>
  <c r="AJ9" i="3"/>
  <c r="AI9" i="3"/>
  <c r="AH9" i="3"/>
  <c r="AF9" i="3"/>
  <c r="AE9" i="3"/>
  <c r="AD9" i="3"/>
  <c r="AC9" i="3"/>
  <c r="AB9" i="3"/>
  <c r="AA9" i="3"/>
  <c r="Z9" i="3"/>
  <c r="X9" i="3"/>
  <c r="S9" i="3"/>
  <c r="BG9" i="3" s="1"/>
  <c r="Q9" i="3"/>
  <c r="P9" i="3"/>
  <c r="BJ9" i="3" s="1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B109" i="2"/>
  <c r="BF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L104" i="2"/>
  <c r="AK104" i="2"/>
  <c r="AJ104" i="2"/>
  <c r="AI104" i="2"/>
  <c r="AH104" i="2"/>
  <c r="AG104" i="2"/>
  <c r="AE104" i="2"/>
  <c r="AD104" i="2"/>
  <c r="AC104" i="2"/>
  <c r="AB104" i="2"/>
  <c r="AA104" i="2"/>
  <c r="Z104" i="2"/>
  <c r="X104" i="2"/>
  <c r="V104" i="2"/>
  <c r="T104" i="2"/>
  <c r="S104" i="2"/>
  <c r="R104" i="2"/>
  <c r="Q104" i="2"/>
  <c r="P104" i="2"/>
  <c r="N104" i="2"/>
  <c r="M104" i="2"/>
  <c r="L104" i="2"/>
  <c r="K104" i="2"/>
  <c r="J104" i="2"/>
  <c r="B110" i="2" s="1"/>
  <c r="I104" i="2"/>
  <c r="H104" i="2"/>
  <c r="G104" i="2"/>
  <c r="F104" i="2"/>
  <c r="E104" i="2"/>
  <c r="D104" i="2"/>
  <c r="C104" i="2"/>
  <c r="B104" i="2"/>
  <c r="A104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L103" i="2"/>
  <c r="AK103" i="2"/>
  <c r="AJ103" i="2"/>
  <c r="AI103" i="2"/>
  <c r="AH103" i="2"/>
  <c r="AG103" i="2"/>
  <c r="AE103" i="2"/>
  <c r="AD103" i="2"/>
  <c r="AC103" i="2"/>
  <c r="AB103" i="2"/>
  <c r="AA103" i="2"/>
  <c r="Z103" i="2"/>
  <c r="X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L102" i="2"/>
  <c r="AK102" i="2"/>
  <c r="AJ102" i="2"/>
  <c r="AI102" i="2"/>
  <c r="AH102" i="2"/>
  <c r="AE102" i="2"/>
  <c r="AD102" i="2"/>
  <c r="AC102" i="2"/>
  <c r="AB102" i="2"/>
  <c r="AA102" i="2"/>
  <c r="Z102" i="2"/>
  <c r="X102" i="2"/>
  <c r="T102" i="2"/>
  <c r="S102" i="2"/>
  <c r="R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L101" i="2"/>
  <c r="AK101" i="2"/>
  <c r="AJ101" i="2"/>
  <c r="AI101" i="2"/>
  <c r="AH101" i="2"/>
  <c r="AF101" i="2"/>
  <c r="AE101" i="2"/>
  <c r="AD101" i="2"/>
  <c r="AC101" i="2"/>
  <c r="AB101" i="2"/>
  <c r="AA101" i="2"/>
  <c r="Z101" i="2"/>
  <c r="X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L100" i="2"/>
  <c r="AK100" i="2"/>
  <c r="AJ100" i="2"/>
  <c r="AI100" i="2"/>
  <c r="AH100" i="2"/>
  <c r="AE100" i="2"/>
  <c r="AD100" i="2"/>
  <c r="AC100" i="2"/>
  <c r="AB100" i="2"/>
  <c r="AA100" i="2"/>
  <c r="Z100" i="2"/>
  <c r="X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L99" i="2"/>
  <c r="AK99" i="2"/>
  <c r="AJ99" i="2"/>
  <c r="AI99" i="2"/>
  <c r="AH99" i="2"/>
  <c r="AE99" i="2"/>
  <c r="AD99" i="2"/>
  <c r="AC99" i="2"/>
  <c r="AB99" i="2"/>
  <c r="AA99" i="2"/>
  <c r="Z99" i="2"/>
  <c r="X99" i="2"/>
  <c r="T99" i="2"/>
  <c r="Q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L98" i="2"/>
  <c r="AK98" i="2"/>
  <c r="AJ98" i="2"/>
  <c r="AI98" i="2"/>
  <c r="AH98" i="2"/>
  <c r="AE98" i="2"/>
  <c r="AD98" i="2"/>
  <c r="AC98" i="2"/>
  <c r="AB98" i="2"/>
  <c r="AA98" i="2"/>
  <c r="Z98" i="2"/>
  <c r="X98" i="2"/>
  <c r="T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BH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X97" i="2"/>
  <c r="V97" i="2"/>
  <c r="T97" i="2"/>
  <c r="S97" i="2"/>
  <c r="R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BG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L96" i="2"/>
  <c r="AK96" i="2"/>
  <c r="AJ96" i="2"/>
  <c r="AI96" i="2"/>
  <c r="AH96" i="2"/>
  <c r="AF96" i="2"/>
  <c r="AE96" i="2"/>
  <c r="AD96" i="2"/>
  <c r="AC96" i="2"/>
  <c r="AB96" i="2"/>
  <c r="AA96" i="2"/>
  <c r="Z96" i="2"/>
  <c r="X96" i="2"/>
  <c r="T96" i="2"/>
  <c r="S96" i="2"/>
  <c r="Q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L95" i="2"/>
  <c r="AK95" i="2"/>
  <c r="AJ95" i="2"/>
  <c r="AI95" i="2"/>
  <c r="AH95" i="2"/>
  <c r="AE95" i="2"/>
  <c r="AD95" i="2"/>
  <c r="AC95" i="2"/>
  <c r="AB95" i="2"/>
  <c r="AA95" i="2"/>
  <c r="Z95" i="2"/>
  <c r="X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X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L93" i="2"/>
  <c r="AK93" i="2"/>
  <c r="AJ93" i="2"/>
  <c r="AI93" i="2"/>
  <c r="AH93" i="2"/>
  <c r="AE93" i="2"/>
  <c r="AD93" i="2"/>
  <c r="AC93" i="2"/>
  <c r="AB93" i="2"/>
  <c r="AA93" i="2"/>
  <c r="Z93" i="2"/>
  <c r="X93" i="2"/>
  <c r="S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BH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L92" i="2"/>
  <c r="AK92" i="2"/>
  <c r="AJ92" i="2"/>
  <c r="AI92" i="2"/>
  <c r="AH92" i="2"/>
  <c r="AE92" i="2"/>
  <c r="AD92" i="2"/>
  <c r="AC92" i="2"/>
  <c r="AB92" i="2"/>
  <c r="AA92" i="2"/>
  <c r="Z92" i="2"/>
  <c r="X92" i="2"/>
  <c r="T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L91" i="2"/>
  <c r="AK91" i="2"/>
  <c r="AJ91" i="2"/>
  <c r="AI91" i="2"/>
  <c r="AH91" i="2"/>
  <c r="AE91" i="2"/>
  <c r="AD91" i="2"/>
  <c r="AC91" i="2"/>
  <c r="AB91" i="2"/>
  <c r="AA91" i="2"/>
  <c r="Z91" i="2"/>
  <c r="X91" i="2"/>
  <c r="S91" i="2"/>
  <c r="Q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BH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L90" i="2"/>
  <c r="AK90" i="2"/>
  <c r="AJ90" i="2"/>
  <c r="AI90" i="2"/>
  <c r="AH90" i="2"/>
  <c r="AF90" i="2"/>
  <c r="AE90" i="2"/>
  <c r="AD90" i="2"/>
  <c r="AC90" i="2"/>
  <c r="AB90" i="2"/>
  <c r="AA90" i="2"/>
  <c r="Z90" i="2"/>
  <c r="X90" i="2"/>
  <c r="T90" i="2"/>
  <c r="S90" i="2"/>
  <c r="R90" i="2"/>
  <c r="Q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BH89" i="2"/>
  <c r="BG89" i="2"/>
  <c r="BF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X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L88" i="2"/>
  <c r="AK88" i="2"/>
  <c r="AJ88" i="2"/>
  <c r="AI88" i="2"/>
  <c r="AH88" i="2"/>
  <c r="AE88" i="2"/>
  <c r="AD88" i="2"/>
  <c r="AC88" i="2"/>
  <c r="AB88" i="2"/>
  <c r="AA88" i="2"/>
  <c r="Z88" i="2"/>
  <c r="X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X87" i="2"/>
  <c r="T87" i="2"/>
  <c r="P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L86" i="2"/>
  <c r="AK86" i="2"/>
  <c r="AJ86" i="2"/>
  <c r="AI86" i="2"/>
  <c r="AH86" i="2"/>
  <c r="AE86" i="2"/>
  <c r="AD86" i="2"/>
  <c r="AC86" i="2"/>
  <c r="AB86" i="2"/>
  <c r="AA86" i="2"/>
  <c r="Z86" i="2"/>
  <c r="X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BG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L85" i="2"/>
  <c r="AK85" i="2"/>
  <c r="AJ85" i="2"/>
  <c r="AI85" i="2"/>
  <c r="AH85" i="2"/>
  <c r="AF85" i="2"/>
  <c r="AE85" i="2"/>
  <c r="AD85" i="2"/>
  <c r="AC85" i="2"/>
  <c r="AB85" i="2"/>
  <c r="AA85" i="2"/>
  <c r="Z85" i="2"/>
  <c r="X85" i="2"/>
  <c r="T85" i="2"/>
  <c r="S85" i="2"/>
  <c r="Q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BH84" i="2"/>
  <c r="BF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L84" i="2"/>
  <c r="AK84" i="2"/>
  <c r="AJ84" i="2"/>
  <c r="AI84" i="2"/>
  <c r="AH84" i="2"/>
  <c r="AG84" i="2"/>
  <c r="AE84" i="2"/>
  <c r="AD84" i="2"/>
  <c r="AC84" i="2"/>
  <c r="AB84" i="2"/>
  <c r="AA84" i="2"/>
  <c r="Z84" i="2"/>
  <c r="X84" i="2"/>
  <c r="T84" i="2"/>
  <c r="R84" i="2"/>
  <c r="P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X83" i="2"/>
  <c r="S83" i="2"/>
  <c r="Q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BJ82" i="2"/>
  <c r="BH82" i="2"/>
  <c r="BG82" i="2"/>
  <c r="BF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X82" i="2"/>
  <c r="U82" i="2"/>
  <c r="T82" i="2"/>
  <c r="S82" i="2"/>
  <c r="R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BH81" i="2"/>
  <c r="BG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L81" i="2"/>
  <c r="AK81" i="2"/>
  <c r="AJ81" i="2"/>
  <c r="AI81" i="2"/>
  <c r="AH81" i="2"/>
  <c r="AG81" i="2"/>
  <c r="AE81" i="2"/>
  <c r="AD81" i="2"/>
  <c r="AC81" i="2"/>
  <c r="AB81" i="2"/>
  <c r="AA81" i="2"/>
  <c r="Z81" i="2"/>
  <c r="X81" i="2"/>
  <c r="S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L80" i="2"/>
  <c r="AK80" i="2"/>
  <c r="AJ80" i="2"/>
  <c r="AI80" i="2"/>
  <c r="AH80" i="2"/>
  <c r="AE80" i="2"/>
  <c r="AD80" i="2"/>
  <c r="AC80" i="2"/>
  <c r="AB80" i="2"/>
  <c r="AA80" i="2"/>
  <c r="Z80" i="2"/>
  <c r="X80" i="2"/>
  <c r="R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X79" i="2"/>
  <c r="V79" i="2"/>
  <c r="S79" i="2"/>
  <c r="P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X78" i="2"/>
  <c r="R78" i="2"/>
  <c r="Q78" i="2"/>
  <c r="P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L77" i="2"/>
  <c r="AK77" i="2"/>
  <c r="AJ77" i="2"/>
  <c r="AI77" i="2"/>
  <c r="AH77" i="2"/>
  <c r="AF77" i="2"/>
  <c r="AE77" i="2"/>
  <c r="AD77" i="2"/>
  <c r="AC77" i="2"/>
  <c r="AB77" i="2"/>
  <c r="AA77" i="2"/>
  <c r="Z77" i="2"/>
  <c r="X77" i="2"/>
  <c r="U77" i="2"/>
  <c r="S77" i="2"/>
  <c r="R77" i="2"/>
  <c r="Q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BG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L76" i="2"/>
  <c r="AK76" i="2"/>
  <c r="AJ76" i="2"/>
  <c r="AI76" i="2"/>
  <c r="AH76" i="2"/>
  <c r="AF76" i="2"/>
  <c r="AE76" i="2"/>
  <c r="AD76" i="2"/>
  <c r="AC76" i="2"/>
  <c r="AB76" i="2"/>
  <c r="AA76" i="2"/>
  <c r="Z76" i="2"/>
  <c r="X76" i="2"/>
  <c r="T76" i="2"/>
  <c r="S76" i="2"/>
  <c r="R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L75" i="2"/>
  <c r="AK75" i="2"/>
  <c r="AJ75" i="2"/>
  <c r="AI75" i="2"/>
  <c r="AH75" i="2"/>
  <c r="AG75" i="2"/>
  <c r="AE75" i="2"/>
  <c r="AD75" i="2"/>
  <c r="AC75" i="2"/>
  <c r="AB75" i="2"/>
  <c r="AA75" i="2"/>
  <c r="Z75" i="2"/>
  <c r="X75" i="2"/>
  <c r="P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BG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L74" i="2"/>
  <c r="AK74" i="2"/>
  <c r="AJ74" i="2"/>
  <c r="AI74" i="2"/>
  <c r="AH74" i="2"/>
  <c r="AE74" i="2"/>
  <c r="AD74" i="2"/>
  <c r="AC74" i="2"/>
  <c r="AB74" i="2"/>
  <c r="AA74" i="2"/>
  <c r="Z74" i="2"/>
  <c r="X74" i="2"/>
  <c r="T74" i="2"/>
  <c r="S74" i="2"/>
  <c r="Q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BJ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X73" i="2"/>
  <c r="V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BG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X72" i="2"/>
  <c r="T72" i="2"/>
  <c r="S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BG71" i="2"/>
  <c r="BF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L71" i="2"/>
  <c r="AK71" i="2"/>
  <c r="AJ71" i="2"/>
  <c r="AI71" i="2"/>
  <c r="AH71" i="2"/>
  <c r="AE71" i="2"/>
  <c r="AD71" i="2"/>
  <c r="AC71" i="2"/>
  <c r="AB71" i="2"/>
  <c r="AA71" i="2"/>
  <c r="Z71" i="2"/>
  <c r="X71" i="2"/>
  <c r="T71" i="2"/>
  <c r="S71" i="2"/>
  <c r="R71" i="2"/>
  <c r="Q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L70" i="2"/>
  <c r="AK70" i="2"/>
  <c r="AJ70" i="2"/>
  <c r="AI70" i="2"/>
  <c r="AH70" i="2"/>
  <c r="AG70" i="2"/>
  <c r="AE70" i="2"/>
  <c r="AD70" i="2"/>
  <c r="AC70" i="2"/>
  <c r="AB70" i="2"/>
  <c r="AA70" i="2"/>
  <c r="Z70" i="2"/>
  <c r="X70" i="2"/>
  <c r="S70" i="2"/>
  <c r="R70" i="2"/>
  <c r="P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X69" i="2"/>
  <c r="T69" i="2"/>
  <c r="P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L68" i="2"/>
  <c r="AK68" i="2"/>
  <c r="AJ68" i="2"/>
  <c r="AI68" i="2"/>
  <c r="AH68" i="2"/>
  <c r="AE68" i="2"/>
  <c r="AD68" i="2"/>
  <c r="AC68" i="2"/>
  <c r="AB68" i="2"/>
  <c r="AA68" i="2"/>
  <c r="Z68" i="2"/>
  <c r="X68" i="2"/>
  <c r="R68" i="2"/>
  <c r="Q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BF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L67" i="2"/>
  <c r="AK67" i="2"/>
  <c r="AJ67" i="2"/>
  <c r="AI67" i="2"/>
  <c r="AH67" i="2"/>
  <c r="AE67" i="2"/>
  <c r="AD67" i="2"/>
  <c r="AC67" i="2"/>
  <c r="AB67" i="2"/>
  <c r="AA67" i="2"/>
  <c r="Z67" i="2"/>
  <c r="X67" i="2"/>
  <c r="T67" i="2"/>
  <c r="R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BI66" i="2"/>
  <c r="BG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X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L65" i="2"/>
  <c r="AK65" i="2"/>
  <c r="AJ65" i="2"/>
  <c r="AI65" i="2"/>
  <c r="AH65" i="2"/>
  <c r="AE65" i="2"/>
  <c r="AD65" i="2"/>
  <c r="AC65" i="2"/>
  <c r="AB65" i="2"/>
  <c r="AA65" i="2"/>
  <c r="Z65" i="2"/>
  <c r="X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L64" i="2"/>
  <c r="AK64" i="2"/>
  <c r="AJ64" i="2"/>
  <c r="AI64" i="2"/>
  <c r="AH64" i="2"/>
  <c r="AE64" i="2"/>
  <c r="AD64" i="2"/>
  <c r="AC64" i="2"/>
  <c r="AB64" i="2"/>
  <c r="AA64" i="2"/>
  <c r="Z64" i="2"/>
  <c r="X64" i="2"/>
  <c r="R64" i="2"/>
  <c r="N64" i="2"/>
  <c r="M64" i="2"/>
  <c r="L64" i="2"/>
  <c r="K64" i="2"/>
  <c r="J64" i="2"/>
  <c r="I64" i="2"/>
  <c r="H64" i="2"/>
  <c r="G64" i="2"/>
  <c r="F64" i="2"/>
  <c r="D64" i="2"/>
  <c r="C64" i="2"/>
  <c r="B64" i="2"/>
  <c r="A64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L63" i="2"/>
  <c r="AK63" i="2"/>
  <c r="AJ63" i="2"/>
  <c r="AI63" i="2"/>
  <c r="AG63" i="2"/>
  <c r="AE63" i="2"/>
  <c r="AD63" i="2"/>
  <c r="AC63" i="2"/>
  <c r="AB63" i="2"/>
  <c r="AA63" i="2"/>
  <c r="Z63" i="2"/>
  <c r="X63" i="2"/>
  <c r="T63" i="2"/>
  <c r="P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BF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X62" i="2"/>
  <c r="S62" i="2"/>
  <c r="R62" i="2"/>
  <c r="Q62" i="2"/>
  <c r="P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L61" i="2"/>
  <c r="AK61" i="2"/>
  <c r="AJ61" i="2"/>
  <c r="AI61" i="2"/>
  <c r="AH61" i="2"/>
  <c r="AE61" i="2"/>
  <c r="AD61" i="2"/>
  <c r="AC61" i="2"/>
  <c r="AB61" i="2"/>
  <c r="AA61" i="2"/>
  <c r="Z61" i="2"/>
  <c r="X61" i="2"/>
  <c r="R61" i="2"/>
  <c r="Q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BF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X60" i="2"/>
  <c r="S60" i="2"/>
  <c r="R60" i="2"/>
  <c r="O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BH59" i="2"/>
  <c r="BG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L59" i="2"/>
  <c r="AK59" i="2"/>
  <c r="AJ59" i="2"/>
  <c r="AI59" i="2"/>
  <c r="AH59" i="2"/>
  <c r="AG59" i="2"/>
  <c r="AE59" i="2"/>
  <c r="AD59" i="2"/>
  <c r="AC59" i="2"/>
  <c r="AB59" i="2"/>
  <c r="AA59" i="2"/>
  <c r="Z59" i="2"/>
  <c r="X59" i="2"/>
  <c r="T59" i="2"/>
  <c r="S59" i="2"/>
  <c r="R59" i="2"/>
  <c r="Q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BG58" i="2"/>
  <c r="BF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L58" i="2"/>
  <c r="AK58" i="2"/>
  <c r="AJ58" i="2"/>
  <c r="AI58" i="2"/>
  <c r="AH58" i="2"/>
  <c r="AG58" i="2"/>
  <c r="AE58" i="2"/>
  <c r="AD58" i="2"/>
  <c r="AC58" i="2"/>
  <c r="AB58" i="2"/>
  <c r="AA58" i="2"/>
  <c r="Z58" i="2"/>
  <c r="X58" i="2"/>
  <c r="S58" i="2"/>
  <c r="R58" i="2"/>
  <c r="Q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BH57" i="2"/>
  <c r="BG57" i="2"/>
  <c r="BF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L57" i="2"/>
  <c r="AK57" i="2"/>
  <c r="AJ57" i="2"/>
  <c r="AI57" i="2"/>
  <c r="AH57" i="2"/>
  <c r="AE57" i="2"/>
  <c r="AD57" i="2"/>
  <c r="AC57" i="2"/>
  <c r="AB57" i="2"/>
  <c r="AA57" i="2"/>
  <c r="Z57" i="2"/>
  <c r="X57" i="2"/>
  <c r="T57" i="2"/>
  <c r="S57" i="2"/>
  <c r="R57" i="2"/>
  <c r="Q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X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L55" i="2"/>
  <c r="AK55" i="2"/>
  <c r="AJ55" i="2"/>
  <c r="AI55" i="2"/>
  <c r="AH55" i="2"/>
  <c r="AE55" i="2"/>
  <c r="AD55" i="2"/>
  <c r="AC55" i="2"/>
  <c r="AB55" i="2"/>
  <c r="AA55" i="2"/>
  <c r="Z55" i="2"/>
  <c r="X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L54" i="2"/>
  <c r="AK54" i="2"/>
  <c r="AJ54" i="2"/>
  <c r="AI54" i="2"/>
  <c r="AH54" i="2"/>
  <c r="AE54" i="2"/>
  <c r="AD54" i="2"/>
  <c r="AC54" i="2"/>
  <c r="AB54" i="2"/>
  <c r="AA54" i="2"/>
  <c r="Z54" i="2"/>
  <c r="X54" i="2"/>
  <c r="R54" i="2"/>
  <c r="Q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L53" i="2"/>
  <c r="AK53" i="2"/>
  <c r="AJ53" i="2"/>
  <c r="AI53" i="2"/>
  <c r="AH53" i="2"/>
  <c r="AE53" i="2"/>
  <c r="AD53" i="2"/>
  <c r="AC53" i="2"/>
  <c r="AB53" i="2"/>
  <c r="AA53" i="2"/>
  <c r="Z53" i="2"/>
  <c r="X53" i="2"/>
  <c r="S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H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X52" i="2"/>
  <c r="T52" i="2"/>
  <c r="P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H51" i="2"/>
  <c r="BG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X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L50" i="2"/>
  <c r="AK50" i="2"/>
  <c r="AJ50" i="2"/>
  <c r="AI50" i="2"/>
  <c r="AH50" i="2"/>
  <c r="AF50" i="2"/>
  <c r="AE50" i="2"/>
  <c r="AD50" i="2"/>
  <c r="AC50" i="2"/>
  <c r="AB50" i="2"/>
  <c r="AA50" i="2"/>
  <c r="Z50" i="2"/>
  <c r="X50" i="2"/>
  <c r="Q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X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X48" i="2"/>
  <c r="V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L47" i="2"/>
  <c r="AK47" i="2"/>
  <c r="AJ47" i="2"/>
  <c r="AI47" i="2"/>
  <c r="AH47" i="2"/>
  <c r="AE47" i="2"/>
  <c r="AD47" i="2"/>
  <c r="AC47" i="2"/>
  <c r="AB47" i="2"/>
  <c r="AA47" i="2"/>
  <c r="Z47" i="2"/>
  <c r="X47" i="2"/>
  <c r="T47" i="2"/>
  <c r="S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H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L46" i="2"/>
  <c r="AK46" i="2"/>
  <c r="AJ46" i="2"/>
  <c r="AI46" i="2"/>
  <c r="AH46" i="2"/>
  <c r="AE46" i="2"/>
  <c r="AD46" i="2"/>
  <c r="AC46" i="2"/>
  <c r="AB46" i="2"/>
  <c r="AA46" i="2"/>
  <c r="Z46" i="2"/>
  <c r="X46" i="2"/>
  <c r="T46" i="2"/>
  <c r="Q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L45" i="2"/>
  <c r="AK45" i="2"/>
  <c r="AJ45" i="2"/>
  <c r="AI45" i="2"/>
  <c r="AH45" i="2"/>
  <c r="AF45" i="2"/>
  <c r="AE45" i="2"/>
  <c r="AD45" i="2"/>
  <c r="AC45" i="2"/>
  <c r="AB45" i="2"/>
  <c r="AA45" i="2"/>
  <c r="Z45" i="2"/>
  <c r="X45" i="2"/>
  <c r="T45" i="2"/>
  <c r="R45" i="2"/>
  <c r="Q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G44" i="2"/>
  <c r="BF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X44" i="2"/>
  <c r="T44" i="2"/>
  <c r="S44" i="2"/>
  <c r="R44" i="2"/>
  <c r="Q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X43" i="2"/>
  <c r="R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L42" i="2"/>
  <c r="AK42" i="2"/>
  <c r="AJ42" i="2"/>
  <c r="AI42" i="2"/>
  <c r="AH42" i="2"/>
  <c r="AE42" i="2"/>
  <c r="AD42" i="2"/>
  <c r="AC42" i="2"/>
  <c r="AB42" i="2"/>
  <c r="AA42" i="2"/>
  <c r="Z42" i="2"/>
  <c r="X42" i="2"/>
  <c r="R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L41" i="2"/>
  <c r="AK41" i="2"/>
  <c r="AJ41" i="2"/>
  <c r="AI41" i="2"/>
  <c r="AH41" i="2"/>
  <c r="AE41" i="2"/>
  <c r="AD41" i="2"/>
  <c r="AC41" i="2"/>
  <c r="AB41" i="2"/>
  <c r="AA41" i="2"/>
  <c r="Z41" i="2"/>
  <c r="X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L40" i="2"/>
  <c r="AK40" i="2"/>
  <c r="AJ40" i="2"/>
  <c r="AI40" i="2"/>
  <c r="AH40" i="2"/>
  <c r="AE40" i="2"/>
  <c r="AD40" i="2"/>
  <c r="AC40" i="2"/>
  <c r="AB40" i="2"/>
  <c r="AA40" i="2"/>
  <c r="Z40" i="2"/>
  <c r="X40" i="2"/>
  <c r="T40" i="2"/>
  <c r="S40" i="2"/>
  <c r="Q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H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L39" i="2"/>
  <c r="AK39" i="2"/>
  <c r="AJ39" i="2"/>
  <c r="AI39" i="2"/>
  <c r="AH39" i="2"/>
  <c r="AE39" i="2"/>
  <c r="AD39" i="2"/>
  <c r="AC39" i="2"/>
  <c r="AB39" i="2"/>
  <c r="AA39" i="2"/>
  <c r="Z39" i="2"/>
  <c r="X39" i="2"/>
  <c r="T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X38" i="2"/>
  <c r="T38" i="2"/>
  <c r="R38" i="2"/>
  <c r="Q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G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X37" i="2"/>
  <c r="T37" i="2"/>
  <c r="S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G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X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X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X34" i="2"/>
  <c r="R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L33" i="2"/>
  <c r="AK33" i="2"/>
  <c r="AJ33" i="2"/>
  <c r="AI33" i="2"/>
  <c r="AH33" i="2"/>
  <c r="AG33" i="2"/>
  <c r="AE33" i="2"/>
  <c r="AD33" i="2"/>
  <c r="AC33" i="2"/>
  <c r="AB33" i="2"/>
  <c r="AA33" i="2"/>
  <c r="Z33" i="2"/>
  <c r="X33" i="2"/>
  <c r="T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L32" i="2"/>
  <c r="AK32" i="2"/>
  <c r="AJ32" i="2"/>
  <c r="AI32" i="2"/>
  <c r="AH32" i="2"/>
  <c r="AE32" i="2"/>
  <c r="AD32" i="2"/>
  <c r="AC32" i="2"/>
  <c r="AB32" i="2"/>
  <c r="AA32" i="2"/>
  <c r="Z32" i="2"/>
  <c r="X32" i="2"/>
  <c r="S32" i="2"/>
  <c r="R32" i="2"/>
  <c r="Q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G31" i="2"/>
  <c r="BF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L31" i="2"/>
  <c r="AK31" i="2"/>
  <c r="AJ31" i="2"/>
  <c r="AI31" i="2"/>
  <c r="AH31" i="2"/>
  <c r="AE31" i="2"/>
  <c r="AD31" i="2"/>
  <c r="AC31" i="2"/>
  <c r="AB31" i="2"/>
  <c r="AA31" i="2"/>
  <c r="Z31" i="2"/>
  <c r="X31" i="2"/>
  <c r="S31" i="2"/>
  <c r="R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H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X30" i="2"/>
  <c r="V30" i="2"/>
  <c r="T30" i="2"/>
  <c r="S30" i="2"/>
  <c r="P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I29" i="2"/>
  <c r="BH29" i="2"/>
  <c r="BG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X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L28" i="2"/>
  <c r="AK28" i="2"/>
  <c r="AJ28" i="2"/>
  <c r="AI28" i="2"/>
  <c r="AH28" i="2"/>
  <c r="AF28" i="2"/>
  <c r="AE28" i="2"/>
  <c r="AD28" i="2"/>
  <c r="AC28" i="2"/>
  <c r="AB28" i="2"/>
  <c r="AA28" i="2"/>
  <c r="Z28" i="2"/>
  <c r="X28" i="2"/>
  <c r="R28" i="2"/>
  <c r="Q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L27" i="2"/>
  <c r="AK27" i="2"/>
  <c r="AJ27" i="2"/>
  <c r="AI27" i="2"/>
  <c r="AH27" i="2"/>
  <c r="AE27" i="2"/>
  <c r="AD27" i="2"/>
  <c r="AC27" i="2"/>
  <c r="AB27" i="2"/>
  <c r="AA27" i="2"/>
  <c r="Z27" i="2"/>
  <c r="X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L26" i="2"/>
  <c r="AK26" i="2"/>
  <c r="AJ26" i="2"/>
  <c r="AI26" i="2"/>
  <c r="AH26" i="2"/>
  <c r="AF26" i="2"/>
  <c r="AE26" i="2"/>
  <c r="AD26" i="2"/>
  <c r="AC26" i="2"/>
  <c r="AB26" i="2"/>
  <c r="AA26" i="2"/>
  <c r="Z26" i="2"/>
  <c r="X26" i="2"/>
  <c r="U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L25" i="2"/>
  <c r="AK25" i="2"/>
  <c r="AJ25" i="2"/>
  <c r="AI25" i="2"/>
  <c r="AH25" i="2"/>
  <c r="AE25" i="2"/>
  <c r="AD25" i="2"/>
  <c r="AC25" i="2"/>
  <c r="AB25" i="2"/>
  <c r="AA25" i="2"/>
  <c r="Z25" i="2"/>
  <c r="X25" i="2"/>
  <c r="T25" i="2"/>
  <c r="S25" i="2"/>
  <c r="R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H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L24" i="2"/>
  <c r="AK24" i="2"/>
  <c r="AJ24" i="2"/>
  <c r="AI24" i="2"/>
  <c r="AH24" i="2"/>
  <c r="AE24" i="2"/>
  <c r="AD24" i="2"/>
  <c r="AC24" i="2"/>
  <c r="AB24" i="2"/>
  <c r="AA24" i="2"/>
  <c r="Z24" i="2"/>
  <c r="X24" i="2"/>
  <c r="T24" i="2"/>
  <c r="S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BH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X23" i="2"/>
  <c r="T23" i="2"/>
  <c r="Q23" i="2"/>
  <c r="P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BH22" i="2"/>
  <c r="BF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X22" i="2"/>
  <c r="T22" i="2"/>
  <c r="R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G21" i="2"/>
  <c r="BF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X21" i="2"/>
  <c r="S21" i="2"/>
  <c r="R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L20" i="2"/>
  <c r="AK20" i="2"/>
  <c r="AJ20" i="2"/>
  <c r="AI20" i="2"/>
  <c r="AH20" i="2"/>
  <c r="AE20" i="2"/>
  <c r="AD20" i="2"/>
  <c r="AC20" i="2"/>
  <c r="AB20" i="2"/>
  <c r="AA20" i="2"/>
  <c r="Z20" i="2"/>
  <c r="X20" i="2"/>
  <c r="N20" i="2"/>
  <c r="M20" i="2"/>
  <c r="L20" i="2"/>
  <c r="K20" i="2"/>
  <c r="J20" i="2"/>
  <c r="I20" i="2"/>
  <c r="H20" i="2"/>
  <c r="G20" i="2"/>
  <c r="F20" i="2"/>
  <c r="E20" i="2"/>
  <c r="C20" i="2"/>
  <c r="B20" i="2"/>
  <c r="A20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X19" i="2"/>
  <c r="P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H18" i="2"/>
  <c r="BG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L18" i="2"/>
  <c r="AK18" i="2"/>
  <c r="AJ18" i="2"/>
  <c r="AI18" i="2"/>
  <c r="AH18" i="2"/>
  <c r="AG18" i="2"/>
  <c r="AE18" i="2"/>
  <c r="AD18" i="2"/>
  <c r="AC18" i="2"/>
  <c r="AB18" i="2"/>
  <c r="AA18" i="2"/>
  <c r="Z18" i="2"/>
  <c r="X18" i="2"/>
  <c r="T18" i="2"/>
  <c r="S18" i="2"/>
  <c r="R18" i="2"/>
  <c r="P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L17" i="2"/>
  <c r="AK17" i="2"/>
  <c r="AJ17" i="2"/>
  <c r="AI17" i="2"/>
  <c r="AH17" i="2"/>
  <c r="AE17" i="2"/>
  <c r="AD17" i="2"/>
  <c r="AC17" i="2"/>
  <c r="AB17" i="2"/>
  <c r="AA17" i="2"/>
  <c r="Z17" i="2"/>
  <c r="X17" i="2"/>
  <c r="R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X16" i="2"/>
  <c r="R16" i="2"/>
  <c r="Q16" i="2"/>
  <c r="O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L15" i="2"/>
  <c r="AK15" i="2"/>
  <c r="AJ15" i="2"/>
  <c r="AI15" i="2"/>
  <c r="AH15" i="2"/>
  <c r="AE15" i="2"/>
  <c r="AD15" i="2"/>
  <c r="AC15" i="2"/>
  <c r="AB15" i="2"/>
  <c r="AA15" i="2"/>
  <c r="Z15" i="2"/>
  <c r="X15" i="2"/>
  <c r="T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H14" i="2"/>
  <c r="BG14" i="2"/>
  <c r="BF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L14" i="2"/>
  <c r="AK14" i="2"/>
  <c r="AJ14" i="2"/>
  <c r="AI14" i="2"/>
  <c r="AH14" i="2"/>
  <c r="AG14" i="2"/>
  <c r="AE14" i="2"/>
  <c r="AD14" i="2"/>
  <c r="AC14" i="2"/>
  <c r="AB14" i="2"/>
  <c r="AA14" i="2"/>
  <c r="Z14" i="2"/>
  <c r="X14" i="2"/>
  <c r="T14" i="2"/>
  <c r="S14" i="2"/>
  <c r="R14" i="2"/>
  <c r="Q14" i="2"/>
  <c r="P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L13" i="2"/>
  <c r="AK13" i="2"/>
  <c r="AJ13" i="2"/>
  <c r="AI13" i="2"/>
  <c r="AH13" i="2"/>
  <c r="AF13" i="2"/>
  <c r="AE13" i="2"/>
  <c r="AD13" i="2"/>
  <c r="AC13" i="2"/>
  <c r="AB13" i="2"/>
  <c r="AA13" i="2"/>
  <c r="Z13" i="2"/>
  <c r="X13" i="2"/>
  <c r="T13" i="2"/>
  <c r="R13" i="2"/>
  <c r="Q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X12" i="2"/>
  <c r="T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L11" i="2"/>
  <c r="AK11" i="2"/>
  <c r="AJ11" i="2"/>
  <c r="AI11" i="2"/>
  <c r="AH11" i="2"/>
  <c r="AE11" i="2"/>
  <c r="AD11" i="2"/>
  <c r="AC11" i="2"/>
  <c r="AB11" i="2"/>
  <c r="AA11" i="2"/>
  <c r="Z11" i="2"/>
  <c r="X11" i="2"/>
  <c r="T11" i="2"/>
  <c r="Q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L10" i="2"/>
  <c r="AK10" i="2"/>
  <c r="AJ10" i="2"/>
  <c r="AI10" i="2"/>
  <c r="AH10" i="2"/>
  <c r="AE10" i="2"/>
  <c r="AD10" i="2"/>
  <c r="AC10" i="2"/>
  <c r="AB10" i="2"/>
  <c r="AA10" i="2"/>
  <c r="Z10" i="2"/>
  <c r="X10" i="2"/>
  <c r="S10" i="2"/>
  <c r="R10" i="2"/>
  <c r="Q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BG9" i="2"/>
  <c r="BF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L9" i="2"/>
  <c r="AK9" i="2"/>
  <c r="AJ9" i="2"/>
  <c r="AI9" i="2"/>
  <c r="AH9" i="2"/>
  <c r="AG9" i="2"/>
  <c r="AE9" i="2"/>
  <c r="AD9" i="2"/>
  <c r="AC9" i="2"/>
  <c r="AB9" i="2"/>
  <c r="AA9" i="2"/>
  <c r="Z9" i="2"/>
  <c r="X9" i="2"/>
  <c r="S9" i="2"/>
  <c r="R9" i="2"/>
  <c r="P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110" i="1"/>
  <c r="B109" i="1"/>
  <c r="BG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L104" i="1"/>
  <c r="AK104" i="1"/>
  <c r="AJ104" i="1"/>
  <c r="AI104" i="1"/>
  <c r="AH104" i="1"/>
  <c r="AG104" i="1"/>
  <c r="AE104" i="1"/>
  <c r="AD104" i="1"/>
  <c r="AC104" i="1"/>
  <c r="AB104" i="1"/>
  <c r="AA104" i="1"/>
  <c r="Z104" i="1"/>
  <c r="X104" i="1"/>
  <c r="S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L103" i="1"/>
  <c r="AK103" i="1"/>
  <c r="AJ103" i="1"/>
  <c r="AI103" i="1"/>
  <c r="AH103" i="1"/>
  <c r="AE103" i="1"/>
  <c r="AD103" i="1"/>
  <c r="AC103" i="1"/>
  <c r="AB103" i="1"/>
  <c r="AA103" i="1"/>
  <c r="Z103" i="1"/>
  <c r="X103" i="1"/>
  <c r="S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J102" i="1"/>
  <c r="BH102" i="1"/>
  <c r="BG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X102" i="1"/>
  <c r="T102" i="1"/>
  <c r="S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G101" i="1"/>
  <c r="BE101" i="1"/>
  <c r="BD101" i="1"/>
  <c r="BB101" i="1"/>
  <c r="BA101" i="1"/>
  <c r="AZ101" i="1"/>
  <c r="AY101" i="1"/>
  <c r="AX101" i="1"/>
  <c r="AW101" i="1"/>
  <c r="AV101" i="1"/>
  <c r="AU101" i="1"/>
  <c r="AT101" i="1"/>
  <c r="AS101" i="1"/>
  <c r="AR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X101" i="1"/>
  <c r="S101" i="1"/>
  <c r="R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G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X100" i="1"/>
  <c r="S100" i="1"/>
  <c r="Q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G99" i="1"/>
  <c r="BE99" i="1"/>
  <c r="BD99" i="1"/>
  <c r="BC99" i="1"/>
  <c r="BB99" i="1"/>
  <c r="BA99" i="1"/>
  <c r="AZ99" i="1"/>
  <c r="AY99" i="1"/>
  <c r="AX99" i="1"/>
  <c r="AV99" i="1"/>
  <c r="AU99" i="1"/>
  <c r="AT99" i="1"/>
  <c r="AS99" i="1"/>
  <c r="AR99" i="1"/>
  <c r="AL99" i="1"/>
  <c r="AK99" i="1"/>
  <c r="AJ99" i="1"/>
  <c r="AI99" i="1"/>
  <c r="AH99" i="1"/>
  <c r="AE99" i="1"/>
  <c r="AD99" i="1"/>
  <c r="AC99" i="1"/>
  <c r="AB99" i="1"/>
  <c r="AA99" i="1"/>
  <c r="Z99" i="1"/>
  <c r="X99" i="1"/>
  <c r="S99" i="1"/>
  <c r="R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L98" i="1"/>
  <c r="AK98" i="1"/>
  <c r="AJ98" i="1"/>
  <c r="AI98" i="1"/>
  <c r="AH98" i="1"/>
  <c r="AE98" i="1"/>
  <c r="AD98" i="1"/>
  <c r="AC98" i="1"/>
  <c r="AB98" i="1"/>
  <c r="AA98" i="1"/>
  <c r="Z98" i="1"/>
  <c r="X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H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L97" i="1"/>
  <c r="AK97" i="1"/>
  <c r="AJ97" i="1"/>
  <c r="AI97" i="1"/>
  <c r="AH97" i="1"/>
  <c r="AF97" i="1"/>
  <c r="AE97" i="1"/>
  <c r="AD97" i="1"/>
  <c r="AC97" i="1"/>
  <c r="AB97" i="1"/>
  <c r="AA97" i="1"/>
  <c r="Z97" i="1"/>
  <c r="X97" i="1"/>
  <c r="T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L96" i="1"/>
  <c r="AK96" i="1"/>
  <c r="AJ96" i="1"/>
  <c r="AI96" i="1"/>
  <c r="AH96" i="1"/>
  <c r="AE96" i="1"/>
  <c r="AD96" i="1"/>
  <c r="AC96" i="1"/>
  <c r="AB96" i="1"/>
  <c r="AA96" i="1"/>
  <c r="Z96" i="1"/>
  <c r="X96" i="1"/>
  <c r="T96" i="1"/>
  <c r="S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H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L95" i="1"/>
  <c r="AK95" i="1"/>
  <c r="AJ95" i="1"/>
  <c r="AI95" i="1"/>
  <c r="AH95" i="1"/>
  <c r="AG95" i="1"/>
  <c r="AE95" i="1"/>
  <c r="AD95" i="1"/>
  <c r="AC95" i="1"/>
  <c r="AB95" i="1"/>
  <c r="AA95" i="1"/>
  <c r="Z95" i="1"/>
  <c r="X95" i="1"/>
  <c r="T95" i="1"/>
  <c r="S95" i="1"/>
  <c r="Q95" i="1"/>
  <c r="P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F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L94" i="1"/>
  <c r="AK94" i="1"/>
  <c r="AJ94" i="1"/>
  <c r="AI94" i="1"/>
  <c r="AE94" i="1"/>
  <c r="AD94" i="1"/>
  <c r="AC94" i="1"/>
  <c r="AB94" i="1"/>
  <c r="AA94" i="1"/>
  <c r="Z94" i="1"/>
  <c r="X94" i="1"/>
  <c r="R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F93" i="1"/>
  <c r="BD93" i="1"/>
  <c r="BC93" i="1"/>
  <c r="BB93" i="1"/>
  <c r="BA93" i="1"/>
  <c r="AZ93" i="1"/>
  <c r="AY93" i="1"/>
  <c r="AX93" i="1"/>
  <c r="AV93" i="1"/>
  <c r="AU93" i="1"/>
  <c r="AT93" i="1"/>
  <c r="AR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X93" i="1"/>
  <c r="T93" i="1"/>
  <c r="R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L92" i="1"/>
  <c r="AK92" i="1"/>
  <c r="AJ92" i="1"/>
  <c r="AI92" i="1"/>
  <c r="AH92" i="1"/>
  <c r="AE92" i="1"/>
  <c r="AD92" i="1"/>
  <c r="AB92" i="1"/>
  <c r="AA92" i="1"/>
  <c r="Z92" i="1"/>
  <c r="X92" i="1"/>
  <c r="S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L91" i="1"/>
  <c r="AJ91" i="1"/>
  <c r="AI91" i="1"/>
  <c r="AH91" i="1"/>
  <c r="AG91" i="1"/>
  <c r="AE91" i="1"/>
  <c r="AD91" i="1"/>
  <c r="AC91" i="1"/>
  <c r="AB91" i="1"/>
  <c r="AA91" i="1"/>
  <c r="Z91" i="1"/>
  <c r="X91" i="1"/>
  <c r="T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L90" i="1"/>
  <c r="AK90" i="1"/>
  <c r="AJ90" i="1"/>
  <c r="AI90" i="1"/>
  <c r="AE90" i="1"/>
  <c r="AD90" i="1"/>
  <c r="AC90" i="1"/>
  <c r="AB90" i="1"/>
  <c r="AA90" i="1"/>
  <c r="Z90" i="1"/>
  <c r="X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G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L89" i="1"/>
  <c r="AK89" i="1"/>
  <c r="AJ89" i="1"/>
  <c r="AI89" i="1"/>
  <c r="AH89" i="1"/>
  <c r="AF89" i="1"/>
  <c r="AE89" i="1"/>
  <c r="AD89" i="1"/>
  <c r="AC89" i="1"/>
  <c r="AB89" i="1"/>
  <c r="AA89" i="1"/>
  <c r="Z89" i="1"/>
  <c r="X89" i="1"/>
  <c r="N89" i="1"/>
  <c r="M89" i="1"/>
  <c r="L89" i="1"/>
  <c r="K89" i="1"/>
  <c r="J89" i="1"/>
  <c r="I89" i="1"/>
  <c r="H89" i="1"/>
  <c r="G89" i="1"/>
  <c r="E89" i="1"/>
  <c r="D89" i="1"/>
  <c r="C89" i="1"/>
  <c r="B89" i="1"/>
  <c r="A89" i="1"/>
  <c r="BH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L88" i="1"/>
  <c r="AK88" i="1"/>
  <c r="AJ88" i="1"/>
  <c r="AI88" i="1"/>
  <c r="AH88" i="1"/>
  <c r="AE88" i="1"/>
  <c r="AD88" i="1"/>
  <c r="AC88" i="1"/>
  <c r="AB88" i="1"/>
  <c r="AA88" i="1"/>
  <c r="Z88" i="1"/>
  <c r="X88" i="1"/>
  <c r="T88" i="1"/>
  <c r="S88" i="1"/>
  <c r="N88" i="1"/>
  <c r="M88" i="1"/>
  <c r="L88" i="1"/>
  <c r="K88" i="1"/>
  <c r="J88" i="1"/>
  <c r="I88" i="1"/>
  <c r="E88" i="1"/>
  <c r="D88" i="1"/>
  <c r="C88" i="1"/>
  <c r="B88" i="1"/>
  <c r="A88" i="1"/>
  <c r="BG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L87" i="1"/>
  <c r="AK87" i="1"/>
  <c r="AJ87" i="1"/>
  <c r="AI87" i="1"/>
  <c r="AH87" i="1"/>
  <c r="AE87" i="1"/>
  <c r="AD87" i="1"/>
  <c r="AC87" i="1"/>
  <c r="AB87" i="1"/>
  <c r="AA87" i="1"/>
  <c r="Z87" i="1"/>
  <c r="X87" i="1"/>
  <c r="T87" i="1"/>
  <c r="S87" i="1"/>
  <c r="Q87" i="1"/>
  <c r="N87" i="1"/>
  <c r="M87" i="1"/>
  <c r="L87" i="1"/>
  <c r="K87" i="1"/>
  <c r="J87" i="1"/>
  <c r="I87" i="1"/>
  <c r="H87" i="1"/>
  <c r="G87" i="1"/>
  <c r="F87" i="1"/>
  <c r="E87" i="1"/>
  <c r="D87" i="1"/>
  <c r="B87" i="1"/>
  <c r="A87" i="1"/>
  <c r="BG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K86" i="1"/>
  <c r="AJ86" i="1"/>
  <c r="AI86" i="1"/>
  <c r="AH86" i="1"/>
  <c r="AG86" i="1"/>
  <c r="AE86" i="1"/>
  <c r="AD86" i="1"/>
  <c r="AC86" i="1"/>
  <c r="AB86" i="1"/>
  <c r="AA86" i="1"/>
  <c r="Z86" i="1"/>
  <c r="X86" i="1"/>
  <c r="S86" i="1"/>
  <c r="N86" i="1"/>
  <c r="M86" i="1"/>
  <c r="L86" i="1"/>
  <c r="J86" i="1"/>
  <c r="I86" i="1"/>
  <c r="H86" i="1"/>
  <c r="G86" i="1"/>
  <c r="E86" i="1"/>
  <c r="D86" i="1"/>
  <c r="C86" i="1"/>
  <c r="B86" i="1"/>
  <c r="A86" i="1"/>
  <c r="BF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X85" i="1"/>
  <c r="R85" i="1"/>
  <c r="Q85" i="1"/>
  <c r="P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H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K84" i="1"/>
  <c r="AJ84" i="1"/>
  <c r="AI84" i="1"/>
  <c r="AH84" i="1"/>
  <c r="AG84" i="1"/>
  <c r="AE84" i="1"/>
  <c r="AD84" i="1"/>
  <c r="AC84" i="1"/>
  <c r="AB84" i="1"/>
  <c r="AA84" i="1"/>
  <c r="Z84" i="1"/>
  <c r="X84" i="1"/>
  <c r="V84" i="1"/>
  <c r="T84" i="1"/>
  <c r="Q84" i="1"/>
  <c r="P84" i="1"/>
  <c r="N84" i="1"/>
  <c r="M84" i="1"/>
  <c r="K84" i="1"/>
  <c r="J84" i="1"/>
  <c r="I84" i="1"/>
  <c r="H84" i="1"/>
  <c r="G84" i="1"/>
  <c r="F84" i="1"/>
  <c r="E84" i="1"/>
  <c r="D84" i="1"/>
  <c r="C84" i="1"/>
  <c r="B84" i="1"/>
  <c r="A84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L83" i="1"/>
  <c r="AK83" i="1"/>
  <c r="AJ83" i="1"/>
  <c r="AI83" i="1"/>
  <c r="AH83" i="1"/>
  <c r="AG83" i="1"/>
  <c r="AE83" i="1"/>
  <c r="AD83" i="1"/>
  <c r="AC83" i="1"/>
  <c r="AB83" i="1"/>
  <c r="AA83" i="1"/>
  <c r="Z83" i="1"/>
  <c r="X83" i="1"/>
  <c r="T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J82" i="1"/>
  <c r="BF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X82" i="1"/>
  <c r="V82" i="1"/>
  <c r="T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L81" i="1"/>
  <c r="AK81" i="1"/>
  <c r="AJ81" i="1"/>
  <c r="AI81" i="1"/>
  <c r="AH81" i="1"/>
  <c r="AG81" i="1"/>
  <c r="AE81" i="1"/>
  <c r="AD81" i="1"/>
  <c r="AC81" i="1"/>
  <c r="AB81" i="1"/>
  <c r="AA81" i="1"/>
  <c r="Z81" i="1"/>
  <c r="X81" i="1"/>
  <c r="T81" i="1"/>
  <c r="R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J80" i="1"/>
  <c r="BF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X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L79" i="1"/>
  <c r="AK79" i="1"/>
  <c r="AJ79" i="1"/>
  <c r="AI79" i="1"/>
  <c r="AH79" i="1"/>
  <c r="AF79" i="1"/>
  <c r="AE79" i="1"/>
  <c r="AD79" i="1"/>
  <c r="AC79" i="1"/>
  <c r="AB79" i="1"/>
  <c r="AA79" i="1"/>
  <c r="Z79" i="1"/>
  <c r="X79" i="1"/>
  <c r="S79" i="1"/>
  <c r="N79" i="1"/>
  <c r="M79" i="1"/>
  <c r="L79" i="1"/>
  <c r="J79" i="1"/>
  <c r="I79" i="1"/>
  <c r="H79" i="1"/>
  <c r="G79" i="1"/>
  <c r="F79" i="1"/>
  <c r="E79" i="1"/>
  <c r="D79" i="1"/>
  <c r="C79" i="1"/>
  <c r="B79" i="1"/>
  <c r="A79" i="1"/>
  <c r="BD78" i="1"/>
  <c r="BC78" i="1"/>
  <c r="BB78" i="1"/>
  <c r="BA78" i="1"/>
  <c r="AY78" i="1"/>
  <c r="AX78" i="1"/>
  <c r="AW78" i="1"/>
  <c r="AV78" i="1"/>
  <c r="AU78" i="1"/>
  <c r="AT78" i="1"/>
  <c r="AS78" i="1"/>
  <c r="AR78" i="1"/>
  <c r="AL78" i="1"/>
  <c r="AK78" i="1"/>
  <c r="AJ78" i="1"/>
  <c r="AI78" i="1"/>
  <c r="AH78" i="1"/>
  <c r="AE78" i="1"/>
  <c r="AD78" i="1"/>
  <c r="AC78" i="1"/>
  <c r="AB78" i="1"/>
  <c r="AA78" i="1"/>
  <c r="Z78" i="1"/>
  <c r="X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L77" i="1"/>
  <c r="AK77" i="1"/>
  <c r="AJ77" i="1"/>
  <c r="AI77" i="1"/>
  <c r="AH77" i="1"/>
  <c r="AG77" i="1"/>
  <c r="AE77" i="1"/>
  <c r="AD77" i="1"/>
  <c r="AC77" i="1"/>
  <c r="AB77" i="1"/>
  <c r="AA77" i="1"/>
  <c r="Z77" i="1"/>
  <c r="X77" i="1"/>
  <c r="P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D76" i="1"/>
  <c r="BC76" i="1"/>
  <c r="BB76" i="1"/>
  <c r="BA76" i="1"/>
  <c r="AZ76" i="1"/>
  <c r="AY76" i="1"/>
  <c r="AX76" i="1"/>
  <c r="AW76" i="1"/>
  <c r="AV76" i="1"/>
  <c r="AU76" i="1"/>
  <c r="AS76" i="1"/>
  <c r="AR76" i="1"/>
  <c r="AL76" i="1"/>
  <c r="AK76" i="1"/>
  <c r="AJ76" i="1"/>
  <c r="AI76" i="1"/>
  <c r="AH76" i="1"/>
  <c r="AE76" i="1"/>
  <c r="AD76" i="1"/>
  <c r="AC76" i="1"/>
  <c r="AB76" i="1"/>
  <c r="AA76" i="1"/>
  <c r="Z76" i="1"/>
  <c r="X76" i="1"/>
  <c r="T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L75" i="1"/>
  <c r="AK75" i="1"/>
  <c r="AJ75" i="1"/>
  <c r="AI75" i="1"/>
  <c r="AH75" i="1"/>
  <c r="AE75" i="1"/>
  <c r="AD75" i="1"/>
  <c r="AC75" i="1"/>
  <c r="AB75" i="1"/>
  <c r="AA75" i="1"/>
  <c r="Z75" i="1"/>
  <c r="X75" i="1"/>
  <c r="S75" i="1"/>
  <c r="Q75" i="1"/>
  <c r="N75" i="1"/>
  <c r="M75" i="1"/>
  <c r="L75" i="1"/>
  <c r="K75" i="1"/>
  <c r="J75" i="1"/>
  <c r="I75" i="1"/>
  <c r="H75" i="1"/>
  <c r="G75" i="1"/>
  <c r="F75" i="1"/>
  <c r="E75" i="1"/>
  <c r="D75" i="1"/>
  <c r="B75" i="1"/>
  <c r="A75" i="1"/>
  <c r="BH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X74" i="1"/>
  <c r="T74" i="1"/>
  <c r="N74" i="1"/>
  <c r="M74" i="1"/>
  <c r="L74" i="1"/>
  <c r="K74" i="1"/>
  <c r="J74" i="1"/>
  <c r="I74" i="1"/>
  <c r="H74" i="1"/>
  <c r="G74" i="1"/>
  <c r="F74" i="1"/>
  <c r="E74" i="1"/>
  <c r="D74" i="1"/>
  <c r="B74" i="1"/>
  <c r="A74" i="1"/>
  <c r="BH73" i="1"/>
  <c r="BG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L73" i="1"/>
  <c r="AK73" i="1"/>
  <c r="AJ73" i="1"/>
  <c r="AI73" i="1"/>
  <c r="AH73" i="1"/>
  <c r="AE73" i="1"/>
  <c r="AD73" i="1"/>
  <c r="AC73" i="1"/>
  <c r="AB73" i="1"/>
  <c r="AA73" i="1"/>
  <c r="Z73" i="1"/>
  <c r="X73" i="1"/>
  <c r="T73" i="1"/>
  <c r="S73" i="1"/>
  <c r="Q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F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L72" i="1"/>
  <c r="AK72" i="1"/>
  <c r="AJ72" i="1"/>
  <c r="AI72" i="1"/>
  <c r="AH72" i="1"/>
  <c r="AF72" i="1"/>
  <c r="AE72" i="1"/>
  <c r="AD72" i="1"/>
  <c r="AC72" i="1"/>
  <c r="AB72" i="1"/>
  <c r="AA72" i="1"/>
  <c r="Z72" i="1"/>
  <c r="X72" i="1"/>
  <c r="R72" i="1"/>
  <c r="N72" i="1"/>
  <c r="M72" i="1"/>
  <c r="L72" i="1"/>
  <c r="K72" i="1"/>
  <c r="J72" i="1"/>
  <c r="I72" i="1"/>
  <c r="G72" i="1"/>
  <c r="F72" i="1"/>
  <c r="E72" i="1"/>
  <c r="D72" i="1"/>
  <c r="C72" i="1"/>
  <c r="B72" i="1"/>
  <c r="A72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L71" i="1"/>
  <c r="AK71" i="1"/>
  <c r="AJ71" i="1"/>
  <c r="AI71" i="1"/>
  <c r="AH71" i="1"/>
  <c r="AE71" i="1"/>
  <c r="AD71" i="1"/>
  <c r="AC71" i="1"/>
  <c r="AB71" i="1"/>
  <c r="AA71" i="1"/>
  <c r="Z71" i="1"/>
  <c r="X71" i="1"/>
  <c r="S71" i="1"/>
  <c r="R71" i="1"/>
  <c r="Q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L70" i="1"/>
  <c r="AK70" i="1"/>
  <c r="AJ70" i="1"/>
  <c r="AI70" i="1"/>
  <c r="AH70" i="1"/>
  <c r="AE70" i="1"/>
  <c r="AD70" i="1"/>
  <c r="AC70" i="1"/>
  <c r="AB70" i="1"/>
  <c r="AA70" i="1"/>
  <c r="Z70" i="1"/>
  <c r="X70" i="1"/>
  <c r="T70" i="1"/>
  <c r="S70" i="1"/>
  <c r="R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L69" i="1"/>
  <c r="AK69" i="1"/>
  <c r="AJ69" i="1"/>
  <c r="AI69" i="1"/>
  <c r="AG69" i="1"/>
  <c r="AE69" i="1"/>
  <c r="AD69" i="1"/>
  <c r="AC69" i="1"/>
  <c r="AB69" i="1"/>
  <c r="AA69" i="1"/>
  <c r="Z69" i="1"/>
  <c r="X69" i="1"/>
  <c r="P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G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L68" i="1"/>
  <c r="AK68" i="1"/>
  <c r="AJ68" i="1"/>
  <c r="AI68" i="1"/>
  <c r="AH68" i="1"/>
  <c r="AG68" i="1"/>
  <c r="AE68" i="1"/>
  <c r="AD68" i="1"/>
  <c r="AC68" i="1"/>
  <c r="AB68" i="1"/>
  <c r="AA68" i="1"/>
  <c r="Z68" i="1"/>
  <c r="X68" i="1"/>
  <c r="T68" i="1"/>
  <c r="S68" i="1"/>
  <c r="Q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F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L67" i="1"/>
  <c r="AK67" i="1"/>
  <c r="AJ67" i="1"/>
  <c r="AI67" i="1"/>
  <c r="AH67" i="1"/>
  <c r="AG67" i="1"/>
  <c r="AE67" i="1"/>
  <c r="AD67" i="1"/>
  <c r="AC67" i="1"/>
  <c r="AB67" i="1"/>
  <c r="AA67" i="1"/>
  <c r="Z67" i="1"/>
  <c r="X67" i="1"/>
  <c r="R67" i="1"/>
  <c r="Q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G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X66" i="1"/>
  <c r="S66" i="1"/>
  <c r="R66" i="1"/>
  <c r="N66" i="1"/>
  <c r="M66" i="1"/>
  <c r="K66" i="1"/>
  <c r="J66" i="1"/>
  <c r="I66" i="1"/>
  <c r="H66" i="1"/>
  <c r="G66" i="1"/>
  <c r="F66" i="1"/>
  <c r="E66" i="1"/>
  <c r="D66" i="1"/>
  <c r="C66" i="1"/>
  <c r="B66" i="1"/>
  <c r="A66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X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L64" i="1"/>
  <c r="AK64" i="1"/>
  <c r="AJ64" i="1"/>
  <c r="AI64" i="1"/>
  <c r="AH64" i="1"/>
  <c r="AE64" i="1"/>
  <c r="AD64" i="1"/>
  <c r="AC64" i="1"/>
  <c r="AA64" i="1"/>
  <c r="Z64" i="1"/>
  <c r="X64" i="1"/>
  <c r="R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J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X63" i="1"/>
  <c r="V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C63" i="1"/>
  <c r="B63" i="1"/>
  <c r="A63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L62" i="1"/>
  <c r="AI62" i="1"/>
  <c r="AE62" i="1"/>
  <c r="AD62" i="1"/>
  <c r="AC62" i="1"/>
  <c r="AB62" i="1"/>
  <c r="AA62" i="1"/>
  <c r="Z62" i="1"/>
  <c r="X62" i="1"/>
  <c r="N62" i="1"/>
  <c r="M62" i="1"/>
  <c r="L62" i="1"/>
  <c r="K62" i="1"/>
  <c r="J62" i="1"/>
  <c r="I62" i="1"/>
  <c r="G62" i="1"/>
  <c r="F62" i="1"/>
  <c r="E62" i="1"/>
  <c r="D62" i="1"/>
  <c r="C62" i="1"/>
  <c r="B62" i="1"/>
  <c r="A62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L61" i="1"/>
  <c r="AK61" i="1"/>
  <c r="AJ61" i="1"/>
  <c r="AI61" i="1"/>
  <c r="AH61" i="1"/>
  <c r="AE61" i="1"/>
  <c r="AC61" i="1"/>
  <c r="AA61" i="1"/>
  <c r="Z61" i="1"/>
  <c r="X61" i="1"/>
  <c r="T61" i="1"/>
  <c r="N61" i="1"/>
  <c r="M61" i="1"/>
  <c r="L61" i="1"/>
  <c r="K61" i="1"/>
  <c r="J61" i="1"/>
  <c r="I61" i="1"/>
  <c r="H61" i="1"/>
  <c r="G61" i="1"/>
  <c r="F61" i="1"/>
  <c r="D61" i="1"/>
  <c r="C61" i="1"/>
  <c r="B61" i="1"/>
  <c r="A61" i="1"/>
  <c r="BI60" i="1"/>
  <c r="BH60" i="1"/>
  <c r="BG60" i="1"/>
  <c r="BF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L60" i="1"/>
  <c r="AK60" i="1"/>
  <c r="AJ60" i="1"/>
  <c r="AI60" i="1"/>
  <c r="AH60" i="1"/>
  <c r="AF60" i="1"/>
  <c r="AE60" i="1"/>
  <c r="AD60" i="1"/>
  <c r="AC60" i="1"/>
  <c r="AA60" i="1"/>
  <c r="Z60" i="1"/>
  <c r="X60" i="1"/>
  <c r="T60" i="1"/>
  <c r="S60" i="1"/>
  <c r="R60" i="1"/>
  <c r="Q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G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L59" i="1"/>
  <c r="AK59" i="1"/>
  <c r="AJ59" i="1"/>
  <c r="AI59" i="1"/>
  <c r="AH59" i="1"/>
  <c r="AE59" i="1"/>
  <c r="AD59" i="1"/>
  <c r="AC59" i="1"/>
  <c r="AB59" i="1"/>
  <c r="AA59" i="1"/>
  <c r="Z59" i="1"/>
  <c r="X59" i="1"/>
  <c r="T59" i="1"/>
  <c r="S59" i="1"/>
  <c r="R59" i="1"/>
  <c r="N59" i="1"/>
  <c r="M59" i="1"/>
  <c r="L59" i="1"/>
  <c r="K59" i="1"/>
  <c r="J59" i="1"/>
  <c r="I59" i="1"/>
  <c r="H59" i="1"/>
  <c r="G59" i="1"/>
  <c r="F59" i="1"/>
  <c r="E59" i="1"/>
  <c r="D59" i="1"/>
  <c r="C59" i="1"/>
  <c r="A59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L58" i="1"/>
  <c r="AK58" i="1"/>
  <c r="AJ58" i="1"/>
  <c r="AI58" i="1"/>
  <c r="AH58" i="1"/>
  <c r="AG58" i="1"/>
  <c r="AE58" i="1"/>
  <c r="AD58" i="1"/>
  <c r="AC58" i="1"/>
  <c r="AB58" i="1"/>
  <c r="AA58" i="1"/>
  <c r="Z58" i="1"/>
  <c r="X58" i="1"/>
  <c r="S58" i="1"/>
  <c r="Q58" i="1"/>
  <c r="P58" i="1"/>
  <c r="N58" i="1"/>
  <c r="M58" i="1"/>
  <c r="L58" i="1"/>
  <c r="K58" i="1"/>
  <c r="I58" i="1"/>
  <c r="H58" i="1"/>
  <c r="G58" i="1"/>
  <c r="F58" i="1"/>
  <c r="E58" i="1"/>
  <c r="D58" i="1"/>
  <c r="C58" i="1"/>
  <c r="B58" i="1"/>
  <c r="A58" i="1"/>
  <c r="BD57" i="1"/>
  <c r="BC57" i="1"/>
  <c r="BB57" i="1"/>
  <c r="BA57" i="1"/>
  <c r="AZ57" i="1"/>
  <c r="AX57" i="1"/>
  <c r="AW57" i="1"/>
  <c r="AV57" i="1"/>
  <c r="AU57" i="1"/>
  <c r="AT57" i="1"/>
  <c r="AS57" i="1"/>
  <c r="AR57" i="1"/>
  <c r="AL57" i="1"/>
  <c r="AK57" i="1"/>
  <c r="AJ57" i="1"/>
  <c r="AI57" i="1"/>
  <c r="AH57" i="1"/>
  <c r="AF57" i="1"/>
  <c r="AE57" i="1"/>
  <c r="AD57" i="1"/>
  <c r="AC57" i="1"/>
  <c r="AB57" i="1"/>
  <c r="AA57" i="1"/>
  <c r="Z57" i="1"/>
  <c r="X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L56" i="1"/>
  <c r="AK56" i="1"/>
  <c r="AJ56" i="1"/>
  <c r="AI56" i="1"/>
  <c r="AH56" i="1"/>
  <c r="AE56" i="1"/>
  <c r="AD56" i="1"/>
  <c r="AC56" i="1"/>
  <c r="AB56" i="1"/>
  <c r="AA56" i="1"/>
  <c r="Z56" i="1"/>
  <c r="X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G55" i="1"/>
  <c r="BD55" i="1"/>
  <c r="BC55" i="1"/>
  <c r="BB55" i="1"/>
  <c r="BA55" i="1"/>
  <c r="AZ55" i="1"/>
  <c r="AY55" i="1"/>
  <c r="AX55" i="1"/>
  <c r="AV55" i="1"/>
  <c r="AU55" i="1"/>
  <c r="AT55" i="1"/>
  <c r="AR55" i="1"/>
  <c r="AL55" i="1"/>
  <c r="AK55" i="1"/>
  <c r="AJ55" i="1"/>
  <c r="AI55" i="1"/>
  <c r="AH55" i="1"/>
  <c r="AG55" i="1"/>
  <c r="AE55" i="1"/>
  <c r="AD55" i="1"/>
  <c r="AC55" i="1"/>
  <c r="AB55" i="1"/>
  <c r="AA55" i="1"/>
  <c r="Z55" i="1"/>
  <c r="X55" i="1"/>
  <c r="S55" i="1"/>
  <c r="R55" i="1"/>
  <c r="P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I54" i="1"/>
  <c r="BG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L54" i="1"/>
  <c r="AK54" i="1"/>
  <c r="AJ54" i="1"/>
  <c r="AI54" i="1"/>
  <c r="AH54" i="1"/>
  <c r="AF54" i="1"/>
  <c r="AE54" i="1"/>
  <c r="AD54" i="1"/>
  <c r="AC54" i="1"/>
  <c r="AB54" i="1"/>
  <c r="AA54" i="1"/>
  <c r="Z54" i="1"/>
  <c r="X54" i="1"/>
  <c r="U54" i="1"/>
  <c r="S54" i="1"/>
  <c r="R54" i="1"/>
  <c r="Q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G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L53" i="1"/>
  <c r="AK53" i="1"/>
  <c r="AJ53" i="1"/>
  <c r="AI53" i="1"/>
  <c r="AH53" i="1"/>
  <c r="AG53" i="1"/>
  <c r="AE53" i="1"/>
  <c r="AD53" i="1"/>
  <c r="AC53" i="1"/>
  <c r="AB53" i="1"/>
  <c r="AA53" i="1"/>
  <c r="Z53" i="1"/>
  <c r="X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X52" i="1"/>
  <c r="O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H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L51" i="1"/>
  <c r="AK51" i="1"/>
  <c r="AJ51" i="1"/>
  <c r="AI51" i="1"/>
  <c r="AH51" i="1"/>
  <c r="AE51" i="1"/>
  <c r="AD51" i="1"/>
  <c r="AC51" i="1"/>
  <c r="AB51" i="1"/>
  <c r="AA51" i="1"/>
  <c r="Z51" i="1"/>
  <c r="X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D50" i="1"/>
  <c r="BC50" i="1"/>
  <c r="BB50" i="1"/>
  <c r="BA50" i="1"/>
  <c r="AZ50" i="1"/>
  <c r="AY50" i="1"/>
  <c r="AW50" i="1"/>
  <c r="AV50" i="1"/>
  <c r="AU50" i="1"/>
  <c r="AT50" i="1"/>
  <c r="AS50" i="1"/>
  <c r="AR50" i="1"/>
  <c r="AL50" i="1"/>
  <c r="AK50" i="1"/>
  <c r="AJ50" i="1"/>
  <c r="AI50" i="1"/>
  <c r="AH50" i="1"/>
  <c r="AG50" i="1"/>
  <c r="AE50" i="1"/>
  <c r="AD50" i="1"/>
  <c r="AC50" i="1"/>
  <c r="AB50" i="1"/>
  <c r="AA50" i="1"/>
  <c r="Z50" i="1"/>
  <c r="X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T49" i="1"/>
  <c r="S49" i="1"/>
  <c r="N49" i="1"/>
  <c r="M49" i="1"/>
  <c r="L49" i="1"/>
  <c r="K49" i="1"/>
  <c r="J49" i="1"/>
  <c r="I49" i="1"/>
  <c r="H49" i="1"/>
  <c r="G49" i="1"/>
  <c r="F49" i="1"/>
  <c r="E49" i="1"/>
  <c r="C49" i="1"/>
  <c r="B49" i="1"/>
  <c r="A49" i="1"/>
  <c r="BJ48" i="1"/>
  <c r="BH48" i="1"/>
  <c r="BG48" i="1"/>
  <c r="BF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L48" i="1"/>
  <c r="AK48" i="1"/>
  <c r="AJ48" i="1"/>
  <c r="AI48" i="1"/>
  <c r="AH48" i="1"/>
  <c r="AG48" i="1"/>
  <c r="AE48" i="1"/>
  <c r="AD48" i="1"/>
  <c r="AC48" i="1"/>
  <c r="AB48" i="1"/>
  <c r="AA48" i="1"/>
  <c r="Z48" i="1"/>
  <c r="X48" i="1"/>
  <c r="V48" i="1"/>
  <c r="T48" i="1"/>
  <c r="S48" i="1"/>
  <c r="R48" i="1"/>
  <c r="P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H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L47" i="1"/>
  <c r="AK47" i="1"/>
  <c r="AJ47" i="1"/>
  <c r="AI47" i="1"/>
  <c r="AH47" i="1"/>
  <c r="AE47" i="1"/>
  <c r="AD47" i="1"/>
  <c r="AC47" i="1"/>
  <c r="AB47" i="1"/>
  <c r="AA47" i="1"/>
  <c r="Z47" i="1"/>
  <c r="X47" i="1"/>
  <c r="R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F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L46" i="1"/>
  <c r="AK46" i="1"/>
  <c r="AJ46" i="1"/>
  <c r="AH46" i="1"/>
  <c r="AE46" i="1"/>
  <c r="AD46" i="1"/>
  <c r="AC46" i="1"/>
  <c r="AB46" i="1"/>
  <c r="AA46" i="1"/>
  <c r="Z46" i="1"/>
  <c r="X46" i="1"/>
  <c r="R46" i="1"/>
  <c r="Q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H45" i="1"/>
  <c r="BG45" i="1"/>
  <c r="BF45" i="1"/>
  <c r="BD45" i="1"/>
  <c r="BC45" i="1"/>
  <c r="BB45" i="1"/>
  <c r="AZ45" i="1"/>
  <c r="AY45" i="1"/>
  <c r="AX45" i="1"/>
  <c r="AW45" i="1"/>
  <c r="AV45" i="1"/>
  <c r="AU45" i="1"/>
  <c r="AT45" i="1"/>
  <c r="AS45" i="1"/>
  <c r="AR45" i="1"/>
  <c r="AL45" i="1"/>
  <c r="AK45" i="1"/>
  <c r="AJ45" i="1"/>
  <c r="AI45" i="1"/>
  <c r="AH45" i="1"/>
  <c r="AG45" i="1"/>
  <c r="AE45" i="1"/>
  <c r="AD45" i="1"/>
  <c r="AC45" i="1"/>
  <c r="AB45" i="1"/>
  <c r="AA45" i="1"/>
  <c r="Z45" i="1"/>
  <c r="X45" i="1"/>
  <c r="S45" i="1"/>
  <c r="R45" i="1"/>
  <c r="P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X44" i="1"/>
  <c r="N44" i="1"/>
  <c r="M44" i="1"/>
  <c r="I44" i="1"/>
  <c r="H44" i="1"/>
  <c r="F44" i="1"/>
  <c r="E44" i="1"/>
  <c r="D44" i="1"/>
  <c r="C44" i="1"/>
  <c r="B44" i="1"/>
  <c r="A44" i="1"/>
  <c r="BD43" i="1"/>
  <c r="BC43" i="1"/>
  <c r="BB43" i="1"/>
  <c r="BA43" i="1"/>
  <c r="AZ43" i="1"/>
  <c r="AY43" i="1"/>
  <c r="AX43" i="1"/>
  <c r="AW43" i="1"/>
  <c r="AU43" i="1"/>
  <c r="AT43" i="1"/>
  <c r="AS43" i="1"/>
  <c r="AR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X43" i="1"/>
  <c r="R43" i="1"/>
  <c r="O43" i="1"/>
  <c r="N43" i="1"/>
  <c r="M43" i="1"/>
  <c r="L43" i="1"/>
  <c r="K43" i="1"/>
  <c r="J43" i="1"/>
  <c r="I43" i="1"/>
  <c r="F43" i="1"/>
  <c r="E43" i="1"/>
  <c r="D43" i="1"/>
  <c r="C43" i="1"/>
  <c r="B43" i="1"/>
  <c r="A43" i="1"/>
  <c r="BD42" i="1"/>
  <c r="BC42" i="1"/>
  <c r="BB42" i="1"/>
  <c r="BA42" i="1"/>
  <c r="AZ42" i="1"/>
  <c r="AY42" i="1"/>
  <c r="AX42" i="1"/>
  <c r="AW42" i="1"/>
  <c r="AV42" i="1"/>
  <c r="AU42" i="1"/>
  <c r="AT42" i="1"/>
  <c r="AR42" i="1"/>
  <c r="AL42" i="1"/>
  <c r="AK42" i="1"/>
  <c r="AJ42" i="1"/>
  <c r="AI42" i="1"/>
  <c r="AH42" i="1"/>
  <c r="AE42" i="1"/>
  <c r="AD42" i="1"/>
  <c r="AC42" i="1"/>
  <c r="AB42" i="1"/>
  <c r="AA42" i="1"/>
  <c r="Z42" i="1"/>
  <c r="X42" i="1"/>
  <c r="T42" i="1"/>
  <c r="N42" i="1"/>
  <c r="M42" i="1"/>
  <c r="L42" i="1"/>
  <c r="K42" i="1"/>
  <c r="J42" i="1"/>
  <c r="I42" i="1"/>
  <c r="H42" i="1"/>
  <c r="G42" i="1"/>
  <c r="F42" i="1"/>
  <c r="E42" i="1"/>
  <c r="C42" i="1"/>
  <c r="A42" i="1"/>
  <c r="BG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L41" i="1"/>
  <c r="AK41" i="1"/>
  <c r="AJ41" i="1"/>
  <c r="AI41" i="1"/>
  <c r="AH41" i="1"/>
  <c r="AE41" i="1"/>
  <c r="AD41" i="1"/>
  <c r="AC41" i="1"/>
  <c r="AB41" i="1"/>
  <c r="AA41" i="1"/>
  <c r="Z41" i="1"/>
  <c r="X41" i="1"/>
  <c r="T41" i="1"/>
  <c r="S41" i="1"/>
  <c r="R41" i="1"/>
  <c r="Q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H40" i="1"/>
  <c r="BG40" i="1"/>
  <c r="BF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L40" i="1"/>
  <c r="AK40" i="1"/>
  <c r="AJ40" i="1"/>
  <c r="AI40" i="1"/>
  <c r="AH40" i="1"/>
  <c r="AE40" i="1"/>
  <c r="AD40" i="1"/>
  <c r="AC40" i="1"/>
  <c r="AB40" i="1"/>
  <c r="AA40" i="1"/>
  <c r="Z40" i="1"/>
  <c r="X40" i="1"/>
  <c r="T40" i="1"/>
  <c r="S40" i="1"/>
  <c r="R40" i="1"/>
  <c r="Q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X39" i="1"/>
  <c r="V39" i="1"/>
  <c r="S39" i="1"/>
  <c r="Q39" i="1"/>
  <c r="P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L38" i="1"/>
  <c r="AK38" i="1"/>
  <c r="AJ38" i="1"/>
  <c r="AI38" i="1"/>
  <c r="AH38" i="1"/>
  <c r="AG38" i="1"/>
  <c r="AE38" i="1"/>
  <c r="AD38" i="1"/>
  <c r="AC38" i="1"/>
  <c r="AB38" i="1"/>
  <c r="AA38" i="1"/>
  <c r="Z38" i="1"/>
  <c r="X38" i="1"/>
  <c r="T38" i="1"/>
  <c r="N38" i="1"/>
  <c r="M38" i="1"/>
  <c r="L38" i="1"/>
  <c r="K38" i="1"/>
  <c r="J38" i="1"/>
  <c r="I38" i="1"/>
  <c r="G38" i="1"/>
  <c r="F38" i="1"/>
  <c r="E38" i="1"/>
  <c r="D38" i="1"/>
  <c r="C38" i="1"/>
  <c r="B38" i="1"/>
  <c r="A38" i="1"/>
  <c r="BG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L37" i="1"/>
  <c r="AK37" i="1"/>
  <c r="AJ37" i="1"/>
  <c r="AI37" i="1"/>
  <c r="AH37" i="1"/>
  <c r="AE37" i="1"/>
  <c r="AD37" i="1"/>
  <c r="AC37" i="1"/>
  <c r="AB37" i="1"/>
  <c r="AA37" i="1"/>
  <c r="Z37" i="1"/>
  <c r="X37" i="1"/>
  <c r="S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D36" i="1"/>
  <c r="BC36" i="1"/>
  <c r="BB36" i="1"/>
  <c r="BA36" i="1"/>
  <c r="AY36" i="1"/>
  <c r="AX36" i="1"/>
  <c r="AW36" i="1"/>
  <c r="AV36" i="1"/>
  <c r="AU36" i="1"/>
  <c r="AT36" i="1"/>
  <c r="AS36" i="1"/>
  <c r="AR36" i="1"/>
  <c r="AL36" i="1"/>
  <c r="AK36" i="1"/>
  <c r="AJ36" i="1"/>
  <c r="AI36" i="1"/>
  <c r="AH36" i="1"/>
  <c r="AF36" i="1"/>
  <c r="AE36" i="1"/>
  <c r="AD36" i="1"/>
  <c r="AC36" i="1"/>
  <c r="AB36" i="1"/>
  <c r="AA36" i="1"/>
  <c r="Z36" i="1"/>
  <c r="X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L35" i="1"/>
  <c r="AK35" i="1"/>
  <c r="AJ35" i="1"/>
  <c r="AI35" i="1"/>
  <c r="AH35" i="1"/>
  <c r="AE35" i="1"/>
  <c r="AD35" i="1"/>
  <c r="AC35" i="1"/>
  <c r="AB35" i="1"/>
  <c r="AA35" i="1"/>
  <c r="Z35" i="1"/>
  <c r="X35" i="1"/>
  <c r="Q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L34" i="1"/>
  <c r="AK34" i="1"/>
  <c r="AJ34" i="1"/>
  <c r="AI34" i="1"/>
  <c r="AH34" i="1"/>
  <c r="AF34" i="1"/>
  <c r="AE34" i="1"/>
  <c r="AD34" i="1"/>
  <c r="AC34" i="1"/>
  <c r="AB34" i="1"/>
  <c r="AA34" i="1"/>
  <c r="Z34" i="1"/>
  <c r="X34" i="1"/>
  <c r="T34" i="1"/>
  <c r="R34" i="1"/>
  <c r="N34" i="1"/>
  <c r="M34" i="1"/>
  <c r="L34" i="1"/>
  <c r="K34" i="1"/>
  <c r="J34" i="1"/>
  <c r="H34" i="1"/>
  <c r="G34" i="1"/>
  <c r="E34" i="1"/>
  <c r="C34" i="1"/>
  <c r="B34" i="1"/>
  <c r="A34" i="1"/>
  <c r="BJ33" i="1"/>
  <c r="BI33" i="1"/>
  <c r="BG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X33" i="1"/>
  <c r="V33" i="1"/>
  <c r="U33" i="1"/>
  <c r="T33" i="1"/>
  <c r="S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F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L32" i="1"/>
  <c r="AK32" i="1"/>
  <c r="AJ32" i="1"/>
  <c r="AI32" i="1"/>
  <c r="AH32" i="1"/>
  <c r="AE32" i="1"/>
  <c r="AD32" i="1"/>
  <c r="AC32" i="1"/>
  <c r="AB32" i="1"/>
  <c r="AA32" i="1"/>
  <c r="Z32" i="1"/>
  <c r="X32" i="1"/>
  <c r="S32" i="1"/>
  <c r="R32" i="1"/>
  <c r="Q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L31" i="1"/>
  <c r="AK31" i="1"/>
  <c r="AJ31" i="1"/>
  <c r="AI31" i="1"/>
  <c r="AH31" i="1"/>
  <c r="AG31" i="1"/>
  <c r="AE31" i="1"/>
  <c r="AD31" i="1"/>
  <c r="AC31" i="1"/>
  <c r="AB31" i="1"/>
  <c r="AA31" i="1"/>
  <c r="Z31" i="1"/>
  <c r="X31" i="1"/>
  <c r="T31" i="1"/>
  <c r="R31" i="1"/>
  <c r="Q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X30" i="1"/>
  <c r="T30" i="1"/>
  <c r="S30" i="1"/>
  <c r="R30" i="1"/>
  <c r="Q30" i="1"/>
  <c r="P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L29" i="1"/>
  <c r="AK29" i="1"/>
  <c r="AJ29" i="1"/>
  <c r="AI29" i="1"/>
  <c r="AH29" i="1"/>
  <c r="AE29" i="1"/>
  <c r="AD29" i="1"/>
  <c r="AB29" i="1"/>
  <c r="AA29" i="1"/>
  <c r="Z29" i="1"/>
  <c r="X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L28" i="1"/>
  <c r="AK28" i="1"/>
  <c r="AJ28" i="1"/>
  <c r="AI28" i="1"/>
  <c r="AH28" i="1"/>
  <c r="AE28" i="1"/>
  <c r="AD28" i="1"/>
  <c r="AC28" i="1"/>
  <c r="AB28" i="1"/>
  <c r="AA28" i="1"/>
  <c r="Z28" i="1"/>
  <c r="X28" i="1"/>
  <c r="Q28" i="1"/>
  <c r="N28" i="1"/>
  <c r="M28" i="1"/>
  <c r="L28" i="1"/>
  <c r="K28" i="1"/>
  <c r="J28" i="1"/>
  <c r="I28" i="1"/>
  <c r="H28" i="1"/>
  <c r="G28" i="1"/>
  <c r="F28" i="1"/>
  <c r="E28" i="1"/>
  <c r="D28" i="1"/>
  <c r="C28" i="1"/>
  <c r="A28" i="1"/>
  <c r="BG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L27" i="1"/>
  <c r="AK27" i="1"/>
  <c r="AJ27" i="1"/>
  <c r="AI27" i="1"/>
  <c r="AH27" i="1"/>
  <c r="AG27" i="1"/>
  <c r="AE27" i="1"/>
  <c r="AD27" i="1"/>
  <c r="AC27" i="1"/>
  <c r="AB27" i="1"/>
  <c r="AA27" i="1"/>
  <c r="Z27" i="1"/>
  <c r="X27" i="1"/>
  <c r="S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H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L26" i="1"/>
  <c r="AK26" i="1"/>
  <c r="AJ26" i="1"/>
  <c r="AI26" i="1"/>
  <c r="AH26" i="1"/>
  <c r="AE26" i="1"/>
  <c r="AD26" i="1"/>
  <c r="AC26" i="1"/>
  <c r="AB26" i="1"/>
  <c r="AA26" i="1"/>
  <c r="Z26" i="1"/>
  <c r="X26" i="1"/>
  <c r="T26" i="1"/>
  <c r="R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L25" i="1"/>
  <c r="AK25" i="1"/>
  <c r="AJ25" i="1"/>
  <c r="AI25" i="1"/>
  <c r="AH25" i="1"/>
  <c r="AE25" i="1"/>
  <c r="AD25" i="1"/>
  <c r="AC25" i="1"/>
  <c r="AB25" i="1"/>
  <c r="Z25" i="1"/>
  <c r="X25" i="1"/>
  <c r="R25" i="1"/>
  <c r="Q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F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L24" i="1"/>
  <c r="AK24" i="1"/>
  <c r="AJ24" i="1"/>
  <c r="AH24" i="1"/>
  <c r="AF24" i="1"/>
  <c r="AE24" i="1"/>
  <c r="AD24" i="1"/>
  <c r="AC24" i="1"/>
  <c r="AB24" i="1"/>
  <c r="AA24" i="1"/>
  <c r="Z24" i="1"/>
  <c r="X24" i="1"/>
  <c r="T24" i="1"/>
  <c r="R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L23" i="1"/>
  <c r="AK23" i="1"/>
  <c r="AJ23" i="1"/>
  <c r="AI23" i="1"/>
  <c r="AH23" i="1"/>
  <c r="AG23" i="1"/>
  <c r="AE23" i="1"/>
  <c r="AD23" i="1"/>
  <c r="AC23" i="1"/>
  <c r="AB23" i="1"/>
  <c r="AA23" i="1"/>
  <c r="Z23" i="1"/>
  <c r="X23" i="1"/>
  <c r="Q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D22" i="1"/>
  <c r="BC22" i="1"/>
  <c r="BA22" i="1"/>
  <c r="AY22" i="1"/>
  <c r="AX22" i="1"/>
  <c r="AW22" i="1"/>
  <c r="AV22" i="1"/>
  <c r="AU22" i="1"/>
  <c r="AT22" i="1"/>
  <c r="AS22" i="1"/>
  <c r="AR22" i="1"/>
  <c r="AL22" i="1"/>
  <c r="AK22" i="1"/>
  <c r="AJ22" i="1"/>
  <c r="AI22" i="1"/>
  <c r="AH22" i="1"/>
  <c r="AE22" i="1"/>
  <c r="AD22" i="1"/>
  <c r="AC22" i="1"/>
  <c r="AB22" i="1"/>
  <c r="AA22" i="1"/>
  <c r="Z22" i="1"/>
  <c r="X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G21" i="1"/>
  <c r="BD21" i="1"/>
  <c r="BC21" i="1"/>
  <c r="BA21" i="1"/>
  <c r="AZ21" i="1"/>
  <c r="AY21" i="1"/>
  <c r="AX21" i="1"/>
  <c r="AW21" i="1"/>
  <c r="AU21" i="1"/>
  <c r="AT21" i="1"/>
  <c r="AS21" i="1"/>
  <c r="AR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S21" i="1"/>
  <c r="O21" i="1"/>
  <c r="N21" i="1"/>
  <c r="M21" i="1"/>
  <c r="L21" i="1"/>
  <c r="K21" i="1"/>
  <c r="J21" i="1"/>
  <c r="I21" i="1"/>
  <c r="H21" i="1"/>
  <c r="G21" i="1"/>
  <c r="E21" i="1"/>
  <c r="D21" i="1"/>
  <c r="C21" i="1"/>
  <c r="B21" i="1"/>
  <c r="A21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L20" i="1"/>
  <c r="AK20" i="1"/>
  <c r="AJ20" i="1"/>
  <c r="AI20" i="1"/>
  <c r="AH20" i="1"/>
  <c r="AE20" i="1"/>
  <c r="AD20" i="1"/>
  <c r="AC20" i="1"/>
  <c r="AB20" i="1"/>
  <c r="AA20" i="1"/>
  <c r="Z20" i="1"/>
  <c r="X20" i="1"/>
  <c r="T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L19" i="1"/>
  <c r="AK19" i="1"/>
  <c r="AJ19" i="1"/>
  <c r="AI19" i="1"/>
  <c r="AE19" i="1"/>
  <c r="AD19" i="1"/>
  <c r="AC19" i="1"/>
  <c r="AB19" i="1"/>
  <c r="AA19" i="1"/>
  <c r="Z19" i="1"/>
  <c r="X19" i="1"/>
  <c r="T19" i="1"/>
  <c r="S19" i="1"/>
  <c r="R19" i="1"/>
  <c r="Q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G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K18" i="1"/>
  <c r="AJ18" i="1"/>
  <c r="AI18" i="1"/>
  <c r="AH18" i="1"/>
  <c r="AE18" i="1"/>
  <c r="AD18" i="1"/>
  <c r="AC18" i="1"/>
  <c r="AB18" i="1"/>
  <c r="AA18" i="1"/>
  <c r="Z18" i="1"/>
  <c r="X18" i="1"/>
  <c r="S18" i="1"/>
  <c r="Q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L17" i="1"/>
  <c r="AK17" i="1"/>
  <c r="AJ17" i="1"/>
  <c r="AI17" i="1"/>
  <c r="AH17" i="1"/>
  <c r="AG17" i="1"/>
  <c r="AE17" i="1"/>
  <c r="AD17" i="1"/>
  <c r="AC17" i="1"/>
  <c r="AB17" i="1"/>
  <c r="AA17" i="1"/>
  <c r="Z17" i="1"/>
  <c r="X17" i="1"/>
  <c r="S17" i="1"/>
  <c r="R17" i="1"/>
  <c r="N17" i="1"/>
  <c r="M17" i="1"/>
  <c r="L17" i="1"/>
  <c r="J17" i="1"/>
  <c r="I17" i="1"/>
  <c r="H17" i="1"/>
  <c r="G17" i="1"/>
  <c r="F17" i="1"/>
  <c r="E17" i="1"/>
  <c r="D17" i="1"/>
  <c r="C17" i="1"/>
  <c r="B17" i="1"/>
  <c r="A17" i="1"/>
  <c r="BH16" i="1"/>
  <c r="BG16" i="1"/>
  <c r="BD16" i="1"/>
  <c r="BB16" i="1"/>
  <c r="BA16" i="1"/>
  <c r="AZ16" i="1"/>
  <c r="AY16" i="1"/>
  <c r="AX16" i="1"/>
  <c r="AW16" i="1"/>
  <c r="AV16" i="1"/>
  <c r="AU16" i="1"/>
  <c r="AT16" i="1"/>
  <c r="AS16" i="1"/>
  <c r="AR16" i="1"/>
  <c r="AL16" i="1"/>
  <c r="AK16" i="1"/>
  <c r="AJ16" i="1"/>
  <c r="AI16" i="1"/>
  <c r="AH16" i="1"/>
  <c r="AG16" i="1"/>
  <c r="AE16" i="1"/>
  <c r="AD16" i="1"/>
  <c r="AC16" i="1"/>
  <c r="AB16" i="1"/>
  <c r="AA16" i="1"/>
  <c r="Z16" i="1"/>
  <c r="X16" i="1"/>
  <c r="T16" i="1"/>
  <c r="S16" i="1"/>
  <c r="Q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L15" i="1"/>
  <c r="AK15" i="1"/>
  <c r="AJ15" i="1"/>
  <c r="AI15" i="1"/>
  <c r="AH15" i="1"/>
  <c r="AE15" i="1"/>
  <c r="AD15" i="1"/>
  <c r="AC15" i="1"/>
  <c r="AB15" i="1"/>
  <c r="AA15" i="1"/>
  <c r="Z15" i="1"/>
  <c r="X15" i="1"/>
  <c r="N15" i="1"/>
  <c r="M15" i="1"/>
  <c r="L15" i="1"/>
  <c r="K15" i="1"/>
  <c r="J15" i="1"/>
  <c r="H15" i="1"/>
  <c r="G15" i="1"/>
  <c r="F15" i="1"/>
  <c r="E15" i="1"/>
  <c r="D15" i="1"/>
  <c r="C15" i="1"/>
  <c r="B15" i="1"/>
  <c r="A15" i="1"/>
  <c r="BG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L14" i="1"/>
  <c r="AK14" i="1"/>
  <c r="AJ14" i="1"/>
  <c r="AI14" i="1"/>
  <c r="AH14" i="1"/>
  <c r="AF14" i="1"/>
  <c r="AE14" i="1"/>
  <c r="AD14" i="1"/>
  <c r="AC14" i="1"/>
  <c r="AB14" i="1"/>
  <c r="AA14" i="1"/>
  <c r="Z14" i="1"/>
  <c r="X14" i="1"/>
  <c r="S14" i="1"/>
  <c r="O14" i="1"/>
  <c r="N14" i="1"/>
  <c r="M14" i="1"/>
  <c r="L14" i="1"/>
  <c r="K14" i="1"/>
  <c r="J14" i="1"/>
  <c r="I14" i="1"/>
  <c r="H14" i="1"/>
  <c r="G14" i="1"/>
  <c r="F14" i="1"/>
  <c r="D14" i="1"/>
  <c r="C14" i="1"/>
  <c r="B14" i="1"/>
  <c r="A14" i="1"/>
  <c r="BH13" i="1"/>
  <c r="BD13" i="1"/>
  <c r="BC13" i="1"/>
  <c r="BB13" i="1"/>
  <c r="BA13" i="1"/>
  <c r="AZ13" i="1"/>
  <c r="AY13" i="1"/>
  <c r="AX13" i="1"/>
  <c r="AW13" i="1"/>
  <c r="AV13" i="1"/>
  <c r="AU13" i="1"/>
  <c r="AS13" i="1"/>
  <c r="AR13" i="1"/>
  <c r="AL13" i="1"/>
  <c r="AK13" i="1"/>
  <c r="AJ13" i="1"/>
  <c r="AI13" i="1"/>
  <c r="AH13" i="1"/>
  <c r="AE13" i="1"/>
  <c r="AD13" i="1"/>
  <c r="AC13" i="1"/>
  <c r="AB13" i="1"/>
  <c r="AA13" i="1"/>
  <c r="Z13" i="1"/>
  <c r="X13" i="1"/>
  <c r="T13" i="1"/>
  <c r="N13" i="1"/>
  <c r="M13" i="1"/>
  <c r="L13" i="1"/>
  <c r="K13" i="1"/>
  <c r="J13" i="1"/>
  <c r="I13" i="1"/>
  <c r="H13" i="1"/>
  <c r="G13" i="1"/>
  <c r="E13" i="1"/>
  <c r="D13" i="1"/>
  <c r="C13" i="1"/>
  <c r="A13" i="1"/>
  <c r="BF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L12" i="1"/>
  <c r="AK12" i="1"/>
  <c r="AJ12" i="1"/>
  <c r="AI12" i="1"/>
  <c r="AH12" i="1"/>
  <c r="AE12" i="1"/>
  <c r="AD12" i="1"/>
  <c r="AC12" i="1"/>
  <c r="AB12" i="1"/>
  <c r="AA12" i="1"/>
  <c r="Z12" i="1"/>
  <c r="X12" i="1"/>
  <c r="S12" i="1"/>
  <c r="R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L11" i="1"/>
  <c r="AK11" i="1"/>
  <c r="AJ11" i="1"/>
  <c r="AI11" i="1"/>
  <c r="AH11" i="1"/>
  <c r="AE11" i="1"/>
  <c r="AD11" i="1"/>
  <c r="AC11" i="1"/>
  <c r="AB11" i="1"/>
  <c r="AA11" i="1"/>
  <c r="Z11" i="1"/>
  <c r="X11" i="1"/>
  <c r="S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L10" i="1"/>
  <c r="AK10" i="1"/>
  <c r="AJ10" i="1"/>
  <c r="AI10" i="1"/>
  <c r="AH10" i="1"/>
  <c r="AE10" i="1"/>
  <c r="AD10" i="1"/>
  <c r="AC10" i="1"/>
  <c r="AB10" i="1"/>
  <c r="AA10" i="1"/>
  <c r="Z10" i="1"/>
  <c r="X10" i="1"/>
  <c r="Q10" i="1"/>
  <c r="N10" i="1"/>
  <c r="M10" i="1"/>
  <c r="K10" i="1"/>
  <c r="J10" i="1"/>
  <c r="I10" i="1"/>
  <c r="H10" i="1"/>
  <c r="G10" i="1"/>
  <c r="F10" i="1"/>
  <c r="E10" i="1"/>
  <c r="D10" i="1"/>
  <c r="C10" i="1"/>
  <c r="B10" i="1"/>
  <c r="A10" i="1"/>
  <c r="BJ9" i="1"/>
  <c r="BG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X9" i="1"/>
  <c r="S9" i="1"/>
  <c r="Q9" i="1"/>
  <c r="O9" i="1"/>
  <c r="N9" i="1"/>
  <c r="M9" i="1"/>
  <c r="K9" i="1"/>
  <c r="J9" i="1"/>
  <c r="I9" i="1"/>
  <c r="H9" i="1"/>
  <c r="G9" i="1"/>
  <c r="F9" i="1"/>
  <c r="E9" i="1"/>
  <c r="D9" i="1"/>
  <c r="C9" i="1"/>
  <c r="B9" i="1"/>
  <c r="A9" i="1"/>
  <c r="AG92" i="3" l="1"/>
  <c r="T92" i="3"/>
  <c r="T92" i="1" s="1"/>
  <c r="AF92" i="3"/>
  <c r="AC92" i="1"/>
  <c r="AG62" i="3"/>
  <c r="AG62" i="1" s="1"/>
  <c r="AK62" i="1"/>
  <c r="AH63" i="2"/>
  <c r="BE45" i="3"/>
  <c r="BE45" i="1" s="1"/>
  <c r="Q45" i="1"/>
  <c r="V14" i="3"/>
  <c r="V14" i="1" s="1"/>
  <c r="BJ14" i="3"/>
  <c r="BJ14" i="1" s="1"/>
  <c r="BF28" i="3"/>
  <c r="BF28" i="1" s="1"/>
  <c r="F28" i="4"/>
  <c r="F27" i="4"/>
  <c r="BE17" i="3"/>
  <c r="BE17" i="1" s="1"/>
  <c r="AG25" i="3"/>
  <c r="AG25" i="1" s="1"/>
  <c r="AF25" i="3"/>
  <c r="AF25" i="1" s="1"/>
  <c r="BH46" i="3"/>
  <c r="BH46" i="1" s="1"/>
  <c r="T46" i="3"/>
  <c r="T46" i="1" s="1"/>
  <c r="O16" i="3"/>
  <c r="S44" i="3"/>
  <c r="S44" i="1" s="1"/>
  <c r="BG44" i="3"/>
  <c r="BG44" i="1" s="1"/>
  <c r="O44" i="3"/>
  <c r="R44" i="3"/>
  <c r="R44" i="1" s="1"/>
  <c r="L44" i="1"/>
  <c r="Q17" i="3"/>
  <c r="BF22" i="3"/>
  <c r="BF22" i="1" s="1"/>
  <c r="AG24" i="3"/>
  <c r="AG24" i="1" s="1"/>
  <c r="S35" i="3"/>
  <c r="S35" i="1" s="1"/>
  <c r="BG35" i="3"/>
  <c r="BG35" i="1" s="1"/>
  <c r="O35" i="3"/>
  <c r="BH208" i="3"/>
  <c r="BH16" i="2" s="1"/>
  <c r="P208" i="3"/>
  <c r="T208" i="3"/>
  <c r="T16" i="2" s="1"/>
  <c r="N16" i="2"/>
  <c r="X106" i="1"/>
  <c r="F22" i="4"/>
  <c r="F21" i="4"/>
  <c r="Q14" i="3"/>
  <c r="BE14" i="3"/>
  <c r="BE14" i="1" s="1"/>
  <c r="S31" i="3"/>
  <c r="S31" i="1" s="1"/>
  <c r="V91" i="3"/>
  <c r="V91" i="1" s="1"/>
  <c r="P91" i="1"/>
  <c r="T32" i="3"/>
  <c r="T32" i="1" s="1"/>
  <c r="P32" i="3"/>
  <c r="BH32" i="3"/>
  <c r="BH32" i="1" s="1"/>
  <c r="AF20" i="3"/>
  <c r="AG20" i="3"/>
  <c r="AG20" i="1" s="1"/>
  <c r="AF22" i="3"/>
  <c r="AF22" i="1" s="1"/>
  <c r="AG19" i="3"/>
  <c r="AG19" i="1" s="1"/>
  <c r="AF19" i="3"/>
  <c r="AF19" i="1" s="1"/>
  <c r="U21" i="3"/>
  <c r="U21" i="1" s="1"/>
  <c r="BF31" i="3"/>
  <c r="BF31" i="1" s="1"/>
  <c r="T43" i="3"/>
  <c r="T43" i="1" s="1"/>
  <c r="BH43" i="3"/>
  <c r="BH43" i="1" s="1"/>
  <c r="P43" i="3"/>
  <c r="U72" i="3"/>
  <c r="U72" i="1" s="1"/>
  <c r="O72" i="1"/>
  <c r="P14" i="1"/>
  <c r="AA25" i="1"/>
  <c r="D49" i="1"/>
  <c r="AG15" i="3"/>
  <c r="AG15" i="1" s="1"/>
  <c r="AF15" i="3"/>
  <c r="BF54" i="3"/>
  <c r="BF54" i="1" s="1"/>
  <c r="V58" i="3"/>
  <c r="V58" i="1" s="1"/>
  <c r="BJ58" i="3"/>
  <c r="BJ58" i="1" s="1"/>
  <c r="AG14" i="1"/>
  <c r="D42" i="1"/>
  <c r="F48" i="4"/>
  <c r="F47" i="4"/>
  <c r="Q27" i="3"/>
  <c r="BE27" i="3"/>
  <c r="BE27" i="1" s="1"/>
  <c r="P70" i="3"/>
  <c r="AG70" i="1"/>
  <c r="BF9" i="3"/>
  <c r="BF9" i="1" s="1"/>
  <c r="R9" i="3"/>
  <c r="R9" i="1" s="1"/>
  <c r="L9" i="1"/>
  <c r="BH12" i="3"/>
  <c r="BH12" i="1" s="1"/>
  <c r="BH54" i="3"/>
  <c r="BH54" i="1" s="1"/>
  <c r="T54" i="1"/>
  <c r="BG212" i="3"/>
  <c r="BG20" i="2" s="1"/>
  <c r="D20" i="2"/>
  <c r="U9" i="1"/>
  <c r="BI9" i="3"/>
  <c r="BI9" i="1" s="1"/>
  <c r="BF26" i="3"/>
  <c r="BF26" i="1" s="1"/>
  <c r="U57" i="3"/>
  <c r="U57" i="1" s="1"/>
  <c r="BI57" i="3"/>
  <c r="BI57" i="1" s="1"/>
  <c r="T9" i="3"/>
  <c r="T9" i="1" s="1"/>
  <c r="BH9" i="3"/>
  <c r="BH9" i="1" s="1"/>
  <c r="R10" i="3"/>
  <c r="BF10" i="3"/>
  <c r="BF10" i="1" s="1"/>
  <c r="T67" i="3"/>
  <c r="T67" i="1" s="1"/>
  <c r="P67" i="3"/>
  <c r="N67" i="1"/>
  <c r="BH67" i="3"/>
  <c r="BH67" i="1" s="1"/>
  <c r="BE24" i="3"/>
  <c r="BE24" i="1" s="1"/>
  <c r="U52" i="3"/>
  <c r="U52" i="1" s="1"/>
  <c r="BI52" i="3"/>
  <c r="BI52" i="1" s="1"/>
  <c r="K17" i="1"/>
  <c r="BE9" i="3"/>
  <c r="BE9" i="1" s="1"/>
  <c r="BG52" i="3"/>
  <c r="BG52" i="1" s="1"/>
  <c r="S52" i="1"/>
  <c r="S63" i="3"/>
  <c r="D63" i="1"/>
  <c r="F136" i="4"/>
  <c r="F135" i="4"/>
  <c r="Q65" i="3"/>
  <c r="BE65" i="3" s="1"/>
  <c r="BE65" i="1" s="1"/>
  <c r="Q140" i="3"/>
  <c r="BE140" i="3"/>
  <c r="BH63" i="3"/>
  <c r="BH63" i="1" s="1"/>
  <c r="V9" i="3"/>
  <c r="V9" i="1" s="1"/>
  <c r="R38" i="3"/>
  <c r="R38" i="1" s="1"/>
  <c r="U117" i="3"/>
  <c r="BI117" i="3" s="1"/>
  <c r="F84" i="4"/>
  <c r="F85" i="4"/>
  <c r="F83" i="4"/>
  <c r="Q44" i="3"/>
  <c r="BE44" i="3"/>
  <c r="BE44" i="1" s="1"/>
  <c r="P9" i="1"/>
  <c r="AF62" i="3"/>
  <c r="AF62" i="1" s="1"/>
  <c r="AJ62" i="1"/>
  <c r="BJ117" i="3"/>
  <c r="V117" i="3"/>
  <c r="BF37" i="3"/>
  <c r="BF37" i="1" s="1"/>
  <c r="S38" i="3"/>
  <c r="S38" i="1" s="1"/>
  <c r="BG38" i="3"/>
  <c r="BG38" i="1" s="1"/>
  <c r="F82" i="4"/>
  <c r="F81" i="4"/>
  <c r="Q43" i="3"/>
  <c r="BE43" i="3"/>
  <c r="BE43" i="1" s="1"/>
  <c r="AG56" i="3"/>
  <c r="AF56" i="3"/>
  <c r="AF56" i="1" s="1"/>
  <c r="AG29" i="3"/>
  <c r="AG29" i="1" s="1"/>
  <c r="AF29" i="3"/>
  <c r="AF29" i="1" s="1"/>
  <c r="S50" i="3"/>
  <c r="S50" i="1" s="1"/>
  <c r="BG50" i="3"/>
  <c r="BG50" i="1" s="1"/>
  <c r="AG51" i="3"/>
  <c r="AF51" i="3"/>
  <c r="AF51" i="1" s="1"/>
  <c r="P10" i="3"/>
  <c r="T10" i="3"/>
  <c r="T10" i="1" s="1"/>
  <c r="R13" i="3"/>
  <c r="R13" i="1" s="1"/>
  <c r="BF13" i="3"/>
  <c r="BF13" i="1" s="1"/>
  <c r="T17" i="3"/>
  <c r="T17" i="1" s="1"/>
  <c r="P17" i="3"/>
  <c r="BH17" i="3"/>
  <c r="BH17" i="1" s="1"/>
  <c r="BE23" i="3"/>
  <c r="BE23" i="1" s="1"/>
  <c r="AF27" i="3"/>
  <c r="AF27" i="1" s="1"/>
  <c r="T37" i="3"/>
  <c r="T37" i="1" s="1"/>
  <c r="P38" i="3"/>
  <c r="T50" i="3"/>
  <c r="T50" i="1" s="1"/>
  <c r="BH50" i="3"/>
  <c r="BH50" i="1" s="1"/>
  <c r="P50" i="3"/>
  <c r="AF69" i="3"/>
  <c r="AF69" i="1" s="1"/>
  <c r="T103" i="3"/>
  <c r="T103" i="1" s="1"/>
  <c r="T112" i="3"/>
  <c r="BH112" i="3"/>
  <c r="B59" i="1"/>
  <c r="Q59" i="3"/>
  <c r="BE59" i="3" s="1"/>
  <c r="BE59" i="1" s="1"/>
  <c r="V65" i="3"/>
  <c r="V65" i="1" s="1"/>
  <c r="BJ65" i="3"/>
  <c r="BJ65" i="1" s="1"/>
  <c r="BJ69" i="3"/>
  <c r="BJ69" i="1" s="1"/>
  <c r="V69" i="3"/>
  <c r="V69" i="1" s="1"/>
  <c r="F189" i="4"/>
  <c r="F188" i="4"/>
  <c r="F190" i="4"/>
  <c r="Q86" i="3"/>
  <c r="BE86" i="3" s="1"/>
  <c r="BE86" i="1" s="1"/>
  <c r="K86" i="1"/>
  <c r="Q99" i="1"/>
  <c r="V112" i="3"/>
  <c r="BJ112" i="3" s="1"/>
  <c r="BK33" i="3"/>
  <c r="BK33" i="1" s="1"/>
  <c r="R36" i="3"/>
  <c r="R36" i="1" s="1"/>
  <c r="BF36" i="3"/>
  <c r="BF36" i="1" s="1"/>
  <c r="R84" i="3"/>
  <c r="BF84" i="3"/>
  <c r="BF84" i="1" s="1"/>
  <c r="L84" i="1"/>
  <c r="BE190" i="3"/>
  <c r="V30" i="3"/>
  <c r="V30" i="1" s="1"/>
  <c r="BJ30" i="3"/>
  <c r="BJ30" i="1" s="1"/>
  <c r="F80" i="4"/>
  <c r="F79" i="4"/>
  <c r="Q42" i="3"/>
  <c r="BE42" i="3"/>
  <c r="BE42" i="1" s="1"/>
  <c r="U100" i="3"/>
  <c r="U100" i="1" s="1"/>
  <c r="BI100" i="3"/>
  <c r="BI100" i="1" s="1"/>
  <c r="S163" i="3"/>
  <c r="BG163" i="3" s="1"/>
  <c r="O163" i="3"/>
  <c r="T86" i="3"/>
  <c r="T86" i="1" s="1"/>
  <c r="P86" i="3"/>
  <c r="BH86" i="3"/>
  <c r="BH86" i="1" s="1"/>
  <c r="O104" i="3"/>
  <c r="AF104" i="1"/>
  <c r="AG154" i="3"/>
  <c r="P154" i="3" s="1"/>
  <c r="AF154" i="3"/>
  <c r="O154" i="3" s="1"/>
  <c r="BF158" i="3"/>
  <c r="S42" i="3"/>
  <c r="S42" i="1" s="1"/>
  <c r="V45" i="3"/>
  <c r="V45" i="1" s="1"/>
  <c r="BJ45" i="3"/>
  <c r="BJ45" i="1" s="1"/>
  <c r="R28" i="3"/>
  <c r="R28" i="1" s="1"/>
  <c r="F122" i="4"/>
  <c r="F121" i="4"/>
  <c r="BE58" i="3"/>
  <c r="BE58" i="1" s="1"/>
  <c r="R62" i="3"/>
  <c r="R62" i="1" s="1"/>
  <c r="U65" i="3"/>
  <c r="U65" i="1" s="1"/>
  <c r="BI65" i="3"/>
  <c r="BI65" i="1" s="1"/>
  <c r="U101" i="3"/>
  <c r="U101" i="1" s="1"/>
  <c r="BI101" i="3"/>
  <c r="BI101" i="1" s="1"/>
  <c r="V142" i="3"/>
  <c r="BJ142" i="3"/>
  <c r="BF154" i="3"/>
  <c r="V155" i="3"/>
  <c r="BJ155" i="3"/>
  <c r="U14" i="3"/>
  <c r="U14" i="1" s="1"/>
  <c r="BI14" i="3"/>
  <c r="BI14" i="1" s="1"/>
  <c r="BH14" i="3"/>
  <c r="BH14" i="1" s="1"/>
  <c r="BH18" i="3"/>
  <c r="BH18" i="1" s="1"/>
  <c r="T18" i="3"/>
  <c r="T18" i="1" s="1"/>
  <c r="W33" i="3"/>
  <c r="AG47" i="3"/>
  <c r="AF47" i="3"/>
  <c r="R58" i="3"/>
  <c r="R58" i="1" s="1"/>
  <c r="AF75" i="3"/>
  <c r="AG75" i="3"/>
  <c r="AG75" i="1" s="1"/>
  <c r="F172" i="4"/>
  <c r="F173" i="4"/>
  <c r="F171" i="4"/>
  <c r="Q79" i="3"/>
  <c r="BE79" i="3"/>
  <c r="BE79" i="1" s="1"/>
  <c r="K79" i="1"/>
  <c r="BI82" i="3"/>
  <c r="BI82" i="1" s="1"/>
  <c r="U82" i="3"/>
  <c r="U82" i="1" s="1"/>
  <c r="BE149" i="3"/>
  <c r="BF27" i="3"/>
  <c r="BF27" i="1" s="1"/>
  <c r="BH38" i="3"/>
  <c r="BH38" i="1" s="1"/>
  <c r="R79" i="3"/>
  <c r="R79" i="1" s="1"/>
  <c r="S93" i="3"/>
  <c r="S93" i="1" s="1"/>
  <c r="BG93" i="3"/>
  <c r="BG93" i="1" s="1"/>
  <c r="O93" i="3"/>
  <c r="AF99" i="3"/>
  <c r="AG99" i="3"/>
  <c r="BH10" i="3"/>
  <c r="BH10" i="1" s="1"/>
  <c r="BG79" i="3"/>
  <c r="BG79" i="1" s="1"/>
  <c r="O79" i="3"/>
  <c r="S108" i="3"/>
  <c r="BG108" i="3" s="1"/>
  <c r="T11" i="3"/>
  <c r="T11" i="1" s="1"/>
  <c r="AF11" i="3"/>
  <c r="BG11" i="3"/>
  <c r="BG11" i="1" s="1"/>
  <c r="BF23" i="3"/>
  <c r="BF23" i="1" s="1"/>
  <c r="U36" i="3"/>
  <c r="U36" i="1" s="1"/>
  <c r="BI36" i="3"/>
  <c r="BI36" i="1" s="1"/>
  <c r="AF38" i="3"/>
  <c r="AF38" i="1" s="1"/>
  <c r="O58" i="3"/>
  <c r="T79" i="3"/>
  <c r="T79" i="1" s="1"/>
  <c r="BH79" i="3"/>
  <c r="BH79" i="1" s="1"/>
  <c r="F274" i="4"/>
  <c r="F275" i="4"/>
  <c r="BE119" i="3"/>
  <c r="Q119" i="3"/>
  <c r="BF145" i="3"/>
  <c r="AG148" i="3"/>
  <c r="P148" i="3" s="1"/>
  <c r="AF148" i="3"/>
  <c r="O148" i="3" s="1"/>
  <c r="AF149" i="3"/>
  <c r="S23" i="3"/>
  <c r="S23" i="1" s="1"/>
  <c r="BG23" i="3"/>
  <c r="BG23" i="1" s="1"/>
  <c r="F105" i="4"/>
  <c r="F107" i="4"/>
  <c r="F106" i="4"/>
  <c r="Q52" i="3"/>
  <c r="BE52" i="3" s="1"/>
  <c r="BE52" i="1" s="1"/>
  <c r="R53" i="3"/>
  <c r="R53" i="1" s="1"/>
  <c r="F200" i="4"/>
  <c r="F202" i="4"/>
  <c r="F201" i="4"/>
  <c r="Q91" i="3"/>
  <c r="F41" i="4"/>
  <c r="F42" i="4"/>
  <c r="Q24" i="3"/>
  <c r="S53" i="3"/>
  <c r="S53" i="1" s="1"/>
  <c r="BI63" i="3"/>
  <c r="BI63" i="1" s="1"/>
  <c r="U63" i="3"/>
  <c r="U63" i="1" s="1"/>
  <c r="C87" i="1"/>
  <c r="R87" i="3"/>
  <c r="R87" i="1" s="1"/>
  <c r="S119" i="3"/>
  <c r="BG119" i="3" s="1"/>
  <c r="Q13" i="3"/>
  <c r="BE13" i="3"/>
  <c r="BE13" i="1" s="1"/>
  <c r="B13" i="1"/>
  <c r="Q47" i="1"/>
  <c r="E61" i="1"/>
  <c r="BF39" i="3"/>
  <c r="BF39" i="1" s="1"/>
  <c r="R39" i="3"/>
  <c r="R39" i="1" s="1"/>
  <c r="T53" i="3"/>
  <c r="T53" i="1" s="1"/>
  <c r="P53" i="3"/>
  <c r="BH53" i="3"/>
  <c r="BH53" i="1" s="1"/>
  <c r="T57" i="3"/>
  <c r="T57" i="1" s="1"/>
  <c r="BH57" i="3"/>
  <c r="BH57" i="1" s="1"/>
  <c r="C75" i="1"/>
  <c r="R75" i="3"/>
  <c r="BF75" i="3" s="1"/>
  <c r="BF75" i="1" s="1"/>
  <c r="S24" i="3"/>
  <c r="O24" i="3"/>
  <c r="F46" i="4"/>
  <c r="F45" i="4"/>
  <c r="Q26" i="3"/>
  <c r="BE26" i="3" s="1"/>
  <c r="BE26" i="1" s="1"/>
  <c r="S46" i="3"/>
  <c r="O46" i="3"/>
  <c r="BH52" i="3"/>
  <c r="BH52" i="1" s="1"/>
  <c r="T52" i="3"/>
  <c r="T52" i="1" s="1"/>
  <c r="P52" i="3"/>
  <c r="N52" i="1"/>
  <c r="BF66" i="3"/>
  <c r="BF66" i="1" s="1"/>
  <c r="L66" i="1"/>
  <c r="R74" i="3"/>
  <c r="R74" i="1" s="1"/>
  <c r="C74" i="1"/>
  <c r="F166" i="4"/>
  <c r="F165" i="4"/>
  <c r="F167" i="4"/>
  <c r="Q77" i="3"/>
  <c r="BE77" i="3"/>
  <c r="BE77" i="1" s="1"/>
  <c r="O119" i="3"/>
  <c r="BG12" i="3"/>
  <c r="BG12" i="1" s="1"/>
  <c r="P23" i="3"/>
  <c r="F67" i="4"/>
  <c r="F66" i="4"/>
  <c r="F65" i="4"/>
  <c r="Q36" i="3"/>
  <c r="BE36" i="3"/>
  <c r="BE36" i="1" s="1"/>
  <c r="F69" i="4"/>
  <c r="F68" i="4"/>
  <c r="Q37" i="3"/>
  <c r="BE37" i="3"/>
  <c r="BE37" i="1" s="1"/>
  <c r="F71" i="4"/>
  <c r="F70" i="4"/>
  <c r="Q38" i="3"/>
  <c r="S51" i="3"/>
  <c r="S51" i="1" s="1"/>
  <c r="BG51" i="3"/>
  <c r="BG51" i="1" s="1"/>
  <c r="O51" i="3"/>
  <c r="R52" i="3"/>
  <c r="R52" i="1" s="1"/>
  <c r="F108" i="4"/>
  <c r="F110" i="4"/>
  <c r="F109" i="4"/>
  <c r="Q53" i="3"/>
  <c r="S56" i="3"/>
  <c r="S56" i="1" s="1"/>
  <c r="T58" i="3"/>
  <c r="T58" i="1" s="1"/>
  <c r="F187" i="4"/>
  <c r="F186" i="4"/>
  <c r="BE85" i="3"/>
  <c r="BE85" i="1" s="1"/>
  <c r="U97" i="3"/>
  <c r="U97" i="1" s="1"/>
  <c r="BI97" i="3"/>
  <c r="BI97" i="1" s="1"/>
  <c r="F261" i="4"/>
  <c r="F260" i="4"/>
  <c r="Q113" i="3"/>
  <c r="BE113" i="3" s="1"/>
  <c r="T250" i="3"/>
  <c r="P250" i="3"/>
  <c r="BH252" i="3"/>
  <c r="BH60" i="2" s="1"/>
  <c r="P252" i="3"/>
  <c r="N60" i="2"/>
  <c r="T252" i="3"/>
  <c r="T60" i="2" s="1"/>
  <c r="S10" i="3"/>
  <c r="S10" i="1" s="1"/>
  <c r="BF19" i="3"/>
  <c r="BF19" i="1" s="1"/>
  <c r="T23" i="3"/>
  <c r="T23" i="1" s="1"/>
  <c r="R27" i="3"/>
  <c r="R27" i="1" s="1"/>
  <c r="BG30" i="3"/>
  <c r="BG30" i="1" s="1"/>
  <c r="R42" i="3"/>
  <c r="R42" i="1" s="1"/>
  <c r="S47" i="3"/>
  <c r="BG47" i="3"/>
  <c r="BG47" i="1" s="1"/>
  <c r="BF47" i="3"/>
  <c r="BF47" i="1" s="1"/>
  <c r="R57" i="3"/>
  <c r="R57" i="1" s="1"/>
  <c r="F130" i="4"/>
  <c r="F129" i="4"/>
  <c r="Q62" i="3"/>
  <c r="BE62" i="3"/>
  <c r="BE62" i="1" s="1"/>
  <c r="S65" i="3"/>
  <c r="S65" i="1" s="1"/>
  <c r="T66" i="3"/>
  <c r="T66" i="1" s="1"/>
  <c r="P66" i="3"/>
  <c r="S67" i="3"/>
  <c r="S67" i="1" s="1"/>
  <c r="BG67" i="3"/>
  <c r="BG67" i="1" s="1"/>
  <c r="F151" i="4"/>
  <c r="F150" i="4"/>
  <c r="F152" i="4"/>
  <c r="BE72" i="3"/>
  <c r="BE72" i="1" s="1"/>
  <c r="Q72" i="3"/>
  <c r="F182" i="4"/>
  <c r="F181" i="4"/>
  <c r="Q83" i="3"/>
  <c r="BE83" i="3"/>
  <c r="BE83" i="1" s="1"/>
  <c r="V85" i="3"/>
  <c r="V85" i="1" s="1"/>
  <c r="BJ85" i="3"/>
  <c r="BJ85" i="1" s="1"/>
  <c r="V139" i="3"/>
  <c r="BJ139" i="3" s="1"/>
  <c r="R191" i="3"/>
  <c r="BF191" i="3"/>
  <c r="S13" i="3"/>
  <c r="S13" i="1" s="1"/>
  <c r="R18" i="3"/>
  <c r="BF18" i="3" s="1"/>
  <c r="BF18" i="1" s="1"/>
  <c r="T27" i="3"/>
  <c r="T27" i="1" s="1"/>
  <c r="BH27" i="3"/>
  <c r="BH27" i="1" s="1"/>
  <c r="P27" i="3"/>
  <c r="BF69" i="3"/>
  <c r="BF69" i="1" s="1"/>
  <c r="R69" i="3"/>
  <c r="R69" i="1" s="1"/>
  <c r="BF70" i="3"/>
  <c r="BF70" i="1" s="1"/>
  <c r="T75" i="3"/>
  <c r="T75" i="1" s="1"/>
  <c r="BH75" i="3"/>
  <c r="BH75" i="1" s="1"/>
  <c r="P75" i="3"/>
  <c r="V77" i="3"/>
  <c r="V77" i="1" s="1"/>
  <c r="BJ77" i="3"/>
  <c r="BJ77" i="1" s="1"/>
  <c r="S83" i="3"/>
  <c r="S83" i="1" s="1"/>
  <c r="BG83" i="3"/>
  <c r="BG83" i="1" s="1"/>
  <c r="S107" i="3"/>
  <c r="BG107" i="3"/>
  <c r="AG110" i="3"/>
  <c r="P110" i="3" s="1"/>
  <c r="AF110" i="3"/>
  <c r="AG189" i="3"/>
  <c r="P189" i="3" s="1"/>
  <c r="AF189" i="3"/>
  <c r="AG18" i="3"/>
  <c r="AG18" i="1" s="1"/>
  <c r="AF18" i="3"/>
  <c r="F33" i="4"/>
  <c r="F34" i="4"/>
  <c r="Q20" i="3"/>
  <c r="BE20" i="3"/>
  <c r="BE20" i="1" s="1"/>
  <c r="BJ39" i="3"/>
  <c r="BJ39" i="1" s="1"/>
  <c r="AG11" i="3"/>
  <c r="R15" i="3"/>
  <c r="R15" i="1" s="1"/>
  <c r="R20" i="3"/>
  <c r="R20" i="1" s="1"/>
  <c r="BF20" i="3"/>
  <c r="BF20" i="1" s="1"/>
  <c r="F54" i="4"/>
  <c r="F53" i="4"/>
  <c r="AG36" i="3"/>
  <c r="AG40" i="3"/>
  <c r="AG40" i="1" s="1"/>
  <c r="AF40" i="3"/>
  <c r="T64" i="3"/>
  <c r="T64" i="1" s="1"/>
  <c r="BE67" i="3"/>
  <c r="BE67" i="1" s="1"/>
  <c r="BH70" i="3"/>
  <c r="BH70" i="1" s="1"/>
  <c r="O107" i="3"/>
  <c r="AG109" i="3"/>
  <c r="P109" i="3" s="1"/>
  <c r="AF109" i="3"/>
  <c r="S187" i="3"/>
  <c r="BG187" i="3"/>
  <c r="O187" i="3"/>
  <c r="BF11" i="3"/>
  <c r="BF11" i="1" s="1"/>
  <c r="BG15" i="3"/>
  <c r="BG15" i="1" s="1"/>
  <c r="BF29" i="3"/>
  <c r="BF29" i="1" s="1"/>
  <c r="AG37" i="3"/>
  <c r="AG37" i="1" s="1"/>
  <c r="AF37" i="3"/>
  <c r="BG39" i="3"/>
  <c r="BG39" i="1" s="1"/>
  <c r="U43" i="3"/>
  <c r="U43" i="1" s="1"/>
  <c r="V55" i="3"/>
  <c r="V55" i="1" s="1"/>
  <c r="BG56" i="3"/>
  <c r="BG56" i="1" s="1"/>
  <c r="Q92" i="3"/>
  <c r="V107" i="3"/>
  <c r="BJ107" i="3"/>
  <c r="AG12" i="3"/>
  <c r="AG12" i="1" s="1"/>
  <c r="T15" i="3"/>
  <c r="T15" i="1" s="1"/>
  <c r="BH15" i="3"/>
  <c r="BH15" i="1" s="1"/>
  <c r="F26" i="4"/>
  <c r="F25" i="4"/>
  <c r="BH20" i="3"/>
  <c r="BH20" i="1" s="1"/>
  <c r="F35" i="4"/>
  <c r="F36" i="4"/>
  <c r="Q21" i="3"/>
  <c r="BE21" i="3"/>
  <c r="BE21" i="1" s="1"/>
  <c r="S25" i="3"/>
  <c r="S25" i="1" s="1"/>
  <c r="AF26" i="3"/>
  <c r="AF26" i="1" s="1"/>
  <c r="AG26" i="3"/>
  <c r="S29" i="3"/>
  <c r="S29" i="1" s="1"/>
  <c r="O29" i="3"/>
  <c r="AG35" i="3"/>
  <c r="AF35" i="3"/>
  <c r="AF35" i="1" s="1"/>
  <c r="O71" i="3"/>
  <c r="R92" i="3"/>
  <c r="R92" i="1" s="1"/>
  <c r="R121" i="3"/>
  <c r="BF121" i="3" s="1"/>
  <c r="U126" i="3"/>
  <c r="BI126" i="3" s="1"/>
  <c r="F299" i="4"/>
  <c r="F298" i="4"/>
  <c r="BE130" i="3"/>
  <c r="Q130" i="3"/>
  <c r="BE12" i="3"/>
  <c r="BE12" i="1" s="1"/>
  <c r="R16" i="3"/>
  <c r="T25" i="3"/>
  <c r="BH30" i="3"/>
  <c r="BH30" i="1" s="1"/>
  <c r="BF33" i="3"/>
  <c r="BF33" i="1" s="1"/>
  <c r="O39" i="3"/>
  <c r="AF50" i="3"/>
  <c r="AF50" i="1" s="1"/>
  <c r="AF55" i="3"/>
  <c r="T55" i="3"/>
  <c r="T55" i="1" s="1"/>
  <c r="S121" i="3"/>
  <c r="BG121" i="3"/>
  <c r="U122" i="3"/>
  <c r="W122" i="3" s="1"/>
  <c r="Y122" i="3" s="1"/>
  <c r="O25" i="3"/>
  <c r="P29" i="3"/>
  <c r="O30" i="3"/>
  <c r="BE32" i="3"/>
  <c r="BE32" i="1" s="1"/>
  <c r="BF43" i="3"/>
  <c r="BF43" i="1" s="1"/>
  <c r="BE53" i="3"/>
  <c r="BE53" i="1" s="1"/>
  <c r="Q55" i="3"/>
  <c r="BF103" i="3"/>
  <c r="BF103" i="1" s="1"/>
  <c r="V122" i="3"/>
  <c r="BJ122" i="3"/>
  <c r="S130" i="3"/>
  <c r="BG130" i="3" s="1"/>
  <c r="S15" i="3"/>
  <c r="S15" i="1" s="1"/>
  <c r="T21" i="3"/>
  <c r="T21" i="1" s="1"/>
  <c r="BH21" i="3"/>
  <c r="BH21" i="1" s="1"/>
  <c r="P21" i="3"/>
  <c r="F37" i="4"/>
  <c r="F38" i="4"/>
  <c r="Q22" i="3"/>
  <c r="BE22" i="3" s="1"/>
  <c r="BE22" i="1" s="1"/>
  <c r="P25" i="3"/>
  <c r="T29" i="3"/>
  <c r="T29" i="1" s="1"/>
  <c r="BE38" i="3"/>
  <c r="BE38" i="1" s="1"/>
  <c r="BF49" i="3"/>
  <c r="BF49" i="1" s="1"/>
  <c r="R50" i="3"/>
  <c r="AG64" i="3"/>
  <c r="AG64" i="1" s="1"/>
  <c r="AF64" i="3"/>
  <c r="AF64" i="1" s="1"/>
  <c r="R100" i="3"/>
  <c r="R100" i="1" s="1"/>
  <c r="BF100" i="3"/>
  <c r="BF100" i="1" s="1"/>
  <c r="BG103" i="3"/>
  <c r="BG103" i="1" s="1"/>
  <c r="U155" i="3"/>
  <c r="BI155" i="3"/>
  <c r="X106" i="2"/>
  <c r="AF12" i="3"/>
  <c r="AF12" i="1" s="1"/>
  <c r="P16" i="3"/>
  <c r="R21" i="3"/>
  <c r="R21" i="1" s="1"/>
  <c r="S22" i="3"/>
  <c r="S22" i="1" s="1"/>
  <c r="O22" i="3"/>
  <c r="AF23" i="3"/>
  <c r="AF23" i="1" s="1"/>
  <c r="T39" i="3"/>
  <c r="AF53" i="3"/>
  <c r="AF53" i="1" s="1"/>
  <c r="AG57" i="3"/>
  <c r="AG57" i="1" s="1"/>
  <c r="BH78" i="3"/>
  <c r="BH78" i="1" s="1"/>
  <c r="AF86" i="3"/>
  <c r="BH89" i="3"/>
  <c r="BH89" i="1" s="1"/>
  <c r="T100" i="3"/>
  <c r="T100" i="1" s="1"/>
  <c r="P100" i="3"/>
  <c r="BH100" i="3"/>
  <c r="BH100" i="1" s="1"/>
  <c r="R103" i="3"/>
  <c r="R103" i="1" s="1"/>
  <c r="V243" i="3"/>
  <c r="V51" i="2" s="1"/>
  <c r="BJ243" i="3"/>
  <c r="BJ51" i="2" s="1"/>
  <c r="AF178" i="3"/>
  <c r="AG178" i="3"/>
  <c r="AF94" i="3"/>
  <c r="AF94" i="1" s="1"/>
  <c r="AG111" i="3"/>
  <c r="P111" i="3" s="1"/>
  <c r="AF123" i="3"/>
  <c r="O123" i="3" s="1"/>
  <c r="AG123" i="3"/>
  <c r="F291" i="4"/>
  <c r="F290" i="4"/>
  <c r="Q127" i="3"/>
  <c r="BE127" i="3"/>
  <c r="AF147" i="3"/>
  <c r="AG147" i="3"/>
  <c r="P147" i="3" s="1"/>
  <c r="AF249" i="3"/>
  <c r="AG249" i="3"/>
  <c r="BJ307" i="3"/>
  <c r="V307" i="3"/>
  <c r="R14" i="3"/>
  <c r="R14" i="1" s="1"/>
  <c r="BF15" i="3"/>
  <c r="BF15" i="1" s="1"/>
  <c r="BG19" i="3"/>
  <c r="BG19" i="1" s="1"/>
  <c r="T22" i="3"/>
  <c r="T22" i="1" s="1"/>
  <c r="P22" i="3"/>
  <c r="BH24" i="3"/>
  <c r="BH24" i="1" s="1"/>
  <c r="AF31" i="3"/>
  <c r="AF31" i="1" s="1"/>
  <c r="BH31" i="3"/>
  <c r="BH31" i="1" s="1"/>
  <c r="BF34" i="3"/>
  <c r="BF34" i="1" s="1"/>
  <c r="BH35" i="3"/>
  <c r="BH35" i="1" s="1"/>
  <c r="BH42" i="3"/>
  <c r="BH42" i="1" s="1"/>
  <c r="T44" i="3"/>
  <c r="T44" i="1" s="1"/>
  <c r="BH44" i="3"/>
  <c r="BH44" i="1" s="1"/>
  <c r="P44" i="3"/>
  <c r="S62" i="3"/>
  <c r="S62" i="1" s="1"/>
  <c r="O62" i="3"/>
  <c r="F194" i="4"/>
  <c r="F195" i="4"/>
  <c r="BE88" i="3"/>
  <c r="BE88" i="1" s="1"/>
  <c r="Q88" i="3"/>
  <c r="BG91" i="3"/>
  <c r="BG91" i="1" s="1"/>
  <c r="S91" i="3"/>
  <c r="S91" i="1" s="1"/>
  <c r="AG94" i="3"/>
  <c r="BI113" i="3"/>
  <c r="BE114" i="3"/>
  <c r="Q138" i="3"/>
  <c r="BE138" i="3"/>
  <c r="Q149" i="3"/>
  <c r="S172" i="3"/>
  <c r="BG172" i="3"/>
  <c r="R175" i="3"/>
  <c r="BF175" i="3"/>
  <c r="BH19" i="3"/>
  <c r="BH19" i="1" s="1"/>
  <c r="F56" i="4"/>
  <c r="F55" i="4"/>
  <c r="S34" i="3"/>
  <c r="S34" i="1" s="1"/>
  <c r="O34" i="3"/>
  <c r="S36" i="3"/>
  <c r="S36" i="1" s="1"/>
  <c r="AG54" i="3"/>
  <c r="BH59" i="3"/>
  <c r="BH59" i="1" s="1"/>
  <c r="U60" i="3"/>
  <c r="F128" i="4"/>
  <c r="F127" i="4"/>
  <c r="Q61" i="3"/>
  <c r="BE61" i="3"/>
  <c r="BE61" i="1" s="1"/>
  <c r="T62" i="3"/>
  <c r="P62" i="3"/>
  <c r="T69" i="3"/>
  <c r="AG76" i="3"/>
  <c r="AG76" i="1" s="1"/>
  <c r="AF78" i="3"/>
  <c r="BF88" i="3"/>
  <c r="BF88" i="1" s="1"/>
  <c r="R88" i="3"/>
  <c r="R88" i="1" s="1"/>
  <c r="R138" i="3"/>
  <c r="BF138" i="3"/>
  <c r="AG146" i="3"/>
  <c r="P146" i="3" s="1"/>
  <c r="AF146" i="3"/>
  <c r="O146" i="3" s="1"/>
  <c r="BH172" i="3"/>
  <c r="T172" i="3"/>
  <c r="T174" i="3"/>
  <c r="BH174" i="3" s="1"/>
  <c r="P174" i="3"/>
  <c r="F518" i="4"/>
  <c r="F519" i="4"/>
  <c r="Q218" i="3"/>
  <c r="BE218" i="3"/>
  <c r="BE26" i="2" s="1"/>
  <c r="O237" i="3"/>
  <c r="S237" i="3"/>
  <c r="S45" i="2" s="1"/>
  <c r="F10" i="4"/>
  <c r="F9" i="4"/>
  <c r="T14" i="3"/>
  <c r="T14" i="1" s="1"/>
  <c r="AF17" i="3"/>
  <c r="F49" i="4"/>
  <c r="F50" i="4"/>
  <c r="BH33" i="3"/>
  <c r="BH33" i="1" s="1"/>
  <c r="BH34" i="3"/>
  <c r="BH34" i="1" s="1"/>
  <c r="F86" i="4"/>
  <c r="F87" i="4"/>
  <c r="F88" i="4"/>
  <c r="BE73" i="3"/>
  <c r="BE73" i="1" s="1"/>
  <c r="BJ84" i="3"/>
  <c r="BJ84" i="1" s="1"/>
  <c r="AG106" i="3"/>
  <c r="P106" i="3" s="1"/>
  <c r="AF106" i="3"/>
  <c r="O106" i="3" s="1"/>
  <c r="S149" i="3"/>
  <c r="BG149" i="3" s="1"/>
  <c r="BI174" i="3"/>
  <c r="U174" i="3"/>
  <c r="AG46" i="3"/>
  <c r="BF55" i="3"/>
  <c r="BF55" i="1" s="1"/>
  <c r="S61" i="3"/>
  <c r="S61" i="1" s="1"/>
  <c r="BH68" i="3"/>
  <c r="BH68" i="1" s="1"/>
  <c r="BG70" i="3"/>
  <c r="BG70" i="1" s="1"/>
  <c r="S76" i="3"/>
  <c r="S76" i="1" s="1"/>
  <c r="BG76" i="3"/>
  <c r="BG76" i="1" s="1"/>
  <c r="BG78" i="3"/>
  <c r="BG78" i="1" s="1"/>
  <c r="S82" i="3"/>
  <c r="S82" i="1" s="1"/>
  <c r="BG82" i="3"/>
  <c r="BG82" i="1" s="1"/>
  <c r="V108" i="3"/>
  <c r="BJ108" i="3"/>
  <c r="BH111" i="3"/>
  <c r="S28" i="3"/>
  <c r="S28" i="1" s="1"/>
  <c r="O28" i="3"/>
  <c r="AG41" i="3"/>
  <c r="AG41" i="1" s="1"/>
  <c r="AF41" i="3"/>
  <c r="AF41" i="1" s="1"/>
  <c r="BG63" i="3"/>
  <c r="BG63" i="1" s="1"/>
  <c r="S64" i="3"/>
  <c r="S64" i="1" s="1"/>
  <c r="P68" i="3"/>
  <c r="S74" i="3"/>
  <c r="S74" i="1" s="1"/>
  <c r="O74" i="3"/>
  <c r="BH80" i="3"/>
  <c r="BH80" i="1" s="1"/>
  <c r="V95" i="3"/>
  <c r="V95" i="1" s="1"/>
  <c r="BF104" i="3"/>
  <c r="BF104" i="1" s="1"/>
  <c r="T110" i="3"/>
  <c r="BH110" i="3" s="1"/>
  <c r="U213" i="3"/>
  <c r="U21" i="2" s="1"/>
  <c r="V228" i="3"/>
  <c r="V36" i="2" s="1"/>
  <c r="F24" i="4"/>
  <c r="F23" i="4"/>
  <c r="Q15" i="3"/>
  <c r="T28" i="3"/>
  <c r="T28" i="1" s="1"/>
  <c r="P28" i="3"/>
  <c r="F98" i="4"/>
  <c r="F100" i="4"/>
  <c r="F99" i="4"/>
  <c r="Q49" i="3"/>
  <c r="BE49" i="3"/>
  <c r="BE49" i="1" s="1"/>
  <c r="BH55" i="3"/>
  <c r="BH55" i="1" s="1"/>
  <c r="Q78" i="3"/>
  <c r="BE92" i="3"/>
  <c r="BE92" i="1" s="1"/>
  <c r="R102" i="3"/>
  <c r="BF102" i="3"/>
  <c r="BF102" i="1" s="1"/>
  <c r="U166" i="3"/>
  <c r="BI166" i="3" s="1"/>
  <c r="T195" i="3"/>
  <c r="R195" i="3"/>
  <c r="BF200" i="3"/>
  <c r="R200" i="3"/>
  <c r="V201" i="3"/>
  <c r="V9" i="2" s="1"/>
  <c r="BJ201" i="3"/>
  <c r="BJ9" i="2" s="1"/>
  <c r="W228" i="3"/>
  <c r="AG13" i="3"/>
  <c r="F39" i="4"/>
  <c r="F40" i="4"/>
  <c r="F51" i="4"/>
  <c r="F52" i="4"/>
  <c r="P31" i="3"/>
  <c r="F73" i="4"/>
  <c r="F72" i="4"/>
  <c r="AF42" i="3"/>
  <c r="O45" i="3"/>
  <c r="R49" i="3"/>
  <c r="R49" i="1" s="1"/>
  <c r="F103" i="4"/>
  <c r="F104" i="4"/>
  <c r="AF71" i="3"/>
  <c r="AF71" i="1" s="1"/>
  <c r="AG71" i="3"/>
  <c r="AG71" i="1" s="1"/>
  <c r="AF76" i="3"/>
  <c r="S77" i="3"/>
  <c r="S77" i="1" s="1"/>
  <c r="AG78" i="3"/>
  <c r="AG78" i="1" s="1"/>
  <c r="F207" i="4"/>
  <c r="F206" i="4"/>
  <c r="Q93" i="3"/>
  <c r="BE93" i="3"/>
  <c r="BE93" i="1" s="1"/>
  <c r="BH108" i="3"/>
  <c r="T108" i="3"/>
  <c r="Q123" i="3"/>
  <c r="S144" i="3"/>
  <c r="BG144" i="3"/>
  <c r="V196" i="3"/>
  <c r="BJ196" i="3" s="1"/>
  <c r="S209" i="3"/>
  <c r="S17" i="2" s="1"/>
  <c r="R29" i="3"/>
  <c r="R29" i="1" s="1"/>
  <c r="AG32" i="3"/>
  <c r="AG32" i="1" s="1"/>
  <c r="R35" i="3"/>
  <c r="BF35" i="3" s="1"/>
  <c r="BF35" i="1" s="1"/>
  <c r="BG49" i="3"/>
  <c r="BG49" i="1" s="1"/>
  <c r="R51" i="3"/>
  <c r="R51" i="1" s="1"/>
  <c r="F138" i="4"/>
  <c r="F137" i="4"/>
  <c r="Q66" i="3"/>
  <c r="BG75" i="3"/>
  <c r="BG75" i="1" s="1"/>
  <c r="AG90" i="3"/>
  <c r="AF90" i="3"/>
  <c r="AF90" i="1" s="1"/>
  <c r="F218" i="4"/>
  <c r="F217" i="4"/>
  <c r="Q97" i="3"/>
  <c r="R98" i="3"/>
  <c r="U102" i="3"/>
  <c r="U102" i="1" s="1"/>
  <c r="T135" i="3"/>
  <c r="BH135" i="3" s="1"/>
  <c r="P135" i="3"/>
  <c r="U144" i="3"/>
  <c r="BI144" i="3" s="1"/>
  <c r="BI194" i="3"/>
  <c r="S208" i="3"/>
  <c r="S16" i="2" s="1"/>
  <c r="BG208" i="3"/>
  <c r="BG16" i="2" s="1"/>
  <c r="R56" i="3"/>
  <c r="R56" i="1" s="1"/>
  <c r="BF56" i="3"/>
  <c r="BF56" i="1" s="1"/>
  <c r="F119" i="4"/>
  <c r="F120" i="4"/>
  <c r="Q57" i="3"/>
  <c r="AG61" i="3"/>
  <c r="AG61" i="1" s="1"/>
  <c r="AF61" i="3"/>
  <c r="R65" i="3"/>
  <c r="R65" i="1" s="1"/>
  <c r="AG87" i="3"/>
  <c r="AF87" i="3"/>
  <c r="R90" i="3"/>
  <c r="R90" i="1" s="1"/>
  <c r="BH93" i="3"/>
  <c r="BH93" i="1" s="1"/>
  <c r="T132" i="3"/>
  <c r="BH132" i="3" s="1"/>
  <c r="U208" i="3"/>
  <c r="U16" i="2" s="1"/>
  <c r="BJ211" i="3"/>
  <c r="BJ19" i="2" s="1"/>
  <c r="V211" i="3"/>
  <c r="V19" i="2" s="1"/>
  <c r="BG71" i="3"/>
  <c r="BG71" i="1" s="1"/>
  <c r="AG73" i="3"/>
  <c r="AG73" i="1" s="1"/>
  <c r="AF73" i="3"/>
  <c r="AG79" i="3"/>
  <c r="AG79" i="1" s="1"/>
  <c r="BH166" i="3"/>
  <c r="V191" i="3"/>
  <c r="BJ191" i="3" s="1"/>
  <c r="R207" i="3"/>
  <c r="R15" i="2" s="1"/>
  <c r="BF207" i="3"/>
  <c r="BF15" i="2" s="1"/>
  <c r="AF13" i="3"/>
  <c r="AF13" i="1" s="1"/>
  <c r="S20" i="3"/>
  <c r="Q29" i="3"/>
  <c r="AG34" i="3"/>
  <c r="AG34" i="1" s="1"/>
  <c r="T36" i="3"/>
  <c r="T36" i="1" s="1"/>
  <c r="AG42" i="3"/>
  <c r="AG42" i="1" s="1"/>
  <c r="S43" i="3"/>
  <c r="Q51" i="3"/>
  <c r="BE51" i="3" s="1"/>
  <c r="BE51" i="1" s="1"/>
  <c r="T56" i="3"/>
  <c r="T56" i="1" s="1"/>
  <c r="S57" i="3"/>
  <c r="S57" i="1" s="1"/>
  <c r="T65" i="3"/>
  <c r="T65" i="1" s="1"/>
  <c r="O66" i="3"/>
  <c r="F140" i="4"/>
  <c r="F139" i="4"/>
  <c r="T72" i="3"/>
  <c r="V80" i="3"/>
  <c r="V80" i="1" s="1"/>
  <c r="S81" i="3"/>
  <c r="P93" i="3"/>
  <c r="F225" i="4"/>
  <c r="F227" i="4"/>
  <c r="F226" i="4"/>
  <c r="BE100" i="3"/>
  <c r="BE100" i="1" s="1"/>
  <c r="BG112" i="3"/>
  <c r="O112" i="3"/>
  <c r="F278" i="4"/>
  <c r="F279" i="4"/>
  <c r="Q121" i="3"/>
  <c r="BE121" i="3"/>
  <c r="AG163" i="3"/>
  <c r="P163" i="3" s="1"/>
  <c r="BJ164" i="3"/>
  <c r="V164" i="3"/>
  <c r="F102" i="4"/>
  <c r="F101" i="4"/>
  <c r="BG72" i="3"/>
  <c r="BG72" i="1" s="1"/>
  <c r="F158" i="4"/>
  <c r="F156" i="4"/>
  <c r="F157" i="4"/>
  <c r="Q74" i="3"/>
  <c r="F178" i="4"/>
  <c r="F177" i="4"/>
  <c r="F176" i="4"/>
  <c r="Q81" i="3"/>
  <c r="R86" i="3"/>
  <c r="T113" i="3"/>
  <c r="BH113" i="3" s="1"/>
  <c r="P113" i="3"/>
  <c r="T127" i="3"/>
  <c r="BH127" i="3" s="1"/>
  <c r="P127" i="3"/>
  <c r="BH131" i="3"/>
  <c r="T131" i="3"/>
  <c r="R146" i="3"/>
  <c r="BF146" i="3"/>
  <c r="S162" i="3"/>
  <c r="O162" i="3"/>
  <c r="BG162" i="3"/>
  <c r="F434" i="4"/>
  <c r="F433" i="4"/>
  <c r="F432" i="4"/>
  <c r="Q185" i="3"/>
  <c r="T194" i="3"/>
  <c r="BH194" i="3"/>
  <c r="F19" i="4"/>
  <c r="F18" i="4"/>
  <c r="F20" i="4"/>
  <c r="F64" i="4"/>
  <c r="F63" i="4"/>
  <c r="F117" i="4"/>
  <c r="F118" i="4"/>
  <c r="F116" i="4"/>
  <c r="AG60" i="3"/>
  <c r="F144" i="4"/>
  <c r="F143" i="4"/>
  <c r="F145" i="4"/>
  <c r="Q69" i="3"/>
  <c r="BI80" i="3"/>
  <c r="BI80" i="1" s="1"/>
  <c r="BF81" i="3"/>
  <c r="BF81" i="1" s="1"/>
  <c r="F185" i="4"/>
  <c r="F183" i="4"/>
  <c r="F184" i="4"/>
  <c r="O94" i="3"/>
  <c r="S97" i="3"/>
  <c r="S97" i="1" s="1"/>
  <c r="BG97" i="3"/>
  <c r="BG97" i="1" s="1"/>
  <c r="BF99" i="3"/>
  <c r="BF99" i="1" s="1"/>
  <c r="BF101" i="3"/>
  <c r="BF101" i="1" s="1"/>
  <c r="R104" i="3"/>
  <c r="R104" i="1" s="1"/>
  <c r="BJ114" i="3"/>
  <c r="V162" i="3"/>
  <c r="BJ162" i="3"/>
  <c r="S189" i="3"/>
  <c r="BG189" i="3" s="1"/>
  <c r="Q189" i="3"/>
  <c r="BE189" i="3" s="1"/>
  <c r="R126" i="3"/>
  <c r="BF126" i="3"/>
  <c r="W137" i="3"/>
  <c r="Y137" i="3" s="1"/>
  <c r="F330" i="4"/>
  <c r="F329" i="4"/>
  <c r="BE143" i="3"/>
  <c r="BH146" i="3"/>
  <c r="T146" i="3"/>
  <c r="BF171" i="3"/>
  <c r="R171" i="3"/>
  <c r="BI173" i="3"/>
  <c r="U173" i="3"/>
  <c r="S186" i="3"/>
  <c r="O186" i="3"/>
  <c r="BG186" i="3"/>
  <c r="AG190" i="3"/>
  <c r="P190" i="3" s="1"/>
  <c r="V206" i="3"/>
  <c r="V14" i="2" s="1"/>
  <c r="BJ206" i="3"/>
  <c r="BJ14" i="2" s="1"/>
  <c r="BF61" i="3"/>
  <c r="BF61" i="1" s="1"/>
  <c r="F134" i="4"/>
  <c r="F133" i="4"/>
  <c r="BE64" i="3"/>
  <c r="BE64" i="1" s="1"/>
  <c r="S69" i="3"/>
  <c r="F162" i="4"/>
  <c r="F164" i="4"/>
  <c r="F163" i="4"/>
  <c r="T104" i="3"/>
  <c r="T104" i="1" s="1"/>
  <c r="O109" i="3"/>
  <c r="AF116" i="3"/>
  <c r="BI120" i="3"/>
  <c r="AF121" i="3"/>
  <c r="O121" i="3" s="1"/>
  <c r="AG121" i="3"/>
  <c r="P121" i="3" s="1"/>
  <c r="F286" i="4"/>
  <c r="F287" i="4"/>
  <c r="Q125" i="3"/>
  <c r="BE125" i="3"/>
  <c r="BH188" i="3"/>
  <c r="BG198" i="3"/>
  <c r="F733" i="4"/>
  <c r="F732" i="4"/>
  <c r="Q304" i="3"/>
  <c r="BE304" i="3" s="1"/>
  <c r="V305" i="3"/>
  <c r="BJ305" i="3"/>
  <c r="F15" i="4"/>
  <c r="F17" i="4"/>
  <c r="F16" i="4"/>
  <c r="F62" i="4"/>
  <c r="F61" i="4"/>
  <c r="BF64" i="3"/>
  <c r="BF64" i="1" s="1"/>
  <c r="BF71" i="3"/>
  <c r="BF71" i="1" s="1"/>
  <c r="BF76" i="3"/>
  <c r="BF76" i="1" s="1"/>
  <c r="BE76" i="3"/>
  <c r="BE76" i="1" s="1"/>
  <c r="S94" i="3"/>
  <c r="BG98" i="3"/>
  <c r="BG98" i="1" s="1"/>
  <c r="S98" i="3"/>
  <c r="S98" i="1" s="1"/>
  <c r="AG116" i="3"/>
  <c r="P116" i="3" s="1"/>
  <c r="R123" i="3"/>
  <c r="BF123" i="3" s="1"/>
  <c r="T126" i="3"/>
  <c r="BH126" i="3"/>
  <c r="P126" i="3"/>
  <c r="F332" i="4"/>
  <c r="F333" i="4"/>
  <c r="F331" i="4"/>
  <c r="Q144" i="3"/>
  <c r="F390" i="4"/>
  <c r="F391" i="4"/>
  <c r="F389" i="4"/>
  <c r="Q169" i="3"/>
  <c r="BE169" i="3"/>
  <c r="U170" i="3"/>
  <c r="BK170" i="3" s="1"/>
  <c r="F32" i="4"/>
  <c r="F31" i="4"/>
  <c r="F78" i="4"/>
  <c r="F77" i="4"/>
  <c r="AF48" i="3"/>
  <c r="AF48" i="1" s="1"/>
  <c r="AF59" i="3"/>
  <c r="BH61" i="3"/>
  <c r="BH61" i="1" s="1"/>
  <c r="BG64" i="3"/>
  <c r="BG64" i="1" s="1"/>
  <c r="O69" i="3"/>
  <c r="F149" i="4"/>
  <c r="F148" i="4"/>
  <c r="BE71" i="3"/>
  <c r="BE71" i="1" s="1"/>
  <c r="S72" i="3"/>
  <c r="S72" i="1" s="1"/>
  <c r="P74" i="3"/>
  <c r="F211" i="4"/>
  <c r="F213" i="4"/>
  <c r="F212" i="4"/>
  <c r="BE95" i="3"/>
  <c r="BE95" i="1" s="1"/>
  <c r="P98" i="3"/>
  <c r="P101" i="3"/>
  <c r="AF111" i="3"/>
  <c r="O111" i="3" s="1"/>
  <c r="S123" i="3"/>
  <c r="BG123" i="3" s="1"/>
  <c r="F284" i="4"/>
  <c r="F285" i="4"/>
  <c r="BE124" i="3"/>
  <c r="Q124" i="3"/>
  <c r="BI128" i="3"/>
  <c r="BH140" i="3"/>
  <c r="P140" i="3"/>
  <c r="T140" i="3"/>
  <c r="U167" i="3"/>
  <c r="BI167" i="3" s="1"/>
  <c r="F388" i="4"/>
  <c r="F387" i="4"/>
  <c r="Q168" i="3"/>
  <c r="BE168" i="3" s="1"/>
  <c r="T283" i="3"/>
  <c r="T91" i="2" s="1"/>
  <c r="F97" i="4"/>
  <c r="F96" i="4"/>
  <c r="F95" i="4"/>
  <c r="Q50" i="3"/>
  <c r="BH64" i="3"/>
  <c r="BH64" i="1" s="1"/>
  <c r="BH76" i="3"/>
  <c r="BH76" i="1" s="1"/>
  <c r="P89" i="3"/>
  <c r="BF95" i="3"/>
  <c r="BF95" i="1" s="1"/>
  <c r="P105" i="3"/>
  <c r="T105" i="3"/>
  <c r="P123" i="3"/>
  <c r="Q143" i="3"/>
  <c r="U159" i="3"/>
  <c r="BI159" i="3"/>
  <c r="S169" i="3"/>
  <c r="BG169" i="3" s="1"/>
  <c r="BE171" i="3"/>
  <c r="V200" i="3"/>
  <c r="BJ200" i="3" s="1"/>
  <c r="S233" i="3"/>
  <c r="S41" i="2" s="1"/>
  <c r="BG233" i="3"/>
  <c r="BG41" i="2" s="1"/>
  <c r="O233" i="3"/>
  <c r="F13" i="4"/>
  <c r="F14" i="4"/>
  <c r="BE19" i="3"/>
  <c r="BE19" i="1" s="1"/>
  <c r="P20" i="3"/>
  <c r="F60" i="4"/>
  <c r="F59" i="4"/>
  <c r="BE41" i="3"/>
  <c r="BE41" i="1" s="1"/>
  <c r="P42" i="3"/>
  <c r="O49" i="3"/>
  <c r="F113" i="4"/>
  <c r="F115" i="4"/>
  <c r="F114" i="4"/>
  <c r="BE55" i="3"/>
  <c r="BE55" i="1" s="1"/>
  <c r="Q56" i="3"/>
  <c r="F168" i="4"/>
  <c r="F170" i="4"/>
  <c r="F169" i="4"/>
  <c r="O89" i="3"/>
  <c r="F204" i="4"/>
  <c r="F203" i="4"/>
  <c r="F205" i="4"/>
  <c r="AF108" i="3"/>
  <c r="O108" i="3" s="1"/>
  <c r="S109" i="3"/>
  <c r="BG109" i="3" s="1"/>
  <c r="BH150" i="3"/>
  <c r="T169" i="3"/>
  <c r="BH169" i="3" s="1"/>
  <c r="F30" i="4"/>
  <c r="F29" i="4"/>
  <c r="F76" i="4"/>
  <c r="F75" i="4"/>
  <c r="F74" i="4"/>
  <c r="BF41" i="3"/>
  <c r="BF41" i="1" s="1"/>
  <c r="BE48" i="3"/>
  <c r="BE48" i="1" s="1"/>
  <c r="P49" i="3"/>
  <c r="BH49" i="3"/>
  <c r="BH49" i="1" s="1"/>
  <c r="R61" i="3"/>
  <c r="R61" i="1" s="1"/>
  <c r="P64" i="3"/>
  <c r="AF67" i="3"/>
  <c r="AF68" i="3"/>
  <c r="AF68" i="1" s="1"/>
  <c r="T71" i="3"/>
  <c r="T71" i="1" s="1"/>
  <c r="P76" i="3"/>
  <c r="R78" i="3"/>
  <c r="R78" i="1" s="1"/>
  <c r="R83" i="3"/>
  <c r="R83" i="1" s="1"/>
  <c r="AF83" i="3"/>
  <c r="AF83" i="1" s="1"/>
  <c r="S89" i="3"/>
  <c r="S89" i="1" s="1"/>
  <c r="AF91" i="3"/>
  <c r="AF91" i="1" s="1"/>
  <c r="Q96" i="3"/>
  <c r="BE96" i="3" s="1"/>
  <c r="BE96" i="1" s="1"/>
  <c r="T98" i="3"/>
  <c r="T101" i="3"/>
  <c r="T101" i="1" s="1"/>
  <c r="F241" i="4"/>
  <c r="F242" i="4"/>
  <c r="BE106" i="3"/>
  <c r="F251" i="4"/>
  <c r="F252" i="4"/>
  <c r="F253" i="4"/>
  <c r="Q110" i="3"/>
  <c r="AG120" i="3"/>
  <c r="P120" i="3" s="1"/>
  <c r="T123" i="3"/>
  <c r="BH123" i="3" s="1"/>
  <c r="T124" i="3"/>
  <c r="BH124" i="3"/>
  <c r="AG133" i="3"/>
  <c r="P133" i="3" s="1"/>
  <c r="AF133" i="3"/>
  <c r="O133" i="3" s="1"/>
  <c r="AF135" i="3"/>
  <c r="O135" i="3" s="1"/>
  <c r="AG140" i="3"/>
  <c r="AF140" i="3"/>
  <c r="P150" i="3"/>
  <c r="R157" i="3"/>
  <c r="BF157" i="3"/>
  <c r="Q216" i="3"/>
  <c r="AF10" i="3"/>
  <c r="AF10" i="1" s="1"/>
  <c r="BE11" i="3"/>
  <c r="BE11" i="1" s="1"/>
  <c r="P12" i="3"/>
  <c r="O19" i="3"/>
  <c r="F44" i="4"/>
  <c r="F43" i="4"/>
  <c r="AF32" i="3"/>
  <c r="BE33" i="3"/>
  <c r="BE33" i="1" s="1"/>
  <c r="P34" i="3"/>
  <c r="O41" i="3"/>
  <c r="F94" i="4"/>
  <c r="F93" i="4"/>
  <c r="F92" i="4"/>
  <c r="F131" i="4"/>
  <c r="F132" i="4"/>
  <c r="Q64" i="3"/>
  <c r="AF70" i="3"/>
  <c r="AF70" i="1" s="1"/>
  <c r="Q76" i="3"/>
  <c r="S78" i="3"/>
  <c r="S78" i="1" s="1"/>
  <c r="F180" i="4"/>
  <c r="F179" i="4"/>
  <c r="BE82" i="3"/>
  <c r="BE82" i="1" s="1"/>
  <c r="AG88" i="3"/>
  <c r="T89" i="3"/>
  <c r="T89" i="1" s="1"/>
  <c r="F199" i="4"/>
  <c r="F198" i="4"/>
  <c r="Q90" i="3"/>
  <c r="AG97" i="3"/>
  <c r="F224" i="4"/>
  <c r="F223" i="4"/>
  <c r="F222" i="4"/>
  <c r="BG118" i="3"/>
  <c r="P124" i="3"/>
  <c r="V151" i="3"/>
  <c r="BJ151" i="3" s="1"/>
  <c r="V221" i="3"/>
  <c r="V29" i="2" s="1"/>
  <c r="BJ221" i="3"/>
  <c r="BJ29" i="2" s="1"/>
  <c r="F11" i="4"/>
  <c r="F12" i="4"/>
  <c r="Q12" i="3"/>
  <c r="BE18" i="3"/>
  <c r="BE18" i="1" s="1"/>
  <c r="P19" i="3"/>
  <c r="F57" i="4"/>
  <c r="F58" i="4"/>
  <c r="Q34" i="3"/>
  <c r="BE40" i="3"/>
  <c r="BE40" i="1" s="1"/>
  <c r="P41" i="3"/>
  <c r="O48" i="3"/>
  <c r="F112" i="4"/>
  <c r="F111" i="4"/>
  <c r="AG59" i="3"/>
  <c r="F141" i="4"/>
  <c r="F142" i="4"/>
  <c r="P71" i="3"/>
  <c r="F155" i="4"/>
  <c r="F154" i="4"/>
  <c r="F153" i="4"/>
  <c r="F159" i="4"/>
  <c r="F161" i="4"/>
  <c r="F160" i="4"/>
  <c r="R76" i="3"/>
  <c r="R76" i="1" s="1"/>
  <c r="BH87" i="3"/>
  <c r="BH87" i="1" s="1"/>
  <c r="AF127" i="3"/>
  <c r="V128" i="3"/>
  <c r="BJ128" i="3" s="1"/>
  <c r="R129" i="3"/>
  <c r="BF129" i="3"/>
  <c r="BE133" i="3"/>
  <c r="V134" i="3"/>
  <c r="BJ134" i="3" s="1"/>
  <c r="AG141" i="3"/>
  <c r="P141" i="3" s="1"/>
  <c r="AF141" i="3"/>
  <c r="O141" i="3" s="1"/>
  <c r="V143" i="3"/>
  <c r="T150" i="3"/>
  <c r="BJ156" i="3"/>
  <c r="F419" i="4"/>
  <c r="F418" i="4"/>
  <c r="BE179" i="3"/>
  <c r="AF184" i="3"/>
  <c r="O184" i="3" s="1"/>
  <c r="F478" i="4"/>
  <c r="F477" i="4"/>
  <c r="F476" i="4"/>
  <c r="Q201" i="3"/>
  <c r="BE201" i="3" s="1"/>
  <c r="BE9" i="2" s="1"/>
  <c r="T223" i="3"/>
  <c r="T31" i="2" s="1"/>
  <c r="BH223" i="3"/>
  <c r="BH31" i="2" s="1"/>
  <c r="F124" i="4"/>
  <c r="F123" i="4"/>
  <c r="BF68" i="3"/>
  <c r="BF68" i="1" s="1"/>
  <c r="R73" i="3"/>
  <c r="BF73" i="3"/>
  <c r="BF73" i="1" s="1"/>
  <c r="AF77" i="3"/>
  <c r="BG80" i="3"/>
  <c r="BG80" i="1" s="1"/>
  <c r="BG90" i="3"/>
  <c r="BG90" i="1" s="1"/>
  <c r="S90" i="3"/>
  <c r="S90" i="1" s="1"/>
  <c r="AF98" i="3"/>
  <c r="T106" i="3"/>
  <c r="V132" i="3"/>
  <c r="BJ132" i="3" s="1"/>
  <c r="AG212" i="3"/>
  <c r="F89" i="4"/>
  <c r="F90" i="4"/>
  <c r="F91" i="4"/>
  <c r="Q48" i="3"/>
  <c r="T63" i="3"/>
  <c r="T63" i="1" s="1"/>
  <c r="F147" i="4"/>
  <c r="F146" i="4"/>
  <c r="Q70" i="3"/>
  <c r="AG72" i="3"/>
  <c r="AF81" i="3"/>
  <c r="AF81" i="1" s="1"/>
  <c r="BH82" i="3"/>
  <c r="BH82" i="1" s="1"/>
  <c r="Q94" i="3"/>
  <c r="BE94" i="3" s="1"/>
  <c r="BE94" i="1" s="1"/>
  <c r="R95" i="3"/>
  <c r="W102" i="3"/>
  <c r="F243" i="4"/>
  <c r="F245" i="4"/>
  <c r="F244" i="4"/>
  <c r="Q107" i="3"/>
  <c r="R133" i="3"/>
  <c r="BF133" i="3" s="1"/>
  <c r="BG184" i="3"/>
  <c r="S184" i="3"/>
  <c r="BI197" i="3"/>
  <c r="U197" i="3"/>
  <c r="BG256" i="3"/>
  <c r="BG64" i="2" s="1"/>
  <c r="AF142" i="3"/>
  <c r="O142" i="3" s="1"/>
  <c r="O143" i="3"/>
  <c r="AF150" i="3"/>
  <c r="O150" i="3" s="1"/>
  <c r="BG152" i="3"/>
  <c r="S152" i="3"/>
  <c r="AG157" i="3"/>
  <c r="AF157" i="3"/>
  <c r="O157" i="3" s="1"/>
  <c r="BF160" i="3"/>
  <c r="R160" i="3"/>
  <c r="BH171" i="3"/>
  <c r="O178" i="3"/>
  <c r="F420" i="4"/>
  <c r="F421" i="4"/>
  <c r="Q180" i="3"/>
  <c r="AG188" i="3"/>
  <c r="P188" i="3" s="1"/>
  <c r="V213" i="3"/>
  <c r="V21" i="2" s="1"/>
  <c r="BJ213" i="3"/>
  <c r="BJ21" i="2" s="1"/>
  <c r="BE237" i="3"/>
  <c r="BE45" i="2" s="1"/>
  <c r="BH378" i="3"/>
  <c r="BF119" i="3"/>
  <c r="R119" i="3"/>
  <c r="F289" i="4"/>
  <c r="F288" i="4"/>
  <c r="Q126" i="3"/>
  <c r="BE126" i="3"/>
  <c r="R127" i="3"/>
  <c r="AF134" i="3"/>
  <c r="O134" i="3" s="1"/>
  <c r="BE141" i="3"/>
  <c r="BG145" i="3"/>
  <c r="S145" i="3"/>
  <c r="S148" i="3"/>
  <c r="BG148" i="3" s="1"/>
  <c r="S175" i="3"/>
  <c r="BG175" i="3" s="1"/>
  <c r="AF183" i="3"/>
  <c r="AG183" i="3"/>
  <c r="BJ187" i="3"/>
  <c r="BI200" i="3"/>
  <c r="T201" i="3"/>
  <c r="T9" i="2" s="1"/>
  <c r="BH201" i="3"/>
  <c r="BH9" i="2" s="1"/>
  <c r="T219" i="3"/>
  <c r="T27" i="2" s="1"/>
  <c r="BH219" i="3"/>
  <c r="BH27" i="2" s="1"/>
  <c r="R233" i="3"/>
  <c r="R41" i="2" s="1"/>
  <c r="T305" i="3"/>
  <c r="BH305" i="3" s="1"/>
  <c r="BH165" i="3"/>
  <c r="T165" i="3"/>
  <c r="Q188" i="3"/>
  <c r="BE188" i="3"/>
  <c r="T211" i="3"/>
  <c r="T19" i="2" s="1"/>
  <c r="BH211" i="3"/>
  <c r="BH19" i="2" s="1"/>
  <c r="F509" i="4"/>
  <c r="F508" i="4"/>
  <c r="BE213" i="3"/>
  <c r="BE21" i="2" s="1"/>
  <c r="Q213" i="3"/>
  <c r="BJ215" i="3"/>
  <c r="BJ23" i="2" s="1"/>
  <c r="V215" i="3"/>
  <c r="V23" i="2" s="1"/>
  <c r="AG234" i="3"/>
  <c r="AF234" i="3"/>
  <c r="BJ176" i="3"/>
  <c r="V176" i="3"/>
  <c r="S207" i="3"/>
  <c r="S15" i="2" s="1"/>
  <c r="BF261" i="3"/>
  <c r="BF69" i="2" s="1"/>
  <c r="R261" i="3"/>
  <c r="R69" i="2" s="1"/>
  <c r="AG266" i="3"/>
  <c r="AF266" i="3"/>
  <c r="V267" i="3"/>
  <c r="V75" i="2" s="1"/>
  <c r="BJ267" i="3"/>
  <c r="BJ75" i="2" s="1"/>
  <c r="AG292" i="3"/>
  <c r="AF292" i="3"/>
  <c r="AF136" i="3"/>
  <c r="O136" i="3" s="1"/>
  <c r="S140" i="3"/>
  <c r="BG140" i="3" s="1"/>
  <c r="BF152" i="3"/>
  <c r="BG157" i="3"/>
  <c r="AG172" i="3"/>
  <c r="P172" i="3" s="1"/>
  <c r="AF172" i="3"/>
  <c r="O172" i="3" s="1"/>
  <c r="T187" i="3"/>
  <c r="BH187" i="3" s="1"/>
  <c r="U200" i="3"/>
  <c r="AG247" i="3"/>
  <c r="AG55" i="2" s="1"/>
  <c r="AF247" i="3"/>
  <c r="S261" i="3"/>
  <c r="S69" i="2" s="1"/>
  <c r="O261" i="3"/>
  <c r="V262" i="3"/>
  <c r="V70" i="2" s="1"/>
  <c r="V274" i="3"/>
  <c r="V82" i="2" s="1"/>
  <c r="BI277" i="3"/>
  <c r="BI85" i="2" s="1"/>
  <c r="U277" i="3"/>
  <c r="U85" i="2" s="1"/>
  <c r="F126" i="4"/>
  <c r="F125" i="4"/>
  <c r="BH81" i="3"/>
  <c r="BH81" i="1" s="1"/>
  <c r="P81" i="3"/>
  <c r="BG88" i="3"/>
  <c r="BG88" i="1" s="1"/>
  <c r="O88" i="3"/>
  <c r="BG105" i="3"/>
  <c r="BG110" i="3"/>
  <c r="O110" i="3"/>
  <c r="U129" i="3"/>
  <c r="BI129" i="3"/>
  <c r="AG136" i="3"/>
  <c r="P136" i="3" s="1"/>
  <c r="S153" i="3"/>
  <c r="BG153" i="3" s="1"/>
  <c r="O153" i="3"/>
  <c r="BG161" i="3"/>
  <c r="AF169" i="3"/>
  <c r="O169" i="3" s="1"/>
  <c r="AF182" i="3"/>
  <c r="T188" i="3"/>
  <c r="R193" i="3"/>
  <c r="BF193" i="3" s="1"/>
  <c r="AG198" i="3"/>
  <c r="AF198" i="3"/>
  <c r="O198" i="3" s="1"/>
  <c r="AG203" i="3"/>
  <c r="AG11" i="2" s="1"/>
  <c r="AF203" i="3"/>
  <c r="AG205" i="3"/>
  <c r="AG13" i="2" s="1"/>
  <c r="S242" i="3"/>
  <c r="S50" i="2" s="1"/>
  <c r="BG242" i="3"/>
  <c r="BG50" i="2" s="1"/>
  <c r="V276" i="3"/>
  <c r="V84" i="2" s="1"/>
  <c r="BJ276" i="3"/>
  <c r="BJ84" i="2" s="1"/>
  <c r="F248" i="4"/>
  <c r="F247" i="4"/>
  <c r="F246" i="4"/>
  <c r="R116" i="3"/>
  <c r="BF116" i="3"/>
  <c r="AG118" i="3"/>
  <c r="F308" i="4"/>
  <c r="F310" i="4"/>
  <c r="F309" i="4"/>
  <c r="BE134" i="3"/>
  <c r="AF143" i="3"/>
  <c r="T152" i="3"/>
  <c r="BH152" i="3" s="1"/>
  <c r="P152" i="3"/>
  <c r="BF169" i="3"/>
  <c r="AG169" i="3"/>
  <c r="P169" i="3" s="1"/>
  <c r="R181" i="3"/>
  <c r="BF181" i="3"/>
  <c r="AF207" i="3"/>
  <c r="AG233" i="3"/>
  <c r="AF233" i="3"/>
  <c r="AF41" i="2" s="1"/>
  <c r="T242" i="3"/>
  <c r="T50" i="2" s="1"/>
  <c r="BH242" i="3"/>
  <c r="BH50" i="2" s="1"/>
  <c r="R244" i="3"/>
  <c r="R52" i="2" s="1"/>
  <c r="U289" i="3"/>
  <c r="U97" i="2" s="1"/>
  <c r="BE60" i="3"/>
  <c r="BE60" i="1" s="1"/>
  <c r="F175" i="4"/>
  <c r="F174" i="4"/>
  <c r="BE80" i="3"/>
  <c r="BE80" i="1" s="1"/>
  <c r="BH83" i="3"/>
  <c r="BH83" i="1" s="1"/>
  <c r="P83" i="3"/>
  <c r="T90" i="3"/>
  <c r="T90" i="1" s="1"/>
  <c r="BF92" i="3"/>
  <c r="BF92" i="1" s="1"/>
  <c r="O105" i="3"/>
  <c r="BG106" i="3"/>
  <c r="S110" i="3"/>
  <c r="F254" i="4"/>
  <c r="F255" i="4"/>
  <c r="F256" i="4"/>
  <c r="Q111" i="3"/>
  <c r="BF114" i="3"/>
  <c r="S116" i="3"/>
  <c r="BG116" i="3" s="1"/>
  <c r="BG124" i="3"/>
  <c r="BH130" i="3"/>
  <c r="BF134" i="3"/>
  <c r="R134" i="3"/>
  <c r="F320" i="4"/>
  <c r="F321" i="4"/>
  <c r="BE139" i="3"/>
  <c r="R155" i="3"/>
  <c r="AG173" i="3"/>
  <c r="P173" i="3" s="1"/>
  <c r="BG203" i="3"/>
  <c r="BG11" i="2" s="1"/>
  <c r="F574" i="4"/>
  <c r="F573" i="4"/>
  <c r="F572" i="4"/>
  <c r="Q241" i="3"/>
  <c r="BE241" i="3"/>
  <c r="BE49" i="2" s="1"/>
  <c r="O242" i="3"/>
  <c r="O244" i="3"/>
  <c r="S244" i="3"/>
  <c r="S52" i="2" s="1"/>
  <c r="BG114" i="3"/>
  <c r="S120" i="3"/>
  <c r="BG120" i="3" s="1"/>
  <c r="U124" i="3"/>
  <c r="BI124" i="3" s="1"/>
  <c r="S134" i="3"/>
  <c r="BG134" i="3"/>
  <c r="BF139" i="3"/>
  <c r="F341" i="4"/>
  <c r="F340" i="4"/>
  <c r="F342" i="4"/>
  <c r="Q147" i="3"/>
  <c r="BE147" i="3"/>
  <c r="R148" i="3"/>
  <c r="BF148" i="3" s="1"/>
  <c r="BF228" i="3"/>
  <c r="BF36" i="2" s="1"/>
  <c r="S230" i="3"/>
  <c r="S38" i="2" s="1"/>
  <c r="BG230" i="3"/>
  <c r="BG38" i="2" s="1"/>
  <c r="R241" i="3"/>
  <c r="R49" i="2" s="1"/>
  <c r="R77" i="3"/>
  <c r="R77" i="1" s="1"/>
  <c r="AF84" i="3"/>
  <c r="AG89" i="3"/>
  <c r="AG89" i="1" s="1"/>
  <c r="BH92" i="3"/>
  <c r="BH92" i="1" s="1"/>
  <c r="T94" i="3"/>
  <c r="AF95" i="3"/>
  <c r="BF96" i="3"/>
  <c r="BF96" i="1" s="1"/>
  <c r="F229" i="4"/>
  <c r="F228" i="4"/>
  <c r="F230" i="4"/>
  <c r="Q101" i="3"/>
  <c r="R109" i="3"/>
  <c r="BF109" i="3" s="1"/>
  <c r="S111" i="3"/>
  <c r="BG111" i="3" s="1"/>
  <c r="F271" i="4"/>
  <c r="F270" i="4"/>
  <c r="BE117" i="3"/>
  <c r="Q118" i="3"/>
  <c r="BE118" i="3"/>
  <c r="T120" i="3"/>
  <c r="AF125" i="3"/>
  <c r="AG126" i="3"/>
  <c r="BH133" i="3"/>
  <c r="S138" i="3"/>
  <c r="F327" i="4"/>
  <c r="F328" i="4"/>
  <c r="Q142" i="3"/>
  <c r="BF147" i="3"/>
  <c r="R149" i="3"/>
  <c r="BF149" i="3"/>
  <c r="F348" i="4"/>
  <c r="F347" i="4"/>
  <c r="BF163" i="3"/>
  <c r="R211" i="3"/>
  <c r="R19" i="2" s="1"/>
  <c r="BF211" i="3"/>
  <c r="BF19" i="2" s="1"/>
  <c r="BH230" i="3"/>
  <c r="BH38" i="2" s="1"/>
  <c r="P230" i="3"/>
  <c r="AG231" i="3"/>
  <c r="AF231" i="3"/>
  <c r="AF39" i="2" s="1"/>
  <c r="AG232" i="3"/>
  <c r="AF232" i="3"/>
  <c r="AF40" i="2" s="1"/>
  <c r="F570" i="4"/>
  <c r="F571" i="4"/>
  <c r="F569" i="4"/>
  <c r="Q240" i="3"/>
  <c r="BE240" i="3"/>
  <c r="BE48" i="2" s="1"/>
  <c r="S241" i="3"/>
  <c r="S49" i="2" s="1"/>
  <c r="BG241" i="3"/>
  <c r="BG49" i="2" s="1"/>
  <c r="BJ244" i="3"/>
  <c r="BJ52" i="2" s="1"/>
  <c r="V244" i="3"/>
  <c r="V52" i="2" s="1"/>
  <c r="O85" i="3"/>
  <c r="BG85" i="3"/>
  <c r="BG85" i="1" s="1"/>
  <c r="R89" i="3"/>
  <c r="R89" i="1" s="1"/>
  <c r="BF89" i="3"/>
  <c r="BF89" i="1" s="1"/>
  <c r="BG96" i="3"/>
  <c r="BG96" i="1" s="1"/>
  <c r="BE109" i="3"/>
  <c r="AG115" i="3"/>
  <c r="P115" i="3" s="1"/>
  <c r="T116" i="3"/>
  <c r="BH116" i="3" s="1"/>
  <c r="BF117" i="3"/>
  <c r="AG119" i="3"/>
  <c r="P119" i="3" s="1"/>
  <c r="BG137" i="3"/>
  <c r="P138" i="3"/>
  <c r="T138" i="3"/>
  <c r="BH138" i="3" s="1"/>
  <c r="O149" i="3"/>
  <c r="W155" i="3"/>
  <c r="Y155" i="3" s="1"/>
  <c r="BG156" i="3"/>
  <c r="R158" i="3"/>
  <c r="BE163" i="3"/>
  <c r="BF180" i="3"/>
  <c r="S191" i="3"/>
  <c r="BG191" i="3" s="1"/>
  <c r="Q191" i="3"/>
  <c r="AG216" i="3"/>
  <c r="AF216" i="3"/>
  <c r="BH228" i="3"/>
  <c r="BH36" i="2" s="1"/>
  <c r="T228" i="3"/>
  <c r="T36" i="2" s="1"/>
  <c r="O230" i="3"/>
  <c r="R240" i="3"/>
  <c r="R48" i="2" s="1"/>
  <c r="T241" i="3"/>
  <c r="T49" i="2" s="1"/>
  <c r="BH241" i="3"/>
  <c r="BH49" i="2" s="1"/>
  <c r="P241" i="3"/>
  <c r="BJ271" i="3"/>
  <c r="BJ79" i="2" s="1"/>
  <c r="T77" i="3"/>
  <c r="T77" i="1" s="1"/>
  <c r="T85" i="3"/>
  <c r="T85" i="1" s="1"/>
  <c r="BH96" i="3"/>
  <c r="BH96" i="1" s="1"/>
  <c r="Q108" i="3"/>
  <c r="BG115" i="3"/>
  <c r="AF118" i="3"/>
  <c r="O118" i="3" s="1"/>
  <c r="BF122" i="3"/>
  <c r="BE123" i="3"/>
  <c r="BF127" i="3"/>
  <c r="T128" i="3"/>
  <c r="BH128" i="3" s="1"/>
  <c r="Q134" i="3"/>
  <c r="BG135" i="3"/>
  <c r="BF144" i="3"/>
  <c r="V144" i="3"/>
  <c r="BJ144" i="3" s="1"/>
  <c r="BH147" i="3"/>
  <c r="S150" i="3"/>
  <c r="BG150" i="3" s="1"/>
  <c r="T156" i="3"/>
  <c r="BH162" i="3"/>
  <c r="BE191" i="3"/>
  <c r="AG195" i="3"/>
  <c r="AF195" i="3"/>
  <c r="O195" i="3" s="1"/>
  <c r="U228" i="3"/>
  <c r="U36" i="2" s="1"/>
  <c r="BI228" i="3"/>
  <c r="BI36" i="2" s="1"/>
  <c r="U241" i="3"/>
  <c r="U49" i="2" s="1"/>
  <c r="BI241" i="3"/>
  <c r="BI49" i="2" s="1"/>
  <c r="AG96" i="3"/>
  <c r="AG96" i="1" s="1"/>
  <c r="AF103" i="3"/>
  <c r="AF103" i="1" s="1"/>
  <c r="F237" i="4"/>
  <c r="F236" i="4"/>
  <c r="F235" i="4"/>
  <c r="BE104" i="3"/>
  <c r="BE104" i="1" s="1"/>
  <c r="BH104" i="3"/>
  <c r="BH104" i="1" s="1"/>
  <c r="T134" i="3"/>
  <c r="BH134" i="3" s="1"/>
  <c r="BH145" i="3"/>
  <c r="P145" i="3"/>
  <c r="BG147" i="3"/>
  <c r="O147" i="3"/>
  <c r="BE155" i="3"/>
  <c r="AG167" i="3"/>
  <c r="P167" i="3" s="1"/>
  <c r="BF178" i="3"/>
  <c r="BE187" i="3"/>
  <c r="AF190" i="3"/>
  <c r="BI196" i="3"/>
  <c r="Q198" i="3"/>
  <c r="BG216" i="3"/>
  <c r="BG24" i="2" s="1"/>
  <c r="U227" i="3"/>
  <c r="U35" i="2" s="1"/>
  <c r="BI227" i="3"/>
  <c r="BI35" i="2" s="1"/>
  <c r="BI252" i="3"/>
  <c r="BI60" i="2" s="1"/>
  <c r="U252" i="3"/>
  <c r="U60" i="2" s="1"/>
  <c r="V281" i="3"/>
  <c r="V89" i="2" s="1"/>
  <c r="BJ281" i="3"/>
  <c r="BJ89" i="2" s="1"/>
  <c r="S305" i="3"/>
  <c r="BG305" i="3" s="1"/>
  <c r="O305" i="3"/>
  <c r="BF110" i="3"/>
  <c r="F305" i="4"/>
  <c r="F304" i="4"/>
  <c r="F303" i="4"/>
  <c r="BE132" i="3"/>
  <c r="F344" i="4"/>
  <c r="F343" i="4"/>
  <c r="Q148" i="3"/>
  <c r="BE148" i="3"/>
  <c r="BG155" i="3"/>
  <c r="T157" i="3"/>
  <c r="P157" i="3"/>
  <c r="BH157" i="3"/>
  <c r="F365" i="4"/>
  <c r="F364" i="4"/>
  <c r="F363" i="4"/>
  <c r="R173" i="3"/>
  <c r="BF173" i="3" s="1"/>
  <c r="T175" i="3"/>
  <c r="BH175" i="3" s="1"/>
  <c r="P175" i="3"/>
  <c r="BG180" i="3"/>
  <c r="T186" i="3"/>
  <c r="T209" i="3"/>
  <c r="T17" i="2" s="1"/>
  <c r="F510" i="4"/>
  <c r="F511" i="4"/>
  <c r="Q214" i="3"/>
  <c r="BE214" i="3" s="1"/>
  <c r="BE22" i="2" s="1"/>
  <c r="AG246" i="3"/>
  <c r="AG54" i="2" s="1"/>
  <c r="AF246" i="3"/>
  <c r="V255" i="3"/>
  <c r="V63" i="2" s="1"/>
  <c r="U304" i="3"/>
  <c r="BI304" i="3" s="1"/>
  <c r="BF159" i="3"/>
  <c r="F371" i="4"/>
  <c r="F372" i="4"/>
  <c r="Q161" i="3"/>
  <c r="BE161" i="3"/>
  <c r="AF162" i="3"/>
  <c r="BF164" i="3"/>
  <c r="F409" i="4"/>
  <c r="F411" i="4"/>
  <c r="F410" i="4"/>
  <c r="BE176" i="3"/>
  <c r="AF219" i="3"/>
  <c r="AF27" i="2" s="1"/>
  <c r="BF232" i="3"/>
  <c r="BF40" i="2" s="1"/>
  <c r="V258" i="3"/>
  <c r="V66" i="2" s="1"/>
  <c r="AF96" i="3"/>
  <c r="AF96" i="1" s="1"/>
  <c r="AG103" i="3"/>
  <c r="AG103" i="1" s="1"/>
  <c r="P104" i="3"/>
  <c r="AF115" i="3"/>
  <c r="O115" i="3" s="1"/>
  <c r="O116" i="3"/>
  <c r="F277" i="4"/>
  <c r="F276" i="4"/>
  <c r="Q120" i="3"/>
  <c r="O127" i="3"/>
  <c r="R131" i="3"/>
  <c r="BG132" i="3"/>
  <c r="AF138" i="3"/>
  <c r="O138" i="3" s="1"/>
  <c r="BG138" i="3"/>
  <c r="O158" i="3"/>
  <c r="T160" i="3"/>
  <c r="BH160" i="3" s="1"/>
  <c r="R161" i="3"/>
  <c r="BF161" i="3" s="1"/>
  <c r="BG167" i="3"/>
  <c r="F393" i="4"/>
  <c r="F394" i="4"/>
  <c r="F392" i="4"/>
  <c r="BE170" i="3"/>
  <c r="F426" i="4"/>
  <c r="F427" i="4"/>
  <c r="F425" i="4"/>
  <c r="Q182" i="3"/>
  <c r="AG184" i="3"/>
  <c r="P184" i="3" s="1"/>
  <c r="O214" i="3"/>
  <c r="S214" i="3"/>
  <c r="S22" i="2" s="1"/>
  <c r="R215" i="3"/>
  <c r="BF215" i="3"/>
  <c r="BF23" i="2" s="1"/>
  <c r="AG219" i="3"/>
  <c r="AG27" i="2" s="1"/>
  <c r="V227" i="3"/>
  <c r="V35" i="2" s="1"/>
  <c r="BJ227" i="3"/>
  <c r="BJ35" i="2" s="1"/>
  <c r="AG238" i="3"/>
  <c r="AF238" i="3"/>
  <c r="AG245" i="3"/>
  <c r="AF245" i="3"/>
  <c r="U281" i="3"/>
  <c r="U89" i="2" s="1"/>
  <c r="BI281" i="3"/>
  <c r="BI89" i="2" s="1"/>
  <c r="BG92" i="3"/>
  <c r="BG92" i="1" s="1"/>
  <c r="R97" i="3"/>
  <c r="R97" i="1" s="1"/>
  <c r="Q104" i="3"/>
  <c r="S106" i="3"/>
  <c r="BH106" i="3"/>
  <c r="F266" i="4"/>
  <c r="F265" i="4"/>
  <c r="F267" i="4"/>
  <c r="BE115" i="3"/>
  <c r="BH120" i="3"/>
  <c r="AG129" i="3"/>
  <c r="P129" i="3" s="1"/>
  <c r="BG129" i="3"/>
  <c r="AG131" i="3"/>
  <c r="P131" i="3" s="1"/>
  <c r="AF131" i="3"/>
  <c r="O131" i="3" s="1"/>
  <c r="F312" i="4"/>
  <c r="F311" i="4"/>
  <c r="AG138" i="3"/>
  <c r="T141" i="3"/>
  <c r="BH141" i="3" s="1"/>
  <c r="BG141" i="3"/>
  <c r="T148" i="3"/>
  <c r="BH148" i="3" s="1"/>
  <c r="P158" i="3"/>
  <c r="T158" i="3"/>
  <c r="O161" i="3"/>
  <c r="AF168" i="3"/>
  <c r="O168" i="3" s="1"/>
  <c r="O215" i="3"/>
  <c r="S215" i="3"/>
  <c r="S23" i="2" s="1"/>
  <c r="BI218" i="3"/>
  <c r="BI26" i="2" s="1"/>
  <c r="BG219" i="3"/>
  <c r="BG27" i="2" s="1"/>
  <c r="AG239" i="3"/>
  <c r="AF239" i="3"/>
  <c r="BG245" i="3"/>
  <c r="BG53" i="2" s="1"/>
  <c r="F625" i="4"/>
  <c r="F626" i="4"/>
  <c r="Q264" i="3"/>
  <c r="F196" i="4"/>
  <c r="F197" i="4"/>
  <c r="Q89" i="3"/>
  <c r="T99" i="3"/>
  <c r="F257" i="4"/>
  <c r="F258" i="4"/>
  <c r="F259" i="4"/>
  <c r="BF115" i="3"/>
  <c r="S117" i="3"/>
  <c r="BH118" i="3"/>
  <c r="P118" i="3"/>
  <c r="F283" i="4"/>
  <c r="F282" i="4"/>
  <c r="R140" i="3"/>
  <c r="BF140" i="3" s="1"/>
  <c r="BG146" i="3"/>
  <c r="F354" i="4"/>
  <c r="F353" i="4"/>
  <c r="Q153" i="3"/>
  <c r="P161" i="3"/>
  <c r="F373" i="4"/>
  <c r="F374" i="4"/>
  <c r="Q162" i="3"/>
  <c r="S166" i="3"/>
  <c r="BG166" i="3" s="1"/>
  <c r="BI179" i="3"/>
  <c r="F446" i="4"/>
  <c r="F447" i="4"/>
  <c r="Q190" i="3"/>
  <c r="BG195" i="3"/>
  <c r="F466" i="4"/>
  <c r="F468" i="4"/>
  <c r="F467" i="4"/>
  <c r="Q197" i="3"/>
  <c r="F485" i="4"/>
  <c r="F486" i="4"/>
  <c r="F484" i="4"/>
  <c r="Q204" i="3"/>
  <c r="BJ222" i="3"/>
  <c r="BJ30" i="2" s="1"/>
  <c r="U243" i="3"/>
  <c r="U51" i="2" s="1"/>
  <c r="V270" i="3"/>
  <c r="V78" i="2" s="1"/>
  <c r="BJ270" i="3"/>
  <c r="BJ78" i="2" s="1"/>
  <c r="F234" i="4"/>
  <c r="F233" i="4"/>
  <c r="R110" i="3"/>
  <c r="R111" i="3"/>
  <c r="BF111" i="3" s="1"/>
  <c r="BG133" i="3"/>
  <c r="O140" i="3"/>
  <c r="F346" i="4"/>
  <c r="F345" i="4"/>
  <c r="BF153" i="3"/>
  <c r="T166" i="3"/>
  <c r="O177" i="3"/>
  <c r="F415" i="4"/>
  <c r="F417" i="4"/>
  <c r="F416" i="4"/>
  <c r="BG179" i="3"/>
  <c r="BH182" i="3"/>
  <c r="P182" i="3"/>
  <c r="T182" i="3"/>
  <c r="R190" i="3"/>
  <c r="BF190" i="3"/>
  <c r="O191" i="3"/>
  <c r="F451" i="4"/>
  <c r="F453" i="4"/>
  <c r="F452" i="4"/>
  <c r="F465" i="4"/>
  <c r="F464" i="4"/>
  <c r="F463" i="4"/>
  <c r="Q196" i="3"/>
  <c r="BE196" i="3"/>
  <c r="BF199" i="3"/>
  <c r="R199" i="3"/>
  <c r="F483" i="4"/>
  <c r="F482" i="4"/>
  <c r="F481" i="4"/>
  <c r="BE203" i="3"/>
  <c r="BE11" i="2" s="1"/>
  <c r="V210" i="3"/>
  <c r="V18" i="2" s="1"/>
  <c r="BJ210" i="3"/>
  <c r="BJ18" i="2" s="1"/>
  <c r="BE231" i="3"/>
  <c r="BE39" i="2" s="1"/>
  <c r="Q231" i="3"/>
  <c r="F559" i="4"/>
  <c r="F558" i="4"/>
  <c r="BE235" i="3"/>
  <c r="BE43" i="2" s="1"/>
  <c r="Q235" i="3"/>
  <c r="AG171" i="3"/>
  <c r="P171" i="3" s="1"/>
  <c r="AF171" i="3"/>
  <c r="O171" i="3" s="1"/>
  <c r="T177" i="3"/>
  <c r="P177" i="3"/>
  <c r="S190" i="3"/>
  <c r="BG190" i="3"/>
  <c r="BF196" i="3"/>
  <c r="R196" i="3"/>
  <c r="AG207" i="3"/>
  <c r="AG15" i="2" s="1"/>
  <c r="AG209" i="3"/>
  <c r="AF209" i="3"/>
  <c r="AF17" i="2" s="1"/>
  <c r="BE215" i="3"/>
  <c r="BE23" i="2" s="1"/>
  <c r="AF225" i="3"/>
  <c r="U229" i="3"/>
  <c r="U37" i="2" s="1"/>
  <c r="BI229" i="3"/>
  <c r="BI37" i="2" s="1"/>
  <c r="R231" i="3"/>
  <c r="R39" i="2" s="1"/>
  <c r="R280" i="3"/>
  <c r="R88" i="2" s="1"/>
  <c r="AG280" i="3"/>
  <c r="AF280" i="3"/>
  <c r="BE280" i="3"/>
  <c r="BE88" i="2" s="1"/>
  <c r="R286" i="3"/>
  <c r="R94" i="2" s="1"/>
  <c r="BF286" i="3"/>
  <c r="BF94" i="2" s="1"/>
  <c r="T329" i="3"/>
  <c r="BH329" i="3" s="1"/>
  <c r="P153" i="3"/>
  <c r="T153" i="3"/>
  <c r="BH153" i="3" s="1"/>
  <c r="AG159" i="3"/>
  <c r="P159" i="3" s="1"/>
  <c r="BF168" i="3"/>
  <c r="F430" i="4"/>
  <c r="F431" i="4"/>
  <c r="BE184" i="3"/>
  <c r="BH190" i="3"/>
  <c r="BG192" i="3"/>
  <c r="O192" i="3"/>
  <c r="BJ194" i="3"/>
  <c r="R198" i="3"/>
  <c r="BF198" i="3"/>
  <c r="S203" i="3"/>
  <c r="S11" i="2" s="1"/>
  <c r="S205" i="3"/>
  <c r="BG235" i="3"/>
  <c r="BG43" i="2" s="1"/>
  <c r="S235" i="3"/>
  <c r="S43" i="2" s="1"/>
  <c r="U240" i="3"/>
  <c r="U48" i="2" s="1"/>
  <c r="BI240" i="3"/>
  <c r="BI48" i="2" s="1"/>
  <c r="T254" i="3"/>
  <c r="T62" i="2" s="1"/>
  <c r="S286" i="3"/>
  <c r="S94" i="2" s="1"/>
  <c r="O286" i="3"/>
  <c r="AG287" i="3"/>
  <c r="AG95" i="2" s="1"/>
  <c r="AF287" i="3"/>
  <c r="T322" i="3"/>
  <c r="BH322" i="3" s="1"/>
  <c r="P322" i="3"/>
  <c r="BF125" i="3"/>
  <c r="BG126" i="3"/>
  <c r="F316" i="4"/>
  <c r="F315" i="4"/>
  <c r="F317" i="4"/>
  <c r="BE137" i="3"/>
  <c r="S139" i="3"/>
  <c r="AG145" i="3"/>
  <c r="AF145" i="3"/>
  <c r="O145" i="3" s="1"/>
  <c r="T149" i="3"/>
  <c r="BH149" i="3"/>
  <c r="P149" i="3"/>
  <c r="BF151" i="3"/>
  <c r="F356" i="4"/>
  <c r="F355" i="4"/>
  <c r="F368" i="4"/>
  <c r="F367" i="4"/>
  <c r="F366" i="4"/>
  <c r="AG160" i="3"/>
  <c r="P160" i="3" s="1"/>
  <c r="AF160" i="3"/>
  <c r="F379" i="4"/>
  <c r="F378" i="4"/>
  <c r="F377" i="4"/>
  <c r="Q164" i="3"/>
  <c r="BJ165" i="3"/>
  <c r="BG168" i="3"/>
  <c r="W170" i="3"/>
  <c r="Y170" i="3" s="1"/>
  <c r="F401" i="4"/>
  <c r="F402" i="4"/>
  <c r="F403" i="4"/>
  <c r="Q173" i="3"/>
  <c r="BE173" i="3" s="1"/>
  <c r="T178" i="3"/>
  <c r="P178" i="3"/>
  <c r="T183" i="3"/>
  <c r="P183" i="3"/>
  <c r="BH183" i="3"/>
  <c r="R184" i="3"/>
  <c r="BF184" i="3" s="1"/>
  <c r="O190" i="3"/>
  <c r="O199" i="3"/>
  <c r="T235" i="3"/>
  <c r="T43" i="2" s="1"/>
  <c r="BG246" i="3"/>
  <c r="BG54" i="2" s="1"/>
  <c r="S246" i="3"/>
  <c r="S54" i="2" s="1"/>
  <c r="BG252" i="3"/>
  <c r="BG60" i="2" s="1"/>
  <c r="S257" i="3"/>
  <c r="S65" i="2" s="1"/>
  <c r="R257" i="3"/>
  <c r="R65" i="2" s="1"/>
  <c r="Q257" i="3"/>
  <c r="P286" i="3"/>
  <c r="T286" i="3"/>
  <c r="T94" i="2" s="1"/>
  <c r="AG294" i="3"/>
  <c r="AF294" i="3"/>
  <c r="AF102" i="2" s="1"/>
  <c r="U314" i="3"/>
  <c r="BI314" i="3"/>
  <c r="BG321" i="3"/>
  <c r="S84" i="3"/>
  <c r="R91" i="3"/>
  <c r="F221" i="4"/>
  <c r="F219" i="4"/>
  <c r="F220" i="4"/>
  <c r="Q98" i="3"/>
  <c r="F232" i="4"/>
  <c r="F231" i="4"/>
  <c r="BE102" i="3"/>
  <c r="BE102" i="1" s="1"/>
  <c r="Q103" i="3"/>
  <c r="F240" i="4"/>
  <c r="F239" i="4"/>
  <c r="F238" i="4"/>
  <c r="Q112" i="3"/>
  <c r="Q115" i="3"/>
  <c r="BG117" i="3"/>
  <c r="F281" i="4"/>
  <c r="F280" i="4"/>
  <c r="BE122" i="3"/>
  <c r="BG125" i="3"/>
  <c r="O125" i="3"/>
  <c r="F292" i="4"/>
  <c r="F294" i="4"/>
  <c r="F293" i="4"/>
  <c r="BG128" i="3"/>
  <c r="F307" i="4"/>
  <c r="F306" i="4"/>
  <c r="Q133" i="3"/>
  <c r="Q135" i="3"/>
  <c r="BF137" i="3"/>
  <c r="T139" i="3"/>
  <c r="BH139" i="3" s="1"/>
  <c r="F325" i="4"/>
  <c r="F326" i="4"/>
  <c r="F324" i="4"/>
  <c r="T143" i="3"/>
  <c r="BH143" i="3" s="1"/>
  <c r="R154" i="3"/>
  <c r="T168" i="3"/>
  <c r="BH168" i="3" s="1"/>
  <c r="AG179" i="3"/>
  <c r="P179" i="3" s="1"/>
  <c r="Q186" i="3"/>
  <c r="T190" i="3"/>
  <c r="P192" i="3"/>
  <c r="T198" i="3"/>
  <c r="P198" i="3"/>
  <c r="BH198" i="3"/>
  <c r="O205" i="3"/>
  <c r="Q209" i="3"/>
  <c r="BE209" i="3"/>
  <c r="BE17" i="2" s="1"/>
  <c r="AF212" i="3"/>
  <c r="AF20" i="2" s="1"/>
  <c r="R225" i="3"/>
  <c r="R33" i="2" s="1"/>
  <c r="S234" i="3"/>
  <c r="S42" i="2" s="1"/>
  <c r="O235" i="3"/>
  <c r="BE249" i="3"/>
  <c r="BE57" i="2" s="1"/>
  <c r="Q287" i="3"/>
  <c r="BE287" i="3"/>
  <c r="BE95" i="2" s="1"/>
  <c r="U312" i="3"/>
  <c r="BK312" i="3" s="1"/>
  <c r="BI312" i="3"/>
  <c r="V314" i="3"/>
  <c r="BJ314" i="3"/>
  <c r="AF114" i="3"/>
  <c r="O114" i="3" s="1"/>
  <c r="R124" i="3"/>
  <c r="BF124" i="3" s="1"/>
  <c r="BH125" i="3"/>
  <c r="P125" i="3"/>
  <c r="AF130" i="3"/>
  <c r="O130" i="3" s="1"/>
  <c r="R141" i="3"/>
  <c r="BF141" i="3" s="1"/>
  <c r="Q157" i="3"/>
  <c r="S159" i="3"/>
  <c r="BG164" i="3"/>
  <c r="BE165" i="3"/>
  <c r="AG166" i="3"/>
  <c r="P166" i="3" s="1"/>
  <c r="S173" i="3"/>
  <c r="BG173" i="3" s="1"/>
  <c r="Q178" i="3"/>
  <c r="T184" i="3"/>
  <c r="BH184" i="3" s="1"/>
  <c r="R186" i="3"/>
  <c r="BF186" i="3"/>
  <c r="T234" i="3"/>
  <c r="T42" i="2" s="1"/>
  <c r="BH234" i="3"/>
  <c r="BH42" i="2" s="1"/>
  <c r="P235" i="3"/>
  <c r="R245" i="3"/>
  <c r="R53" i="2" s="1"/>
  <c r="BF245" i="3"/>
  <c r="BF53" i="2" s="1"/>
  <c r="BG262" i="3"/>
  <c r="BG70" i="2" s="1"/>
  <c r="BI268" i="3"/>
  <c r="BI76" i="2" s="1"/>
  <c r="U268" i="3"/>
  <c r="U76" i="2" s="1"/>
  <c r="AG278" i="3"/>
  <c r="AG86" i="2" s="1"/>
  <c r="AF278" i="3"/>
  <c r="AF86" i="2" s="1"/>
  <c r="U321" i="3"/>
  <c r="BI321" i="3"/>
  <c r="AG181" i="3"/>
  <c r="AF181" i="3"/>
  <c r="O181" i="3" s="1"/>
  <c r="BF217" i="3"/>
  <c r="BF25" i="2" s="1"/>
  <c r="R219" i="3"/>
  <c r="R27" i="2" s="1"/>
  <c r="R242" i="3"/>
  <c r="R50" i="2" s="1"/>
  <c r="AG256" i="3"/>
  <c r="AG64" i="2" s="1"/>
  <c r="T262" i="3"/>
  <c r="T70" i="2" s="1"/>
  <c r="BH262" i="3"/>
  <c r="BH70" i="2" s="1"/>
  <c r="R293" i="3"/>
  <c r="AG293" i="3"/>
  <c r="AG101" i="2" s="1"/>
  <c r="R304" i="3"/>
  <c r="BF304" i="3"/>
  <c r="AF257" i="3"/>
  <c r="BH260" i="3"/>
  <c r="BH68" i="2" s="1"/>
  <c r="T270" i="3"/>
  <c r="T78" i="2" s="1"/>
  <c r="BH270" i="3"/>
  <c r="BH78" i="2" s="1"/>
  <c r="F214" i="4"/>
  <c r="F216" i="4"/>
  <c r="F215" i="4"/>
  <c r="F273" i="4"/>
  <c r="F272" i="4"/>
  <c r="F322" i="4"/>
  <c r="F323" i="4"/>
  <c r="F361" i="4"/>
  <c r="F362" i="4"/>
  <c r="BE157" i="3"/>
  <c r="R166" i="3"/>
  <c r="BF166" i="3" s="1"/>
  <c r="F408" i="4"/>
  <c r="F407" i="4"/>
  <c r="Q175" i="3"/>
  <c r="F412" i="4"/>
  <c r="F413" i="4"/>
  <c r="F414" i="4"/>
  <c r="S182" i="3"/>
  <c r="BG182" i="3"/>
  <c r="O182" i="3"/>
  <c r="R194" i="3"/>
  <c r="BF194" i="3" s="1"/>
  <c r="T196" i="3"/>
  <c r="AG202" i="3"/>
  <c r="AG10" i="2" s="1"/>
  <c r="AF202" i="3"/>
  <c r="AF10" i="2" s="1"/>
  <c r="BH203" i="3"/>
  <c r="BH11" i="2" s="1"/>
  <c r="BH205" i="3"/>
  <c r="BH13" i="2" s="1"/>
  <c r="R218" i="3"/>
  <c r="R26" i="2" s="1"/>
  <c r="BF218" i="3"/>
  <c r="BF26" i="2" s="1"/>
  <c r="F520" i="4"/>
  <c r="F521" i="4"/>
  <c r="Q219" i="3"/>
  <c r="BF227" i="3"/>
  <c r="BF35" i="2" s="1"/>
  <c r="BH237" i="3"/>
  <c r="BH45" i="2" s="1"/>
  <c r="S238" i="3"/>
  <c r="S46" i="2" s="1"/>
  <c r="BF246" i="3"/>
  <c r="BF54" i="2" s="1"/>
  <c r="S253" i="3"/>
  <c r="S61" i="2" s="1"/>
  <c r="F607" i="4"/>
  <c r="F608" i="4"/>
  <c r="Q256" i="3"/>
  <c r="AG257" i="3"/>
  <c r="S272" i="3"/>
  <c r="S80" i="2" s="1"/>
  <c r="BG272" i="3"/>
  <c r="BG80" i="2" s="1"/>
  <c r="BH288" i="3"/>
  <c r="BH96" i="2" s="1"/>
  <c r="U310" i="3"/>
  <c r="BI310" i="3" s="1"/>
  <c r="AG339" i="3"/>
  <c r="P339" i="3" s="1"/>
  <c r="AF339" i="3"/>
  <c r="O339" i="3" s="1"/>
  <c r="F606" i="4"/>
  <c r="F605" i="4"/>
  <c r="F604" i="4"/>
  <c r="Q255" i="3"/>
  <c r="BE255" i="3" s="1"/>
  <c r="BE63" i="2" s="1"/>
  <c r="F636" i="4"/>
  <c r="F638" i="4"/>
  <c r="F637" i="4"/>
  <c r="Q268" i="3"/>
  <c r="BE268" i="3"/>
  <c r="BE76" i="2" s="1"/>
  <c r="AG290" i="3"/>
  <c r="AG98" i="2" s="1"/>
  <c r="AF290" i="3"/>
  <c r="U359" i="3"/>
  <c r="BI359" i="3"/>
  <c r="BH173" i="3"/>
  <c r="BG177" i="3"/>
  <c r="AG186" i="3"/>
  <c r="F450" i="4"/>
  <c r="F449" i="4"/>
  <c r="F448" i="4"/>
  <c r="AF206" i="3"/>
  <c r="F494" i="4"/>
  <c r="F493" i="4"/>
  <c r="F492" i="4"/>
  <c r="BE207" i="3"/>
  <c r="BE15" i="2" s="1"/>
  <c r="F503" i="4"/>
  <c r="F505" i="4"/>
  <c r="F504" i="4"/>
  <c r="Q211" i="3"/>
  <c r="T218" i="3"/>
  <c r="T26" i="2" s="1"/>
  <c r="S219" i="3"/>
  <c r="S27" i="2" s="1"/>
  <c r="F526" i="4"/>
  <c r="F527" i="4"/>
  <c r="Q222" i="3"/>
  <c r="T224" i="3"/>
  <c r="R247" i="3"/>
  <c r="R55" i="2" s="1"/>
  <c r="R255" i="3"/>
  <c r="R63" i="2" s="1"/>
  <c r="BF255" i="3"/>
  <c r="BF63" i="2" s="1"/>
  <c r="S256" i="3"/>
  <c r="S64" i="2" s="1"/>
  <c r="AG260" i="3"/>
  <c r="Q278" i="3"/>
  <c r="BE278" i="3"/>
  <c r="BE86" i="2" s="1"/>
  <c r="AG320" i="3"/>
  <c r="AF320" i="3"/>
  <c r="O320" i="3" s="1"/>
  <c r="F545" i="4"/>
  <c r="F544" i="4"/>
  <c r="BE229" i="3"/>
  <c r="BE37" i="2" s="1"/>
  <c r="AF251" i="3"/>
  <c r="BG254" i="3"/>
  <c r="BG62" i="2" s="1"/>
  <c r="S255" i="3"/>
  <c r="S63" i="2" s="1"/>
  <c r="BG255" i="3"/>
  <c r="BG63" i="2" s="1"/>
  <c r="O255" i="3"/>
  <c r="T256" i="3"/>
  <c r="T64" i="2" s="1"/>
  <c r="BF262" i="3"/>
  <c r="BF70" i="2" s="1"/>
  <c r="U265" i="3"/>
  <c r="U73" i="2" s="1"/>
  <c r="BI265" i="3"/>
  <c r="BI73" i="2" s="1"/>
  <c r="BF271" i="3"/>
  <c r="BF79" i="2" s="1"/>
  <c r="F652" i="4"/>
  <c r="F650" i="4"/>
  <c r="F651" i="4"/>
  <c r="BE273" i="3"/>
  <c r="BE81" i="2" s="1"/>
  <c r="Q273" i="3"/>
  <c r="R275" i="3"/>
  <c r="R83" i="2" s="1"/>
  <c r="BF275" i="3"/>
  <c r="BF83" i="2" s="1"/>
  <c r="Q280" i="3"/>
  <c r="AG285" i="3"/>
  <c r="AF285" i="3"/>
  <c r="AF93" i="2" s="1"/>
  <c r="R292" i="3"/>
  <c r="R100" i="2" s="1"/>
  <c r="V306" i="3"/>
  <c r="BJ306" i="3"/>
  <c r="F337" i="4"/>
  <c r="F339" i="4"/>
  <c r="F338" i="4"/>
  <c r="F398" i="4"/>
  <c r="F400" i="4"/>
  <c r="F399" i="4"/>
  <c r="BE172" i="3"/>
  <c r="O175" i="3"/>
  <c r="T180" i="3"/>
  <c r="BH180" i="3"/>
  <c r="P180" i="3"/>
  <c r="BG183" i="3"/>
  <c r="BH186" i="3"/>
  <c r="P186" i="3"/>
  <c r="R197" i="3"/>
  <c r="BF197" i="3" s="1"/>
  <c r="R204" i="3"/>
  <c r="R12" i="2" s="1"/>
  <c r="O211" i="3"/>
  <c r="AG217" i="3"/>
  <c r="AF217" i="3"/>
  <c r="S220" i="3"/>
  <c r="BG222" i="3"/>
  <c r="BG30" i="2" s="1"/>
  <c r="O222" i="3"/>
  <c r="AG223" i="3"/>
  <c r="AG31" i="2" s="1"/>
  <c r="AF223" i="3"/>
  <c r="BF229" i="3"/>
  <c r="BF37" i="2" s="1"/>
  <c r="BF243" i="3"/>
  <c r="BF51" i="2" s="1"/>
  <c r="T247" i="3"/>
  <c r="T55" i="2" s="1"/>
  <c r="F596" i="4"/>
  <c r="F595" i="4"/>
  <c r="BE251" i="3"/>
  <c r="BE59" i="2" s="1"/>
  <c r="S260" i="3"/>
  <c r="S68" i="2" s="1"/>
  <c r="BG260" i="3"/>
  <c r="BG68" i="2" s="1"/>
  <c r="V261" i="3"/>
  <c r="V69" i="2" s="1"/>
  <c r="BG271" i="3"/>
  <c r="BG79" i="2" s="1"/>
  <c r="O271" i="3"/>
  <c r="R273" i="3"/>
  <c r="R81" i="2" s="1"/>
  <c r="BI274" i="3"/>
  <c r="BI82" i="2" s="1"/>
  <c r="S278" i="3"/>
  <c r="S86" i="2" s="1"/>
  <c r="R287" i="3"/>
  <c r="R95" i="2" s="1"/>
  <c r="F757" i="4"/>
  <c r="F758" i="4"/>
  <c r="Q314" i="3"/>
  <c r="BE314" i="3"/>
  <c r="F783" i="4"/>
  <c r="Q326" i="3"/>
  <c r="BE326" i="3" s="1"/>
  <c r="F193" i="4"/>
  <c r="F192" i="4"/>
  <c r="F191" i="4"/>
  <c r="F250" i="4"/>
  <c r="F249" i="4"/>
  <c r="F300" i="4"/>
  <c r="F302" i="4"/>
  <c r="F301" i="4"/>
  <c r="AF151" i="3"/>
  <c r="O151" i="3" s="1"/>
  <c r="F351" i="4"/>
  <c r="F352" i="4"/>
  <c r="BE152" i="3"/>
  <c r="F359" i="4"/>
  <c r="F360" i="4"/>
  <c r="BE156" i="3"/>
  <c r="F381" i="4"/>
  <c r="F380" i="4"/>
  <c r="BF172" i="3"/>
  <c r="AF176" i="3"/>
  <c r="O176" i="3" s="1"/>
  <c r="R188" i="3"/>
  <c r="BF188" i="3" s="1"/>
  <c r="T189" i="3"/>
  <c r="BH189" i="3"/>
  <c r="T191" i="3"/>
  <c r="BH191" i="3" s="1"/>
  <c r="S197" i="3"/>
  <c r="BG197" i="3" s="1"/>
  <c r="S204" i="3"/>
  <c r="S12" i="2" s="1"/>
  <c r="BG204" i="3"/>
  <c r="BG12" i="2" s="1"/>
  <c r="O204" i="3"/>
  <c r="BH207" i="3"/>
  <c r="BH15" i="2" s="1"/>
  <c r="F507" i="4"/>
  <c r="F506" i="4"/>
  <c r="Q212" i="3"/>
  <c r="P214" i="3"/>
  <c r="T220" i="3"/>
  <c r="T28" i="2" s="1"/>
  <c r="F534" i="4"/>
  <c r="F533" i="4"/>
  <c r="F535" i="4"/>
  <c r="Q225" i="3"/>
  <c r="BE225" i="3"/>
  <c r="BE33" i="2" s="1"/>
  <c r="BH232" i="3"/>
  <c r="BH40" i="2" s="1"/>
  <c r="F561" i="4"/>
  <c r="F560" i="4"/>
  <c r="BE236" i="3"/>
  <c r="BE44" i="2" s="1"/>
  <c r="BH236" i="3"/>
  <c r="BH44" i="2" s="1"/>
  <c r="R239" i="3"/>
  <c r="R47" i="2" s="1"/>
  <c r="AG242" i="3"/>
  <c r="AG50" i="2" s="1"/>
  <c r="AF250" i="3"/>
  <c r="BF251" i="3"/>
  <c r="BF59" i="2" s="1"/>
  <c r="BH271" i="3"/>
  <c r="BH79" i="2" s="1"/>
  <c r="T271" i="3"/>
  <c r="T79" i="2" s="1"/>
  <c r="T278" i="3"/>
  <c r="T86" i="2" s="1"/>
  <c r="S280" i="3"/>
  <c r="S88" i="2" s="1"/>
  <c r="BG280" i="3"/>
  <c r="BG88" i="2" s="1"/>
  <c r="T292" i="3"/>
  <c r="T100" i="2" s="1"/>
  <c r="BH292" i="3"/>
  <c r="BH100" i="2" s="1"/>
  <c r="F710" i="4"/>
  <c r="F709" i="4"/>
  <c r="BE295" i="3"/>
  <c r="BE103" i="2" s="1"/>
  <c r="Q295" i="3"/>
  <c r="BI302" i="3"/>
  <c r="F209" i="4"/>
  <c r="F208" i="4"/>
  <c r="F210" i="4"/>
  <c r="F269" i="4"/>
  <c r="F268" i="4"/>
  <c r="O132" i="3"/>
  <c r="F318" i="4"/>
  <c r="F319" i="4"/>
  <c r="BE146" i="3"/>
  <c r="BF165" i="3"/>
  <c r="T173" i="3"/>
  <c r="Q177" i="3"/>
  <c r="BG188" i="3"/>
  <c r="O188" i="3"/>
  <c r="T197" i="3"/>
  <c r="BH197" i="3"/>
  <c r="P197" i="3"/>
  <c r="AG199" i="3"/>
  <c r="P199" i="3" s="1"/>
  <c r="BG200" i="3"/>
  <c r="BH204" i="3"/>
  <c r="BH12" i="2" s="1"/>
  <c r="P204" i="3"/>
  <c r="F488" i="4"/>
  <c r="F487" i="4"/>
  <c r="S211" i="3"/>
  <c r="S19" i="2" s="1"/>
  <c r="R212" i="3"/>
  <c r="R20" i="2" s="1"/>
  <c r="O220" i="3"/>
  <c r="BH229" i="3"/>
  <c r="BH37" i="2" s="1"/>
  <c r="S231" i="3"/>
  <c r="S39" i="2" s="1"/>
  <c r="BG239" i="3"/>
  <c r="BG47" i="2" s="1"/>
  <c r="Q252" i="3"/>
  <c r="BE252" i="3" s="1"/>
  <c r="BE60" i="2" s="1"/>
  <c r="T257" i="3"/>
  <c r="T65" i="2" s="1"/>
  <c r="BI269" i="3"/>
  <c r="BI77" i="2" s="1"/>
  <c r="T273" i="3"/>
  <c r="T81" i="2" s="1"/>
  <c r="P273" i="3"/>
  <c r="R295" i="3"/>
  <c r="R103" i="2" s="1"/>
  <c r="AG356" i="3"/>
  <c r="P356" i="3" s="1"/>
  <c r="AF356" i="3"/>
  <c r="O356" i="3" s="1"/>
  <c r="F334" i="4"/>
  <c r="F336" i="4"/>
  <c r="F335" i="4"/>
  <c r="F370" i="4"/>
  <c r="F369" i="4"/>
  <c r="BE160" i="3"/>
  <c r="AF164" i="3"/>
  <c r="O164" i="3" s="1"/>
  <c r="BG165" i="3"/>
  <c r="O165" i="3"/>
  <c r="F428" i="4"/>
  <c r="F429" i="4"/>
  <c r="F474" i="4"/>
  <c r="F475" i="4"/>
  <c r="F473" i="4"/>
  <c r="Q200" i="3"/>
  <c r="Q207" i="3"/>
  <c r="S212" i="3"/>
  <c r="S20" i="2" s="1"/>
  <c r="R216" i="3"/>
  <c r="R24" i="2" s="1"/>
  <c r="BF216" i="3"/>
  <c r="BF24" i="2" s="1"/>
  <c r="BG217" i="3"/>
  <c r="BG25" i="2" s="1"/>
  <c r="R222" i="3"/>
  <c r="R30" i="2" s="1"/>
  <c r="S225" i="3"/>
  <c r="S33" i="2" s="1"/>
  <c r="BH239" i="3"/>
  <c r="BH47" i="2" s="1"/>
  <c r="T245" i="3"/>
  <c r="T53" i="2" s="1"/>
  <c r="AG259" i="3"/>
  <c r="AF259" i="3"/>
  <c r="AF260" i="3"/>
  <c r="AF68" i="2" s="1"/>
  <c r="T265" i="3"/>
  <c r="T73" i="2" s="1"/>
  <c r="S267" i="3"/>
  <c r="S75" i="2" s="1"/>
  <c r="R271" i="3"/>
  <c r="R79" i="2" s="1"/>
  <c r="F659" i="4"/>
  <c r="F658" i="4"/>
  <c r="Q276" i="3"/>
  <c r="AG283" i="3"/>
  <c r="AF283" i="3"/>
  <c r="AF91" i="2" s="1"/>
  <c r="BG295" i="3"/>
  <c r="BG103" i="2" s="1"/>
  <c r="S295" i="3"/>
  <c r="S103" i="2" s="1"/>
  <c r="AG300" i="3"/>
  <c r="BF300" i="3"/>
  <c r="R308" i="3"/>
  <c r="R311" i="3"/>
  <c r="BF311" i="3" s="1"/>
  <c r="BI313" i="3"/>
  <c r="U313" i="3"/>
  <c r="BH333" i="3"/>
  <c r="T212" i="3"/>
  <c r="T20" i="2" s="1"/>
  <c r="BH217" i="3"/>
  <c r="BH25" i="2" s="1"/>
  <c r="BH225" i="3"/>
  <c r="BH33" i="2" s="1"/>
  <c r="F536" i="4"/>
  <c r="F537" i="4"/>
  <c r="Q226" i="3"/>
  <c r="Q229" i="3"/>
  <c r="T233" i="3"/>
  <c r="T41" i="2" s="1"/>
  <c r="BH233" i="3"/>
  <c r="BH41" i="2" s="1"/>
  <c r="R238" i="3"/>
  <c r="BJ240" i="3"/>
  <c r="BJ48" i="2" s="1"/>
  <c r="AG253" i="3"/>
  <c r="AF253" i="3"/>
  <c r="AF61" i="2" s="1"/>
  <c r="R266" i="3"/>
  <c r="R288" i="3"/>
  <c r="R290" i="3"/>
  <c r="R98" i="2" s="1"/>
  <c r="BF290" i="3"/>
  <c r="BF98" i="2" s="1"/>
  <c r="T295" i="3"/>
  <c r="P295" i="3"/>
  <c r="V304" i="3"/>
  <c r="BJ304" i="3"/>
  <c r="S311" i="3"/>
  <c r="BG311" i="3"/>
  <c r="V312" i="3"/>
  <c r="BJ312" i="3" s="1"/>
  <c r="P313" i="3"/>
  <c r="BH313" i="3"/>
  <c r="F780" i="4"/>
  <c r="F781" i="4"/>
  <c r="Q324" i="3"/>
  <c r="BE324" i="3" s="1"/>
  <c r="BJ335" i="3"/>
  <c r="V335" i="3"/>
  <c r="S336" i="3"/>
  <c r="BG336" i="3"/>
  <c r="F357" i="4"/>
  <c r="F358" i="4"/>
  <c r="BG160" i="3"/>
  <c r="O160" i="3"/>
  <c r="BH176" i="3"/>
  <c r="S198" i="3"/>
  <c r="BF209" i="3"/>
  <c r="BF17" i="2" s="1"/>
  <c r="Q210" i="3"/>
  <c r="BE210" i="3" s="1"/>
  <c r="BE18" i="2" s="1"/>
  <c r="BF210" i="3"/>
  <c r="BF18" i="2" s="1"/>
  <c r="O212" i="3"/>
  <c r="F538" i="4"/>
  <c r="F539" i="4"/>
  <c r="F540" i="4"/>
  <c r="R229" i="3"/>
  <c r="R37" i="2" s="1"/>
  <c r="P236" i="3"/>
  <c r="S240" i="3"/>
  <c r="S48" i="2" s="1"/>
  <c r="V254" i="3"/>
  <c r="V62" i="2" s="1"/>
  <c r="AG263" i="3"/>
  <c r="AG71" i="2" s="1"/>
  <c r="AF263" i="3"/>
  <c r="AF71" i="2" s="1"/>
  <c r="AG268" i="3"/>
  <c r="AG76" i="2" s="1"/>
  <c r="BE284" i="3"/>
  <c r="BE92" i="2" s="1"/>
  <c r="S290" i="3"/>
  <c r="S98" i="2" s="1"/>
  <c r="T311" i="3"/>
  <c r="BH311" i="3"/>
  <c r="R324" i="3"/>
  <c r="BF324" i="3"/>
  <c r="AG224" i="3"/>
  <c r="AG32" i="2" s="1"/>
  <c r="AF224" i="3"/>
  <c r="S226" i="3"/>
  <c r="S34" i="2" s="1"/>
  <c r="BG226" i="3"/>
  <c r="BG34" i="2" s="1"/>
  <c r="O226" i="3"/>
  <c r="AG237" i="3"/>
  <c r="AG45" i="2" s="1"/>
  <c r="BH240" i="3"/>
  <c r="BH48" i="2" s="1"/>
  <c r="F588" i="4"/>
  <c r="F587" i="4"/>
  <c r="Q247" i="3"/>
  <c r="BE247" i="3"/>
  <c r="BE55" i="2" s="1"/>
  <c r="F589" i="4"/>
  <c r="F590" i="4"/>
  <c r="Q248" i="3"/>
  <c r="BE248" i="3" s="1"/>
  <c r="BE56" i="2" s="1"/>
  <c r="F592" i="4"/>
  <c r="F591" i="4"/>
  <c r="BF260" i="3"/>
  <c r="BF68" i="2" s="1"/>
  <c r="U264" i="3"/>
  <c r="U72" i="2" s="1"/>
  <c r="BH266" i="3"/>
  <c r="BH74" i="2" s="1"/>
  <c r="BH277" i="3"/>
  <c r="BH85" i="2" s="1"/>
  <c r="S279" i="3"/>
  <c r="S87" i="2" s="1"/>
  <c r="BG279" i="3"/>
  <c r="BG87" i="2" s="1"/>
  <c r="BJ296" i="3"/>
  <c r="BJ104" i="2" s="1"/>
  <c r="AG299" i="3"/>
  <c r="P299" i="3" s="1"/>
  <c r="AF299" i="3"/>
  <c r="O299" i="3" s="1"/>
  <c r="F738" i="4"/>
  <c r="F737" i="4"/>
  <c r="F736" i="4"/>
  <c r="Q306" i="3"/>
  <c r="R310" i="3"/>
  <c r="BF310" i="3" s="1"/>
  <c r="U311" i="3"/>
  <c r="BI311" i="3"/>
  <c r="F295" i="4"/>
  <c r="F297" i="4"/>
  <c r="F296" i="4"/>
  <c r="F350" i="4"/>
  <c r="F349" i="4"/>
  <c r="BE151" i="3"/>
  <c r="F375" i="4"/>
  <c r="F376" i="4"/>
  <c r="F386" i="4"/>
  <c r="F385" i="4"/>
  <c r="F423" i="4"/>
  <c r="F424" i="4"/>
  <c r="F422" i="4"/>
  <c r="BE181" i="3"/>
  <c r="O183" i="3"/>
  <c r="BH185" i="3"/>
  <c r="P185" i="3"/>
  <c r="F445" i="4"/>
  <c r="F444" i="4"/>
  <c r="BG193" i="3"/>
  <c r="O193" i="3"/>
  <c r="BF195" i="3"/>
  <c r="BH196" i="3"/>
  <c r="R203" i="3"/>
  <c r="R11" i="2" s="1"/>
  <c r="BF221" i="3"/>
  <c r="BF29" i="2" s="1"/>
  <c r="T226" i="3"/>
  <c r="T34" i="2" s="1"/>
  <c r="BH226" i="3"/>
  <c r="BH34" i="2" s="1"/>
  <c r="P226" i="3"/>
  <c r="S227" i="3"/>
  <c r="T246" i="3"/>
  <c r="T54" i="2" s="1"/>
  <c r="R248" i="3"/>
  <c r="BE253" i="3"/>
  <c r="BE61" i="2" s="1"/>
  <c r="BE256" i="3"/>
  <c r="BE64" i="2" s="1"/>
  <c r="BF268" i="3"/>
  <c r="BF76" i="2" s="1"/>
  <c r="BH279" i="3"/>
  <c r="BH87" i="2" s="1"/>
  <c r="O288" i="3"/>
  <c r="BJ289" i="3"/>
  <c r="BJ97" i="2" s="1"/>
  <c r="P311" i="3"/>
  <c r="T313" i="3"/>
  <c r="BI317" i="3"/>
  <c r="U317" i="3"/>
  <c r="F262" i="4"/>
  <c r="F263" i="4"/>
  <c r="F264" i="4"/>
  <c r="F314" i="4"/>
  <c r="F313" i="4"/>
  <c r="Q160" i="3"/>
  <c r="S165" i="3"/>
  <c r="Q166" i="3"/>
  <c r="BF167" i="3"/>
  <c r="F404" i="4"/>
  <c r="F406" i="4"/>
  <c r="F405" i="4"/>
  <c r="Q174" i="3"/>
  <c r="S176" i="3"/>
  <c r="BG176" i="3" s="1"/>
  <c r="R189" i="3"/>
  <c r="BF189" i="3" s="1"/>
  <c r="S196" i="3"/>
  <c r="BG196" i="3" s="1"/>
  <c r="AF201" i="3"/>
  <c r="BG202" i="3"/>
  <c r="BG10" i="2" s="1"/>
  <c r="F491" i="4"/>
  <c r="F490" i="4"/>
  <c r="F489" i="4"/>
  <c r="BE206" i="3"/>
  <c r="BE14" i="2" s="1"/>
  <c r="AF210" i="3"/>
  <c r="AF18" i="2" s="1"/>
  <c r="AG220" i="3"/>
  <c r="T227" i="3"/>
  <c r="T35" i="2" s="1"/>
  <c r="BE230" i="3"/>
  <c r="BE38" i="2" s="1"/>
  <c r="R232" i="3"/>
  <c r="S247" i="3"/>
  <c r="S55" i="2" s="1"/>
  <c r="S248" i="3"/>
  <c r="S56" i="2" s="1"/>
  <c r="BG248" i="3"/>
  <c r="BG56" i="2" s="1"/>
  <c r="O248" i="3"/>
  <c r="BF253" i="3"/>
  <c r="BF61" i="2" s="1"/>
  <c r="BF256" i="3"/>
  <c r="BF64" i="2" s="1"/>
  <c r="F611" i="4"/>
  <c r="F612" i="4"/>
  <c r="T260" i="3"/>
  <c r="T68" i="2" s="1"/>
  <c r="O279" i="3"/>
  <c r="AF180" i="3"/>
  <c r="S181" i="3"/>
  <c r="BG181" i="3" s="1"/>
  <c r="O189" i="3"/>
  <c r="BH195" i="3"/>
  <c r="T202" i="3"/>
  <c r="T10" i="2" s="1"/>
  <c r="BH202" i="3"/>
  <c r="BH10" i="2" s="1"/>
  <c r="P202" i="3"/>
  <c r="T213" i="3"/>
  <c r="T21" i="2" s="1"/>
  <c r="BF224" i="3"/>
  <c r="BF32" i="2" s="1"/>
  <c r="BG232" i="3"/>
  <c r="BG40" i="2" s="1"/>
  <c r="F557" i="4"/>
  <c r="F556" i="4"/>
  <c r="Q234" i="3"/>
  <c r="BH247" i="3"/>
  <c r="BH55" i="2" s="1"/>
  <c r="T248" i="3"/>
  <c r="T56" i="2" s="1"/>
  <c r="BH248" i="3"/>
  <c r="BH56" i="2" s="1"/>
  <c r="P248" i="3"/>
  <c r="AF256" i="3"/>
  <c r="BF258" i="3"/>
  <c r="BF66" i="2" s="1"/>
  <c r="S259" i="3"/>
  <c r="S67" i="2" s="1"/>
  <c r="T267" i="3"/>
  <c r="T75" i="2" s="1"/>
  <c r="R267" i="3"/>
  <c r="R75" i="2" s="1"/>
  <c r="BH267" i="3"/>
  <c r="BH75" i="2" s="1"/>
  <c r="BH268" i="3"/>
  <c r="BH76" i="2" s="1"/>
  <c r="BE270" i="3"/>
  <c r="BE78" i="2" s="1"/>
  <c r="O275" i="3"/>
  <c r="BJ279" i="3"/>
  <c r="BJ87" i="2" s="1"/>
  <c r="V279" i="3"/>
  <c r="V87" i="2" s="1"/>
  <c r="BF291" i="3"/>
  <c r="BF99" i="2" s="1"/>
  <c r="R291" i="3"/>
  <c r="R99" i="2" s="1"/>
  <c r="BG296" i="3"/>
  <c r="BG104" i="2" s="1"/>
  <c r="AG298" i="3"/>
  <c r="AF298" i="3"/>
  <c r="U301" i="3"/>
  <c r="BI301" i="3"/>
  <c r="P323" i="3"/>
  <c r="BH181" i="3"/>
  <c r="P181" i="3"/>
  <c r="F439" i="4"/>
  <c r="F438" i="4"/>
  <c r="F440" i="4"/>
  <c r="S218" i="3"/>
  <c r="S26" i="2" s="1"/>
  <c r="BG218" i="3"/>
  <c r="BG26" i="2" s="1"/>
  <c r="AG218" i="3"/>
  <c r="BG224" i="3"/>
  <c r="BG32" i="2" s="1"/>
  <c r="F555" i="4"/>
  <c r="F554" i="4"/>
  <c r="F553" i="4"/>
  <c r="Q233" i="3"/>
  <c r="BE233" i="3" s="1"/>
  <c r="BE41" i="2" s="1"/>
  <c r="T253" i="3"/>
  <c r="T61" i="2" s="1"/>
  <c r="BH256" i="3"/>
  <c r="BH64" i="2" s="1"/>
  <c r="F618" i="4"/>
  <c r="F619" i="4"/>
  <c r="Q261" i="3"/>
  <c r="AG272" i="3"/>
  <c r="AF272" i="3"/>
  <c r="F685" i="4"/>
  <c r="F684" i="4"/>
  <c r="Q286" i="3"/>
  <c r="BE286" i="3" s="1"/>
  <c r="BE94" i="2" s="1"/>
  <c r="S291" i="3"/>
  <c r="S99" i="2" s="1"/>
  <c r="O291" i="3"/>
  <c r="R305" i="3"/>
  <c r="BF305" i="3"/>
  <c r="BH307" i="3"/>
  <c r="W281" i="3"/>
  <c r="BK281" i="3" s="1"/>
  <c r="BK89" i="2" s="1"/>
  <c r="BG284" i="3"/>
  <c r="BG92" i="2" s="1"/>
  <c r="R298" i="3"/>
  <c r="BF298" i="3"/>
  <c r="F727" i="4"/>
  <c r="F728" i="4"/>
  <c r="BE302" i="3"/>
  <c r="BH326" i="3"/>
  <c r="P326" i="3"/>
  <c r="T326" i="3"/>
  <c r="T331" i="3"/>
  <c r="BH331" i="3" s="1"/>
  <c r="AF331" i="3"/>
  <c r="O331" i="3" s="1"/>
  <c r="F634" i="4"/>
  <c r="F635" i="4"/>
  <c r="F633" i="4"/>
  <c r="BE267" i="3"/>
  <c r="BE75" i="2" s="1"/>
  <c r="O315" i="3"/>
  <c r="R333" i="3"/>
  <c r="U343" i="3"/>
  <c r="BI343" i="3"/>
  <c r="S347" i="3"/>
  <c r="V369" i="3"/>
  <c r="BJ369" i="3" s="1"/>
  <c r="F382" i="4"/>
  <c r="F384" i="4"/>
  <c r="F383" i="4"/>
  <c r="F442" i="4"/>
  <c r="F441" i="4"/>
  <c r="F443" i="4"/>
  <c r="F502" i="4"/>
  <c r="F501" i="4"/>
  <c r="F500" i="4"/>
  <c r="F552" i="4"/>
  <c r="F551" i="4"/>
  <c r="F603" i="4"/>
  <c r="F602" i="4"/>
  <c r="F601" i="4"/>
  <c r="BH261" i="3"/>
  <c r="BH69" i="2" s="1"/>
  <c r="R264" i="3"/>
  <c r="AF267" i="3"/>
  <c r="AF75" i="2" s="1"/>
  <c r="AG269" i="3"/>
  <c r="AG77" i="2" s="1"/>
  <c r="F643" i="4"/>
  <c r="F642" i="4"/>
  <c r="F644" i="4"/>
  <c r="S276" i="3"/>
  <c r="S84" i="2" s="1"/>
  <c r="BG276" i="3"/>
  <c r="BG84" i="2" s="1"/>
  <c r="O276" i="3"/>
  <c r="AF296" i="3"/>
  <c r="BF297" i="3"/>
  <c r="AG309" i="3"/>
  <c r="P309" i="3" s="1"/>
  <c r="AF309" i="3"/>
  <c r="BH312" i="3"/>
  <c r="T315" i="3"/>
  <c r="BH315" i="3" s="1"/>
  <c r="S333" i="3"/>
  <c r="BG333" i="3" s="1"/>
  <c r="V384" i="3"/>
  <c r="BJ384" i="3"/>
  <c r="F461" i="4"/>
  <c r="F462" i="4"/>
  <c r="F460" i="4"/>
  <c r="F516" i="4"/>
  <c r="F517" i="4"/>
  <c r="F568" i="4"/>
  <c r="F567" i="4"/>
  <c r="BE260" i="3"/>
  <c r="BE68" i="2" s="1"/>
  <c r="BF270" i="3"/>
  <c r="BF78" i="2" s="1"/>
  <c r="F669" i="4"/>
  <c r="F668" i="4"/>
  <c r="R284" i="3"/>
  <c r="R92" i="2" s="1"/>
  <c r="P302" i="3"/>
  <c r="AG303" i="3"/>
  <c r="P303" i="3" s="1"/>
  <c r="AF303" i="3"/>
  <c r="O303" i="3" s="1"/>
  <c r="O306" i="3"/>
  <c r="BJ316" i="3"/>
  <c r="V316" i="3"/>
  <c r="AF319" i="3"/>
  <c r="O319" i="3" s="1"/>
  <c r="AG319" i="3"/>
  <c r="P319" i="3" s="1"/>
  <c r="BF320" i="3"/>
  <c r="T333" i="3"/>
  <c r="F480" i="4"/>
  <c r="F479" i="4"/>
  <c r="F531" i="4"/>
  <c r="F530" i="4"/>
  <c r="F532" i="4"/>
  <c r="F585" i="4"/>
  <c r="F586" i="4"/>
  <c r="BF247" i="3"/>
  <c r="BF55" i="2" s="1"/>
  <c r="BE254" i="3"/>
  <c r="BE62" i="2" s="1"/>
  <c r="BH255" i="3"/>
  <c r="BH63" i="2" s="1"/>
  <c r="BH264" i="3"/>
  <c r="BH72" i="2" s="1"/>
  <c r="P264" i="3"/>
  <c r="S270" i="3"/>
  <c r="S78" i="2" s="1"/>
  <c r="BF272" i="3"/>
  <c r="BF80" i="2" s="1"/>
  <c r="F665" i="4"/>
  <c r="F664" i="4"/>
  <c r="F663" i="4"/>
  <c r="AG282" i="3"/>
  <c r="S284" i="3"/>
  <c r="S92" i="2" s="1"/>
  <c r="F686" i="4"/>
  <c r="F687" i="4"/>
  <c r="F688" i="4"/>
  <c r="F703" i="4"/>
  <c r="F702" i="4"/>
  <c r="F701" i="4"/>
  <c r="Q292" i="3"/>
  <c r="BE292" i="3"/>
  <c r="BE100" i="2" s="1"/>
  <c r="BF294" i="3"/>
  <c r="BF102" i="2" s="1"/>
  <c r="F753" i="4"/>
  <c r="F754" i="4"/>
  <c r="BE312" i="3"/>
  <c r="F785" i="4"/>
  <c r="BE328" i="3"/>
  <c r="AG331" i="3"/>
  <c r="P331" i="3" s="1"/>
  <c r="BG352" i="3"/>
  <c r="F499" i="4"/>
  <c r="F498" i="4"/>
  <c r="F549" i="4"/>
  <c r="F550" i="4"/>
  <c r="F599" i="4"/>
  <c r="F600" i="4"/>
  <c r="F656" i="4"/>
  <c r="F657" i="4"/>
  <c r="AG277" i="3"/>
  <c r="F678" i="4"/>
  <c r="F677" i="4"/>
  <c r="F676" i="4"/>
  <c r="BE283" i="3"/>
  <c r="BE91" i="2" s="1"/>
  <c r="BH290" i="3"/>
  <c r="BH98" i="2" s="1"/>
  <c r="BF292" i="3"/>
  <c r="BF100" i="2" s="1"/>
  <c r="BG294" i="3"/>
  <c r="BG102" i="2" s="1"/>
  <c r="Q302" i="3"/>
  <c r="AF307" i="3"/>
  <c r="O307" i="3" s="1"/>
  <c r="BG319" i="3"/>
  <c r="R331" i="3"/>
  <c r="F459" i="4"/>
  <c r="F458" i="4"/>
  <c r="F457" i="4"/>
  <c r="BE202" i="3"/>
  <c r="BE10" i="2" s="1"/>
  <c r="P203" i="3"/>
  <c r="F514" i="4"/>
  <c r="F515" i="4"/>
  <c r="BE224" i="3"/>
  <c r="BE32" i="2" s="1"/>
  <c r="P225" i="3"/>
  <c r="F566" i="4"/>
  <c r="F565" i="4"/>
  <c r="BE246" i="3"/>
  <c r="BE54" i="2" s="1"/>
  <c r="P247" i="3"/>
  <c r="O254" i="3"/>
  <c r="BE266" i="3"/>
  <c r="BE74" i="2" s="1"/>
  <c r="O270" i="3"/>
  <c r="BE275" i="3"/>
  <c r="BE83" i="2" s="1"/>
  <c r="BG278" i="3"/>
  <c r="BG86" i="2" s="1"/>
  <c r="O278" i="3"/>
  <c r="T280" i="3"/>
  <c r="T88" i="2" s="1"/>
  <c r="R283" i="3"/>
  <c r="R91" i="2" s="1"/>
  <c r="BG283" i="3"/>
  <c r="BG91" i="2" s="1"/>
  <c r="S287" i="3"/>
  <c r="S95" i="2" s="1"/>
  <c r="S292" i="3"/>
  <c r="BH294" i="3"/>
  <c r="BH102" i="2" s="1"/>
  <c r="S315" i="3"/>
  <c r="BG315" i="3" s="1"/>
  <c r="AG323" i="3"/>
  <c r="AF323" i="3"/>
  <c r="O323" i="3" s="1"/>
  <c r="AF325" i="3"/>
  <c r="O325" i="3" s="1"/>
  <c r="AG325" i="3"/>
  <c r="P325" i="3" s="1"/>
  <c r="S328" i="3"/>
  <c r="BG328" i="3"/>
  <c r="O328" i="3"/>
  <c r="F529" i="4"/>
  <c r="F528" i="4"/>
  <c r="F583" i="4"/>
  <c r="F584" i="4"/>
  <c r="F614" i="4"/>
  <c r="F613" i="4"/>
  <c r="Q267" i="3"/>
  <c r="F648" i="4"/>
  <c r="F647" i="4"/>
  <c r="F649" i="4"/>
  <c r="BH278" i="3"/>
  <c r="BH86" i="2" s="1"/>
  <c r="T287" i="3"/>
  <c r="T95" i="2" s="1"/>
  <c r="BG308" i="3"/>
  <c r="BJ310" i="3"/>
  <c r="V310" i="3"/>
  <c r="V367" i="3"/>
  <c r="BJ367" i="3"/>
  <c r="O180" i="3"/>
  <c r="F437" i="4"/>
  <c r="F436" i="4"/>
  <c r="F435" i="4"/>
  <c r="BE194" i="3"/>
  <c r="P195" i="3"/>
  <c r="O202" i="3"/>
  <c r="F496" i="4"/>
  <c r="F495" i="4"/>
  <c r="F497" i="4"/>
  <c r="F548" i="4"/>
  <c r="F546" i="4"/>
  <c r="F547" i="4"/>
  <c r="F597" i="4"/>
  <c r="F598" i="4"/>
  <c r="BE269" i="3"/>
  <c r="BE77" i="2" s="1"/>
  <c r="BH275" i="3"/>
  <c r="BH83" i="2" s="1"/>
  <c r="P275" i="3"/>
  <c r="BG275" i="3"/>
  <c r="BG83" i="2" s="1"/>
  <c r="F683" i="4"/>
  <c r="F682" i="4"/>
  <c r="AG288" i="3"/>
  <c r="AG96" i="2" s="1"/>
  <c r="F704" i="4"/>
  <c r="F705" i="4"/>
  <c r="F706" i="4"/>
  <c r="Q293" i="3"/>
  <c r="AF295" i="3"/>
  <c r="AF103" i="2" s="1"/>
  <c r="BH301" i="3"/>
  <c r="T302" i="3"/>
  <c r="BH302" i="3" s="1"/>
  <c r="BH308" i="3"/>
  <c r="P308" i="3"/>
  <c r="P328" i="3"/>
  <c r="O330" i="3"/>
  <c r="V352" i="3"/>
  <c r="BJ352" i="3"/>
  <c r="BF360" i="3"/>
  <c r="F395" i="4"/>
  <c r="F397" i="4"/>
  <c r="F396" i="4"/>
  <c r="F454" i="4"/>
  <c r="F455" i="4"/>
  <c r="F456" i="4"/>
  <c r="Q195" i="3"/>
  <c r="F513" i="4"/>
  <c r="F512" i="4"/>
  <c r="Q217" i="3"/>
  <c r="BE223" i="3"/>
  <c r="BE31" i="2" s="1"/>
  <c r="P224" i="3"/>
  <c r="BH224" i="3"/>
  <c r="BH32" i="2" s="1"/>
  <c r="O231" i="3"/>
  <c r="BG231" i="3"/>
  <c r="BG39" i="2" s="1"/>
  <c r="F564" i="4"/>
  <c r="F563" i="4"/>
  <c r="F562" i="4"/>
  <c r="BF238" i="3"/>
  <c r="BF46" i="2" s="1"/>
  <c r="Q239" i="3"/>
  <c r="P246" i="3"/>
  <c r="O253" i="3"/>
  <c r="BG253" i="3"/>
  <c r="BG61" i="2" s="1"/>
  <c r="AF262" i="3"/>
  <c r="F623" i="4"/>
  <c r="F624" i="4"/>
  <c r="BE263" i="3"/>
  <c r="BE71" i="2" s="1"/>
  <c r="BH263" i="3"/>
  <c r="BH71" i="2" s="1"/>
  <c r="BF269" i="3"/>
  <c r="BF77" i="2" s="1"/>
  <c r="AF273" i="3"/>
  <c r="R278" i="3"/>
  <c r="R86" i="2" s="1"/>
  <c r="R285" i="3"/>
  <c r="R93" i="2" s="1"/>
  <c r="BF285" i="3"/>
  <c r="BF93" i="2" s="1"/>
  <c r="P287" i="3"/>
  <c r="F711" i="4"/>
  <c r="F713" i="4"/>
  <c r="F712" i="4"/>
  <c r="BE296" i="3"/>
  <c r="BE104" i="2" s="1"/>
  <c r="BH296" i="3"/>
  <c r="BH104" i="2" s="1"/>
  <c r="F724" i="4"/>
  <c r="F723" i="4"/>
  <c r="F722" i="4"/>
  <c r="Q300" i="3"/>
  <c r="BF317" i="3"/>
  <c r="S318" i="3"/>
  <c r="F809" i="4"/>
  <c r="F808" i="4"/>
  <c r="Q338" i="3"/>
  <c r="BE338" i="3" s="1"/>
  <c r="R367" i="3"/>
  <c r="BF367" i="3" s="1"/>
  <c r="F581" i="4"/>
  <c r="F582" i="4"/>
  <c r="BH259" i="3"/>
  <c r="BH67" i="2" s="1"/>
  <c r="BG269" i="3"/>
  <c r="BG77" i="2" s="1"/>
  <c r="T272" i="3"/>
  <c r="T80" i="2" s="1"/>
  <c r="F655" i="4"/>
  <c r="F654" i="4"/>
  <c r="F653" i="4"/>
  <c r="BG285" i="3"/>
  <c r="BG93" i="2" s="1"/>
  <c r="F694" i="4"/>
  <c r="F693" i="4"/>
  <c r="F692" i="4"/>
  <c r="BE289" i="3"/>
  <c r="BE97" i="2" s="1"/>
  <c r="AG291" i="3"/>
  <c r="AG99" i="2" s="1"/>
  <c r="AF291" i="3"/>
  <c r="AF99" i="2" s="1"/>
  <c r="S293" i="3"/>
  <c r="S101" i="2" s="1"/>
  <c r="BG293" i="3"/>
  <c r="BG101" i="2" s="1"/>
  <c r="O293" i="3"/>
  <c r="F707" i="4"/>
  <c r="F708" i="4"/>
  <c r="BG298" i="3"/>
  <c r="F720" i="4"/>
  <c r="F721" i="4"/>
  <c r="F719" i="4"/>
  <c r="Q299" i="3"/>
  <c r="BE299" i="3"/>
  <c r="R300" i="3"/>
  <c r="S304" i="3"/>
  <c r="BG304" i="3" s="1"/>
  <c r="T318" i="3"/>
  <c r="BH318" i="3" s="1"/>
  <c r="T328" i="3"/>
  <c r="F801" i="4"/>
  <c r="F800" i="4"/>
  <c r="Q335" i="3"/>
  <c r="BE335" i="3"/>
  <c r="T337" i="3"/>
  <c r="BH337" i="3"/>
  <c r="P337" i="3"/>
  <c r="AG284" i="3"/>
  <c r="AG92" i="2" s="1"/>
  <c r="AF284" i="3"/>
  <c r="AF92" i="2" s="1"/>
  <c r="T285" i="3"/>
  <c r="T93" i="2" s="1"/>
  <c r="BF289" i="3"/>
  <c r="BF97" i="2" s="1"/>
  <c r="BG289" i="3"/>
  <c r="BG97" i="2" s="1"/>
  <c r="T293" i="3"/>
  <c r="T101" i="2" s="1"/>
  <c r="BH293" i="3"/>
  <c r="BH101" i="2" s="1"/>
  <c r="T298" i="3"/>
  <c r="BH298" i="3" s="1"/>
  <c r="R299" i="3"/>
  <c r="BF299" i="3"/>
  <c r="S300" i="3"/>
  <c r="BG300" i="3" s="1"/>
  <c r="F725" i="4"/>
  <c r="F726" i="4"/>
  <c r="BE301" i="3"/>
  <c r="AF306" i="3"/>
  <c r="S332" i="3"/>
  <c r="BG332" i="3"/>
  <c r="R335" i="3"/>
  <c r="BF335" i="3"/>
  <c r="BI337" i="3"/>
  <c r="BF340" i="3"/>
  <c r="F815" i="4"/>
  <c r="F814" i="4"/>
  <c r="Q341" i="3"/>
  <c r="BE341" i="3"/>
  <c r="F825" i="4"/>
  <c r="F824" i="4"/>
  <c r="Q346" i="3"/>
  <c r="BE346" i="3"/>
  <c r="S357" i="3"/>
  <c r="BG357" i="3"/>
  <c r="O357" i="3"/>
  <c r="T300" i="3"/>
  <c r="BH300" i="3" s="1"/>
  <c r="P300" i="3"/>
  <c r="F740" i="4"/>
  <c r="F741" i="4"/>
  <c r="F739" i="4"/>
  <c r="BE307" i="3"/>
  <c r="T332" i="3"/>
  <c r="BH332" i="3"/>
  <c r="S335" i="3"/>
  <c r="BG335" i="3" s="1"/>
  <c r="O335" i="3"/>
  <c r="F816" i="4"/>
  <c r="F817" i="4"/>
  <c r="Q342" i="3"/>
  <c r="BE342" i="3"/>
  <c r="V345" i="3"/>
  <c r="BJ345" i="3" s="1"/>
  <c r="R346" i="3"/>
  <c r="BF346" i="3"/>
  <c r="U349" i="3"/>
  <c r="BI349" i="3"/>
  <c r="V358" i="3"/>
  <c r="BJ358" i="3" s="1"/>
  <c r="F472" i="4"/>
  <c r="F471" i="4"/>
  <c r="F525" i="4"/>
  <c r="F524" i="4"/>
  <c r="Q223" i="3"/>
  <c r="F579" i="4"/>
  <c r="F578" i="4"/>
  <c r="F580" i="4"/>
  <c r="Q245" i="3"/>
  <c r="BE245" i="3" s="1"/>
  <c r="BE53" i="2" s="1"/>
  <c r="Q259" i="3"/>
  <c r="T269" i="3"/>
  <c r="T77" i="2" s="1"/>
  <c r="P269" i="3"/>
  <c r="Q272" i="3"/>
  <c r="T275" i="3"/>
  <c r="T83" i="2" s="1"/>
  <c r="BG282" i="3"/>
  <c r="BG90" i="2" s="1"/>
  <c r="O282" i="3"/>
  <c r="Q285" i="3"/>
  <c r="BE285" i="3" s="1"/>
  <c r="BE93" i="2" s="1"/>
  <c r="AG311" i="3"/>
  <c r="S330" i="3"/>
  <c r="BG330" i="3" s="1"/>
  <c r="O332" i="3"/>
  <c r="AF351" i="3"/>
  <c r="U352" i="3"/>
  <c r="W352" i="3" s="1"/>
  <c r="BI352" i="3"/>
  <c r="F543" i="4"/>
  <c r="F542" i="4"/>
  <c r="F541" i="4"/>
  <c r="F594" i="4"/>
  <c r="F593" i="4"/>
  <c r="F629" i="4"/>
  <c r="F628" i="4"/>
  <c r="F627" i="4"/>
  <c r="AF276" i="3"/>
  <c r="AF84" i="2" s="1"/>
  <c r="R277" i="3"/>
  <c r="AG297" i="3"/>
  <c r="P297" i="3" s="1"/>
  <c r="AF297" i="3"/>
  <c r="O297" i="3" s="1"/>
  <c r="F773" i="4"/>
  <c r="F772" i="4"/>
  <c r="F771" i="4"/>
  <c r="Q320" i="3"/>
  <c r="BE320" i="3"/>
  <c r="F777" i="4"/>
  <c r="F776" i="4"/>
  <c r="BE322" i="3"/>
  <c r="BF327" i="3"/>
  <c r="T346" i="3"/>
  <c r="BH346" i="3" s="1"/>
  <c r="F610" i="4"/>
  <c r="F609" i="4"/>
  <c r="BH258" i="3"/>
  <c r="BH66" i="2" s="1"/>
  <c r="F667" i="4"/>
  <c r="F666" i="4"/>
  <c r="Q279" i="3"/>
  <c r="BH303" i="3"/>
  <c r="BF309" i="3"/>
  <c r="W312" i="3"/>
  <c r="Y312" i="3" s="1"/>
  <c r="BF329" i="3"/>
  <c r="U337" i="3"/>
  <c r="R341" i="3"/>
  <c r="BF341" i="3" s="1"/>
  <c r="F469" i="4"/>
  <c r="F470" i="4"/>
  <c r="F522" i="4"/>
  <c r="F523" i="4"/>
  <c r="BE228" i="3"/>
  <c r="BE36" i="2" s="1"/>
  <c r="P229" i="3"/>
  <c r="O236" i="3"/>
  <c r="F577" i="4"/>
  <c r="F576" i="4"/>
  <c r="F575" i="4"/>
  <c r="Q244" i="3"/>
  <c r="BE250" i="3"/>
  <c r="BE58" i="2" s="1"/>
  <c r="P251" i="3"/>
  <c r="F621" i="4"/>
  <c r="F622" i="4"/>
  <c r="F620" i="4"/>
  <c r="Q262" i="3"/>
  <c r="F646" i="4"/>
  <c r="F645" i="4"/>
  <c r="Q271" i="3"/>
  <c r="Q274" i="3"/>
  <c r="R279" i="3"/>
  <c r="F670" i="4"/>
  <c r="F672" i="4"/>
  <c r="F671" i="4"/>
  <c r="BE281" i="3"/>
  <c r="BE89" i="2" s="1"/>
  <c r="Q289" i="3"/>
  <c r="Q294" i="3"/>
  <c r="BE294" i="3" s="1"/>
  <c r="BE102" i="2" s="1"/>
  <c r="BG297" i="3"/>
  <c r="P301" i="3"/>
  <c r="F735" i="4"/>
  <c r="F734" i="4"/>
  <c r="Q305" i="3"/>
  <c r="F747" i="4"/>
  <c r="F749" i="4"/>
  <c r="F748" i="4"/>
  <c r="Q310" i="3"/>
  <c r="F750" i="4"/>
  <c r="F752" i="4"/>
  <c r="F751" i="4"/>
  <c r="BF313" i="3"/>
  <c r="AG318" i="3"/>
  <c r="P318" i="3" s="1"/>
  <c r="AF318" i="3"/>
  <c r="O318" i="3" s="1"/>
  <c r="R321" i="3"/>
  <c r="BF321" i="3" s="1"/>
  <c r="S322" i="3"/>
  <c r="BG322" i="3"/>
  <c r="AG344" i="3"/>
  <c r="AF344" i="3"/>
  <c r="AG348" i="3"/>
  <c r="P348" i="3" s="1"/>
  <c r="S356" i="3"/>
  <c r="BG356" i="3"/>
  <c r="AF342" i="3"/>
  <c r="O342" i="3" s="1"/>
  <c r="BG353" i="3"/>
  <c r="V357" i="3"/>
  <c r="BJ357" i="3"/>
  <c r="V371" i="3"/>
  <c r="BJ371" i="3" s="1"/>
  <c r="U388" i="3"/>
  <c r="BI388" i="3"/>
  <c r="F660" i="4"/>
  <c r="F662" i="4"/>
  <c r="F661" i="4"/>
  <c r="F764" i="4"/>
  <c r="F765" i="4"/>
  <c r="Q317" i="3"/>
  <c r="BE317" i="3" s="1"/>
  <c r="T320" i="3"/>
  <c r="BH320" i="3"/>
  <c r="P320" i="3"/>
  <c r="R322" i="3"/>
  <c r="BF322" i="3" s="1"/>
  <c r="BG324" i="3"/>
  <c r="R325" i="3"/>
  <c r="BF325" i="3" s="1"/>
  <c r="AG334" i="3"/>
  <c r="P334" i="3" s="1"/>
  <c r="BF338" i="3"/>
  <c r="BF359" i="3"/>
  <c r="AG363" i="3"/>
  <c r="P363" i="3" s="1"/>
  <c r="AF363" i="3"/>
  <c r="O363" i="3" s="1"/>
  <c r="P372" i="3"/>
  <c r="T372" i="3"/>
  <c r="BH372" i="3" s="1"/>
  <c r="F681" i="4"/>
  <c r="F680" i="4"/>
  <c r="F679" i="4"/>
  <c r="F716" i="4"/>
  <c r="F717" i="4"/>
  <c r="F718" i="4"/>
  <c r="BH324" i="3"/>
  <c r="P324" i="3"/>
  <c r="BF339" i="3"/>
  <c r="F819" i="4"/>
  <c r="F818" i="4"/>
  <c r="BE343" i="3"/>
  <c r="BF356" i="3"/>
  <c r="U364" i="3"/>
  <c r="BI364" i="3"/>
  <c r="F640" i="4"/>
  <c r="F641" i="4"/>
  <c r="F639" i="4"/>
  <c r="BE277" i="3"/>
  <c r="BE85" i="2" s="1"/>
  <c r="P278" i="3"/>
  <c r="O285" i="3"/>
  <c r="F699" i="4"/>
  <c r="F698" i="4"/>
  <c r="F700" i="4"/>
  <c r="BH304" i="3"/>
  <c r="T314" i="3"/>
  <c r="BH314" i="3" s="1"/>
  <c r="R329" i="3"/>
  <c r="F803" i="4"/>
  <c r="F804" i="4"/>
  <c r="F802" i="4"/>
  <c r="Q336" i="3"/>
  <c r="BG339" i="3"/>
  <c r="AG340" i="3"/>
  <c r="P340" i="3" s="1"/>
  <c r="AF340" i="3"/>
  <c r="O340" i="3" s="1"/>
  <c r="T342" i="3"/>
  <c r="BH342" i="3" s="1"/>
  <c r="P342" i="3"/>
  <c r="T347" i="3"/>
  <c r="BH347" i="3"/>
  <c r="F829" i="4"/>
  <c r="F828" i="4"/>
  <c r="BE348" i="3"/>
  <c r="V364" i="3"/>
  <c r="BJ364" i="3" s="1"/>
  <c r="BF371" i="3"/>
  <c r="BE377" i="3"/>
  <c r="F745" i="4"/>
  <c r="F746" i="4"/>
  <c r="BH317" i="3"/>
  <c r="BF333" i="3"/>
  <c r="F831" i="4"/>
  <c r="F830" i="4"/>
  <c r="Q349" i="3"/>
  <c r="BE349" i="3"/>
  <c r="AG353" i="3"/>
  <c r="P353" i="3" s="1"/>
  <c r="V355" i="3"/>
  <c r="BJ355" i="3"/>
  <c r="AG376" i="3"/>
  <c r="P376" i="3" s="1"/>
  <c r="AF376" i="3"/>
  <c r="O376" i="3" s="1"/>
  <c r="F731" i="4"/>
  <c r="F730" i="4"/>
  <c r="F729" i="4"/>
  <c r="BE303" i="3"/>
  <c r="BE309" i="3"/>
  <c r="AG315" i="3"/>
  <c r="P315" i="3" s="1"/>
  <c r="F791" i="4"/>
  <c r="F792" i="4"/>
  <c r="Q331" i="3"/>
  <c r="O333" i="3"/>
  <c r="BE337" i="3"/>
  <c r="T343" i="3"/>
  <c r="BH343" i="3"/>
  <c r="P343" i="3"/>
  <c r="S348" i="3"/>
  <c r="BG348" i="3" s="1"/>
  <c r="R349" i="3"/>
  <c r="BF349" i="3" s="1"/>
  <c r="S350" i="3"/>
  <c r="BG350" i="3"/>
  <c r="O350" i="3"/>
  <c r="R351" i="3"/>
  <c r="BF351" i="3" s="1"/>
  <c r="AG362" i="3"/>
  <c r="P362" i="3" s="1"/>
  <c r="AF362" i="3"/>
  <c r="O362" i="3" s="1"/>
  <c r="BI378" i="3"/>
  <c r="U378" i="3"/>
  <c r="V381" i="3"/>
  <c r="BJ381" i="3" s="1"/>
  <c r="F911" i="4"/>
  <c r="F912" i="4"/>
  <c r="BE384" i="3"/>
  <c r="Q384" i="3"/>
  <c r="F696" i="4"/>
  <c r="F697" i="4"/>
  <c r="F695" i="4"/>
  <c r="F715" i="4"/>
  <c r="F714" i="4"/>
  <c r="O298" i="3"/>
  <c r="BF303" i="3"/>
  <c r="BG309" i="3"/>
  <c r="O309" i="3"/>
  <c r="F761" i="4"/>
  <c r="F763" i="4"/>
  <c r="F762" i="4"/>
  <c r="P317" i="3"/>
  <c r="F775" i="4"/>
  <c r="F774" i="4"/>
  <c r="AF322" i="3"/>
  <c r="O322" i="3" s="1"/>
  <c r="F778" i="4"/>
  <c r="F779" i="4"/>
  <c r="BE323" i="3"/>
  <c r="O329" i="3"/>
  <c r="BF331" i="3"/>
  <c r="T336" i="3"/>
  <c r="BH336" i="3" s="1"/>
  <c r="BH340" i="3"/>
  <c r="AF346" i="3"/>
  <c r="BH348" i="3"/>
  <c r="S349" i="3"/>
  <c r="T350" i="3"/>
  <c r="BH350" i="3"/>
  <c r="P350" i="3"/>
  <c r="S351" i="3"/>
  <c r="BG351" i="3"/>
  <c r="O351" i="3"/>
  <c r="AG354" i="3"/>
  <c r="P354" i="3" s="1"/>
  <c r="AF358" i="3"/>
  <c r="O358" i="3" s="1"/>
  <c r="F879" i="4"/>
  <c r="F880" i="4"/>
  <c r="F878" i="4"/>
  <c r="Q370" i="3"/>
  <c r="BJ378" i="3"/>
  <c r="V378" i="3"/>
  <c r="P298" i="3"/>
  <c r="S303" i="3"/>
  <c r="BG303" i="3"/>
  <c r="F743" i="4"/>
  <c r="F744" i="4"/>
  <c r="F742" i="4"/>
  <c r="BH309" i="3"/>
  <c r="F756" i="4"/>
  <c r="F755" i="4"/>
  <c r="BE313" i="3"/>
  <c r="BF316" i="3"/>
  <c r="BH323" i="3"/>
  <c r="BF330" i="3"/>
  <c r="BF337" i="3"/>
  <c r="Q343" i="3"/>
  <c r="Q348" i="3"/>
  <c r="T349" i="3"/>
  <c r="BH349" i="3"/>
  <c r="P349" i="3"/>
  <c r="F875" i="4"/>
  <c r="Q368" i="3"/>
  <c r="F616" i="4"/>
  <c r="F617" i="4"/>
  <c r="F615" i="4"/>
  <c r="F675" i="4"/>
  <c r="F674" i="4"/>
  <c r="F673" i="4"/>
  <c r="BF283" i="3"/>
  <c r="BF91" i="2" s="1"/>
  <c r="Q284" i="3"/>
  <c r="BE290" i="3"/>
  <c r="BE98" i="2" s="1"/>
  <c r="BH291" i="3"/>
  <c r="BH99" i="2" s="1"/>
  <c r="Q298" i="3"/>
  <c r="F769" i="4"/>
  <c r="F770" i="4"/>
  <c r="F768" i="4"/>
  <c r="BE319" i="3"/>
  <c r="S321" i="3"/>
  <c r="G784" i="4"/>
  <c r="H784" i="4"/>
  <c r="R784" i="4" s="1"/>
  <c r="AO327" i="3" s="1"/>
  <c r="AG332" i="3"/>
  <c r="P332" i="3" s="1"/>
  <c r="BG337" i="3"/>
  <c r="R348" i="3"/>
  <c r="BF348" i="3" s="1"/>
  <c r="BH354" i="3"/>
  <c r="AF354" i="3"/>
  <c r="R368" i="3"/>
  <c r="BF368" i="3" s="1"/>
  <c r="BE308" i="3"/>
  <c r="Q309" i="3"/>
  <c r="BG313" i="3"/>
  <c r="BF319" i="3"/>
  <c r="T321" i="3"/>
  <c r="BH321" i="3" s="1"/>
  <c r="P321" i="3"/>
  <c r="F782" i="4"/>
  <c r="BE325" i="3"/>
  <c r="R327" i="3"/>
  <c r="S344" i="3"/>
  <c r="BG344" i="3"/>
  <c r="O344" i="3"/>
  <c r="S327" i="3"/>
  <c r="BG327" i="3"/>
  <c r="O327" i="3"/>
  <c r="T344" i="3"/>
  <c r="BH344" i="3"/>
  <c r="P344" i="3"/>
  <c r="AG347" i="3"/>
  <c r="P347" i="3" s="1"/>
  <c r="AF347" i="3"/>
  <c r="O347" i="3" s="1"/>
  <c r="BE355" i="3"/>
  <c r="BH356" i="3"/>
  <c r="Q361" i="3"/>
  <c r="BE361" i="3" s="1"/>
  <c r="BF366" i="3"/>
  <c r="U375" i="3"/>
  <c r="BI375" i="3" s="1"/>
  <c r="O308" i="3"/>
  <c r="AF324" i="3"/>
  <c r="O324" i="3" s="1"/>
  <c r="BH327" i="3"/>
  <c r="P327" i="3"/>
  <c r="BF328" i="3"/>
  <c r="S331" i="3"/>
  <c r="BG331" i="3" s="1"/>
  <c r="AG337" i="3"/>
  <c r="AG346" i="3"/>
  <c r="P346" i="3" s="1"/>
  <c r="R354" i="3"/>
  <c r="BF354" i="3"/>
  <c r="F856" i="4"/>
  <c r="F855" i="4"/>
  <c r="F857" i="4"/>
  <c r="Q358" i="3"/>
  <c r="BE358" i="3"/>
  <c r="S365" i="3"/>
  <c r="O365" i="3"/>
  <c r="V375" i="3"/>
  <c r="BJ375" i="3"/>
  <c r="S383" i="3"/>
  <c r="BG383" i="3"/>
  <c r="O383" i="3"/>
  <c r="F632" i="4"/>
  <c r="F631" i="4"/>
  <c r="F630" i="4"/>
  <c r="F689" i="4"/>
  <c r="F690" i="4"/>
  <c r="F691" i="4"/>
  <c r="Q290" i="3"/>
  <c r="Q297" i="3"/>
  <c r="AF300" i="3"/>
  <c r="O300" i="3" s="1"/>
  <c r="Q316" i="3"/>
  <c r="BE316" i="3" s="1"/>
  <c r="Q323" i="3"/>
  <c r="Q327" i="3"/>
  <c r="BH339" i="3"/>
  <c r="BF342" i="3"/>
  <c r="F823" i="4"/>
  <c r="F822" i="4"/>
  <c r="BE345" i="3"/>
  <c r="S354" i="3"/>
  <c r="BG354" i="3" s="1"/>
  <c r="R358" i="3"/>
  <c r="BF358" i="3" s="1"/>
  <c r="T365" i="3"/>
  <c r="P365" i="3"/>
  <c r="O326" i="3"/>
  <c r="R334" i="3"/>
  <c r="BF334" i="3" s="1"/>
  <c r="AF348" i="3"/>
  <c r="O348" i="3" s="1"/>
  <c r="BG349" i="3"/>
  <c r="AG351" i="3"/>
  <c r="P351" i="3" s="1"/>
  <c r="BH355" i="3"/>
  <c r="T362" i="3"/>
  <c r="BH362" i="3"/>
  <c r="F870" i="4"/>
  <c r="F871" i="4"/>
  <c r="Q364" i="3"/>
  <c r="U387" i="3"/>
  <c r="BI387" i="3"/>
  <c r="AG329" i="3"/>
  <c r="P329" i="3" s="1"/>
  <c r="AG333" i="3"/>
  <c r="P333" i="3" s="1"/>
  <c r="BG334" i="3"/>
  <c r="O334" i="3"/>
  <c r="AF336" i="3"/>
  <c r="O336" i="3" s="1"/>
  <c r="R357" i="3"/>
  <c r="BF357" i="3"/>
  <c r="T359" i="3"/>
  <c r="BH359" i="3"/>
  <c r="P359" i="3"/>
  <c r="U372" i="3"/>
  <c r="BI372" i="3"/>
  <c r="F834" i="4"/>
  <c r="F833" i="4"/>
  <c r="F832" i="4"/>
  <c r="BG368" i="3"/>
  <c r="O368" i="3"/>
  <c r="V387" i="3"/>
  <c r="BJ387" i="3"/>
  <c r="F852" i="4"/>
  <c r="F853" i="4"/>
  <c r="F854" i="4"/>
  <c r="BG370" i="3"/>
  <c r="O370" i="3"/>
  <c r="BE376" i="3"/>
  <c r="T381" i="3"/>
  <c r="BH381" i="3"/>
  <c r="U384" i="3"/>
  <c r="BI384" i="3"/>
  <c r="BF364" i="3"/>
  <c r="P370" i="3"/>
  <c r="F891" i="4"/>
  <c r="F892" i="4"/>
  <c r="Q375" i="3"/>
  <c r="BE375" i="3" s="1"/>
  <c r="F798" i="4"/>
  <c r="F799" i="4"/>
  <c r="F849" i="4"/>
  <c r="F851" i="4"/>
  <c r="F850" i="4"/>
  <c r="BG364" i="3"/>
  <c r="H874" i="4"/>
  <c r="R874" i="4" s="1"/>
  <c r="AO367" i="3" s="1"/>
  <c r="G874" i="4"/>
  <c r="F868" i="4"/>
  <c r="F869" i="4"/>
  <c r="BH364" i="3"/>
  <c r="BG367" i="3"/>
  <c r="S368" i="3"/>
  <c r="R370" i="3"/>
  <c r="BF370" i="3" s="1"/>
  <c r="T378" i="3"/>
  <c r="F900" i="4"/>
  <c r="F899" i="4"/>
  <c r="Q379" i="3"/>
  <c r="BE379" i="3" s="1"/>
  <c r="F923" i="4"/>
  <c r="F924" i="4"/>
  <c r="Q390" i="3"/>
  <c r="BE390" i="3"/>
  <c r="T391" i="3"/>
  <c r="BH391" i="3"/>
  <c r="P391" i="3"/>
  <c r="F796" i="4"/>
  <c r="F797" i="4"/>
  <c r="F795" i="4"/>
  <c r="F846" i="4"/>
  <c r="F848" i="4"/>
  <c r="F847" i="4"/>
  <c r="Q357" i="3"/>
  <c r="BF369" i="3"/>
  <c r="AF371" i="3"/>
  <c r="O371" i="3" s="1"/>
  <c r="AG377" i="3"/>
  <c r="P377" i="3" s="1"/>
  <c r="BG379" i="3"/>
  <c r="O379" i="3"/>
  <c r="AF382" i="3"/>
  <c r="O382" i="3" s="1"/>
  <c r="BH385" i="3"/>
  <c r="P385" i="3"/>
  <c r="T385" i="3"/>
  <c r="R390" i="3"/>
  <c r="BF390" i="3" s="1"/>
  <c r="F766" i="4"/>
  <c r="F767" i="4"/>
  <c r="F812" i="4"/>
  <c r="F813" i="4"/>
  <c r="F866" i="4"/>
  <c r="F867" i="4"/>
  <c r="BF363" i="3"/>
  <c r="O367" i="3"/>
  <c r="V368" i="3"/>
  <c r="BG369" i="3"/>
  <c r="F883" i="4"/>
  <c r="F882" i="4"/>
  <c r="F881" i="4"/>
  <c r="BE371" i="3"/>
  <c r="S373" i="3"/>
  <c r="T377" i="3"/>
  <c r="BH377" i="3" s="1"/>
  <c r="T379" i="3"/>
  <c r="BH379" i="3" s="1"/>
  <c r="P379" i="3"/>
  <c r="AF381" i="3"/>
  <c r="O381" i="3" s="1"/>
  <c r="BE383" i="3"/>
  <c r="F826" i="4"/>
  <c r="F827" i="4"/>
  <c r="R371" i="3"/>
  <c r="T373" i="3"/>
  <c r="BH373" i="3" s="1"/>
  <c r="P373" i="3"/>
  <c r="F917" i="4"/>
  <c r="F918" i="4"/>
  <c r="Q387" i="3"/>
  <c r="BE387" i="3"/>
  <c r="F793" i="4"/>
  <c r="F794" i="4"/>
  <c r="Q334" i="3"/>
  <c r="BE340" i="3"/>
  <c r="P341" i="3"/>
  <c r="BH341" i="3"/>
  <c r="F844" i="4"/>
  <c r="F845" i="4"/>
  <c r="BF355" i="3"/>
  <c r="Q356" i="3"/>
  <c r="AF361" i="3"/>
  <c r="O361" i="3" s="1"/>
  <c r="BH363" i="3"/>
  <c r="BE366" i="3"/>
  <c r="Q367" i="3"/>
  <c r="F877" i="4"/>
  <c r="F876" i="4"/>
  <c r="O373" i="3"/>
  <c r="S379" i="3"/>
  <c r="R386" i="3"/>
  <c r="BF386" i="3"/>
  <c r="R387" i="3"/>
  <c r="S389" i="3"/>
  <c r="BG389" i="3"/>
  <c r="O389" i="3"/>
  <c r="V390" i="3"/>
  <c r="BJ390" i="3"/>
  <c r="F810" i="4"/>
  <c r="F811" i="4"/>
  <c r="BE347" i="3"/>
  <c r="O355" i="3"/>
  <c r="F864" i="4"/>
  <c r="F863" i="4"/>
  <c r="F865" i="4"/>
  <c r="Q363" i="3"/>
  <c r="AF370" i="3"/>
  <c r="AF374" i="3"/>
  <c r="O374" i="3" s="1"/>
  <c r="T388" i="3"/>
  <c r="BH388" i="3"/>
  <c r="P388" i="3"/>
  <c r="AF353" i="3"/>
  <c r="O353" i="3" s="1"/>
  <c r="H873" i="4"/>
  <c r="R873" i="4" s="1"/>
  <c r="AO366" i="3" s="1"/>
  <c r="G873" i="4"/>
  <c r="S380" i="3"/>
  <c r="BG380" i="3"/>
  <c r="O380" i="3"/>
  <c r="F842" i="4"/>
  <c r="F841" i="4"/>
  <c r="F843" i="4"/>
  <c r="Q355" i="3"/>
  <c r="BH366" i="3"/>
  <c r="S376" i="3"/>
  <c r="BG376" i="3" s="1"/>
  <c r="F905" i="4"/>
  <c r="F906" i="4"/>
  <c r="F904" i="4"/>
  <c r="BE381" i="3"/>
  <c r="AG383" i="3"/>
  <c r="AF391" i="3"/>
  <c r="O391" i="3" s="1"/>
  <c r="O354" i="3"/>
  <c r="F861" i="4"/>
  <c r="F862" i="4"/>
  <c r="Q362" i="3"/>
  <c r="BE362" i="3" s="1"/>
  <c r="O369" i="3"/>
  <c r="Q371" i="3"/>
  <c r="AG374" i="3"/>
  <c r="P374" i="3" s="1"/>
  <c r="T376" i="3"/>
  <c r="BH376" i="3"/>
  <c r="F895" i="4"/>
  <c r="F896" i="4"/>
  <c r="P380" i="3"/>
  <c r="AG385" i="3"/>
  <c r="AF385" i="3"/>
  <c r="O385" i="3" s="1"/>
  <c r="BF377" i="3"/>
  <c r="R377" i="3"/>
  <c r="F789" i="4"/>
  <c r="F790" i="4"/>
  <c r="O346" i="3"/>
  <c r="F840" i="4"/>
  <c r="F839" i="4"/>
  <c r="F838" i="4"/>
  <c r="Q354" i="3"/>
  <c r="BE360" i="3"/>
  <c r="P361" i="3"/>
  <c r="Q369" i="3"/>
  <c r="AG370" i="3"/>
  <c r="BG377" i="3"/>
  <c r="O377" i="3"/>
  <c r="S377" i="3"/>
  <c r="F759" i="4"/>
  <c r="F760" i="4"/>
  <c r="F805" i="4"/>
  <c r="F807" i="4"/>
  <c r="F806" i="4"/>
  <c r="F858" i="4"/>
  <c r="F859" i="4"/>
  <c r="F860" i="4"/>
  <c r="P366" i="3"/>
  <c r="BH370" i="3"/>
  <c r="BF374" i="3"/>
  <c r="F821" i="4"/>
  <c r="F820" i="4"/>
  <c r="G872" i="4"/>
  <c r="H872" i="4"/>
  <c r="R872" i="4" s="1"/>
  <c r="AO365" i="3" s="1"/>
  <c r="BE365" i="3"/>
  <c r="Q366" i="3"/>
  <c r="F885" i="4"/>
  <c r="F884" i="4"/>
  <c r="BE372" i="3"/>
  <c r="AG373" i="3"/>
  <c r="S374" i="3"/>
  <c r="Q381" i="3"/>
  <c r="T382" i="3"/>
  <c r="BH382" i="3"/>
  <c r="P382" i="3"/>
  <c r="F787" i="4"/>
  <c r="F786" i="4"/>
  <c r="F788" i="4"/>
  <c r="O345" i="3"/>
  <c r="F837" i="4"/>
  <c r="F836" i="4"/>
  <c r="F835" i="4"/>
  <c r="Q353" i="3"/>
  <c r="BE359" i="3"/>
  <c r="P360" i="3"/>
  <c r="BH375" i="3"/>
  <c r="F897" i="4"/>
  <c r="F898" i="4"/>
  <c r="Q378" i="3"/>
  <c r="BE378" i="3" s="1"/>
  <c r="R383" i="3"/>
  <c r="BF383" i="3"/>
  <c r="F907" i="4"/>
  <c r="F908" i="4"/>
  <c r="F921" i="4"/>
  <c r="F922" i="4"/>
  <c r="T392" i="3"/>
  <c r="BH392" i="3" s="1"/>
  <c r="F890" i="4"/>
  <c r="F889" i="4"/>
  <c r="BF375" i="3"/>
  <c r="BE382" i="3"/>
  <c r="P383" i="3"/>
  <c r="BH383" i="3"/>
  <c r="O390" i="3"/>
  <c r="BG390" i="3"/>
  <c r="F919" i="4"/>
  <c r="F920" i="4"/>
  <c r="BF389" i="3"/>
  <c r="F887" i="4"/>
  <c r="F886" i="4"/>
  <c r="F888" i="4"/>
  <c r="AF380" i="3"/>
  <c r="F902" i="4"/>
  <c r="F901" i="4"/>
  <c r="F903" i="4"/>
  <c r="BF381" i="3"/>
  <c r="Q382" i="3"/>
  <c r="BE388" i="3"/>
  <c r="P389" i="3"/>
  <c r="BH389" i="3"/>
  <c r="F916" i="4"/>
  <c r="F915" i="4"/>
  <c r="BF387" i="3"/>
  <c r="Q388" i="3"/>
  <c r="F914" i="4"/>
  <c r="F913" i="4"/>
  <c r="O386" i="3"/>
  <c r="BG386" i="3"/>
  <c r="F929" i="4"/>
  <c r="F928" i="4"/>
  <c r="F927" i="4"/>
  <c r="BE392" i="3"/>
  <c r="F925" i="4"/>
  <c r="F926" i="4"/>
  <c r="F893" i="4"/>
  <c r="F894" i="4"/>
  <c r="O392" i="3"/>
  <c r="F909" i="4"/>
  <c r="F910" i="4"/>
  <c r="BE391" i="3"/>
  <c r="P392" i="3"/>
  <c r="U374" i="3" l="1"/>
  <c r="BI374" i="3" s="1"/>
  <c r="V363" i="3"/>
  <c r="BJ363" i="3" s="1"/>
  <c r="U145" i="3"/>
  <c r="BI145" i="3" s="1"/>
  <c r="U134" i="3"/>
  <c r="BI134" i="3"/>
  <c r="BJ133" i="3"/>
  <c r="V133" i="3"/>
  <c r="U348" i="3"/>
  <c r="BI348" i="3"/>
  <c r="V348" i="3"/>
  <c r="BJ348" i="3"/>
  <c r="U130" i="3"/>
  <c r="BI130" i="3"/>
  <c r="V147" i="3"/>
  <c r="BJ147" i="3" s="1"/>
  <c r="U324" i="3"/>
  <c r="BI324" i="3"/>
  <c r="BJ173" i="3"/>
  <c r="V173" i="3"/>
  <c r="BJ116" i="3"/>
  <c r="V116" i="3"/>
  <c r="V309" i="3"/>
  <c r="BJ309" i="3"/>
  <c r="U150" i="3"/>
  <c r="BI150" i="3"/>
  <c r="BJ332" i="3"/>
  <c r="V332" i="3"/>
  <c r="V376" i="3"/>
  <c r="BJ376" i="3"/>
  <c r="V339" i="3"/>
  <c r="BJ339" i="3" s="1"/>
  <c r="U114" i="3"/>
  <c r="BI114" i="3"/>
  <c r="Y352" i="3"/>
  <c r="BK352" i="3"/>
  <c r="BI385" i="3"/>
  <c r="U385" i="3"/>
  <c r="BI164" i="3"/>
  <c r="U164" i="3"/>
  <c r="V169" i="3"/>
  <c r="BJ169" i="3"/>
  <c r="V166" i="3"/>
  <c r="BK166" i="3" s="1"/>
  <c r="BK301" i="3"/>
  <c r="U198" i="3"/>
  <c r="BI198" i="3"/>
  <c r="U123" i="3"/>
  <c r="BI123" i="3" s="1"/>
  <c r="U336" i="3"/>
  <c r="BI336" i="3"/>
  <c r="V160" i="3"/>
  <c r="BJ160" i="3"/>
  <c r="V184" i="3"/>
  <c r="BJ184" i="3"/>
  <c r="V329" i="3"/>
  <c r="BJ329" i="3"/>
  <c r="BI331" i="3"/>
  <c r="U331" i="3"/>
  <c r="W389" i="3"/>
  <c r="BJ190" i="3"/>
  <c r="V190" i="3"/>
  <c r="V347" i="3"/>
  <c r="BJ347" i="3" s="1"/>
  <c r="U376" i="3"/>
  <c r="BI376" i="3" s="1"/>
  <c r="U300" i="3"/>
  <c r="BI300" i="3" s="1"/>
  <c r="V346" i="3"/>
  <c r="BJ346" i="3" s="1"/>
  <c r="U356" i="3"/>
  <c r="BI356" i="3"/>
  <c r="U169" i="3"/>
  <c r="BI169" i="3" s="1"/>
  <c r="BI108" i="3"/>
  <c r="U108" i="3"/>
  <c r="U299" i="3"/>
  <c r="BI299" i="3" s="1"/>
  <c r="BI353" i="3"/>
  <c r="U353" i="3"/>
  <c r="G311" i="4"/>
  <c r="H311" i="4"/>
  <c r="R311" i="4" s="1"/>
  <c r="Q101" i="1"/>
  <c r="G574" i="4"/>
  <c r="H574" i="4"/>
  <c r="R574" i="4" s="1"/>
  <c r="O207" i="3"/>
  <c r="AF15" i="2"/>
  <c r="U172" i="3"/>
  <c r="W172" i="3" s="1"/>
  <c r="BI172" i="3"/>
  <c r="O77" i="3"/>
  <c r="AF77" i="1"/>
  <c r="U141" i="3"/>
  <c r="BI141" i="3"/>
  <c r="H111" i="4"/>
  <c r="R111" i="4" s="1"/>
  <c r="G111" i="4"/>
  <c r="H222" i="4"/>
  <c r="R222" i="4" s="1"/>
  <c r="G222" i="4"/>
  <c r="BI41" i="3"/>
  <c r="BI41" i="1" s="1"/>
  <c r="U41" i="3"/>
  <c r="O41" i="1"/>
  <c r="H14" i="4"/>
  <c r="R14" i="4" s="1"/>
  <c r="G14" i="4"/>
  <c r="V140" i="3"/>
  <c r="BJ140" i="3"/>
  <c r="U69" i="3"/>
  <c r="U69" i="1" s="1"/>
  <c r="O69" i="1"/>
  <c r="BJ126" i="3"/>
  <c r="V126" i="3"/>
  <c r="G732" i="4"/>
  <c r="H732" i="4"/>
  <c r="R732" i="4" s="1"/>
  <c r="BG69" i="3"/>
  <c r="BG69" i="1" s="1"/>
  <c r="S69" i="1"/>
  <c r="Q69" i="1"/>
  <c r="H157" i="4"/>
  <c r="R157" i="4" s="1"/>
  <c r="G157" i="4"/>
  <c r="O61" i="3"/>
  <c r="AF61" i="1"/>
  <c r="H51" i="4"/>
  <c r="R51" i="4" s="1"/>
  <c r="G51" i="4"/>
  <c r="Q78" i="1"/>
  <c r="BJ95" i="3"/>
  <c r="BJ95" i="1" s="1"/>
  <c r="H88" i="4"/>
  <c r="R88" i="4" s="1"/>
  <c r="G88" i="4"/>
  <c r="BG34" i="3"/>
  <c r="BG34" i="1" s="1"/>
  <c r="BI62" i="3"/>
  <c r="BI62" i="1" s="1"/>
  <c r="U62" i="3"/>
  <c r="O62" i="1"/>
  <c r="BF50" i="3"/>
  <c r="BF50" i="1" s="1"/>
  <c r="R50" i="1"/>
  <c r="P26" i="3"/>
  <c r="AG26" i="1"/>
  <c r="V110" i="3"/>
  <c r="BJ110" i="3" s="1"/>
  <c r="BH66" i="3"/>
  <c r="BH66" i="1" s="1"/>
  <c r="BF52" i="3"/>
  <c r="BF52" i="1" s="1"/>
  <c r="U119" i="3"/>
  <c r="BI119" i="3" s="1"/>
  <c r="U24" i="3"/>
  <c r="U24" i="1" s="1"/>
  <c r="O24" i="1"/>
  <c r="H80" i="4"/>
  <c r="R80" i="4" s="1"/>
  <c r="G80" i="4"/>
  <c r="O20" i="3"/>
  <c r="AF20" i="1"/>
  <c r="U35" i="3"/>
  <c r="U35" i="1" s="1"/>
  <c r="O35" i="1"/>
  <c r="H28" i="4"/>
  <c r="R28" i="4" s="1"/>
  <c r="G28" i="4"/>
  <c r="H835" i="4"/>
  <c r="R835" i="4" s="1"/>
  <c r="G835" i="4"/>
  <c r="G838" i="4"/>
  <c r="H838" i="4"/>
  <c r="R838" i="4" s="1"/>
  <c r="U389" i="3"/>
  <c r="BI389" i="3" s="1"/>
  <c r="H815" i="4"/>
  <c r="R815" i="4" s="1"/>
  <c r="G815" i="4"/>
  <c r="H223" i="4"/>
  <c r="R223" i="4" s="1"/>
  <c r="G223" i="4"/>
  <c r="H13" i="4"/>
  <c r="R13" i="4" s="1"/>
  <c r="G13" i="4"/>
  <c r="H87" i="4"/>
  <c r="R87" i="4" s="1"/>
  <c r="G87" i="4"/>
  <c r="V250" i="3"/>
  <c r="V58" i="2" s="1"/>
  <c r="BJ250" i="3"/>
  <c r="BJ58" i="2" s="1"/>
  <c r="P58" i="2"/>
  <c r="BG24" i="3"/>
  <c r="BG24" i="1" s="1"/>
  <c r="S24" i="1"/>
  <c r="Q52" i="1"/>
  <c r="BH77" i="3"/>
  <c r="BH77" i="1" s="1"/>
  <c r="P56" i="3"/>
  <c r="AG56" i="1"/>
  <c r="Q86" i="2"/>
  <c r="H494" i="4"/>
  <c r="R494" i="4" s="1"/>
  <c r="G494" i="4"/>
  <c r="Q27" i="2"/>
  <c r="H408" i="4"/>
  <c r="R408" i="4" s="1"/>
  <c r="G408" i="4"/>
  <c r="H294" i="4"/>
  <c r="R294" i="4" s="1"/>
  <c r="G294" i="4"/>
  <c r="U147" i="3"/>
  <c r="BI147" i="3"/>
  <c r="U270" i="3"/>
  <c r="U78" i="2" s="1"/>
  <c r="BI270" i="3"/>
  <c r="BI78" i="2" s="1"/>
  <c r="O78" i="2"/>
  <c r="G635" i="4"/>
  <c r="H635" i="4"/>
  <c r="R635" i="4" s="1"/>
  <c r="O67" i="3"/>
  <c r="AF67" i="1"/>
  <c r="G203" i="4"/>
  <c r="H203" i="4"/>
  <c r="R203" i="4" s="1"/>
  <c r="U233" i="3"/>
  <c r="U41" i="2" s="1"/>
  <c r="BI233" i="3"/>
  <c r="BI41" i="2" s="1"/>
  <c r="O41" i="2"/>
  <c r="BI146" i="3"/>
  <c r="U146" i="3"/>
  <c r="V44" i="3"/>
  <c r="V44" i="1" s="1"/>
  <c r="BJ44" i="3"/>
  <c r="BJ44" i="1" s="1"/>
  <c r="P44" i="1"/>
  <c r="U30" i="3"/>
  <c r="BI30" i="3"/>
  <c r="BI30" i="1" s="1"/>
  <c r="O30" i="1"/>
  <c r="O37" i="3"/>
  <c r="AF37" i="1"/>
  <c r="G53" i="4"/>
  <c r="H53" i="4"/>
  <c r="R53" i="4" s="1"/>
  <c r="AO30" i="3" s="1"/>
  <c r="AO30" i="1" s="1"/>
  <c r="T58" i="2"/>
  <c r="T106" i="2" s="1"/>
  <c r="U51" i="3"/>
  <c r="U51" i="1" s="1"/>
  <c r="BI51" i="3"/>
  <c r="BI51" i="1" s="1"/>
  <c r="O51" i="1"/>
  <c r="Q77" i="1"/>
  <c r="H106" i="4"/>
  <c r="R106" i="4" s="1"/>
  <c r="G106" i="4"/>
  <c r="BF38" i="3"/>
  <c r="BF38" i="1" s="1"/>
  <c r="V32" i="3"/>
  <c r="V32" i="1" s="1"/>
  <c r="BJ32" i="3"/>
  <c r="BJ32" i="1" s="1"/>
  <c r="P32" i="1"/>
  <c r="G355" i="4"/>
  <c r="H355" i="4"/>
  <c r="R355" i="4" s="1"/>
  <c r="O245" i="3"/>
  <c r="AF53" i="2"/>
  <c r="V83" i="3"/>
  <c r="V83" i="1" s="1"/>
  <c r="BJ83" i="3"/>
  <c r="BJ83" i="1" s="1"/>
  <c r="P83" i="1"/>
  <c r="G650" i="4"/>
  <c r="H650" i="4"/>
  <c r="R650" i="4" s="1"/>
  <c r="BH156" i="3"/>
  <c r="BJ195" i="3"/>
  <c r="V195" i="3"/>
  <c r="H583" i="4"/>
  <c r="R583" i="4" s="1"/>
  <c r="AO245" i="3" s="1"/>
  <c r="AO53" i="2" s="1"/>
  <c r="G583" i="4"/>
  <c r="BJ264" i="3"/>
  <c r="BJ72" i="2" s="1"/>
  <c r="V264" i="3"/>
  <c r="V72" i="2" s="1"/>
  <c r="P72" i="2"/>
  <c r="H501" i="4"/>
  <c r="R501" i="4" s="1"/>
  <c r="G501" i="4"/>
  <c r="BI183" i="3"/>
  <c r="U183" i="3"/>
  <c r="H210" i="4"/>
  <c r="R210" i="4" s="1"/>
  <c r="G210" i="4"/>
  <c r="P97" i="3"/>
  <c r="AG97" i="1"/>
  <c r="U74" i="3"/>
  <c r="O74" i="1"/>
  <c r="W130" i="3"/>
  <c r="Y130" i="3" s="1"/>
  <c r="BK130" i="3"/>
  <c r="BE153" i="3"/>
  <c r="U379" i="3"/>
  <c r="BI379" i="3"/>
  <c r="V359" i="3"/>
  <c r="BJ359" i="3"/>
  <c r="V344" i="3"/>
  <c r="BJ344" i="3" s="1"/>
  <c r="H777" i="4"/>
  <c r="R777" i="4" s="1"/>
  <c r="G777" i="4"/>
  <c r="H513" i="4"/>
  <c r="R513" i="4" s="1"/>
  <c r="G513" i="4"/>
  <c r="V159" i="3"/>
  <c r="W159" i="3" s="1"/>
  <c r="Y159" i="3" s="1"/>
  <c r="H416" i="4"/>
  <c r="R416" i="4" s="1"/>
  <c r="G416" i="4"/>
  <c r="H353" i="4"/>
  <c r="R353" i="4" s="1"/>
  <c r="AO153" i="3" s="1"/>
  <c r="G353" i="4"/>
  <c r="BI131" i="3"/>
  <c r="U131" i="3"/>
  <c r="P72" i="3"/>
  <c r="AG72" i="1"/>
  <c r="R73" i="1"/>
  <c r="U48" i="3"/>
  <c r="O48" i="1"/>
  <c r="W334" i="3"/>
  <c r="Y334" i="3" s="1"/>
  <c r="BE334" i="3"/>
  <c r="W372" i="3"/>
  <c r="Y372" i="3" s="1"/>
  <c r="V351" i="3"/>
  <c r="BJ351" i="3"/>
  <c r="U293" i="3"/>
  <c r="U101" i="2" s="1"/>
  <c r="O101" i="2"/>
  <c r="H305" i="4"/>
  <c r="R305" i="4" s="1"/>
  <c r="G305" i="4"/>
  <c r="V145" i="3"/>
  <c r="W142" i="3"/>
  <c r="Y142" i="3" s="1"/>
  <c r="H229" i="4"/>
  <c r="R229" i="4" s="1"/>
  <c r="G229" i="4"/>
  <c r="BK155" i="3"/>
  <c r="Q93" i="1"/>
  <c r="U220" i="3"/>
  <c r="BI220" i="3"/>
  <c r="BI28" i="2" s="1"/>
  <c r="O28" i="2"/>
  <c r="G191" i="4"/>
  <c r="H191" i="4"/>
  <c r="R191" i="4" s="1"/>
  <c r="G651" i="4"/>
  <c r="H651" i="4"/>
  <c r="R651" i="4" s="1"/>
  <c r="H604" i="4"/>
  <c r="R604" i="4" s="1"/>
  <c r="G604" i="4"/>
  <c r="H312" i="4"/>
  <c r="R312" i="4" s="1"/>
  <c r="G312" i="4"/>
  <c r="G393" i="4"/>
  <c r="H393" i="4"/>
  <c r="R393" i="4" s="1"/>
  <c r="G510" i="4"/>
  <c r="H510" i="4"/>
  <c r="R510" i="4" s="1"/>
  <c r="AO214" i="3" s="1"/>
  <c r="AO22" i="2" s="1"/>
  <c r="H303" i="4"/>
  <c r="R303" i="4" s="1"/>
  <c r="G303" i="4"/>
  <c r="G733" i="4"/>
  <c r="H733" i="4"/>
  <c r="R733" i="4" s="1"/>
  <c r="G660" i="4"/>
  <c r="H660" i="4"/>
  <c r="R660" i="4" s="1"/>
  <c r="G469" i="4"/>
  <c r="H469" i="4"/>
  <c r="R469" i="4" s="1"/>
  <c r="H707" i="4"/>
  <c r="R707" i="4" s="1"/>
  <c r="G707" i="4"/>
  <c r="H584" i="4"/>
  <c r="R584" i="4" s="1"/>
  <c r="G584" i="4"/>
  <c r="BJ303" i="3"/>
  <c r="V303" i="3"/>
  <c r="G555" i="4"/>
  <c r="H555" i="4"/>
  <c r="R555" i="4" s="1"/>
  <c r="H736" i="4"/>
  <c r="R736" i="4" s="1"/>
  <c r="G736" i="4"/>
  <c r="H369" i="4"/>
  <c r="R369" i="4" s="1"/>
  <c r="G369" i="4"/>
  <c r="G521" i="4"/>
  <c r="H521" i="4"/>
  <c r="R521" i="4" s="1"/>
  <c r="H405" i="4"/>
  <c r="R405" i="4" s="1"/>
  <c r="G405" i="4"/>
  <c r="H268" i="4"/>
  <c r="R268" i="4" s="1"/>
  <c r="AO116" i="3" s="1"/>
  <c r="G268" i="4"/>
  <c r="BG84" i="3"/>
  <c r="BG84" i="1" s="1"/>
  <c r="S84" i="1"/>
  <c r="V105" i="3"/>
  <c r="BJ105" i="3"/>
  <c r="G528" i="4"/>
  <c r="H528" i="4"/>
  <c r="R528" i="4" s="1"/>
  <c r="H502" i="4"/>
  <c r="R502" i="4" s="1"/>
  <c r="G502" i="4"/>
  <c r="G335" i="4"/>
  <c r="H335" i="4"/>
  <c r="R335" i="4" s="1"/>
  <c r="P238" i="3"/>
  <c r="AG46" i="2"/>
  <c r="H793" i="4"/>
  <c r="R793" i="4" s="1"/>
  <c r="G793" i="4"/>
  <c r="H443" i="4"/>
  <c r="R443" i="4" s="1"/>
  <c r="G443" i="4"/>
  <c r="H209" i="4"/>
  <c r="R209" i="4" s="1"/>
  <c r="G209" i="4"/>
  <c r="BI177" i="3"/>
  <c r="U177" i="3"/>
  <c r="H291" i="4"/>
  <c r="R291" i="4" s="1"/>
  <c r="G291" i="4"/>
  <c r="BJ154" i="3"/>
  <c r="V154" i="3"/>
  <c r="U392" i="3"/>
  <c r="H922" i="4"/>
  <c r="R922" i="4" s="1"/>
  <c r="G922" i="4"/>
  <c r="G787" i="4"/>
  <c r="H787" i="4"/>
  <c r="R787" i="4" s="1"/>
  <c r="H860" i="4"/>
  <c r="R860" i="4" s="1"/>
  <c r="G860" i="4"/>
  <c r="G883" i="4"/>
  <c r="H883" i="4"/>
  <c r="R883" i="4" s="1"/>
  <c r="G689" i="4"/>
  <c r="H689" i="4"/>
  <c r="R689" i="4" s="1"/>
  <c r="AO288" i="3" s="1"/>
  <c r="AO96" i="2" s="1"/>
  <c r="U327" i="3"/>
  <c r="BI327" i="3"/>
  <c r="H742" i="4"/>
  <c r="R742" i="4" s="1"/>
  <c r="G742" i="4"/>
  <c r="H715" i="4"/>
  <c r="R715" i="4" s="1"/>
  <c r="G715" i="4"/>
  <c r="V343" i="3"/>
  <c r="BJ343" i="3" s="1"/>
  <c r="H830" i="4"/>
  <c r="R830" i="4" s="1"/>
  <c r="AO349" i="3" s="1"/>
  <c r="G830" i="4"/>
  <c r="O263" i="3"/>
  <c r="G645" i="4"/>
  <c r="H645" i="4"/>
  <c r="R645" i="4" s="1"/>
  <c r="H772" i="4"/>
  <c r="R772" i="4" s="1"/>
  <c r="G772" i="4"/>
  <c r="H741" i="4"/>
  <c r="R741" i="4" s="1"/>
  <c r="G741" i="4"/>
  <c r="O262" i="3"/>
  <c r="AF70" i="2"/>
  <c r="H454" i="4"/>
  <c r="R454" i="4" s="1"/>
  <c r="G454" i="4"/>
  <c r="H705" i="4"/>
  <c r="R705" i="4" s="1"/>
  <c r="G705" i="4"/>
  <c r="H436" i="4"/>
  <c r="R436" i="4" s="1"/>
  <c r="G436" i="4"/>
  <c r="U328" i="3"/>
  <c r="BI328" i="3"/>
  <c r="G676" i="4"/>
  <c r="H676" i="4"/>
  <c r="R676" i="4" s="1"/>
  <c r="H668" i="4"/>
  <c r="R668" i="4" s="1"/>
  <c r="AO280" i="3" s="1"/>
  <c r="AO88" i="2" s="1"/>
  <c r="G668" i="4"/>
  <c r="P284" i="3"/>
  <c r="H441" i="4"/>
  <c r="R441" i="4" s="1"/>
  <c r="G441" i="4"/>
  <c r="U189" i="3"/>
  <c r="BI189" i="3" s="1"/>
  <c r="BK165" i="3"/>
  <c r="BF248" i="3"/>
  <c r="BF56" i="2" s="1"/>
  <c r="R56" i="2"/>
  <c r="H424" i="4"/>
  <c r="R424" i="4" s="1"/>
  <c r="G424" i="4"/>
  <c r="BJ299" i="3"/>
  <c r="V299" i="3"/>
  <c r="BJ254" i="3"/>
  <c r="BJ62" i="2" s="1"/>
  <c r="BF308" i="3"/>
  <c r="G334" i="4"/>
  <c r="H334" i="4"/>
  <c r="R334" i="4" s="1"/>
  <c r="V204" i="3"/>
  <c r="V12" i="2" s="1"/>
  <c r="P12" i="2"/>
  <c r="H561" i="4"/>
  <c r="R561" i="4" s="1"/>
  <c r="G561" i="4"/>
  <c r="G783" i="4"/>
  <c r="H783" i="4"/>
  <c r="R783" i="4" s="1"/>
  <c r="AO326" i="3" s="1"/>
  <c r="G323" i="4"/>
  <c r="H323" i="4"/>
  <c r="R323" i="4" s="1"/>
  <c r="BF219" i="3"/>
  <c r="BF27" i="2" s="1"/>
  <c r="H280" i="4"/>
  <c r="R280" i="4" s="1"/>
  <c r="G280" i="4"/>
  <c r="P294" i="3"/>
  <c r="AG102" i="2"/>
  <c r="BH254" i="3"/>
  <c r="BH62" i="2" s="1"/>
  <c r="H485" i="4"/>
  <c r="R485" i="4" s="1"/>
  <c r="G485" i="4"/>
  <c r="BG225" i="3"/>
  <c r="BG33" i="2" s="1"/>
  <c r="G409" i="4"/>
  <c r="H409" i="4"/>
  <c r="R409" i="4" s="1"/>
  <c r="BF240" i="3"/>
  <c r="BF48" i="2" s="1"/>
  <c r="G570" i="4"/>
  <c r="H570" i="4"/>
  <c r="R570" i="4" s="1"/>
  <c r="BH94" i="3"/>
  <c r="BH94" i="1" s="1"/>
  <c r="T94" i="1"/>
  <c r="G321" i="4"/>
  <c r="H321" i="4"/>
  <c r="R321" i="4" s="1"/>
  <c r="P73" i="3"/>
  <c r="H125" i="4"/>
  <c r="R125" i="4" s="1"/>
  <c r="G125" i="4"/>
  <c r="O292" i="3"/>
  <c r="AF100" i="2"/>
  <c r="O68" i="3"/>
  <c r="P223" i="3"/>
  <c r="H58" i="4"/>
  <c r="R58" i="4" s="1"/>
  <c r="G58" i="4"/>
  <c r="G199" i="4"/>
  <c r="H199" i="4"/>
  <c r="R199" i="4" s="1"/>
  <c r="U19" i="3"/>
  <c r="BI19" i="3"/>
  <c r="BI19" i="1" s="1"/>
  <c r="O19" i="1"/>
  <c r="H253" i="4"/>
  <c r="R253" i="4" s="1"/>
  <c r="G253" i="4"/>
  <c r="BJ49" i="3"/>
  <c r="BJ49" i="1" s="1"/>
  <c r="P49" i="1"/>
  <c r="V49" i="3"/>
  <c r="V49" i="1" s="1"/>
  <c r="G169" i="4"/>
  <c r="H169" i="4"/>
  <c r="R169" i="4" s="1"/>
  <c r="H284" i="4"/>
  <c r="R284" i="4" s="1"/>
  <c r="G284" i="4"/>
  <c r="G78" i="4"/>
  <c r="H78" i="4"/>
  <c r="R78" i="4" s="1"/>
  <c r="H118" i="4"/>
  <c r="R118" i="4" s="1"/>
  <c r="G118" i="4"/>
  <c r="BF51" i="3"/>
  <c r="BF51" i="1" s="1"/>
  <c r="BK228" i="3"/>
  <c r="BK36" i="2" s="1"/>
  <c r="G100" i="4"/>
  <c r="H100" i="4"/>
  <c r="R100" i="4" s="1"/>
  <c r="H50" i="4"/>
  <c r="R50" i="4" s="1"/>
  <c r="G50" i="4"/>
  <c r="H38" i="4"/>
  <c r="R38" i="4" s="1"/>
  <c r="G38" i="4"/>
  <c r="BI122" i="3"/>
  <c r="G299" i="4"/>
  <c r="H299" i="4"/>
  <c r="R299" i="4" s="1"/>
  <c r="H35" i="4"/>
  <c r="R35" i="4" s="1"/>
  <c r="G35" i="4"/>
  <c r="H130" i="4"/>
  <c r="R130" i="4" s="1"/>
  <c r="G130" i="4"/>
  <c r="G260" i="4"/>
  <c r="H260" i="4"/>
  <c r="R260" i="4" s="1"/>
  <c r="Q38" i="1"/>
  <c r="BF74" i="3"/>
  <c r="BF74" i="1" s="1"/>
  <c r="P57" i="3"/>
  <c r="BH11" i="3"/>
  <c r="BH11" i="1" s="1"/>
  <c r="R84" i="1"/>
  <c r="O38" i="3"/>
  <c r="BI72" i="3"/>
  <c r="BI72" i="1" s="1"/>
  <c r="G861" i="4"/>
  <c r="H861" i="4"/>
  <c r="R861" i="4" s="1"/>
  <c r="H665" i="4"/>
  <c r="R665" i="4" s="1"/>
  <c r="G665" i="4"/>
  <c r="H394" i="4"/>
  <c r="R394" i="4" s="1"/>
  <c r="G394" i="4"/>
  <c r="H836" i="4"/>
  <c r="R836" i="4" s="1"/>
  <c r="G836" i="4"/>
  <c r="Q873" i="4"/>
  <c r="AN366" i="3" s="1"/>
  <c r="N873" i="4"/>
  <c r="H674" i="4"/>
  <c r="R674" i="4" s="1"/>
  <c r="G674" i="4"/>
  <c r="H470" i="4"/>
  <c r="R470" i="4" s="1"/>
  <c r="G470" i="4"/>
  <c r="G776" i="4"/>
  <c r="H776" i="4"/>
  <c r="R776" i="4" s="1"/>
  <c r="G512" i="4"/>
  <c r="H512" i="4"/>
  <c r="R512" i="4" s="1"/>
  <c r="AO215" i="3" s="1"/>
  <c r="AO23" i="2" s="1"/>
  <c r="H496" i="4"/>
  <c r="R496" i="4" s="1"/>
  <c r="G496" i="4"/>
  <c r="V331" i="3"/>
  <c r="BJ331" i="3"/>
  <c r="G552" i="4"/>
  <c r="H552" i="4"/>
  <c r="R552" i="4" s="1"/>
  <c r="H633" i="4"/>
  <c r="R633" i="4" s="1"/>
  <c r="G633" i="4"/>
  <c r="BJ185" i="3"/>
  <c r="V185" i="3"/>
  <c r="Q55" i="2"/>
  <c r="V350" i="3"/>
  <c r="BJ350" i="3"/>
  <c r="H204" i="4"/>
  <c r="R204" i="4" s="1"/>
  <c r="G204" i="4"/>
  <c r="U318" i="3"/>
  <c r="BI318" i="3"/>
  <c r="Q101" i="2"/>
  <c r="BI339" i="3"/>
  <c r="U339" i="3"/>
  <c r="V120" i="3"/>
  <c r="BJ120" i="3"/>
  <c r="H435" i="4"/>
  <c r="R435" i="4" s="1"/>
  <c r="G435" i="4"/>
  <c r="H488" i="4"/>
  <c r="R488" i="4" s="1"/>
  <c r="G488" i="4"/>
  <c r="V175" i="3"/>
  <c r="BJ175" i="3"/>
  <c r="O95" i="3"/>
  <c r="AF95" i="1"/>
  <c r="H285" i="4"/>
  <c r="R285" i="4" s="1"/>
  <c r="G285" i="4"/>
  <c r="G646" i="4"/>
  <c r="H646" i="4"/>
  <c r="R646" i="4" s="1"/>
  <c r="G773" i="4"/>
  <c r="H773" i="4"/>
  <c r="R773" i="4" s="1"/>
  <c r="H704" i="4"/>
  <c r="R704" i="4" s="1"/>
  <c r="G704" i="4"/>
  <c r="G754" i="4"/>
  <c r="H754" i="4"/>
  <c r="R754" i="4" s="1"/>
  <c r="G669" i="4"/>
  <c r="H669" i="4"/>
  <c r="R669" i="4" s="1"/>
  <c r="U276" i="3"/>
  <c r="O84" i="2"/>
  <c r="P253" i="3"/>
  <c r="AG61" i="2"/>
  <c r="G399" i="4"/>
  <c r="H399" i="4"/>
  <c r="R399" i="4" s="1"/>
  <c r="AG46" i="1"/>
  <c r="P46" i="3"/>
  <c r="H383" i="4"/>
  <c r="R383" i="4" s="1"/>
  <c r="G383" i="4"/>
  <c r="H440" i="4"/>
  <c r="R440" i="4" s="1"/>
  <c r="G440" i="4"/>
  <c r="G313" i="4"/>
  <c r="H313" i="4"/>
  <c r="R313" i="4" s="1"/>
  <c r="AO136" i="3" s="1"/>
  <c r="BG227" i="3"/>
  <c r="BG35" i="2" s="1"/>
  <c r="S35" i="2"/>
  <c r="H385" i="4"/>
  <c r="R385" i="4" s="1"/>
  <c r="AO167" i="3" s="1"/>
  <c r="G385" i="4"/>
  <c r="BF284" i="3"/>
  <c r="BF92" i="2" s="1"/>
  <c r="W243" i="3"/>
  <c r="V356" i="3"/>
  <c r="BJ356" i="3" s="1"/>
  <c r="W314" i="3"/>
  <c r="Y314" i="3" s="1"/>
  <c r="H400" i="4"/>
  <c r="R400" i="4" s="1"/>
  <c r="G400" i="4"/>
  <c r="G272" i="4"/>
  <c r="H272" i="4"/>
  <c r="R272" i="4" s="1"/>
  <c r="BK178" i="3"/>
  <c r="BE178" i="3"/>
  <c r="BJ179" i="3"/>
  <c r="V179" i="3"/>
  <c r="BJ286" i="3"/>
  <c r="BJ94" i="2" s="1"/>
  <c r="V286" i="3"/>
  <c r="V94" i="2" s="1"/>
  <c r="P94" i="2"/>
  <c r="H403" i="4"/>
  <c r="R403" i="4" s="1"/>
  <c r="G403" i="4"/>
  <c r="H467" i="4"/>
  <c r="R467" i="4" s="1"/>
  <c r="G467" i="4"/>
  <c r="G283" i="4"/>
  <c r="H283" i="4"/>
  <c r="R283" i="4" s="1"/>
  <c r="H267" i="4"/>
  <c r="R267" i="4" s="1"/>
  <c r="G267" i="4"/>
  <c r="H235" i="4"/>
  <c r="R235" i="4" s="1"/>
  <c r="G235" i="4"/>
  <c r="BI230" i="3"/>
  <c r="BI38" i="2" s="1"/>
  <c r="U230" i="3"/>
  <c r="O38" i="2"/>
  <c r="P232" i="3"/>
  <c r="AG40" i="2"/>
  <c r="W188" i="3"/>
  <c r="Y188" i="3" s="1"/>
  <c r="O26" i="3"/>
  <c r="P88" i="3"/>
  <c r="AG88" i="1"/>
  <c r="H251" i="4"/>
  <c r="R251" i="4" s="1"/>
  <c r="G251" i="4"/>
  <c r="H168" i="4"/>
  <c r="R168" i="4" s="1"/>
  <c r="G168" i="4"/>
  <c r="H95" i="4"/>
  <c r="R95" i="4" s="1"/>
  <c r="G95" i="4"/>
  <c r="H32" i="4"/>
  <c r="R32" i="4" s="1"/>
  <c r="G32" i="4"/>
  <c r="H63" i="4"/>
  <c r="R63" i="4" s="1"/>
  <c r="G63" i="4"/>
  <c r="V127" i="3"/>
  <c r="BJ127" i="3"/>
  <c r="V163" i="3"/>
  <c r="BJ163" i="3" s="1"/>
  <c r="BJ28" i="3"/>
  <c r="BJ28" i="1" s="1"/>
  <c r="V28" i="3"/>
  <c r="V28" i="1" s="1"/>
  <c r="P28" i="1"/>
  <c r="AF17" i="1"/>
  <c r="O17" i="3"/>
  <c r="O78" i="3"/>
  <c r="AF78" i="1"/>
  <c r="V21" i="3"/>
  <c r="V21" i="1" s="1"/>
  <c r="BJ21" i="3"/>
  <c r="BJ21" i="1" s="1"/>
  <c r="P21" i="1"/>
  <c r="H25" i="4"/>
  <c r="R25" i="4" s="1"/>
  <c r="G25" i="4"/>
  <c r="W82" i="3"/>
  <c r="H71" i="4"/>
  <c r="R71" i="4" s="1"/>
  <c r="G71" i="4"/>
  <c r="BJ91" i="3"/>
  <c r="BJ91" i="1" s="1"/>
  <c r="BF44" i="3"/>
  <c r="BF44" i="1" s="1"/>
  <c r="H899" i="4"/>
  <c r="R899" i="4" s="1"/>
  <c r="G899" i="4"/>
  <c r="U347" i="3"/>
  <c r="W347" i="3" s="1"/>
  <c r="Y347" i="3" s="1"/>
  <c r="BI347" i="3"/>
  <c r="U162" i="3"/>
  <c r="BI162" i="3"/>
  <c r="BH72" i="3"/>
  <c r="BH72" i="1" s="1"/>
  <c r="T72" i="1"/>
  <c r="P90" i="3"/>
  <c r="AG90" i="1"/>
  <c r="P36" i="3"/>
  <c r="AG36" i="1"/>
  <c r="V392" i="3"/>
  <c r="BJ392" i="3" s="1"/>
  <c r="U391" i="3"/>
  <c r="BI391" i="3"/>
  <c r="G269" i="4"/>
  <c r="H269" i="4"/>
  <c r="R269" i="4" s="1"/>
  <c r="H605" i="4"/>
  <c r="R605" i="4" s="1"/>
  <c r="G605" i="4"/>
  <c r="BE219" i="3"/>
  <c r="BE27" i="2" s="1"/>
  <c r="H342" i="4"/>
  <c r="R342" i="4" s="1"/>
  <c r="G342" i="4"/>
  <c r="H143" i="4"/>
  <c r="R143" i="4" s="1"/>
  <c r="G143" i="4"/>
  <c r="G889" i="4"/>
  <c r="H889" i="4"/>
  <c r="R889" i="4" s="1"/>
  <c r="Q98" i="2"/>
  <c r="H340" i="4"/>
  <c r="R340" i="4" s="1"/>
  <c r="AO147" i="3" s="1"/>
  <c r="G340" i="4"/>
  <c r="W66" i="3"/>
  <c r="BE66" i="3"/>
  <c r="BE66" i="1" s="1"/>
  <c r="Q66" i="1"/>
  <c r="Q43" i="1"/>
  <c r="BI332" i="3"/>
  <c r="U332" i="3"/>
  <c r="W332" i="3" s="1"/>
  <c r="Y332" i="3" s="1"/>
  <c r="H624" i="4"/>
  <c r="R624" i="4" s="1"/>
  <c r="G624" i="4"/>
  <c r="BI175" i="3"/>
  <c r="U175" i="3"/>
  <c r="U136" i="3"/>
  <c r="BI136" i="3"/>
  <c r="G124" i="4"/>
  <c r="H124" i="4"/>
  <c r="R124" i="4" s="1"/>
  <c r="Q34" i="1"/>
  <c r="H116" i="4"/>
  <c r="R116" i="4" s="1"/>
  <c r="G116" i="4"/>
  <c r="BG25" i="3"/>
  <c r="BG25" i="1" s="1"/>
  <c r="BE357" i="3"/>
  <c r="G282" i="4"/>
  <c r="H282" i="4"/>
  <c r="R282" i="4" s="1"/>
  <c r="AO123" i="3" s="1"/>
  <c r="V119" i="3"/>
  <c r="BJ119" i="3"/>
  <c r="H98" i="4"/>
  <c r="R98" i="4" s="1"/>
  <c r="G98" i="4"/>
  <c r="U22" i="3"/>
  <c r="U22" i="1" s="1"/>
  <c r="O22" i="1"/>
  <c r="H903" i="4"/>
  <c r="R903" i="4" s="1"/>
  <c r="G903" i="4"/>
  <c r="BJ327" i="3"/>
  <c r="V327" i="3"/>
  <c r="G908" i="4"/>
  <c r="H908" i="4"/>
  <c r="R908" i="4" s="1"/>
  <c r="G905" i="4"/>
  <c r="H905" i="4"/>
  <c r="R905" i="4" s="1"/>
  <c r="H917" i="4"/>
  <c r="R917" i="4" s="1"/>
  <c r="AO387" i="3" s="1"/>
  <c r="G917" i="4"/>
  <c r="U367" i="3"/>
  <c r="BI367" i="3"/>
  <c r="H848" i="4"/>
  <c r="R848" i="4" s="1"/>
  <c r="G848" i="4"/>
  <c r="H868" i="4"/>
  <c r="R868" i="4" s="1"/>
  <c r="G868" i="4"/>
  <c r="BI334" i="3"/>
  <c r="U334" i="3"/>
  <c r="V365" i="3"/>
  <c r="BJ365" i="3"/>
  <c r="U344" i="3"/>
  <c r="W344" i="3" s="1"/>
  <c r="Y344" i="3" s="1"/>
  <c r="BI344" i="3"/>
  <c r="N784" i="4"/>
  <c r="Q784" i="4"/>
  <c r="AN327" i="3" s="1"/>
  <c r="H696" i="4"/>
  <c r="R696" i="4" s="1"/>
  <c r="G696" i="4"/>
  <c r="V340" i="3"/>
  <c r="BJ340" i="3" s="1"/>
  <c r="BJ334" i="3"/>
  <c r="V334" i="3"/>
  <c r="H750" i="4"/>
  <c r="R750" i="4" s="1"/>
  <c r="G750" i="4"/>
  <c r="H620" i="4"/>
  <c r="R620" i="4" s="1"/>
  <c r="G620" i="4"/>
  <c r="BJ297" i="3"/>
  <c r="V297" i="3"/>
  <c r="BI282" i="3"/>
  <c r="BI90" i="2" s="1"/>
  <c r="U282" i="3"/>
  <c r="O90" i="2"/>
  <c r="H692" i="4"/>
  <c r="R692" i="4" s="1"/>
  <c r="AO289" i="3" s="1"/>
  <c r="AO97" i="2" s="1"/>
  <c r="G692" i="4"/>
  <c r="BH246" i="3"/>
  <c r="BH54" i="2" s="1"/>
  <c r="H395" i="4"/>
  <c r="R395" i="4" s="1"/>
  <c r="G395" i="4"/>
  <c r="BJ325" i="3"/>
  <c r="V325" i="3"/>
  <c r="O232" i="3"/>
  <c r="BF278" i="3"/>
  <c r="BF86" i="2" s="1"/>
  <c r="G585" i="4"/>
  <c r="H585" i="4"/>
  <c r="R585" i="4" s="1"/>
  <c r="H384" i="4"/>
  <c r="R384" i="4" s="1"/>
  <c r="G384" i="4"/>
  <c r="H685" i="4"/>
  <c r="R685" i="4" s="1"/>
  <c r="G685" i="4"/>
  <c r="G438" i="4"/>
  <c r="H438" i="4"/>
  <c r="R438" i="4" s="1"/>
  <c r="H314" i="4"/>
  <c r="R314" i="4" s="1"/>
  <c r="G314" i="4"/>
  <c r="V226" i="3"/>
  <c r="V34" i="2" s="1"/>
  <c r="BJ226" i="3"/>
  <c r="BJ34" i="2" s="1"/>
  <c r="P34" i="2"/>
  <c r="H386" i="4"/>
  <c r="R386" i="4" s="1"/>
  <c r="G386" i="4"/>
  <c r="BG240" i="3"/>
  <c r="BG48" i="2" s="1"/>
  <c r="R46" i="2"/>
  <c r="V199" i="3"/>
  <c r="BJ199" i="3"/>
  <c r="G709" i="4"/>
  <c r="H709" i="4"/>
  <c r="R709" i="4" s="1"/>
  <c r="Q33" i="2"/>
  <c r="H380" i="4"/>
  <c r="R380" i="4" s="1"/>
  <c r="AO165" i="3" s="1"/>
  <c r="G380" i="4"/>
  <c r="H758" i="4"/>
  <c r="R758" i="4" s="1"/>
  <c r="G758" i="4"/>
  <c r="O223" i="3"/>
  <c r="AF31" i="2"/>
  <c r="H398" i="4"/>
  <c r="R398" i="4" s="1"/>
  <c r="AO172" i="3" s="1"/>
  <c r="G398" i="4"/>
  <c r="U255" i="3"/>
  <c r="U63" i="2" s="1"/>
  <c r="O63" i="2"/>
  <c r="G273" i="4"/>
  <c r="H273" i="4"/>
  <c r="R273" i="4" s="1"/>
  <c r="BI181" i="3"/>
  <c r="U181" i="3"/>
  <c r="W181" i="3" s="1"/>
  <c r="BG287" i="3"/>
  <c r="BG95" i="2" s="1"/>
  <c r="BH286" i="3"/>
  <c r="BH94" i="2" s="1"/>
  <c r="H402" i="4"/>
  <c r="R402" i="4" s="1"/>
  <c r="G402" i="4"/>
  <c r="BG139" i="3"/>
  <c r="BK196" i="3"/>
  <c r="W196" i="3"/>
  <c r="Y196" i="3" s="1"/>
  <c r="H345" i="4"/>
  <c r="R345" i="4" s="1"/>
  <c r="G345" i="4"/>
  <c r="H468" i="4"/>
  <c r="R468" i="4" s="1"/>
  <c r="G468" i="4"/>
  <c r="V118" i="3"/>
  <c r="BJ118" i="3"/>
  <c r="H265" i="4"/>
  <c r="R265" i="4" s="1"/>
  <c r="G265" i="4"/>
  <c r="R23" i="2"/>
  <c r="BF131" i="3"/>
  <c r="H236" i="4"/>
  <c r="R236" i="4" s="1"/>
  <c r="G236" i="4"/>
  <c r="W139" i="3"/>
  <c r="O84" i="3"/>
  <c r="AF84" i="1"/>
  <c r="P290" i="3"/>
  <c r="V188" i="3"/>
  <c r="BJ188" i="3" s="1"/>
  <c r="W48" i="3"/>
  <c r="Q48" i="1"/>
  <c r="V19" i="3"/>
  <c r="V19" i="1" s="1"/>
  <c r="P19" i="1"/>
  <c r="BJ19" i="3"/>
  <c r="BJ19" i="1" s="1"/>
  <c r="BF83" i="3"/>
  <c r="BF83" i="1" s="1"/>
  <c r="H74" i="4"/>
  <c r="R74" i="4" s="1"/>
  <c r="G74" i="4"/>
  <c r="Q56" i="1"/>
  <c r="H96" i="4"/>
  <c r="R96" i="4" s="1"/>
  <c r="G96" i="4"/>
  <c r="BI170" i="3"/>
  <c r="BK125" i="3"/>
  <c r="H64" i="4"/>
  <c r="R64" i="4" s="1"/>
  <c r="G64" i="4"/>
  <c r="BI208" i="3"/>
  <c r="BI16" i="2" s="1"/>
  <c r="O76" i="3"/>
  <c r="AF76" i="1"/>
  <c r="W227" i="3"/>
  <c r="BH28" i="3"/>
  <c r="BH28" i="1" s="1"/>
  <c r="V111" i="3"/>
  <c r="BJ111" i="3" s="1"/>
  <c r="H26" i="4"/>
  <c r="R26" i="4" s="1"/>
  <c r="G26" i="4"/>
  <c r="BK82" i="3"/>
  <c r="BK82" i="1" s="1"/>
  <c r="O53" i="3"/>
  <c r="Q79" i="1"/>
  <c r="W100" i="3"/>
  <c r="W140" i="3"/>
  <c r="Y140" i="3" s="1"/>
  <c r="BK140" i="3"/>
  <c r="V70" i="3"/>
  <c r="V70" i="1" s="1"/>
  <c r="BJ70" i="3"/>
  <c r="BJ70" i="1" s="1"/>
  <c r="P70" i="1"/>
  <c r="BG74" i="3"/>
  <c r="BG74" i="1" s="1"/>
  <c r="V302" i="3"/>
  <c r="W302" i="3" s="1"/>
  <c r="Y302" i="3" s="1"/>
  <c r="BJ302" i="3"/>
  <c r="H634" i="4"/>
  <c r="R634" i="4" s="1"/>
  <c r="G634" i="4"/>
  <c r="H588" i="4"/>
  <c r="R588" i="4" s="1"/>
  <c r="G588" i="4"/>
  <c r="H358" i="4"/>
  <c r="R358" i="4" s="1"/>
  <c r="G358" i="4"/>
  <c r="H370" i="4"/>
  <c r="R370" i="4" s="1"/>
  <c r="G370" i="4"/>
  <c r="U125" i="3"/>
  <c r="W125" i="3" s="1"/>
  <c r="Y125" i="3" s="1"/>
  <c r="H56" i="4"/>
  <c r="R56" i="4" s="1"/>
  <c r="G56" i="4"/>
  <c r="H54" i="4"/>
  <c r="R54" i="4" s="1"/>
  <c r="G54" i="4"/>
  <c r="H890" i="4"/>
  <c r="R890" i="4" s="1"/>
  <c r="G890" i="4"/>
  <c r="V388" i="3"/>
  <c r="BJ388" i="3"/>
  <c r="G617" i="4"/>
  <c r="H617" i="4"/>
  <c r="R617" i="4" s="1"/>
  <c r="BJ138" i="3"/>
  <c r="V138" i="3"/>
  <c r="V17" i="3"/>
  <c r="V17" i="1" s="1"/>
  <c r="BJ17" i="3"/>
  <c r="BJ17" i="1" s="1"/>
  <c r="P17" i="1"/>
  <c r="W359" i="3"/>
  <c r="Y359" i="3" s="1"/>
  <c r="H706" i="4"/>
  <c r="R706" i="4" s="1"/>
  <c r="G706" i="4"/>
  <c r="H422" i="4"/>
  <c r="R422" i="4" s="1"/>
  <c r="G422" i="4"/>
  <c r="BF242" i="3"/>
  <c r="BF50" i="2" s="1"/>
  <c r="V178" i="3"/>
  <c r="W178" i="3" s="1"/>
  <c r="Y178" i="3" s="1"/>
  <c r="BJ178" i="3"/>
  <c r="U305" i="3"/>
  <c r="H166" i="4"/>
  <c r="R166" i="4" s="1"/>
  <c r="G166" i="4"/>
  <c r="G894" i="4"/>
  <c r="H894" i="4"/>
  <c r="R894" i="4" s="1"/>
  <c r="G281" i="4"/>
  <c r="H281" i="4"/>
  <c r="R281" i="4" s="1"/>
  <c r="W197" i="3"/>
  <c r="Y197" i="3" s="1"/>
  <c r="BK197" i="3"/>
  <c r="P292" i="3"/>
  <c r="AG100" i="2"/>
  <c r="H893" i="4"/>
  <c r="R893" i="4" s="1"/>
  <c r="AO376" i="3" s="1"/>
  <c r="G893" i="4"/>
  <c r="Q70" i="2"/>
  <c r="H397" i="4"/>
  <c r="R397" i="4" s="1"/>
  <c r="G397" i="4"/>
  <c r="G632" i="4"/>
  <c r="H632" i="4"/>
  <c r="R632" i="4" s="1"/>
  <c r="G875" i="4"/>
  <c r="H875" i="4"/>
  <c r="R875" i="4" s="1"/>
  <c r="AO368" i="3" s="1"/>
  <c r="G907" i="4"/>
  <c r="H907" i="4"/>
  <c r="R907" i="4" s="1"/>
  <c r="AO382" i="3" s="1"/>
  <c r="V373" i="3"/>
  <c r="BJ373" i="3" s="1"/>
  <c r="N874" i="4"/>
  <c r="Q874" i="4"/>
  <c r="AN367" i="3" s="1"/>
  <c r="H854" i="4"/>
  <c r="R854" i="4" s="1"/>
  <c r="G854" i="4"/>
  <c r="W310" i="3"/>
  <c r="G622" i="4"/>
  <c r="H622" i="4"/>
  <c r="R622" i="4" s="1"/>
  <c r="BE297" i="3"/>
  <c r="H726" i="4"/>
  <c r="R726" i="4" s="1"/>
  <c r="G726" i="4"/>
  <c r="H693" i="4"/>
  <c r="R693" i="4" s="1"/>
  <c r="G693" i="4"/>
  <c r="H722" i="4"/>
  <c r="R722" i="4" s="1"/>
  <c r="G722" i="4"/>
  <c r="V246" i="3"/>
  <c r="P54" i="2"/>
  <c r="G682" i="4"/>
  <c r="H682" i="4"/>
  <c r="R682" i="4" s="1"/>
  <c r="U325" i="3"/>
  <c r="BI325" i="3"/>
  <c r="BJ225" i="3"/>
  <c r="BJ33" i="2" s="1"/>
  <c r="V225" i="3"/>
  <c r="V33" i="2" s="1"/>
  <c r="P33" i="2"/>
  <c r="P277" i="3"/>
  <c r="AG85" i="2"/>
  <c r="H532" i="4"/>
  <c r="R532" i="4" s="1"/>
  <c r="G532" i="4"/>
  <c r="G567" i="4"/>
  <c r="H567" i="4"/>
  <c r="R567" i="4" s="1"/>
  <c r="G644" i="4"/>
  <c r="H644" i="4"/>
  <c r="R644" i="4" s="1"/>
  <c r="G382" i="4"/>
  <c r="H382" i="4"/>
  <c r="R382" i="4" s="1"/>
  <c r="O272" i="3"/>
  <c r="AF80" i="2"/>
  <c r="H439" i="4"/>
  <c r="R439" i="4" s="1"/>
  <c r="G439" i="4"/>
  <c r="H489" i="4"/>
  <c r="R489" i="4" s="1"/>
  <c r="AO206" i="3" s="1"/>
  <c r="AO14" i="2" s="1"/>
  <c r="G489" i="4"/>
  <c r="H264" i="4"/>
  <c r="R264" i="4" s="1"/>
  <c r="G264" i="4"/>
  <c r="H376" i="4"/>
  <c r="R376" i="4" s="1"/>
  <c r="G376" i="4"/>
  <c r="O224" i="3"/>
  <c r="AF32" i="2"/>
  <c r="V197" i="3"/>
  <c r="BJ197" i="3" s="1"/>
  <c r="G710" i="4"/>
  <c r="H710" i="4"/>
  <c r="R710" i="4" s="1"/>
  <c r="G535" i="4"/>
  <c r="H535" i="4"/>
  <c r="R535" i="4" s="1"/>
  <c r="H381" i="4"/>
  <c r="R381" i="4" s="1"/>
  <c r="G381" i="4"/>
  <c r="H757" i="4"/>
  <c r="R757" i="4" s="1"/>
  <c r="G757" i="4"/>
  <c r="G338" i="4"/>
  <c r="H338" i="4"/>
  <c r="R338" i="4" s="1"/>
  <c r="T32" i="2"/>
  <c r="G215" i="4"/>
  <c r="H215" i="4"/>
  <c r="R215" i="4" s="1"/>
  <c r="Q95" i="2"/>
  <c r="BF257" i="3"/>
  <c r="BF65" i="2" s="1"/>
  <c r="G401" i="4"/>
  <c r="H401" i="4"/>
  <c r="R401" i="4" s="1"/>
  <c r="V177" i="3"/>
  <c r="BJ177" i="3"/>
  <c r="H463" i="4"/>
  <c r="R463" i="4" s="1"/>
  <c r="G463" i="4"/>
  <c r="G346" i="4"/>
  <c r="H346" i="4"/>
  <c r="R346" i="4" s="1"/>
  <c r="H466" i="4"/>
  <c r="R466" i="4" s="1"/>
  <c r="G466" i="4"/>
  <c r="U215" i="3"/>
  <c r="BI215" i="3"/>
  <c r="BI23" i="2" s="1"/>
  <c r="O23" i="2"/>
  <c r="H266" i="4"/>
  <c r="R266" i="4" s="1"/>
  <c r="G266" i="4"/>
  <c r="U127" i="3"/>
  <c r="BI127" i="3"/>
  <c r="G237" i="4"/>
  <c r="H237" i="4"/>
  <c r="R237" i="4" s="1"/>
  <c r="V115" i="3"/>
  <c r="BJ115" i="3" s="1"/>
  <c r="P231" i="3"/>
  <c r="AG39" i="2"/>
  <c r="W128" i="3"/>
  <c r="Y128" i="3" s="1"/>
  <c r="G309" i="4"/>
  <c r="H309" i="4"/>
  <c r="R309" i="4" s="1"/>
  <c r="O266" i="3"/>
  <c r="AF74" i="2"/>
  <c r="W156" i="3"/>
  <c r="H91" i="4"/>
  <c r="R91" i="4" s="1"/>
  <c r="G91" i="4"/>
  <c r="Q9" i="2"/>
  <c r="P78" i="3"/>
  <c r="Q24" i="2"/>
  <c r="H242" i="4"/>
  <c r="R242" i="4" s="1"/>
  <c r="G242" i="4"/>
  <c r="H75" i="4"/>
  <c r="R75" i="4" s="1"/>
  <c r="G75" i="4"/>
  <c r="H97" i="4"/>
  <c r="R97" i="4" s="1"/>
  <c r="G97" i="4"/>
  <c r="U111" i="3"/>
  <c r="G287" i="4"/>
  <c r="H287" i="4"/>
  <c r="R287" i="4" s="1"/>
  <c r="U186" i="3"/>
  <c r="BI186" i="3"/>
  <c r="H20" i="4"/>
  <c r="R20" i="4" s="1"/>
  <c r="G20" i="4"/>
  <c r="Q51" i="1"/>
  <c r="R35" i="1"/>
  <c r="U28" i="3"/>
  <c r="BI28" i="3" s="1"/>
  <c r="BI28" i="1" s="1"/>
  <c r="O28" i="1"/>
  <c r="H9" i="4"/>
  <c r="R9" i="4" s="1"/>
  <c r="G9" i="4"/>
  <c r="BH69" i="3"/>
  <c r="BH69" i="1" s="1"/>
  <c r="T69" i="1"/>
  <c r="BJ16" i="3"/>
  <c r="BJ16" i="1" s="1"/>
  <c r="P16" i="1"/>
  <c r="V16" i="3"/>
  <c r="V16" i="1" s="1"/>
  <c r="BH71" i="3"/>
  <c r="BH71" i="1" s="1"/>
  <c r="O70" i="3"/>
  <c r="Q83" i="1"/>
  <c r="S47" i="1"/>
  <c r="Q37" i="1"/>
  <c r="V53" i="3"/>
  <c r="V53" i="1" s="1"/>
  <c r="BJ53" i="3"/>
  <c r="BJ53" i="1" s="1"/>
  <c r="P53" i="1"/>
  <c r="BI148" i="3"/>
  <c r="U148" i="3"/>
  <c r="H171" i="4"/>
  <c r="R171" i="4" s="1"/>
  <c r="G171" i="4"/>
  <c r="P103" i="3"/>
  <c r="V67" i="3"/>
  <c r="P67" i="1"/>
  <c r="BG31" i="3"/>
  <c r="BG31" i="1" s="1"/>
  <c r="U44" i="3"/>
  <c r="O44" i="1"/>
  <c r="G673" i="4"/>
  <c r="H673" i="4"/>
  <c r="R673" i="4" s="1"/>
  <c r="AO282" i="3" s="1"/>
  <c r="AO90" i="2" s="1"/>
  <c r="H761" i="4"/>
  <c r="R761" i="4" s="1"/>
  <c r="G761" i="4"/>
  <c r="H680" i="4"/>
  <c r="R680" i="4" s="1"/>
  <c r="G680" i="4"/>
  <c r="G671" i="4"/>
  <c r="H671" i="4"/>
  <c r="R671" i="4" s="1"/>
  <c r="Q31" i="2"/>
  <c r="Q25" i="2"/>
  <c r="H613" i="4"/>
  <c r="R613" i="4" s="1"/>
  <c r="G613" i="4"/>
  <c r="U306" i="3"/>
  <c r="R91" i="1"/>
  <c r="BF91" i="3"/>
  <c r="BF91" i="1" s="1"/>
  <c r="U286" i="3"/>
  <c r="U94" i="2" s="1"/>
  <c r="BI286" i="3"/>
  <c r="BI94" i="2" s="1"/>
  <c r="O94" i="2"/>
  <c r="H511" i="4"/>
  <c r="R511" i="4" s="1"/>
  <c r="G511" i="4"/>
  <c r="U382" i="3"/>
  <c r="BI382" i="3"/>
  <c r="H524" i="4"/>
  <c r="R524" i="4" s="1"/>
  <c r="G524" i="4"/>
  <c r="H112" i="4"/>
  <c r="R112" i="4" s="1"/>
  <c r="G112" i="4"/>
  <c r="V34" i="3"/>
  <c r="V34" i="1" s="1"/>
  <c r="BJ34" i="3"/>
  <c r="BJ34" i="1" s="1"/>
  <c r="P34" i="1"/>
  <c r="H145" i="4"/>
  <c r="R145" i="4" s="1"/>
  <c r="G145" i="4"/>
  <c r="H156" i="4"/>
  <c r="R156" i="4" s="1"/>
  <c r="AO74" i="3" s="1"/>
  <c r="AO74" i="1" s="1"/>
  <c r="G156" i="4"/>
  <c r="O86" i="3"/>
  <c r="AF86" i="1"/>
  <c r="H500" i="4"/>
  <c r="R500" i="4" s="1"/>
  <c r="AO210" i="3" s="1"/>
  <c r="AO18" i="2" s="1"/>
  <c r="G500" i="4"/>
  <c r="BI346" i="3"/>
  <c r="U346" i="3"/>
  <c r="V372" i="3"/>
  <c r="BJ372" i="3"/>
  <c r="BF279" i="3"/>
  <c r="BF87" i="2" s="1"/>
  <c r="R87" i="2"/>
  <c r="H808" i="4"/>
  <c r="R808" i="4" s="1"/>
  <c r="G808" i="4"/>
  <c r="BI291" i="3"/>
  <c r="BI99" i="2" s="1"/>
  <c r="U291" i="3"/>
  <c r="U99" i="2" s="1"/>
  <c r="O99" i="2"/>
  <c r="O32" i="3"/>
  <c r="AF32" i="1"/>
  <c r="BH265" i="3"/>
  <c r="BH73" i="2" s="1"/>
  <c r="H449" i="4"/>
  <c r="R449" i="4" s="1"/>
  <c r="G449" i="4"/>
  <c r="H362" i="4"/>
  <c r="R362" i="4" s="1"/>
  <c r="G362" i="4"/>
  <c r="BJ81" i="3"/>
  <c r="BJ81" i="1" s="1"/>
  <c r="V81" i="3"/>
  <c r="V81" i="1" s="1"/>
  <c r="P81" i="1"/>
  <c r="H146" i="4"/>
  <c r="R146" i="4" s="1"/>
  <c r="AO70" i="3" s="1"/>
  <c r="AO70" i="1" s="1"/>
  <c r="G146" i="4"/>
  <c r="H123" i="4"/>
  <c r="R123" i="4" s="1"/>
  <c r="G123" i="4"/>
  <c r="H43" i="4"/>
  <c r="R43" i="4" s="1"/>
  <c r="AO25" i="3" s="1"/>
  <c r="AO25" i="1" s="1"/>
  <c r="G43" i="4"/>
  <c r="BJ89" i="3"/>
  <c r="BJ89" i="1" s="1"/>
  <c r="V89" i="3"/>
  <c r="V89" i="1" s="1"/>
  <c r="P89" i="1"/>
  <c r="H39" i="4"/>
  <c r="R39" i="4" s="1"/>
  <c r="AO23" i="3" s="1"/>
  <c r="AO23" i="1" s="1"/>
  <c r="G39" i="4"/>
  <c r="H882" i="4"/>
  <c r="R882" i="4" s="1"/>
  <c r="G882" i="4"/>
  <c r="H714" i="4"/>
  <c r="R714" i="4" s="1"/>
  <c r="AO297" i="3" s="1"/>
  <c r="G714" i="4"/>
  <c r="H336" i="4"/>
  <c r="R336" i="4" s="1"/>
  <c r="G336" i="4"/>
  <c r="G44" i="4"/>
  <c r="H44" i="4"/>
  <c r="R44" i="4" s="1"/>
  <c r="G921" i="4"/>
  <c r="H921" i="4"/>
  <c r="R921" i="4" s="1"/>
  <c r="AO389" i="3" s="1"/>
  <c r="H677" i="4"/>
  <c r="R677" i="4" s="1"/>
  <c r="G677" i="4"/>
  <c r="Q50" i="1"/>
  <c r="H37" i="4"/>
  <c r="R37" i="4" s="1"/>
  <c r="AO22" i="3" s="1"/>
  <c r="AO22" i="1" s="1"/>
  <c r="G37" i="4"/>
  <c r="U104" i="3"/>
  <c r="U104" i="1" s="1"/>
  <c r="O104" i="1"/>
  <c r="H858" i="4"/>
  <c r="R858" i="4" s="1"/>
  <c r="G858" i="4"/>
  <c r="H918" i="4"/>
  <c r="R918" i="4" s="1"/>
  <c r="G918" i="4"/>
  <c r="G847" i="4"/>
  <c r="H847" i="4"/>
  <c r="R847" i="4" s="1"/>
  <c r="U370" i="3"/>
  <c r="BI370" i="3"/>
  <c r="H631" i="4"/>
  <c r="R631" i="4" s="1"/>
  <c r="G631" i="4"/>
  <c r="G753" i="4"/>
  <c r="H753" i="4"/>
  <c r="R753" i="4" s="1"/>
  <c r="AO312" i="3" s="1"/>
  <c r="V326" i="3"/>
  <c r="BJ326" i="3"/>
  <c r="H926" i="4"/>
  <c r="R926" i="4" s="1"/>
  <c r="G926" i="4"/>
  <c r="G806" i="4"/>
  <c r="H806" i="4"/>
  <c r="R806" i="4" s="1"/>
  <c r="H877" i="4"/>
  <c r="R877" i="4" s="1"/>
  <c r="G877" i="4"/>
  <c r="BI383" i="3"/>
  <c r="U383" i="3"/>
  <c r="W384" i="3"/>
  <c r="Y384" i="3" s="1"/>
  <c r="U333" i="3"/>
  <c r="BI333" i="3" s="1"/>
  <c r="H746" i="4"/>
  <c r="R746" i="4" s="1"/>
  <c r="G746" i="4"/>
  <c r="H805" i="4"/>
  <c r="R805" i="4" s="1"/>
  <c r="G805" i="4"/>
  <c r="V380" i="3"/>
  <c r="BJ380" i="3"/>
  <c r="H867" i="4"/>
  <c r="R867" i="4" s="1"/>
  <c r="G867" i="4"/>
  <c r="G795" i="4"/>
  <c r="H795" i="4"/>
  <c r="R795" i="4" s="1"/>
  <c r="H853" i="4"/>
  <c r="R853" i="4" s="1"/>
  <c r="G853" i="4"/>
  <c r="V333" i="3"/>
  <c r="BJ333" i="3" s="1"/>
  <c r="H745" i="4"/>
  <c r="R745" i="4" s="1"/>
  <c r="AO309" i="3" s="1"/>
  <c r="G745" i="4"/>
  <c r="W336" i="3"/>
  <c r="Y336" i="3" s="1"/>
  <c r="BK336" i="3"/>
  <c r="BE336" i="3"/>
  <c r="H748" i="4"/>
  <c r="R748" i="4" s="1"/>
  <c r="G748" i="4"/>
  <c r="H621" i="4"/>
  <c r="R621" i="4" s="1"/>
  <c r="G621" i="4"/>
  <c r="Q87" i="2"/>
  <c r="O294" i="3"/>
  <c r="H725" i="4"/>
  <c r="R725" i="4" s="1"/>
  <c r="AO301" i="3" s="1"/>
  <c r="G725" i="4"/>
  <c r="H694" i="4"/>
  <c r="R694" i="4" s="1"/>
  <c r="G694" i="4"/>
  <c r="H723" i="4"/>
  <c r="R723" i="4" s="1"/>
  <c r="G723" i="4"/>
  <c r="H683" i="4"/>
  <c r="R683" i="4" s="1"/>
  <c r="G683" i="4"/>
  <c r="BI323" i="3"/>
  <c r="U323" i="3"/>
  <c r="G657" i="4"/>
  <c r="H657" i="4"/>
  <c r="R657" i="4" s="1"/>
  <c r="Q100" i="2"/>
  <c r="G530" i="4"/>
  <c r="H530" i="4"/>
  <c r="R530" i="4" s="1"/>
  <c r="H568" i="4"/>
  <c r="R568" i="4" s="1"/>
  <c r="G568" i="4"/>
  <c r="H642" i="4"/>
  <c r="R642" i="4" s="1"/>
  <c r="AO270" i="3" s="1"/>
  <c r="AO78" i="2" s="1"/>
  <c r="G642" i="4"/>
  <c r="P272" i="3"/>
  <c r="AG80" i="2"/>
  <c r="BJ181" i="3"/>
  <c r="V181" i="3"/>
  <c r="BG318" i="3"/>
  <c r="H490" i="4"/>
  <c r="R490" i="4" s="1"/>
  <c r="G490" i="4"/>
  <c r="H263" i="4"/>
  <c r="R263" i="4" s="1"/>
  <c r="G263" i="4"/>
  <c r="H375" i="4"/>
  <c r="R375" i="4" s="1"/>
  <c r="AO163" i="3" s="1"/>
  <c r="G375" i="4"/>
  <c r="V236" i="3"/>
  <c r="V44" i="2" s="1"/>
  <c r="P44" i="2"/>
  <c r="H781" i="4"/>
  <c r="R781" i="4" s="1"/>
  <c r="G781" i="4"/>
  <c r="O295" i="3"/>
  <c r="H533" i="4"/>
  <c r="R533" i="4" s="1"/>
  <c r="G533" i="4"/>
  <c r="BF287" i="3"/>
  <c r="BF95" i="2" s="1"/>
  <c r="U222" i="3"/>
  <c r="O30" i="2"/>
  <c r="H339" i="4"/>
  <c r="R339" i="4" s="1"/>
  <c r="G339" i="4"/>
  <c r="Q30" i="2"/>
  <c r="BG259" i="3"/>
  <c r="BG67" i="2" s="1"/>
  <c r="G216" i="4"/>
  <c r="H216" i="4"/>
  <c r="R216" i="4" s="1"/>
  <c r="BG257" i="3"/>
  <c r="BG65" i="2" s="1"/>
  <c r="H238" i="4"/>
  <c r="R238" i="4" s="1"/>
  <c r="G238" i="4"/>
  <c r="BH257" i="3"/>
  <c r="BH65" i="2" s="1"/>
  <c r="S13" i="2"/>
  <c r="O280" i="3"/>
  <c r="AF88" i="2"/>
  <c r="H464" i="4"/>
  <c r="R464" i="4" s="1"/>
  <c r="G464" i="4"/>
  <c r="BI140" i="3"/>
  <c r="U140" i="3"/>
  <c r="BG215" i="3"/>
  <c r="BG23" i="2" s="1"/>
  <c r="U214" i="3"/>
  <c r="O22" i="2"/>
  <c r="G372" i="4"/>
  <c r="H372" i="4"/>
  <c r="R372" i="4" s="1"/>
  <c r="H363" i="4"/>
  <c r="R363" i="4" s="1"/>
  <c r="G363" i="4"/>
  <c r="O216" i="3"/>
  <c r="AF24" i="2"/>
  <c r="V230" i="3"/>
  <c r="P38" i="2"/>
  <c r="BI289" i="3"/>
  <c r="BI97" i="2" s="1"/>
  <c r="G310" i="4"/>
  <c r="H310" i="4"/>
  <c r="R310" i="4" s="1"/>
  <c r="BJ262" i="3"/>
  <c r="BJ70" i="2" s="1"/>
  <c r="P266" i="3"/>
  <c r="AG74" i="2"/>
  <c r="BE180" i="3"/>
  <c r="H90" i="4"/>
  <c r="R90" i="4" s="1"/>
  <c r="G90" i="4"/>
  <c r="H476" i="4"/>
  <c r="R476" i="4" s="1"/>
  <c r="AO201" i="3" s="1"/>
  <c r="AO9" i="2" s="1"/>
  <c r="G476" i="4"/>
  <c r="Q12" i="1"/>
  <c r="G179" i="4"/>
  <c r="H179" i="4"/>
  <c r="R179" i="4" s="1"/>
  <c r="AO82" i="3" s="1"/>
  <c r="AO82" i="1" s="1"/>
  <c r="BE216" i="3"/>
  <c r="BE24" i="2" s="1"/>
  <c r="H241" i="4"/>
  <c r="R241" i="4" s="1"/>
  <c r="AO106" i="3" s="1"/>
  <c r="G241" i="4"/>
  <c r="H76" i="4"/>
  <c r="R76" i="4" s="1"/>
  <c r="G76" i="4"/>
  <c r="H114" i="4"/>
  <c r="R114" i="4" s="1"/>
  <c r="G114" i="4"/>
  <c r="BH283" i="3"/>
  <c r="BH91" i="2" s="1"/>
  <c r="V101" i="3"/>
  <c r="BJ101" i="3" s="1"/>
  <c r="BJ101" i="1" s="1"/>
  <c r="P101" i="1"/>
  <c r="H286" i="4"/>
  <c r="R286" i="4" s="1"/>
  <c r="AO125" i="3" s="1"/>
  <c r="G286" i="4"/>
  <c r="H18" i="4"/>
  <c r="R18" i="4" s="1"/>
  <c r="AO13" i="3" s="1"/>
  <c r="AO13" i="1" s="1"/>
  <c r="G18" i="4"/>
  <c r="BK122" i="3"/>
  <c r="H279" i="4"/>
  <c r="R279" i="4" s="1"/>
  <c r="G279" i="4"/>
  <c r="BG43" i="3"/>
  <c r="BG43" i="1" s="1"/>
  <c r="S43" i="1"/>
  <c r="W184" i="3"/>
  <c r="Y184" i="3" s="1"/>
  <c r="Q15" i="1"/>
  <c r="BG28" i="3"/>
  <c r="BG28" i="1" s="1"/>
  <c r="H10" i="4"/>
  <c r="R10" i="4" s="1"/>
  <c r="G10" i="4"/>
  <c r="V62" i="3"/>
  <c r="V62" i="1" s="1"/>
  <c r="P62" i="1"/>
  <c r="V22" i="3"/>
  <c r="BJ22" i="3"/>
  <c r="BJ22" i="1" s="1"/>
  <c r="P22" i="1"/>
  <c r="O64" i="3"/>
  <c r="H181" i="4"/>
  <c r="R181" i="4" s="1"/>
  <c r="G181" i="4"/>
  <c r="BF42" i="3"/>
  <c r="BF42" i="1" s="1"/>
  <c r="H186" i="4"/>
  <c r="R186" i="4" s="1"/>
  <c r="G186" i="4"/>
  <c r="H68" i="4"/>
  <c r="R68" i="4" s="1"/>
  <c r="G68" i="4"/>
  <c r="Q24" i="1"/>
  <c r="V148" i="3"/>
  <c r="BJ148" i="3" s="1"/>
  <c r="U79" i="3"/>
  <c r="U79" i="1" s="1"/>
  <c r="O79" i="1"/>
  <c r="G173" i="4"/>
  <c r="H173" i="4"/>
  <c r="R173" i="4" s="1"/>
  <c r="BJ86" i="3"/>
  <c r="BJ86" i="1" s="1"/>
  <c r="V86" i="3"/>
  <c r="V86" i="1" s="1"/>
  <c r="P86" i="1"/>
  <c r="BH103" i="3"/>
  <c r="BH103" i="1" s="1"/>
  <c r="BJ10" i="3"/>
  <c r="BJ10" i="1" s="1"/>
  <c r="V10" i="3"/>
  <c r="V10" i="1" s="1"/>
  <c r="P10" i="1"/>
  <c r="W65" i="3"/>
  <c r="BK65" i="3" s="1"/>
  <c r="BK65" i="1" s="1"/>
  <c r="Q65" i="1"/>
  <c r="Q27" i="1"/>
  <c r="O31" i="3"/>
  <c r="BK274" i="3"/>
  <c r="BK82" i="2" s="1"/>
  <c r="W274" i="3"/>
  <c r="Q82" i="2"/>
  <c r="BF155" i="3"/>
  <c r="R75" i="1"/>
  <c r="G909" i="4"/>
  <c r="H909" i="4"/>
  <c r="R909" i="4" s="1"/>
  <c r="BG291" i="3"/>
  <c r="BG99" i="2" s="1"/>
  <c r="H483" i="4"/>
  <c r="R483" i="4" s="1"/>
  <c r="G483" i="4"/>
  <c r="U158" i="3"/>
  <c r="BJ152" i="3"/>
  <c r="V152" i="3"/>
  <c r="H36" i="4"/>
  <c r="R36" i="4" s="1"/>
  <c r="G36" i="4"/>
  <c r="BK372" i="3"/>
  <c r="H740" i="4"/>
  <c r="R740" i="4" s="1"/>
  <c r="G740" i="4"/>
  <c r="H565" i="4"/>
  <c r="R565" i="4" s="1"/>
  <c r="G565" i="4"/>
  <c r="W286" i="3"/>
  <c r="BK286" i="3"/>
  <c r="BK94" i="2" s="1"/>
  <c r="Q94" i="2"/>
  <c r="W173" i="3"/>
  <c r="Y173" i="3" s="1"/>
  <c r="H566" i="4"/>
  <c r="R566" i="4" s="1"/>
  <c r="G566" i="4"/>
  <c r="H925" i="4"/>
  <c r="R925" i="4" s="1"/>
  <c r="AO391" i="3" s="1"/>
  <c r="G925" i="4"/>
  <c r="H902" i="4"/>
  <c r="R902" i="4" s="1"/>
  <c r="G902" i="4"/>
  <c r="H807" i="4"/>
  <c r="R807" i="4" s="1"/>
  <c r="G807" i="4"/>
  <c r="W367" i="3"/>
  <c r="Y367" i="3" s="1"/>
  <c r="BK367" i="3"/>
  <c r="G846" i="4"/>
  <c r="H846" i="4"/>
  <c r="R846" i="4" s="1"/>
  <c r="H888" i="4"/>
  <c r="R888" i="4" s="1"/>
  <c r="G888" i="4"/>
  <c r="BG374" i="3"/>
  <c r="H760" i="4"/>
  <c r="R760" i="4" s="1"/>
  <c r="G760" i="4"/>
  <c r="H896" i="4"/>
  <c r="R896" i="4" s="1"/>
  <c r="G896" i="4"/>
  <c r="H865" i="4"/>
  <c r="R865" i="4" s="1"/>
  <c r="G865" i="4"/>
  <c r="H866" i="4"/>
  <c r="R866" i="4" s="1"/>
  <c r="G866" i="4"/>
  <c r="G797" i="4"/>
  <c r="H797" i="4"/>
  <c r="R797" i="4" s="1"/>
  <c r="G852" i="4"/>
  <c r="H852" i="4"/>
  <c r="R852" i="4" s="1"/>
  <c r="W321" i="3"/>
  <c r="Y321" i="3" s="1"/>
  <c r="H768" i="4"/>
  <c r="R768" i="4" s="1"/>
  <c r="G768" i="4"/>
  <c r="V349" i="3"/>
  <c r="BJ349" i="3"/>
  <c r="BJ298" i="3"/>
  <c r="V298" i="3"/>
  <c r="U329" i="3"/>
  <c r="G912" i="4"/>
  <c r="H912" i="4"/>
  <c r="R912" i="4" s="1"/>
  <c r="W331" i="3"/>
  <c r="H802" i="4"/>
  <c r="R802" i="4" s="1"/>
  <c r="G802" i="4"/>
  <c r="H818" i="4"/>
  <c r="R818" i="4" s="1"/>
  <c r="G818" i="4"/>
  <c r="G749" i="4"/>
  <c r="H749" i="4"/>
  <c r="R749" i="4" s="1"/>
  <c r="V251" i="3"/>
  <c r="V59" i="2" s="1"/>
  <c r="P59" i="2"/>
  <c r="G666" i="4"/>
  <c r="H666" i="4"/>
  <c r="R666" i="4" s="1"/>
  <c r="BF277" i="3"/>
  <c r="BF85" i="2" s="1"/>
  <c r="R85" i="2"/>
  <c r="Q80" i="2"/>
  <c r="U357" i="3"/>
  <c r="H724" i="4"/>
  <c r="R724" i="4" s="1"/>
  <c r="G724" i="4"/>
  <c r="Q47" i="2"/>
  <c r="G515" i="4"/>
  <c r="H515" i="4"/>
  <c r="R515" i="4" s="1"/>
  <c r="G656" i="4"/>
  <c r="H656" i="4"/>
  <c r="R656" i="4" s="1"/>
  <c r="AO275" i="3" s="1"/>
  <c r="AO83" i="2" s="1"/>
  <c r="H701" i="4"/>
  <c r="R701" i="4" s="1"/>
  <c r="G701" i="4"/>
  <c r="H531" i="4"/>
  <c r="R531" i="4" s="1"/>
  <c r="G531" i="4"/>
  <c r="G517" i="4"/>
  <c r="H517" i="4"/>
  <c r="R517" i="4" s="1"/>
  <c r="H643" i="4"/>
  <c r="R643" i="4" s="1"/>
  <c r="G643" i="4"/>
  <c r="BE261" i="3"/>
  <c r="BE69" i="2" s="1"/>
  <c r="Q69" i="2"/>
  <c r="P288" i="3"/>
  <c r="G491" i="4"/>
  <c r="H491" i="4"/>
  <c r="R491" i="4" s="1"/>
  <c r="H262" i="4"/>
  <c r="R262" i="4" s="1"/>
  <c r="G262" i="4"/>
  <c r="BH272" i="3"/>
  <c r="BH80" i="2" s="1"/>
  <c r="BH218" i="3"/>
  <c r="BH26" i="2" s="1"/>
  <c r="G780" i="4"/>
  <c r="H780" i="4"/>
  <c r="R780" i="4" s="1"/>
  <c r="BF295" i="3"/>
  <c r="BF103" i="2" s="1"/>
  <c r="H534" i="4"/>
  <c r="R534" i="4" s="1"/>
  <c r="G534" i="4"/>
  <c r="G360" i="4"/>
  <c r="H360" i="4"/>
  <c r="R360" i="4" s="1"/>
  <c r="H337" i="4"/>
  <c r="R337" i="4" s="1"/>
  <c r="G337" i="4"/>
  <c r="H527" i="4"/>
  <c r="R527" i="4" s="1"/>
  <c r="G527" i="4"/>
  <c r="P257" i="3"/>
  <c r="AG65" i="2"/>
  <c r="H214" i="4"/>
  <c r="R214" i="4" s="1"/>
  <c r="AO96" i="3" s="1"/>
  <c r="AO96" i="1" s="1"/>
  <c r="G214" i="4"/>
  <c r="G324" i="4"/>
  <c r="H324" i="4"/>
  <c r="R324" i="4" s="1"/>
  <c r="G239" i="4"/>
  <c r="H239" i="4"/>
  <c r="R239" i="4" s="1"/>
  <c r="BE257" i="3"/>
  <c r="BE65" i="2" s="1"/>
  <c r="Q65" i="2"/>
  <c r="H317" i="4"/>
  <c r="R317" i="4" s="1"/>
  <c r="G317" i="4"/>
  <c r="P280" i="3"/>
  <c r="AG88" i="2"/>
  <c r="U171" i="3"/>
  <c r="H465" i="4"/>
  <c r="R465" i="4" s="1"/>
  <c r="G465" i="4"/>
  <c r="W190" i="3"/>
  <c r="Y190" i="3" s="1"/>
  <c r="BI168" i="3"/>
  <c r="U168" i="3"/>
  <c r="BK168" i="3" s="1"/>
  <c r="BG214" i="3"/>
  <c r="BG22" i="2" s="1"/>
  <c r="W120" i="3"/>
  <c r="G371" i="4"/>
  <c r="H371" i="4"/>
  <c r="R371" i="4" s="1"/>
  <c r="H364" i="4"/>
  <c r="R364" i="4" s="1"/>
  <c r="G364" i="4"/>
  <c r="BF97" i="3"/>
  <c r="BF97" i="1" s="1"/>
  <c r="W134" i="3"/>
  <c r="P216" i="3"/>
  <c r="AG24" i="2"/>
  <c r="H308" i="4"/>
  <c r="R308" i="4" s="1"/>
  <c r="AO134" i="3" s="1"/>
  <c r="G308" i="4"/>
  <c r="G421" i="4"/>
  <c r="H421" i="4"/>
  <c r="R421" i="4" s="1"/>
  <c r="H89" i="4"/>
  <c r="R89" i="4" s="1"/>
  <c r="G89" i="4"/>
  <c r="H477" i="4"/>
  <c r="R477" i="4" s="1"/>
  <c r="G477" i="4"/>
  <c r="H160" i="4"/>
  <c r="R160" i="4" s="1"/>
  <c r="G160" i="4"/>
  <c r="H12" i="4"/>
  <c r="R12" i="4" s="1"/>
  <c r="G12" i="4"/>
  <c r="H180" i="4"/>
  <c r="R180" i="4" s="1"/>
  <c r="G180" i="4"/>
  <c r="BE186" i="3"/>
  <c r="H29" i="4"/>
  <c r="R29" i="4" s="1"/>
  <c r="G29" i="4"/>
  <c r="H115" i="4"/>
  <c r="R115" i="4" s="1"/>
  <c r="G115" i="4"/>
  <c r="V98" i="3"/>
  <c r="V98" i="1" s="1"/>
  <c r="BJ98" i="3"/>
  <c r="BJ98" i="1" s="1"/>
  <c r="P98" i="1"/>
  <c r="W169" i="3"/>
  <c r="Y169" i="3" s="1"/>
  <c r="BG61" i="3"/>
  <c r="BG61" i="1" s="1"/>
  <c r="V121" i="3"/>
  <c r="BJ121" i="3"/>
  <c r="H19" i="4"/>
  <c r="R19" i="4" s="1"/>
  <c r="G19" i="4"/>
  <c r="H278" i="4"/>
  <c r="R278" i="4" s="1"/>
  <c r="AO121" i="3" s="1"/>
  <c r="G278" i="4"/>
  <c r="H23" i="4"/>
  <c r="R23" i="4" s="1"/>
  <c r="G23" i="4"/>
  <c r="BH62" i="3"/>
  <c r="BH62" i="1" s="1"/>
  <c r="T62" i="1"/>
  <c r="BH22" i="3"/>
  <c r="BH22" i="1" s="1"/>
  <c r="O55" i="3"/>
  <c r="AF55" i="1"/>
  <c r="BJ109" i="3"/>
  <c r="V109" i="3"/>
  <c r="H182" i="4"/>
  <c r="R182" i="4" s="1"/>
  <c r="G182" i="4"/>
  <c r="H187" i="4"/>
  <c r="R187" i="4" s="1"/>
  <c r="G187" i="4"/>
  <c r="H69" i="4"/>
  <c r="R69" i="4" s="1"/>
  <c r="G69" i="4"/>
  <c r="V52" i="3"/>
  <c r="V52" i="1" s="1"/>
  <c r="BJ52" i="3"/>
  <c r="BJ52" i="1" s="1"/>
  <c r="P52" i="1"/>
  <c r="H42" i="4"/>
  <c r="R42" i="4" s="1"/>
  <c r="G42" i="4"/>
  <c r="H172" i="4"/>
  <c r="R172" i="4" s="1"/>
  <c r="G172" i="4"/>
  <c r="BF62" i="3"/>
  <c r="BF62" i="1" s="1"/>
  <c r="W71" i="3"/>
  <c r="BE69" i="3"/>
  <c r="BE69" i="1" s="1"/>
  <c r="H135" i="4"/>
  <c r="R135" i="4" s="1"/>
  <c r="G135" i="4"/>
  <c r="H47" i="4"/>
  <c r="R47" i="4" s="1"/>
  <c r="AO27" i="3" s="1"/>
  <c r="AO27" i="1" s="1"/>
  <c r="G47" i="4"/>
  <c r="V383" i="3"/>
  <c r="BJ383" i="3"/>
  <c r="G839" i="4"/>
  <c r="H839" i="4"/>
  <c r="R839" i="4" s="1"/>
  <c r="BI309" i="3"/>
  <c r="U309" i="3"/>
  <c r="W213" i="3"/>
  <c r="BK213" i="3"/>
  <c r="BK21" i="2" s="1"/>
  <c r="Q21" i="2"/>
  <c r="BG286" i="3"/>
  <c r="BG94" i="2" s="1"/>
  <c r="H86" i="4"/>
  <c r="R86" i="4" s="1"/>
  <c r="G86" i="4"/>
  <c r="H755" i="4"/>
  <c r="R755" i="4" s="1"/>
  <c r="G755" i="4"/>
  <c r="G404" i="4"/>
  <c r="H404" i="4"/>
  <c r="R404" i="4" s="1"/>
  <c r="H737" i="4"/>
  <c r="R737" i="4" s="1"/>
  <c r="G737" i="4"/>
  <c r="R96" i="2"/>
  <c r="O259" i="3"/>
  <c r="AF67" i="2"/>
  <c r="H193" i="4"/>
  <c r="R193" i="4" s="1"/>
  <c r="G193" i="4"/>
  <c r="H652" i="4"/>
  <c r="R652" i="4" s="1"/>
  <c r="G652" i="4"/>
  <c r="G520" i="4"/>
  <c r="H520" i="4"/>
  <c r="R520" i="4" s="1"/>
  <c r="AO219" i="3" s="1"/>
  <c r="AO27" i="2" s="1"/>
  <c r="H508" i="4"/>
  <c r="R508" i="4" s="1"/>
  <c r="G508" i="4"/>
  <c r="U143" i="3"/>
  <c r="BJ41" i="3"/>
  <c r="BJ41" i="1" s="1"/>
  <c r="V41" i="3"/>
  <c r="V41" i="1" s="1"/>
  <c r="P41" i="1"/>
  <c r="V64" i="3"/>
  <c r="P64" i="1"/>
  <c r="W127" i="3"/>
  <c r="Y127" i="3" s="1"/>
  <c r="BK127" i="3"/>
  <c r="V29" i="3"/>
  <c r="V29" i="1" s="1"/>
  <c r="BJ29" i="3"/>
  <c r="BJ29" i="1" s="1"/>
  <c r="P29" i="1"/>
  <c r="G910" i="4"/>
  <c r="H910" i="4"/>
  <c r="R910" i="4" s="1"/>
  <c r="V389" i="3"/>
  <c r="BJ389" i="3"/>
  <c r="H788" i="4"/>
  <c r="R788" i="4" s="1"/>
  <c r="G788" i="4"/>
  <c r="G790" i="4"/>
  <c r="H790" i="4"/>
  <c r="R790" i="4" s="1"/>
  <c r="V377" i="3"/>
  <c r="BJ377" i="3"/>
  <c r="G691" i="4"/>
  <c r="H691" i="4"/>
  <c r="R691" i="4" s="1"/>
  <c r="G756" i="4"/>
  <c r="H756" i="4"/>
  <c r="R756" i="4" s="1"/>
  <c r="H641" i="4"/>
  <c r="R641" i="4" s="1"/>
  <c r="G641" i="4"/>
  <c r="H472" i="4"/>
  <c r="R472" i="4" s="1"/>
  <c r="G472" i="4"/>
  <c r="H809" i="4"/>
  <c r="R809" i="4" s="1"/>
  <c r="G809" i="4"/>
  <c r="BI254" i="3"/>
  <c r="BI62" i="2" s="1"/>
  <c r="U254" i="3"/>
  <c r="O62" i="2"/>
  <c r="P260" i="3"/>
  <c r="AG68" i="2"/>
  <c r="H361" i="4"/>
  <c r="R361" i="4" s="1"/>
  <c r="G361" i="4"/>
  <c r="V192" i="3"/>
  <c r="BJ192" i="3" s="1"/>
  <c r="P239" i="3"/>
  <c r="AG47" i="2"/>
  <c r="W368" i="3"/>
  <c r="Y368" i="3" s="1"/>
  <c r="G751" i="4"/>
  <c r="H751" i="4"/>
  <c r="R751" i="4" s="1"/>
  <c r="H437" i="4"/>
  <c r="R437" i="4" s="1"/>
  <c r="G437" i="4"/>
  <c r="H320" i="4"/>
  <c r="R320" i="4" s="1"/>
  <c r="AO139" i="3" s="1"/>
  <c r="G320" i="4"/>
  <c r="P61" i="3"/>
  <c r="V12" i="3"/>
  <c r="P12" i="1"/>
  <c r="BF212" i="3"/>
  <c r="BF20" i="2" s="1"/>
  <c r="Y228" i="3"/>
  <c r="Y36" i="2" s="1"/>
  <c r="W36" i="2"/>
  <c r="G49" i="4"/>
  <c r="H49" i="4"/>
  <c r="R49" i="4" s="1"/>
  <c r="BE368" i="3"/>
  <c r="G743" i="4"/>
  <c r="H743" i="4"/>
  <c r="R743" i="4" s="1"/>
  <c r="G697" i="4"/>
  <c r="H697" i="4"/>
  <c r="R697" i="4" s="1"/>
  <c r="U340" i="3"/>
  <c r="BI340" i="3"/>
  <c r="H752" i="4"/>
  <c r="R752" i="4" s="1"/>
  <c r="G752" i="4"/>
  <c r="U297" i="3"/>
  <c r="Q93" i="2"/>
  <c r="V300" i="3"/>
  <c r="W300" i="3" s="1"/>
  <c r="Y300" i="3" s="1"/>
  <c r="BJ300" i="3"/>
  <c r="G801" i="4"/>
  <c r="H801" i="4"/>
  <c r="R801" i="4" s="1"/>
  <c r="U253" i="3"/>
  <c r="BI253" i="3"/>
  <c r="BI61" i="2" s="1"/>
  <c r="O61" i="2"/>
  <c r="U180" i="3"/>
  <c r="H678" i="4"/>
  <c r="R678" i="4" s="1"/>
  <c r="G678" i="4"/>
  <c r="H684" i="4"/>
  <c r="R684" i="4" s="1"/>
  <c r="AO286" i="3" s="1"/>
  <c r="AO94" i="2" s="1"/>
  <c r="G684" i="4"/>
  <c r="H901" i="4"/>
  <c r="R901" i="4" s="1"/>
  <c r="AO380" i="3" s="1"/>
  <c r="G901" i="4"/>
  <c r="G927" i="4"/>
  <c r="H927" i="4"/>
  <c r="R927" i="4" s="1"/>
  <c r="G886" i="4"/>
  <c r="H886" i="4"/>
  <c r="R886" i="4" s="1"/>
  <c r="H770" i="4"/>
  <c r="R770" i="4" s="1"/>
  <c r="G770" i="4"/>
  <c r="H911" i="4"/>
  <c r="R911" i="4" s="1"/>
  <c r="AO384" i="3" s="1"/>
  <c r="G911" i="4"/>
  <c r="H792" i="4"/>
  <c r="R792" i="4" s="1"/>
  <c r="G792" i="4"/>
  <c r="H804" i="4"/>
  <c r="R804" i="4" s="1"/>
  <c r="G804" i="4"/>
  <c r="H819" i="4"/>
  <c r="R819" i="4" s="1"/>
  <c r="G819" i="4"/>
  <c r="G747" i="4"/>
  <c r="H747" i="4"/>
  <c r="R747" i="4" s="1"/>
  <c r="AO310" i="3" s="1"/>
  <c r="H667" i="4"/>
  <c r="R667" i="4" s="1"/>
  <c r="G667" i="4"/>
  <c r="V269" i="3"/>
  <c r="P77" i="2"/>
  <c r="BE274" i="3"/>
  <c r="BE82" i="2" s="1"/>
  <c r="V275" i="3"/>
  <c r="V83" i="2" s="1"/>
  <c r="BJ275" i="3"/>
  <c r="BJ83" i="2" s="1"/>
  <c r="P83" i="2"/>
  <c r="H514" i="4"/>
  <c r="R514" i="4" s="1"/>
  <c r="G514" i="4"/>
  <c r="O267" i="3"/>
  <c r="G702" i="4"/>
  <c r="H702" i="4"/>
  <c r="R702" i="4" s="1"/>
  <c r="H479" i="4"/>
  <c r="R479" i="4" s="1"/>
  <c r="G479" i="4"/>
  <c r="H516" i="4"/>
  <c r="R516" i="4" s="1"/>
  <c r="AO217" i="3" s="1"/>
  <c r="AO25" i="2" s="1"/>
  <c r="G516" i="4"/>
  <c r="H728" i="4"/>
  <c r="R728" i="4" s="1"/>
  <c r="G728" i="4"/>
  <c r="H619" i="4"/>
  <c r="R619" i="4" s="1"/>
  <c r="G619" i="4"/>
  <c r="V323" i="3"/>
  <c r="BJ323" i="3" s="1"/>
  <c r="O256" i="3"/>
  <c r="AF64" i="2"/>
  <c r="P205" i="3"/>
  <c r="G349" i="4"/>
  <c r="H349" i="4"/>
  <c r="R349" i="4" s="1"/>
  <c r="AO151" i="3" s="1"/>
  <c r="H540" i="4"/>
  <c r="R540" i="4" s="1"/>
  <c r="G540" i="4"/>
  <c r="Q37" i="2"/>
  <c r="Q15" i="2"/>
  <c r="V273" i="3"/>
  <c r="V81" i="2" s="1"/>
  <c r="BJ273" i="3"/>
  <c r="BJ81" i="2" s="1"/>
  <c r="P81" i="2"/>
  <c r="BI188" i="3"/>
  <c r="U188" i="3"/>
  <c r="H359" i="4"/>
  <c r="R359" i="4" s="1"/>
  <c r="AO156" i="3" s="1"/>
  <c r="G359" i="4"/>
  <c r="BG220" i="3"/>
  <c r="BG28" i="2" s="1"/>
  <c r="S28" i="2"/>
  <c r="O251" i="3"/>
  <c r="AF59" i="2"/>
  <c r="G526" i="4"/>
  <c r="H526" i="4"/>
  <c r="R526" i="4" s="1"/>
  <c r="Q64" i="2"/>
  <c r="W194" i="3"/>
  <c r="Y194" i="3" s="1"/>
  <c r="U235" i="3"/>
  <c r="BI235" i="3"/>
  <c r="BI43" i="2" s="1"/>
  <c r="O43" i="2"/>
  <c r="H326" i="4"/>
  <c r="R326" i="4" s="1"/>
  <c r="G326" i="4"/>
  <c r="H240" i="4"/>
  <c r="R240" i="4" s="1"/>
  <c r="G240" i="4"/>
  <c r="H315" i="4"/>
  <c r="R315" i="4" s="1"/>
  <c r="AO137" i="3" s="1"/>
  <c r="G315" i="4"/>
  <c r="BF280" i="3"/>
  <c r="BF88" i="2" s="1"/>
  <c r="BJ171" i="3"/>
  <c r="V171" i="3"/>
  <c r="H452" i="4"/>
  <c r="R452" i="4" s="1"/>
  <c r="G452" i="4"/>
  <c r="G447" i="4"/>
  <c r="H447" i="4"/>
  <c r="R447" i="4" s="1"/>
  <c r="G259" i="4"/>
  <c r="H259" i="4"/>
  <c r="R259" i="4" s="1"/>
  <c r="BI161" i="3"/>
  <c r="U161" i="3"/>
  <c r="Q104" i="1"/>
  <c r="BH213" i="3"/>
  <c r="BH21" i="2" s="1"/>
  <c r="H276" i="4"/>
  <c r="R276" i="4" s="1"/>
  <c r="G276" i="4"/>
  <c r="H365" i="4"/>
  <c r="R365" i="4" s="1"/>
  <c r="G365" i="4"/>
  <c r="BK191" i="3"/>
  <c r="BG261" i="3"/>
  <c r="BG69" i="2" s="1"/>
  <c r="BH245" i="3"/>
  <c r="BH53" i="2" s="1"/>
  <c r="H420" i="4"/>
  <c r="R420" i="4" s="1"/>
  <c r="AO180" i="3" s="1"/>
  <c r="G420" i="4"/>
  <c r="W107" i="3"/>
  <c r="Y107" i="3" s="1"/>
  <c r="P212" i="3"/>
  <c r="AG20" i="2"/>
  <c r="H478" i="4"/>
  <c r="R478" i="4" s="1"/>
  <c r="G478" i="4"/>
  <c r="H161" i="4"/>
  <c r="R161" i="4" s="1"/>
  <c r="G161" i="4"/>
  <c r="H11" i="4"/>
  <c r="R11" i="4" s="1"/>
  <c r="AO10" i="3" s="1"/>
  <c r="AO10" i="1" s="1"/>
  <c r="G11" i="4"/>
  <c r="BH98" i="3"/>
  <c r="BH98" i="1" s="1"/>
  <c r="T98" i="1"/>
  <c r="H30" i="4"/>
  <c r="R30" i="4" s="1"/>
  <c r="G30" i="4"/>
  <c r="G113" i="4"/>
  <c r="H113" i="4"/>
  <c r="R113" i="4" s="1"/>
  <c r="AO55" i="3" s="1"/>
  <c r="AO55" i="1" s="1"/>
  <c r="H389" i="4"/>
  <c r="R389" i="4" s="1"/>
  <c r="G389" i="4"/>
  <c r="H61" i="4"/>
  <c r="R61" i="4" s="1"/>
  <c r="G61" i="4"/>
  <c r="U121" i="3"/>
  <c r="W121" i="3" s="1"/>
  <c r="Y121" i="3" s="1"/>
  <c r="BI121" i="3"/>
  <c r="U112" i="3"/>
  <c r="O209" i="3"/>
  <c r="H104" i="4"/>
  <c r="R104" i="4" s="1"/>
  <c r="G104" i="4"/>
  <c r="H24" i="4"/>
  <c r="R24" i="4" s="1"/>
  <c r="G24" i="4"/>
  <c r="U106" i="3"/>
  <c r="BI106" i="3"/>
  <c r="U237" i="3"/>
  <c r="BI237" i="3"/>
  <c r="BI45" i="2" s="1"/>
  <c r="O45" i="2"/>
  <c r="W105" i="3"/>
  <c r="Y105" i="3" s="1"/>
  <c r="U107" i="3"/>
  <c r="BI107" i="3"/>
  <c r="BG77" i="3"/>
  <c r="BG77" i="1" s="1"/>
  <c r="BH58" i="3"/>
  <c r="BH58" i="1" s="1"/>
  <c r="H41" i="4"/>
  <c r="R41" i="4" s="1"/>
  <c r="G41" i="4"/>
  <c r="P18" i="3"/>
  <c r="U163" i="3"/>
  <c r="BI163" i="3"/>
  <c r="W80" i="3"/>
  <c r="BK80" i="3" s="1"/>
  <c r="BK80" i="1" s="1"/>
  <c r="H136" i="4"/>
  <c r="R136" i="4" s="1"/>
  <c r="G136" i="4"/>
  <c r="H48" i="4"/>
  <c r="R48" i="4" s="1"/>
  <c r="G48" i="4"/>
  <c r="W14" i="3"/>
  <c r="BK14" i="3"/>
  <c r="BK14" i="1" s="1"/>
  <c r="Q14" i="1"/>
  <c r="BG42" i="3"/>
  <c r="BG42" i="1" s="1"/>
  <c r="BG10" i="3"/>
  <c r="BG10" i="1" s="1"/>
  <c r="G820" i="4"/>
  <c r="H820" i="4"/>
  <c r="R820" i="4" s="1"/>
  <c r="H495" i="4"/>
  <c r="R495" i="4" s="1"/>
  <c r="G495" i="4"/>
  <c r="G551" i="4"/>
  <c r="H551" i="4"/>
  <c r="R551" i="4" s="1"/>
  <c r="H837" i="4"/>
  <c r="R837" i="4" s="1"/>
  <c r="G837" i="4"/>
  <c r="BJ202" i="3"/>
  <c r="BJ10" i="2" s="1"/>
  <c r="V202" i="3"/>
  <c r="V10" i="2" s="1"/>
  <c r="P10" i="2"/>
  <c r="H304" i="4"/>
  <c r="R304" i="4" s="1"/>
  <c r="G304" i="4"/>
  <c r="BI345" i="3"/>
  <c r="U345" i="3"/>
  <c r="V198" i="3"/>
  <c r="BJ198" i="3"/>
  <c r="V183" i="3"/>
  <c r="BJ183" i="3"/>
  <c r="H481" i="4"/>
  <c r="R481" i="4" s="1"/>
  <c r="G481" i="4"/>
  <c r="H354" i="4"/>
  <c r="R354" i="4" s="1"/>
  <c r="G354" i="4"/>
  <c r="V131" i="3"/>
  <c r="V241" i="3"/>
  <c r="W241" i="3" s="1"/>
  <c r="P49" i="2"/>
  <c r="W124" i="3"/>
  <c r="Y124" i="3" s="1"/>
  <c r="O59" i="3"/>
  <c r="AF59" i="1"/>
  <c r="G134" i="4"/>
  <c r="H134" i="4"/>
  <c r="R134" i="4" s="1"/>
  <c r="H144" i="4"/>
  <c r="R144" i="4" s="1"/>
  <c r="G144" i="4"/>
  <c r="H139" i="4"/>
  <c r="R139" i="4" s="1"/>
  <c r="G139" i="4"/>
  <c r="H40" i="4"/>
  <c r="R40" i="4" s="1"/>
  <c r="G40" i="4"/>
  <c r="BH250" i="3"/>
  <c r="BH58" i="2" s="1"/>
  <c r="H167" i="4"/>
  <c r="R167" i="4" s="1"/>
  <c r="G167" i="4"/>
  <c r="H107" i="4"/>
  <c r="R107" i="4" s="1"/>
  <c r="G107" i="4"/>
  <c r="H794" i="4"/>
  <c r="R794" i="4" s="1"/>
  <c r="G794" i="4"/>
  <c r="R40" i="2"/>
  <c r="P209" i="3"/>
  <c r="AG17" i="2"/>
  <c r="W146" i="3"/>
  <c r="Y146" i="3" s="1"/>
  <c r="G140" i="4"/>
  <c r="H140" i="4"/>
  <c r="R140" i="4" s="1"/>
  <c r="H119" i="4"/>
  <c r="R119" i="4" s="1"/>
  <c r="G119" i="4"/>
  <c r="G137" i="4"/>
  <c r="H137" i="4"/>
  <c r="R137" i="4" s="1"/>
  <c r="AO66" i="3" s="1"/>
  <c r="AO66" i="1" s="1"/>
  <c r="W49" i="3"/>
  <c r="Q49" i="1"/>
  <c r="G290" i="4"/>
  <c r="H290" i="4"/>
  <c r="R290" i="4" s="1"/>
  <c r="G786" i="4"/>
  <c r="H786" i="4"/>
  <c r="R786" i="4" s="1"/>
  <c r="AO329" i="3" s="1"/>
  <c r="H623" i="4"/>
  <c r="R623" i="4" s="1"/>
  <c r="G623" i="4"/>
  <c r="G529" i="4"/>
  <c r="H529" i="4"/>
  <c r="R529" i="4" s="1"/>
  <c r="U275" i="3"/>
  <c r="BI275" i="3" s="1"/>
  <c r="BI83" i="2" s="1"/>
  <c r="O83" i="2"/>
  <c r="Q22" i="1"/>
  <c r="H396" i="4"/>
  <c r="R396" i="4" s="1"/>
  <c r="G396" i="4"/>
  <c r="H57" i="4"/>
  <c r="R57" i="4" s="1"/>
  <c r="G57" i="4"/>
  <c r="V43" i="3"/>
  <c r="V43" i="1" s="1"/>
  <c r="BJ43" i="3"/>
  <c r="BJ43" i="1" s="1"/>
  <c r="P43" i="1"/>
  <c r="H876" i="4"/>
  <c r="R876" i="4" s="1"/>
  <c r="G876" i="4"/>
  <c r="U326" i="3"/>
  <c r="BI326" i="3"/>
  <c r="H586" i="4"/>
  <c r="R586" i="4" s="1"/>
  <c r="G586" i="4"/>
  <c r="H759" i="4"/>
  <c r="R759" i="4" s="1"/>
  <c r="AO315" i="3" s="1"/>
  <c r="G759" i="4"/>
  <c r="H895" i="4"/>
  <c r="R895" i="4" s="1"/>
  <c r="G895" i="4"/>
  <c r="H863" i="4"/>
  <c r="R863" i="4" s="1"/>
  <c r="G863" i="4"/>
  <c r="H813" i="4"/>
  <c r="R813" i="4" s="1"/>
  <c r="G813" i="4"/>
  <c r="H796" i="4"/>
  <c r="R796" i="4" s="1"/>
  <c r="G796" i="4"/>
  <c r="G850" i="4"/>
  <c r="H850" i="4"/>
  <c r="R850" i="4" s="1"/>
  <c r="U308" i="3"/>
  <c r="W308" i="3" s="1"/>
  <c r="Y308" i="3" s="1"/>
  <c r="BI308" i="3"/>
  <c r="H928" i="4"/>
  <c r="R928" i="4" s="1"/>
  <c r="G928" i="4"/>
  <c r="H887" i="4"/>
  <c r="R887" i="4" s="1"/>
  <c r="G887" i="4"/>
  <c r="W355" i="3"/>
  <c r="Y355" i="3" s="1"/>
  <c r="H864" i="4"/>
  <c r="R864" i="4" s="1"/>
  <c r="G864" i="4"/>
  <c r="G827" i="4"/>
  <c r="H827" i="4"/>
  <c r="R827" i="4" s="1"/>
  <c r="H812" i="4"/>
  <c r="R812" i="4" s="1"/>
  <c r="G812" i="4"/>
  <c r="V391" i="3"/>
  <c r="BJ391" i="3"/>
  <c r="H851" i="4"/>
  <c r="R851" i="4" s="1"/>
  <c r="G851" i="4"/>
  <c r="BK303" i="3"/>
  <c r="H782" i="4"/>
  <c r="R782" i="4" s="1"/>
  <c r="AO325" i="3" s="1"/>
  <c r="G782" i="4"/>
  <c r="H769" i="4"/>
  <c r="R769" i="4" s="1"/>
  <c r="G769" i="4"/>
  <c r="H779" i="4"/>
  <c r="R779" i="4" s="1"/>
  <c r="G779" i="4"/>
  <c r="G791" i="4"/>
  <c r="H791" i="4"/>
  <c r="R791" i="4" s="1"/>
  <c r="G803" i="4"/>
  <c r="H803" i="4"/>
  <c r="R803" i="4" s="1"/>
  <c r="V320" i="3"/>
  <c r="BJ320" i="3"/>
  <c r="W305" i="3"/>
  <c r="Y305" i="3" s="1"/>
  <c r="W244" i="3"/>
  <c r="Q52" i="2"/>
  <c r="H627" i="4"/>
  <c r="R627" i="4" s="1"/>
  <c r="G627" i="4"/>
  <c r="BH269" i="3"/>
  <c r="BH77" i="2" s="1"/>
  <c r="H653" i="4"/>
  <c r="R653" i="4" s="1"/>
  <c r="G653" i="4"/>
  <c r="G562" i="4"/>
  <c r="H562" i="4"/>
  <c r="R562" i="4" s="1"/>
  <c r="O210" i="3"/>
  <c r="H600" i="4"/>
  <c r="R600" i="4" s="1"/>
  <c r="G600" i="4"/>
  <c r="H703" i="4"/>
  <c r="R703" i="4" s="1"/>
  <c r="G703" i="4"/>
  <c r="G480" i="4"/>
  <c r="H480" i="4"/>
  <c r="R480" i="4" s="1"/>
  <c r="H460" i="4"/>
  <c r="R460" i="4" s="1"/>
  <c r="G460" i="4"/>
  <c r="BG267" i="3"/>
  <c r="BG75" i="2" s="1"/>
  <c r="BG347" i="3"/>
  <c r="H727" i="4"/>
  <c r="R727" i="4" s="1"/>
  <c r="AO302" i="3" s="1"/>
  <c r="G727" i="4"/>
  <c r="G618" i="4"/>
  <c r="H618" i="4"/>
  <c r="R618" i="4" s="1"/>
  <c r="BE305" i="3"/>
  <c r="V248" i="3"/>
  <c r="V56" i="2" s="1"/>
  <c r="P56" i="2"/>
  <c r="BF203" i="3"/>
  <c r="BF11" i="2" s="1"/>
  <c r="H350" i="4"/>
  <c r="R350" i="4" s="1"/>
  <c r="G350" i="4"/>
  <c r="BI264" i="3"/>
  <c r="BI72" i="2" s="1"/>
  <c r="H539" i="4"/>
  <c r="R539" i="4" s="1"/>
  <c r="G539" i="4"/>
  <c r="BJ313" i="3"/>
  <c r="V313" i="3"/>
  <c r="Q34" i="2"/>
  <c r="BK200" i="3"/>
  <c r="W200" i="3"/>
  <c r="Y200" i="3" s="1"/>
  <c r="V214" i="3"/>
  <c r="V22" i="2" s="1"/>
  <c r="BJ214" i="3"/>
  <c r="BJ22" i="2" s="1"/>
  <c r="P22" i="2"/>
  <c r="O219" i="3"/>
  <c r="BG247" i="3"/>
  <c r="BG55" i="2" s="1"/>
  <c r="O290" i="3"/>
  <c r="AF98" i="2"/>
  <c r="G608" i="4"/>
  <c r="H608" i="4"/>
  <c r="R608" i="4" s="1"/>
  <c r="U182" i="3"/>
  <c r="BI182" i="3"/>
  <c r="BG234" i="3"/>
  <c r="BG42" i="2" s="1"/>
  <c r="H325" i="4"/>
  <c r="R325" i="4" s="1"/>
  <c r="G325" i="4"/>
  <c r="Q103" i="1"/>
  <c r="BK164" i="3"/>
  <c r="W164" i="3"/>
  <c r="Y164" i="3" s="1"/>
  <c r="H316" i="4"/>
  <c r="R316" i="4" s="1"/>
  <c r="G316" i="4"/>
  <c r="BH280" i="3"/>
  <c r="BH88" i="2" s="1"/>
  <c r="BK270" i="3"/>
  <c r="BK78" i="2" s="1"/>
  <c r="H453" i="4"/>
  <c r="R453" i="4" s="1"/>
  <c r="G453" i="4"/>
  <c r="H446" i="4"/>
  <c r="R446" i="4" s="1"/>
  <c r="AO190" i="3" s="1"/>
  <c r="G446" i="4"/>
  <c r="H258" i="4"/>
  <c r="R258" i="4" s="1"/>
  <c r="G258" i="4"/>
  <c r="G277" i="4"/>
  <c r="H277" i="4"/>
  <c r="R277" i="4" s="1"/>
  <c r="O96" i="3"/>
  <c r="BF241" i="3"/>
  <c r="BF49" i="2" s="1"/>
  <c r="W111" i="3"/>
  <c r="Y111" i="3" s="1"/>
  <c r="BF244" i="3"/>
  <c r="BF52" i="2" s="1"/>
  <c r="BF132" i="3"/>
  <c r="U261" i="3"/>
  <c r="BI261" i="3"/>
  <c r="BI69" i="2" s="1"/>
  <c r="O69" i="2"/>
  <c r="BG207" i="3"/>
  <c r="BG15" i="2" s="1"/>
  <c r="BF233" i="3"/>
  <c r="BF41" i="2" s="1"/>
  <c r="BI178" i="3"/>
  <c r="U178" i="3"/>
  <c r="H244" i="4"/>
  <c r="R244" i="4" s="1"/>
  <c r="G244" i="4"/>
  <c r="U184" i="3"/>
  <c r="G159" i="4"/>
  <c r="H159" i="4"/>
  <c r="R159" i="4" s="1"/>
  <c r="AO75" i="3" s="1"/>
  <c r="AO75" i="1" s="1"/>
  <c r="Q76" i="1"/>
  <c r="U49" i="3"/>
  <c r="U49" i="1" s="1"/>
  <c r="O49" i="1"/>
  <c r="H212" i="4"/>
  <c r="R212" i="4" s="1"/>
  <c r="G212" i="4"/>
  <c r="H391" i="4"/>
  <c r="R391" i="4" s="1"/>
  <c r="G391" i="4"/>
  <c r="H62" i="4"/>
  <c r="R62" i="4" s="1"/>
  <c r="G62" i="4"/>
  <c r="BJ113" i="3"/>
  <c r="V113" i="3"/>
  <c r="W113" i="3" s="1"/>
  <c r="Y113" i="3" s="1"/>
  <c r="V135" i="3"/>
  <c r="BJ135" i="3"/>
  <c r="BG209" i="3"/>
  <c r="BG17" i="2" s="1"/>
  <c r="G103" i="4"/>
  <c r="H103" i="4"/>
  <c r="R103" i="4" s="1"/>
  <c r="AO51" i="3" s="1"/>
  <c r="AO51" i="1" s="1"/>
  <c r="BJ228" i="3"/>
  <c r="BJ36" i="2" s="1"/>
  <c r="BJ106" i="3"/>
  <c r="V106" i="3"/>
  <c r="BG237" i="3"/>
  <c r="BG45" i="2" s="1"/>
  <c r="Q61" i="1"/>
  <c r="U39" i="3"/>
  <c r="O39" i="1"/>
  <c r="O83" i="3"/>
  <c r="Q20" i="1"/>
  <c r="BJ27" i="3"/>
  <c r="BJ27" i="1" s="1"/>
  <c r="V27" i="3"/>
  <c r="V27" i="1" s="1"/>
  <c r="P27" i="1"/>
  <c r="Q72" i="1"/>
  <c r="Q36" i="1"/>
  <c r="BE91" i="3"/>
  <c r="BE91" i="1" s="1"/>
  <c r="Q91" i="1"/>
  <c r="O75" i="3"/>
  <c r="AF75" i="1"/>
  <c r="R10" i="1"/>
  <c r="BG22" i="3"/>
  <c r="BG22" i="1" s="1"/>
  <c r="BI21" i="3"/>
  <c r="BI21" i="1" s="1"/>
  <c r="H21" i="4"/>
  <c r="R21" i="4" s="1"/>
  <c r="G21" i="4"/>
  <c r="U16" i="3"/>
  <c r="O16" i="1"/>
  <c r="G916" i="4"/>
  <c r="H916" i="4"/>
  <c r="R916" i="4" s="1"/>
  <c r="H675" i="4"/>
  <c r="R675" i="4" s="1"/>
  <c r="G675" i="4"/>
  <c r="H525" i="4"/>
  <c r="R525" i="4" s="1"/>
  <c r="G525" i="4"/>
  <c r="H587" i="4"/>
  <c r="R587" i="4" s="1"/>
  <c r="G587" i="4"/>
  <c r="Q57" i="1"/>
  <c r="H450" i="4"/>
  <c r="R450" i="4" s="1"/>
  <c r="G450" i="4"/>
  <c r="V129" i="3"/>
  <c r="W129" i="3" s="1"/>
  <c r="Y129" i="3" s="1"/>
  <c r="G322" i="4"/>
  <c r="H322" i="4"/>
  <c r="R322" i="4" s="1"/>
  <c r="AO140" i="3" s="1"/>
  <c r="H906" i="4"/>
  <c r="R906" i="4" s="1"/>
  <c r="G906" i="4"/>
  <c r="BI377" i="3"/>
  <c r="U377" i="3"/>
  <c r="W377" i="3" s="1"/>
  <c r="Y377" i="3" s="1"/>
  <c r="H849" i="4"/>
  <c r="R849" i="4" s="1"/>
  <c r="AO356" i="3" s="1"/>
  <c r="G849" i="4"/>
  <c r="BI365" i="3"/>
  <c r="U365" i="3"/>
  <c r="V321" i="3"/>
  <c r="BK321" i="3" s="1"/>
  <c r="BJ321" i="3"/>
  <c r="W348" i="3"/>
  <c r="Y348" i="3" s="1"/>
  <c r="H778" i="4"/>
  <c r="R778" i="4" s="1"/>
  <c r="AO323" i="3" s="1"/>
  <c r="G778" i="4"/>
  <c r="V315" i="3"/>
  <c r="BJ315" i="3"/>
  <c r="W329" i="3"/>
  <c r="Y329" i="3" s="1"/>
  <c r="V324" i="3"/>
  <c r="W324" i="3" s="1"/>
  <c r="Y324" i="3" s="1"/>
  <c r="H575" i="4"/>
  <c r="R575" i="4" s="1"/>
  <c r="G575" i="4"/>
  <c r="H599" i="4"/>
  <c r="R599" i="4" s="1"/>
  <c r="G599" i="4"/>
  <c r="W177" i="3"/>
  <c r="Y177" i="3" s="1"/>
  <c r="BK177" i="3"/>
  <c r="Q20" i="2"/>
  <c r="H352" i="4"/>
  <c r="R352" i="4" s="1"/>
  <c r="G352" i="4"/>
  <c r="O217" i="3"/>
  <c r="AF25" i="2"/>
  <c r="G607" i="4"/>
  <c r="H607" i="4"/>
  <c r="R607" i="4" s="1"/>
  <c r="AO256" i="3" s="1"/>
  <c r="AO64" i="2" s="1"/>
  <c r="G377" i="4"/>
  <c r="H377" i="4"/>
  <c r="R377" i="4" s="1"/>
  <c r="AO164" i="3" s="1"/>
  <c r="W270" i="3"/>
  <c r="H451" i="4"/>
  <c r="R451" i="4" s="1"/>
  <c r="G451" i="4"/>
  <c r="H257" i="4"/>
  <c r="R257" i="4" s="1"/>
  <c r="G257" i="4"/>
  <c r="V158" i="3"/>
  <c r="BJ158" i="3" s="1"/>
  <c r="BI116" i="3"/>
  <c r="U116" i="3"/>
  <c r="W116" i="3" s="1"/>
  <c r="Y116" i="3" s="1"/>
  <c r="V157" i="3"/>
  <c r="BJ157" i="3"/>
  <c r="BI244" i="3"/>
  <c r="BI52" i="2" s="1"/>
  <c r="U244" i="3"/>
  <c r="U52" i="2" s="1"/>
  <c r="O52" i="2"/>
  <c r="H256" i="4"/>
  <c r="R256" i="4" s="1"/>
  <c r="G256" i="4"/>
  <c r="BK243" i="3"/>
  <c r="BK51" i="2" s="1"/>
  <c r="U153" i="3"/>
  <c r="BI153" i="3"/>
  <c r="H245" i="4"/>
  <c r="R245" i="4" s="1"/>
  <c r="G245" i="4"/>
  <c r="H153" i="4"/>
  <c r="R153" i="4" s="1"/>
  <c r="AO73" i="3" s="1"/>
  <c r="AO73" i="1" s="1"/>
  <c r="G153" i="4"/>
  <c r="Q96" i="1"/>
  <c r="BJ42" i="3"/>
  <c r="BJ42" i="1" s="1"/>
  <c r="V42" i="3"/>
  <c r="V42" i="1" s="1"/>
  <c r="P42" i="1"/>
  <c r="W168" i="3"/>
  <c r="Y168" i="3" s="1"/>
  <c r="H213" i="4"/>
  <c r="R213" i="4" s="1"/>
  <c r="G213" i="4"/>
  <c r="G390" i="4"/>
  <c r="H390" i="4"/>
  <c r="R390" i="4" s="1"/>
  <c r="H16" i="4"/>
  <c r="R16" i="4" s="1"/>
  <c r="G16" i="4"/>
  <c r="BH90" i="3"/>
  <c r="BH90" i="1" s="1"/>
  <c r="O91" i="3"/>
  <c r="H127" i="4"/>
  <c r="R127" i="4" s="1"/>
  <c r="AO61" i="3" s="1"/>
  <c r="AO61" i="1" s="1"/>
  <c r="G127" i="4"/>
  <c r="P94" i="3"/>
  <c r="AG94" i="1"/>
  <c r="O103" i="3"/>
  <c r="BH36" i="3"/>
  <c r="BH36" i="1" s="1"/>
  <c r="BI71" i="3"/>
  <c r="BI71" i="1" s="1"/>
  <c r="U71" i="3"/>
  <c r="U71" i="1" s="1"/>
  <c r="O71" i="1"/>
  <c r="Q92" i="1"/>
  <c r="H34" i="4"/>
  <c r="R34" i="4" s="1"/>
  <c r="G34" i="4"/>
  <c r="BF57" i="3"/>
  <c r="BF57" i="1" s="1"/>
  <c r="H65" i="4"/>
  <c r="R65" i="4" s="1"/>
  <c r="G65" i="4"/>
  <c r="U46" i="3"/>
  <c r="BI46" i="3" s="1"/>
  <c r="BI46" i="1" s="1"/>
  <c r="O46" i="1"/>
  <c r="O23" i="3"/>
  <c r="H201" i="4"/>
  <c r="R201" i="4" s="1"/>
  <c r="G201" i="4"/>
  <c r="H121" i="4"/>
  <c r="R121" i="4" s="1"/>
  <c r="AO58" i="3" s="1"/>
  <c r="AO58" i="1" s="1"/>
  <c r="G121" i="4"/>
  <c r="BH56" i="3"/>
  <c r="BH56" i="1" s="1"/>
  <c r="AG51" i="1"/>
  <c r="P51" i="3"/>
  <c r="W63" i="3"/>
  <c r="S63" i="1"/>
  <c r="H22" i="4"/>
  <c r="R22" i="4" s="1"/>
  <c r="G22" i="4"/>
  <c r="BH220" i="3"/>
  <c r="BH28" i="2" s="1"/>
  <c r="BI303" i="3"/>
  <c r="U303" i="3"/>
  <c r="W303" i="3" s="1"/>
  <c r="Y303" i="3" s="1"/>
  <c r="H554" i="4"/>
  <c r="R554" i="4" s="1"/>
  <c r="G554" i="4"/>
  <c r="U160" i="3"/>
  <c r="BI160" i="3"/>
  <c r="H626" i="4"/>
  <c r="R626" i="4" s="1"/>
  <c r="G626" i="4"/>
  <c r="H230" i="4"/>
  <c r="R230" i="4" s="1"/>
  <c r="G230" i="4"/>
  <c r="BJ172" i="3"/>
  <c r="V172" i="3"/>
  <c r="H670" i="4"/>
  <c r="R670" i="4" s="1"/>
  <c r="AO281" i="3" s="1"/>
  <c r="AO89" i="2" s="1"/>
  <c r="G670" i="4"/>
  <c r="BI202" i="3"/>
  <c r="BI10" i="2" s="1"/>
  <c r="U202" i="3"/>
  <c r="O10" i="2"/>
  <c r="H406" i="4"/>
  <c r="R406" i="4" s="1"/>
  <c r="G406" i="4"/>
  <c r="H224" i="4"/>
  <c r="R224" i="4" s="1"/>
  <c r="G224" i="4"/>
  <c r="H615" i="4"/>
  <c r="R615" i="4" s="1"/>
  <c r="G615" i="4"/>
  <c r="BF288" i="3"/>
  <c r="BF96" i="2" s="1"/>
  <c r="W326" i="3"/>
  <c r="Y326" i="3" s="1"/>
  <c r="H341" i="4"/>
  <c r="R341" i="4" s="1"/>
  <c r="G341" i="4"/>
  <c r="Q21" i="1"/>
  <c r="W21" i="3"/>
  <c r="H105" i="4"/>
  <c r="R105" i="4" s="1"/>
  <c r="G105" i="4"/>
  <c r="BJ366" i="3"/>
  <c r="V366" i="3"/>
  <c r="W366" i="3" s="1"/>
  <c r="Y366" i="3" s="1"/>
  <c r="U371" i="3"/>
  <c r="H640" i="4"/>
  <c r="R640" i="4" s="1"/>
  <c r="G640" i="4"/>
  <c r="H411" i="4"/>
  <c r="R411" i="4" s="1"/>
  <c r="G411" i="4"/>
  <c r="H571" i="4"/>
  <c r="R571" i="4" s="1"/>
  <c r="G571" i="4"/>
  <c r="O203" i="3"/>
  <c r="AF11" i="2"/>
  <c r="G442" i="4"/>
  <c r="H442" i="4"/>
  <c r="R442" i="4" s="1"/>
  <c r="Q103" i="2"/>
  <c r="BI138" i="3"/>
  <c r="U138" i="3"/>
  <c r="W138" i="3" s="1"/>
  <c r="Y138" i="3" s="1"/>
  <c r="BG62" i="3"/>
  <c r="BG62" i="1" s="1"/>
  <c r="V75" i="3"/>
  <c r="V75" i="1" s="1"/>
  <c r="BJ75" i="3"/>
  <c r="BJ75" i="1" s="1"/>
  <c r="P75" i="1"/>
  <c r="G261" i="4"/>
  <c r="H261" i="4"/>
  <c r="R261" i="4" s="1"/>
  <c r="H70" i="4"/>
  <c r="R70" i="4" s="1"/>
  <c r="G70" i="4"/>
  <c r="H869" i="4"/>
  <c r="R869" i="4" s="1"/>
  <c r="G869" i="4"/>
  <c r="H929" i="4"/>
  <c r="R929" i="4" s="1"/>
  <c r="G929" i="4"/>
  <c r="W378" i="3"/>
  <c r="Y378" i="3" s="1"/>
  <c r="BK378" i="3"/>
  <c r="H843" i="4"/>
  <c r="R843" i="4" s="1"/>
  <c r="G843" i="4"/>
  <c r="U355" i="3"/>
  <c r="BK355" i="3" s="1"/>
  <c r="BI361" i="3"/>
  <c r="U361" i="3"/>
  <c r="W361" i="3" s="1"/>
  <c r="Y361" i="3" s="1"/>
  <c r="H826" i="4"/>
  <c r="R826" i="4" s="1"/>
  <c r="G826" i="4"/>
  <c r="G767" i="4"/>
  <c r="H767" i="4"/>
  <c r="R767" i="4" s="1"/>
  <c r="H822" i="4"/>
  <c r="R822" i="4" s="1"/>
  <c r="G822" i="4"/>
  <c r="BI342" i="3"/>
  <c r="U342" i="3"/>
  <c r="W342" i="3" s="1"/>
  <c r="Y342" i="3" s="1"/>
  <c r="H734" i="4"/>
  <c r="R734" i="4" s="1"/>
  <c r="G734" i="4"/>
  <c r="H609" i="4"/>
  <c r="R609" i="4" s="1"/>
  <c r="AO257" i="3" s="1"/>
  <c r="AO65" i="2" s="1"/>
  <c r="G609" i="4"/>
  <c r="H628" i="4"/>
  <c r="R628" i="4" s="1"/>
  <c r="G628" i="4"/>
  <c r="BK342" i="3"/>
  <c r="H654" i="4"/>
  <c r="R654" i="4" s="1"/>
  <c r="G654" i="4"/>
  <c r="H712" i="4"/>
  <c r="R712" i="4" s="1"/>
  <c r="G712" i="4"/>
  <c r="G563" i="4"/>
  <c r="H563" i="4"/>
  <c r="R563" i="4" s="1"/>
  <c r="BG292" i="3"/>
  <c r="BG100" i="2" s="1"/>
  <c r="S100" i="2"/>
  <c r="V203" i="3"/>
  <c r="P11" i="2"/>
  <c r="H688" i="4"/>
  <c r="R688" i="4" s="1"/>
  <c r="G688" i="4"/>
  <c r="H462" i="4"/>
  <c r="R462" i="4" s="1"/>
  <c r="G462" i="4"/>
  <c r="U279" i="3"/>
  <c r="O87" i="2"/>
  <c r="O201" i="3"/>
  <c r="AF9" i="2"/>
  <c r="H296" i="4"/>
  <c r="R296" i="4" s="1"/>
  <c r="G296" i="4"/>
  <c r="H538" i="4"/>
  <c r="R538" i="4" s="1"/>
  <c r="G538" i="4"/>
  <c r="H537" i="4"/>
  <c r="R537" i="4" s="1"/>
  <c r="G537" i="4"/>
  <c r="P283" i="3"/>
  <c r="AG91" i="2"/>
  <c r="G473" i="4"/>
  <c r="H473" i="4"/>
  <c r="R473" i="4" s="1"/>
  <c r="H920" i="4"/>
  <c r="R920" i="4" s="1"/>
  <c r="G920" i="4"/>
  <c r="H898" i="4"/>
  <c r="R898" i="4" s="1"/>
  <c r="G898" i="4"/>
  <c r="G884" i="4"/>
  <c r="H884" i="4"/>
  <c r="R884" i="4" s="1"/>
  <c r="H841" i="4"/>
  <c r="R841" i="4" s="1"/>
  <c r="G841" i="4"/>
  <c r="W356" i="3"/>
  <c r="BE356" i="3"/>
  <c r="H766" i="4"/>
  <c r="R766" i="4" s="1"/>
  <c r="G766" i="4"/>
  <c r="H799" i="4"/>
  <c r="R799" i="4" s="1"/>
  <c r="G799" i="4"/>
  <c r="BG373" i="3"/>
  <c r="H823" i="4"/>
  <c r="R823" i="4" s="1"/>
  <c r="G823" i="4"/>
  <c r="W298" i="3"/>
  <c r="Y298" i="3" s="1"/>
  <c r="BE370" i="3"/>
  <c r="U322" i="3"/>
  <c r="W322" i="3" s="1"/>
  <c r="Y322" i="3" s="1"/>
  <c r="BI322" i="3"/>
  <c r="G735" i="4"/>
  <c r="H735" i="4"/>
  <c r="R735" i="4" s="1"/>
  <c r="H576" i="4"/>
  <c r="R576" i="4" s="1"/>
  <c r="G576" i="4"/>
  <c r="H610" i="4"/>
  <c r="R610" i="4" s="1"/>
  <c r="G610" i="4"/>
  <c r="G629" i="4"/>
  <c r="H629" i="4"/>
  <c r="R629" i="4" s="1"/>
  <c r="P263" i="3"/>
  <c r="G817" i="4"/>
  <c r="H817" i="4"/>
  <c r="R817" i="4" s="1"/>
  <c r="BK346" i="3"/>
  <c r="W346" i="3"/>
  <c r="Y346" i="3" s="1"/>
  <c r="P293" i="3"/>
  <c r="H655" i="4"/>
  <c r="R655" i="4" s="1"/>
  <c r="G655" i="4"/>
  <c r="H713" i="4"/>
  <c r="R713" i="4" s="1"/>
  <c r="G713" i="4"/>
  <c r="H564" i="4"/>
  <c r="R564" i="4" s="1"/>
  <c r="G564" i="4"/>
  <c r="U330" i="3"/>
  <c r="BI330" i="3"/>
  <c r="H598" i="4"/>
  <c r="R598" i="4" s="1"/>
  <c r="G598" i="4"/>
  <c r="H649" i="4"/>
  <c r="R649" i="4" s="1"/>
  <c r="G649" i="4"/>
  <c r="G550" i="4"/>
  <c r="H550" i="4"/>
  <c r="R550" i="4" s="1"/>
  <c r="H687" i="4"/>
  <c r="R687" i="4" s="1"/>
  <c r="G687" i="4"/>
  <c r="H461" i="4"/>
  <c r="R461" i="4" s="1"/>
  <c r="G461" i="4"/>
  <c r="BF267" i="3"/>
  <c r="BF75" i="2" s="1"/>
  <c r="H297" i="4"/>
  <c r="R297" i="4" s="1"/>
  <c r="G297" i="4"/>
  <c r="U212" i="3"/>
  <c r="U20" i="2" s="1"/>
  <c r="BI212" i="3"/>
  <c r="BI20" i="2" s="1"/>
  <c r="O20" i="2"/>
  <c r="H536" i="4"/>
  <c r="R536" i="4" s="1"/>
  <c r="G536" i="4"/>
  <c r="W276" i="3"/>
  <c r="BE276" i="3"/>
  <c r="BE84" i="2" s="1"/>
  <c r="Q84" i="2"/>
  <c r="H475" i="4"/>
  <c r="R475" i="4" s="1"/>
  <c r="G475" i="4"/>
  <c r="P268" i="3"/>
  <c r="H506" i="4"/>
  <c r="R506" i="4" s="1"/>
  <c r="AO212" i="3" s="1"/>
  <c r="AO20" i="2" s="1"/>
  <c r="G506" i="4"/>
  <c r="H351" i="4"/>
  <c r="R351" i="4" s="1"/>
  <c r="AO152" i="3" s="1"/>
  <c r="G351" i="4"/>
  <c r="BF273" i="3"/>
  <c r="BF81" i="2" s="1"/>
  <c r="P217" i="3"/>
  <c r="AG25" i="2"/>
  <c r="G544" i="4"/>
  <c r="H544" i="4"/>
  <c r="R544" i="4" s="1"/>
  <c r="W211" i="3"/>
  <c r="Q19" i="2"/>
  <c r="O283" i="3"/>
  <c r="BF225" i="3"/>
  <c r="BF33" i="2" s="1"/>
  <c r="H231" i="4"/>
  <c r="R231" i="4" s="1"/>
  <c r="G231" i="4"/>
  <c r="G378" i="4"/>
  <c r="H378" i="4"/>
  <c r="R378" i="4" s="1"/>
  <c r="U192" i="3"/>
  <c r="Q43" i="2"/>
  <c r="U191" i="3"/>
  <c r="W191" i="3" s="1"/>
  <c r="Y191" i="3" s="1"/>
  <c r="BI191" i="3"/>
  <c r="H233" i="4"/>
  <c r="R233" i="4" s="1"/>
  <c r="G233" i="4"/>
  <c r="T99" i="1"/>
  <c r="BH158" i="3"/>
  <c r="BE182" i="3"/>
  <c r="U115" i="3"/>
  <c r="BJ255" i="3"/>
  <c r="BJ63" i="2" s="1"/>
  <c r="W198" i="3"/>
  <c r="Y198" i="3" s="1"/>
  <c r="BK198" i="3"/>
  <c r="BE198" i="3"/>
  <c r="BG244" i="3"/>
  <c r="BG52" i="2" s="1"/>
  <c r="H255" i="4"/>
  <c r="R255" i="4" s="1"/>
  <c r="G255" i="4"/>
  <c r="P242" i="3"/>
  <c r="O247" i="3"/>
  <c r="AF55" i="2"/>
  <c r="H243" i="4"/>
  <c r="R243" i="4" s="1"/>
  <c r="G243" i="4"/>
  <c r="H418" i="4"/>
  <c r="R418" i="4" s="1"/>
  <c r="G418" i="4"/>
  <c r="H154" i="4"/>
  <c r="R154" i="4" s="1"/>
  <c r="G154" i="4"/>
  <c r="Q64" i="1"/>
  <c r="G387" i="4"/>
  <c r="H387" i="4"/>
  <c r="R387" i="4" s="1"/>
  <c r="H211" i="4"/>
  <c r="R211" i="4" s="1"/>
  <c r="G211" i="4"/>
  <c r="BG159" i="3"/>
  <c r="H17" i="4"/>
  <c r="R17" i="4" s="1"/>
  <c r="G17" i="4"/>
  <c r="BI109" i="3"/>
  <c r="U109" i="3"/>
  <c r="W109" i="3" s="1"/>
  <c r="Y109" i="3" s="1"/>
  <c r="U94" i="3"/>
  <c r="O94" i="1"/>
  <c r="BF86" i="3"/>
  <c r="BF86" i="1" s="1"/>
  <c r="R86" i="1"/>
  <c r="G226" i="4"/>
  <c r="H226" i="4"/>
  <c r="R226" i="4" s="1"/>
  <c r="Q29" i="1"/>
  <c r="BF90" i="3"/>
  <c r="BF90" i="1" s="1"/>
  <c r="BI102" i="3"/>
  <c r="BI102" i="1" s="1"/>
  <c r="BF204" i="3"/>
  <c r="BF12" i="2" s="1"/>
  <c r="BI45" i="3"/>
  <c r="BI45" i="1" s="1"/>
  <c r="U45" i="3"/>
  <c r="O45" i="1"/>
  <c r="BI213" i="3"/>
  <c r="BI21" i="2" s="1"/>
  <c r="Q26" i="2"/>
  <c r="H128" i="4"/>
  <c r="R128" i="4" s="1"/>
  <c r="G128" i="4"/>
  <c r="BF14" i="3"/>
  <c r="BF14" i="1" s="1"/>
  <c r="BG36" i="3"/>
  <c r="BG36" i="1" s="1"/>
  <c r="H33" i="4"/>
  <c r="R33" i="4" s="1"/>
  <c r="AO20" i="3" s="1"/>
  <c r="AO20" i="1" s="1"/>
  <c r="G33" i="4"/>
  <c r="H152" i="4"/>
  <c r="R152" i="4" s="1"/>
  <c r="G152" i="4"/>
  <c r="O56" i="3"/>
  <c r="G66" i="4"/>
  <c r="H66" i="4"/>
  <c r="R66" i="4" s="1"/>
  <c r="S46" i="1"/>
  <c r="BG46" i="3"/>
  <c r="BG46" i="1" s="1"/>
  <c r="G202" i="4"/>
  <c r="H202" i="4"/>
  <c r="R202" i="4" s="1"/>
  <c r="H275" i="4"/>
  <c r="R275" i="4" s="1"/>
  <c r="G275" i="4"/>
  <c r="AG99" i="1"/>
  <c r="P99" i="3"/>
  <c r="BF58" i="3"/>
  <c r="BF58" i="1" s="1"/>
  <c r="H122" i="4"/>
  <c r="R122" i="4" s="1"/>
  <c r="G122" i="4"/>
  <c r="V50" i="3"/>
  <c r="V50" i="1" s="1"/>
  <c r="BJ50" i="3"/>
  <c r="BJ50" i="1" s="1"/>
  <c r="P50" i="1"/>
  <c r="O50" i="3"/>
  <c r="U132" i="3"/>
  <c r="W132" i="3" s="1"/>
  <c r="AF58" i="2"/>
  <c r="O250" i="3"/>
  <c r="H493" i="4"/>
  <c r="R493" i="4" s="1"/>
  <c r="G493" i="4"/>
  <c r="BJ141" i="3"/>
  <c r="V141" i="3"/>
  <c r="BK141" i="3" s="1"/>
  <c r="H205" i="4"/>
  <c r="R205" i="4" s="1"/>
  <c r="G205" i="4"/>
  <c r="H192" i="4"/>
  <c r="R192" i="4" s="1"/>
  <c r="G192" i="4"/>
  <c r="V180" i="3"/>
  <c r="BJ180" i="3"/>
  <c r="O206" i="3"/>
  <c r="AF14" i="2"/>
  <c r="H292" i="4"/>
  <c r="R292" i="4" s="1"/>
  <c r="AO128" i="3" s="1"/>
  <c r="G292" i="4"/>
  <c r="H356" i="4"/>
  <c r="R356" i="4" s="1"/>
  <c r="G356" i="4"/>
  <c r="H625" i="4"/>
  <c r="R625" i="4" s="1"/>
  <c r="AO264" i="3" s="1"/>
  <c r="AO72" i="2" s="1"/>
  <c r="G625" i="4"/>
  <c r="P245" i="3"/>
  <c r="AG53" i="2"/>
  <c r="G639" i="4"/>
  <c r="H639" i="4"/>
  <c r="R639" i="4" s="1"/>
  <c r="AO269" i="3" s="1"/>
  <c r="AO77" i="2" s="1"/>
  <c r="G606" i="4"/>
  <c r="H606" i="4"/>
  <c r="R606" i="4" s="1"/>
  <c r="BK240" i="3"/>
  <c r="BK48" i="2" s="1"/>
  <c r="W240" i="3"/>
  <c r="Q48" i="2"/>
  <c r="O73" i="3"/>
  <c r="AF73" i="1"/>
  <c r="H120" i="4"/>
  <c r="R120" i="4" s="1"/>
  <c r="G120" i="4"/>
  <c r="BJ146" i="3"/>
  <c r="V146" i="3"/>
  <c r="BK320" i="3"/>
  <c r="H456" i="4"/>
  <c r="R456" i="4" s="1"/>
  <c r="G456" i="4"/>
  <c r="H487" i="4"/>
  <c r="R487" i="4" s="1"/>
  <c r="AO205" i="3" s="1"/>
  <c r="AO13" i="2" s="1"/>
  <c r="G487" i="4"/>
  <c r="U142" i="3"/>
  <c r="BI142" i="3"/>
  <c r="BI154" i="3"/>
  <c r="U154" i="3"/>
  <c r="H789" i="4"/>
  <c r="R789" i="4" s="1"/>
  <c r="AO330" i="3" s="1"/>
  <c r="G789" i="4"/>
  <c r="G596" i="4"/>
  <c r="H596" i="4"/>
  <c r="R596" i="4" s="1"/>
  <c r="H175" i="4"/>
  <c r="R175" i="4" s="1"/>
  <c r="G175" i="4"/>
  <c r="H147" i="4"/>
  <c r="R147" i="4" s="1"/>
  <c r="G147" i="4"/>
  <c r="G77" i="4"/>
  <c r="H77" i="4"/>
  <c r="R77" i="4" s="1"/>
  <c r="P13" i="3"/>
  <c r="AG13" i="1"/>
  <c r="H859" i="4"/>
  <c r="R859" i="4" s="1"/>
  <c r="G859" i="4"/>
  <c r="H904" i="4"/>
  <c r="R904" i="4" s="1"/>
  <c r="G904" i="4"/>
  <c r="W387" i="3"/>
  <c r="G630" i="4"/>
  <c r="H630" i="4"/>
  <c r="R630" i="4" s="1"/>
  <c r="H695" i="4"/>
  <c r="R695" i="4" s="1"/>
  <c r="G695" i="4"/>
  <c r="W330" i="3"/>
  <c r="Y330" i="3" s="1"/>
  <c r="P220" i="3"/>
  <c r="AG28" i="2"/>
  <c r="H126" i="4"/>
  <c r="R126" i="4" s="1"/>
  <c r="G126" i="4"/>
  <c r="V301" i="3"/>
  <c r="W301" i="3" s="1"/>
  <c r="Y301" i="3" s="1"/>
  <c r="BJ301" i="3"/>
  <c r="H593" i="4"/>
  <c r="R593" i="4" s="1"/>
  <c r="G593" i="4"/>
  <c r="H711" i="4"/>
  <c r="R711" i="4" s="1"/>
  <c r="G711" i="4"/>
  <c r="G647" i="4"/>
  <c r="H647" i="4"/>
  <c r="R647" i="4" s="1"/>
  <c r="H457" i="4"/>
  <c r="R457" i="4" s="1"/>
  <c r="G457" i="4"/>
  <c r="H549" i="4"/>
  <c r="R549" i="4" s="1"/>
  <c r="G549" i="4"/>
  <c r="H686" i="4"/>
  <c r="R686" i="4" s="1"/>
  <c r="G686" i="4"/>
  <c r="H612" i="4"/>
  <c r="R612" i="4" s="1"/>
  <c r="G612" i="4"/>
  <c r="H295" i="4"/>
  <c r="R295" i="4" s="1"/>
  <c r="AO129" i="3" s="1"/>
  <c r="G295" i="4"/>
  <c r="H591" i="4"/>
  <c r="R591" i="4" s="1"/>
  <c r="AO249" i="3" s="1"/>
  <c r="AO57" i="2" s="1"/>
  <c r="G591" i="4"/>
  <c r="G658" i="4"/>
  <c r="H658" i="4"/>
  <c r="R658" i="4" s="1"/>
  <c r="H474" i="4"/>
  <c r="R474" i="4" s="1"/>
  <c r="G474" i="4"/>
  <c r="H507" i="4"/>
  <c r="R507" i="4" s="1"/>
  <c r="G507" i="4"/>
  <c r="BI151" i="3"/>
  <c r="U151" i="3"/>
  <c r="U271" i="3"/>
  <c r="W271" i="3" s="1"/>
  <c r="O79" i="2"/>
  <c r="U211" i="3"/>
  <c r="U19" i="2" s="1"/>
  <c r="BI211" i="3"/>
  <c r="BI19" i="2" s="1"/>
  <c r="O19" i="2"/>
  <c r="P285" i="3"/>
  <c r="AG93" i="2"/>
  <c r="H545" i="4"/>
  <c r="R545" i="4" s="1"/>
  <c r="G545" i="4"/>
  <c r="H504" i="4"/>
  <c r="R504" i="4" s="1"/>
  <c r="G504" i="4"/>
  <c r="BE177" i="3"/>
  <c r="W141" i="3"/>
  <c r="Y141" i="3" s="1"/>
  <c r="W135" i="3"/>
  <c r="Y135" i="3" s="1"/>
  <c r="BE135" i="3"/>
  <c r="H232" i="4"/>
  <c r="R232" i="4" s="1"/>
  <c r="G232" i="4"/>
  <c r="G379" i="4"/>
  <c r="H379" i="4"/>
  <c r="R379" i="4" s="1"/>
  <c r="V322" i="3"/>
  <c r="H234" i="4"/>
  <c r="R234" i="4" s="1"/>
  <c r="G234" i="4"/>
  <c r="Q89" i="1"/>
  <c r="H425" i="4"/>
  <c r="R425" i="4" s="1"/>
  <c r="G425" i="4"/>
  <c r="V104" i="3"/>
  <c r="P104" i="1"/>
  <c r="U118" i="3"/>
  <c r="W118" i="3" s="1"/>
  <c r="Y118" i="3" s="1"/>
  <c r="U242" i="3"/>
  <c r="O50" i="2"/>
  <c r="H254" i="4"/>
  <c r="R254" i="4" s="1"/>
  <c r="AO111" i="3" s="1"/>
  <c r="G254" i="4"/>
  <c r="W221" i="3"/>
  <c r="BK221" i="3" s="1"/>
  <c r="BK29" i="2" s="1"/>
  <c r="Y102" i="3"/>
  <c r="Y102" i="1" s="1"/>
  <c r="W102" i="1"/>
  <c r="O98" i="3"/>
  <c r="AF98" i="1"/>
  <c r="H419" i="4"/>
  <c r="R419" i="4" s="1"/>
  <c r="G419" i="4"/>
  <c r="H155" i="4"/>
  <c r="R155" i="4" s="1"/>
  <c r="G155" i="4"/>
  <c r="H132" i="4"/>
  <c r="R132" i="4" s="1"/>
  <c r="G132" i="4"/>
  <c r="V150" i="3"/>
  <c r="BK150" i="3" s="1"/>
  <c r="BJ150" i="3"/>
  <c r="H59" i="4"/>
  <c r="R59" i="4" s="1"/>
  <c r="G59" i="4"/>
  <c r="W143" i="3"/>
  <c r="Y143" i="3" s="1"/>
  <c r="G388" i="4"/>
  <c r="H388" i="4"/>
  <c r="R388" i="4" s="1"/>
  <c r="V74" i="3"/>
  <c r="V74" i="1" s="1"/>
  <c r="BJ74" i="3"/>
  <c r="BJ74" i="1" s="1"/>
  <c r="P74" i="1"/>
  <c r="W144" i="3"/>
  <c r="Y144" i="3" s="1"/>
  <c r="BK144" i="3"/>
  <c r="H15" i="4"/>
  <c r="R15" i="4" s="1"/>
  <c r="AO12" i="3" s="1"/>
  <c r="AO12" i="1" s="1"/>
  <c r="G15" i="4"/>
  <c r="G184" i="4"/>
  <c r="H184" i="4"/>
  <c r="R184" i="4" s="1"/>
  <c r="BK185" i="3"/>
  <c r="W185" i="3"/>
  <c r="Y185" i="3" s="1"/>
  <c r="BE81" i="3"/>
  <c r="BE81" i="1" s="1"/>
  <c r="Q81" i="1"/>
  <c r="H227" i="4"/>
  <c r="R227" i="4" s="1"/>
  <c r="G227" i="4"/>
  <c r="S20" i="1"/>
  <c r="BG20" i="3"/>
  <c r="BG20" i="1" s="1"/>
  <c r="O42" i="3"/>
  <c r="AF42" i="1"/>
  <c r="H519" i="4"/>
  <c r="R519" i="4" s="1"/>
  <c r="G519" i="4"/>
  <c r="U60" i="1"/>
  <c r="BG57" i="3"/>
  <c r="BG57" i="1" s="1"/>
  <c r="O18" i="3"/>
  <c r="AF18" i="1"/>
  <c r="P24" i="3"/>
  <c r="G150" i="4"/>
  <c r="H150" i="4"/>
  <c r="R150" i="4" s="1"/>
  <c r="AO72" i="3" s="1"/>
  <c r="AO72" i="1" s="1"/>
  <c r="O10" i="3"/>
  <c r="G67" i="4"/>
  <c r="H67" i="4"/>
  <c r="R67" i="4" s="1"/>
  <c r="H200" i="4"/>
  <c r="R200" i="4" s="1"/>
  <c r="G200" i="4"/>
  <c r="H274" i="4"/>
  <c r="R274" i="4" s="1"/>
  <c r="AO119" i="3" s="1"/>
  <c r="G274" i="4"/>
  <c r="O99" i="3"/>
  <c r="AF99" i="1"/>
  <c r="O47" i="3"/>
  <c r="AF47" i="1"/>
  <c r="Q86" i="1"/>
  <c r="O92" i="3"/>
  <c r="AF92" i="1"/>
  <c r="U351" i="3"/>
  <c r="U350" i="3"/>
  <c r="G828" i="4"/>
  <c r="H828" i="4"/>
  <c r="R828" i="4" s="1"/>
  <c r="H661" i="4"/>
  <c r="R661" i="4" s="1"/>
  <c r="G661" i="4"/>
  <c r="H522" i="4"/>
  <c r="R522" i="4" s="1"/>
  <c r="G522" i="4"/>
  <c r="O273" i="3"/>
  <c r="AF81" i="2"/>
  <c r="U307" i="3"/>
  <c r="W174" i="3"/>
  <c r="H445" i="4"/>
  <c r="R445" i="4" s="1"/>
  <c r="G445" i="4"/>
  <c r="BH295" i="3"/>
  <c r="BH103" i="2" s="1"/>
  <c r="T103" i="2"/>
  <c r="BK255" i="3"/>
  <c r="BK63" i="2" s="1"/>
  <c r="W255" i="3"/>
  <c r="Q63" i="2"/>
  <c r="H407" i="4"/>
  <c r="R407" i="4" s="1"/>
  <c r="AO175" i="3" s="1"/>
  <c r="G407" i="4"/>
  <c r="BF293" i="3"/>
  <c r="BF101" i="2" s="1"/>
  <c r="R101" i="2"/>
  <c r="G293" i="4"/>
  <c r="H293" i="4"/>
  <c r="R293" i="4" s="1"/>
  <c r="G368" i="4"/>
  <c r="H368" i="4"/>
  <c r="R368" i="4" s="1"/>
  <c r="H430" i="4"/>
  <c r="R430" i="4" s="1"/>
  <c r="G430" i="4"/>
  <c r="O225" i="3"/>
  <c r="AF33" i="2"/>
  <c r="V341" i="3"/>
  <c r="H900" i="4"/>
  <c r="R900" i="4" s="1"/>
  <c r="G900" i="4"/>
  <c r="G829" i="4"/>
  <c r="H829" i="4"/>
  <c r="R829" i="4" s="1"/>
  <c r="V278" i="3"/>
  <c r="V86" i="2" s="1"/>
  <c r="BJ278" i="3"/>
  <c r="BJ86" i="2" s="1"/>
  <c r="P86" i="2"/>
  <c r="H681" i="4"/>
  <c r="R681" i="4" s="1"/>
  <c r="G681" i="4"/>
  <c r="H662" i="4"/>
  <c r="R662" i="4" s="1"/>
  <c r="G662" i="4"/>
  <c r="H672" i="4"/>
  <c r="R672" i="4" s="1"/>
  <c r="G672" i="4"/>
  <c r="G708" i="4"/>
  <c r="H708" i="4"/>
  <c r="R708" i="4" s="1"/>
  <c r="W338" i="3"/>
  <c r="Y338" i="3" s="1"/>
  <c r="H614" i="4"/>
  <c r="R614" i="4" s="1"/>
  <c r="G614" i="4"/>
  <c r="H881" i="4"/>
  <c r="R881" i="4" s="1"/>
  <c r="AO371" i="3" s="1"/>
  <c r="G881" i="4"/>
  <c r="U298" i="3"/>
  <c r="BI298" i="3"/>
  <c r="G357" i="4"/>
  <c r="H357" i="4"/>
  <c r="R357" i="4" s="1"/>
  <c r="AO155" i="3" s="1"/>
  <c r="Q90" i="1"/>
  <c r="BI89" i="3"/>
  <c r="BI89" i="1" s="1"/>
  <c r="U89" i="3"/>
  <c r="O89" i="1"/>
  <c r="P60" i="3"/>
  <c r="AG60" i="1"/>
  <c r="BF87" i="3"/>
  <c r="BF87" i="1" s="1"/>
  <c r="H616" i="4"/>
  <c r="R616" i="4" s="1"/>
  <c r="G616" i="4"/>
  <c r="V342" i="3"/>
  <c r="BJ342" i="3" s="1"/>
  <c r="U363" i="3"/>
  <c r="W363" i="3" s="1"/>
  <c r="Y363" i="3" s="1"/>
  <c r="BI363" i="3"/>
  <c r="V318" i="3"/>
  <c r="Q79" i="2"/>
  <c r="H771" i="4"/>
  <c r="R771" i="4" s="1"/>
  <c r="G771" i="4"/>
  <c r="H739" i="4"/>
  <c r="R739" i="4" s="1"/>
  <c r="AO307" i="3" s="1"/>
  <c r="G739" i="4"/>
  <c r="G455" i="4"/>
  <c r="H455" i="4"/>
  <c r="R455" i="4" s="1"/>
  <c r="BJ247" i="3"/>
  <c r="BJ55" i="2" s="1"/>
  <c r="V247" i="3"/>
  <c r="V55" i="2" s="1"/>
  <c r="P55" i="2"/>
  <c r="O296" i="3"/>
  <c r="AF104" i="2"/>
  <c r="W166" i="3"/>
  <c r="Y166" i="3" s="1"/>
  <c r="BE166" i="3"/>
  <c r="G560" i="4"/>
  <c r="H560" i="4"/>
  <c r="R560" i="4" s="1"/>
  <c r="BH39" i="3"/>
  <c r="BH39" i="1" s="1"/>
  <c r="T39" i="1"/>
  <c r="P15" i="3"/>
  <c r="O11" i="3"/>
  <c r="AF11" i="1"/>
  <c r="BG94" i="3"/>
  <c r="BG94" i="1" s="1"/>
  <c r="S94" i="1"/>
  <c r="H117" i="4"/>
  <c r="R117" i="4" s="1"/>
  <c r="G117" i="4"/>
  <c r="BI386" i="3"/>
  <c r="U386" i="3"/>
  <c r="H897" i="4"/>
  <c r="R897" i="4" s="1"/>
  <c r="AO378" i="3" s="1"/>
  <c r="G897" i="4"/>
  <c r="V374" i="3"/>
  <c r="W374" i="3" s="1"/>
  <c r="Y374" i="3" s="1"/>
  <c r="BJ374" i="3"/>
  <c r="U368" i="3"/>
  <c r="BK368" i="3" s="1"/>
  <c r="BI368" i="3"/>
  <c r="G878" i="4"/>
  <c r="H878" i="4"/>
  <c r="R878" i="4" s="1"/>
  <c r="H577" i="4"/>
  <c r="R577" i="4" s="1"/>
  <c r="G577" i="4"/>
  <c r="Q67" i="2"/>
  <c r="H816" i="4"/>
  <c r="R816" i="4" s="1"/>
  <c r="AO342" i="3" s="1"/>
  <c r="G816" i="4"/>
  <c r="H824" i="4"/>
  <c r="R824" i="4" s="1"/>
  <c r="AO346" i="3" s="1"/>
  <c r="G824" i="4"/>
  <c r="H597" i="4"/>
  <c r="R597" i="4" s="1"/>
  <c r="AO252" i="3" s="1"/>
  <c r="AO60" i="2" s="1"/>
  <c r="G597" i="4"/>
  <c r="BF264" i="3"/>
  <c r="BF72" i="2" s="1"/>
  <c r="R72" i="2"/>
  <c r="V311" i="3"/>
  <c r="W311" i="3" s="1"/>
  <c r="Y311" i="3" s="1"/>
  <c r="BK366" i="3"/>
  <c r="BE369" i="3"/>
  <c r="H811" i="4"/>
  <c r="R811" i="4" s="1"/>
  <c r="G811" i="4"/>
  <c r="H845" i="4"/>
  <c r="R845" i="4" s="1"/>
  <c r="G845" i="4"/>
  <c r="BK390" i="3"/>
  <c r="P291" i="3"/>
  <c r="G880" i="4"/>
  <c r="H880" i="4"/>
  <c r="R880" i="4" s="1"/>
  <c r="H775" i="4"/>
  <c r="R775" i="4" s="1"/>
  <c r="G775" i="4"/>
  <c r="U362" i="3"/>
  <c r="BI362" i="3"/>
  <c r="G729" i="4"/>
  <c r="H729" i="4"/>
  <c r="R729" i="4" s="1"/>
  <c r="H718" i="4"/>
  <c r="R718" i="4" s="1"/>
  <c r="G718" i="4"/>
  <c r="U236" i="3"/>
  <c r="BI236" i="3"/>
  <c r="BI44" i="2" s="1"/>
  <c r="O44" i="2"/>
  <c r="H594" i="4"/>
  <c r="R594" i="4" s="1"/>
  <c r="G594" i="4"/>
  <c r="Q53" i="2"/>
  <c r="G825" i="4"/>
  <c r="H825" i="4"/>
  <c r="R825" i="4" s="1"/>
  <c r="W299" i="3"/>
  <c r="Y299" i="3" s="1"/>
  <c r="V287" i="3"/>
  <c r="V95" i="2" s="1"/>
  <c r="BJ287" i="3"/>
  <c r="BJ95" i="2" s="1"/>
  <c r="P95" i="2"/>
  <c r="U231" i="3"/>
  <c r="BI231" i="3"/>
  <c r="BI39" i="2" s="1"/>
  <c r="O39" i="2"/>
  <c r="H547" i="4"/>
  <c r="R547" i="4" s="1"/>
  <c r="G547" i="4"/>
  <c r="H648" i="4"/>
  <c r="R648" i="4" s="1"/>
  <c r="G648" i="4"/>
  <c r="G458" i="4"/>
  <c r="H458" i="4"/>
  <c r="R458" i="4" s="1"/>
  <c r="H498" i="4"/>
  <c r="R498" i="4" s="1"/>
  <c r="G498" i="4"/>
  <c r="V319" i="3"/>
  <c r="BJ319" i="3" s="1"/>
  <c r="O284" i="3"/>
  <c r="BH253" i="3"/>
  <c r="BH61" i="2" s="1"/>
  <c r="BE234" i="3"/>
  <c r="BE42" i="2" s="1"/>
  <c r="Q42" i="2"/>
  <c r="H611" i="4"/>
  <c r="R611" i="4" s="1"/>
  <c r="AO258" i="3" s="1"/>
  <c r="AO66" i="2" s="1"/>
  <c r="G611" i="4"/>
  <c r="H592" i="4"/>
  <c r="R592" i="4" s="1"/>
  <c r="G592" i="4"/>
  <c r="H659" i="4"/>
  <c r="R659" i="4" s="1"/>
  <c r="G659" i="4"/>
  <c r="H429" i="4"/>
  <c r="R429" i="4" s="1"/>
  <c r="G429" i="4"/>
  <c r="W265" i="3"/>
  <c r="H301" i="4"/>
  <c r="R301" i="4" s="1"/>
  <c r="G301" i="4"/>
  <c r="BG211" i="3"/>
  <c r="BG19" i="2" s="1"/>
  <c r="Q88" i="2"/>
  <c r="H505" i="4"/>
  <c r="R505" i="4" s="1"/>
  <c r="G505" i="4"/>
  <c r="Q76" i="2"/>
  <c r="BG238" i="3"/>
  <c r="BG46" i="2" s="1"/>
  <c r="H414" i="4"/>
  <c r="R414" i="4" s="1"/>
  <c r="G414" i="4"/>
  <c r="O257" i="3"/>
  <c r="AF65" i="2"/>
  <c r="W133" i="3"/>
  <c r="Q98" i="1"/>
  <c r="BE98" i="3"/>
  <c r="BE98" i="1" s="1"/>
  <c r="BH235" i="3"/>
  <c r="BH43" i="2" s="1"/>
  <c r="BF231" i="3"/>
  <c r="BF39" i="2" s="1"/>
  <c r="H558" i="4"/>
  <c r="R558" i="4" s="1"/>
  <c r="G558" i="4"/>
  <c r="BH287" i="3"/>
  <c r="BH95" i="2" s="1"/>
  <c r="H197" i="4"/>
  <c r="R197" i="4" s="1"/>
  <c r="G197" i="4"/>
  <c r="BE271" i="3"/>
  <c r="BE79" i="2" s="1"/>
  <c r="H427" i="4"/>
  <c r="R427" i="4" s="1"/>
  <c r="G427" i="4"/>
  <c r="O246" i="3"/>
  <c r="AF54" i="2"/>
  <c r="BI85" i="3"/>
  <c r="BI85" i="1" s="1"/>
  <c r="U85" i="3"/>
  <c r="U85" i="1" s="1"/>
  <c r="O85" i="1"/>
  <c r="G270" i="4"/>
  <c r="H270" i="4"/>
  <c r="R270" i="4" s="1"/>
  <c r="AO117" i="3" s="1"/>
  <c r="BK116" i="3"/>
  <c r="V136" i="3"/>
  <c r="BJ136" i="3" s="1"/>
  <c r="BE164" i="3"/>
  <c r="P219" i="3"/>
  <c r="BK126" i="3"/>
  <c r="W126" i="3"/>
  <c r="Y126" i="3" s="1"/>
  <c r="BH99" i="3"/>
  <c r="BH99" i="1" s="1"/>
  <c r="BJ71" i="3"/>
  <c r="BJ71" i="1" s="1"/>
  <c r="V71" i="3"/>
  <c r="V71" i="1" s="1"/>
  <c r="P71" i="1"/>
  <c r="G131" i="4"/>
  <c r="H131" i="4"/>
  <c r="R131" i="4" s="1"/>
  <c r="AO63" i="3" s="1"/>
  <c r="AO63" i="1" s="1"/>
  <c r="G60" i="4"/>
  <c r="H60" i="4"/>
  <c r="R60" i="4" s="1"/>
  <c r="BJ123" i="3"/>
  <c r="V123" i="3"/>
  <c r="W123" i="3" s="1"/>
  <c r="Y123" i="3" s="1"/>
  <c r="BE144" i="3"/>
  <c r="BH101" i="3"/>
  <c r="BH101" i="1" s="1"/>
  <c r="G183" i="4"/>
  <c r="H183" i="4"/>
  <c r="R183" i="4" s="1"/>
  <c r="BE185" i="3"/>
  <c r="G176" i="4"/>
  <c r="H176" i="4"/>
  <c r="R176" i="4" s="1"/>
  <c r="H225" i="4"/>
  <c r="R225" i="4" s="1"/>
  <c r="G225" i="4"/>
  <c r="O87" i="3"/>
  <c r="AF87" i="1"/>
  <c r="BF98" i="3"/>
  <c r="BF98" i="1" s="1"/>
  <c r="R98" i="1"/>
  <c r="G72" i="4"/>
  <c r="H72" i="4"/>
  <c r="R72" i="4" s="1"/>
  <c r="AO39" i="3" s="1"/>
  <c r="AO39" i="1" s="1"/>
  <c r="BG205" i="3"/>
  <c r="BG13" i="2" s="1"/>
  <c r="H518" i="4"/>
  <c r="R518" i="4" s="1"/>
  <c r="AO218" i="3" s="1"/>
  <c r="AO26" i="2" s="1"/>
  <c r="G518" i="4"/>
  <c r="Q88" i="1"/>
  <c r="Q55" i="1"/>
  <c r="BH29" i="3"/>
  <c r="BH29" i="1" s="1"/>
  <c r="P35" i="3"/>
  <c r="AG35" i="1"/>
  <c r="G151" i="4"/>
  <c r="H151" i="4"/>
  <c r="R151" i="4" s="1"/>
  <c r="Q53" i="1"/>
  <c r="BH23" i="3"/>
  <c r="BH23" i="1" s="1"/>
  <c r="P79" i="3"/>
  <c r="BI93" i="3"/>
  <c r="BI93" i="1" s="1"/>
  <c r="U93" i="3"/>
  <c r="U93" i="1" s="1"/>
  <c r="O93" i="1"/>
  <c r="P47" i="3"/>
  <c r="AG47" i="1"/>
  <c r="BG65" i="3"/>
  <c r="BG65" i="1" s="1"/>
  <c r="H190" i="4"/>
  <c r="R190" i="4" s="1"/>
  <c r="G190" i="4"/>
  <c r="Q44" i="1"/>
  <c r="P40" i="3"/>
  <c r="BE57" i="3"/>
  <c r="BE57" i="1" s="1"/>
  <c r="G228" i="4"/>
  <c r="H228" i="4"/>
  <c r="R228" i="4" s="1"/>
  <c r="AO101" i="3" s="1"/>
  <c r="AO101" i="1" s="1"/>
  <c r="BI88" i="3"/>
  <c r="BI88" i="1" s="1"/>
  <c r="U88" i="3"/>
  <c r="U88" i="1" s="1"/>
  <c r="O88" i="1"/>
  <c r="H158" i="4"/>
  <c r="R158" i="4" s="1"/>
  <c r="G158" i="4"/>
  <c r="H448" i="4"/>
  <c r="R448" i="4" s="1"/>
  <c r="AO191" i="3" s="1"/>
  <c r="G448" i="4"/>
  <c r="BK204" i="3"/>
  <c r="BK12" i="2" s="1"/>
  <c r="W204" i="3"/>
  <c r="Q12" i="2"/>
  <c r="P259" i="3"/>
  <c r="AG67" i="2"/>
  <c r="H595" i="4"/>
  <c r="R595" i="4" s="1"/>
  <c r="AO251" i="3" s="1"/>
  <c r="AO59" i="2" s="1"/>
  <c r="G595" i="4"/>
  <c r="H174" i="4"/>
  <c r="R174" i="4" s="1"/>
  <c r="G174" i="4"/>
  <c r="U25" i="3"/>
  <c r="O25" i="1"/>
  <c r="Q62" i="1"/>
  <c r="Q59" i="1"/>
  <c r="G486" i="4"/>
  <c r="H486" i="4"/>
  <c r="R486" i="4" s="1"/>
  <c r="H327" i="4"/>
  <c r="R327" i="4" s="1"/>
  <c r="AO142" i="3" s="1"/>
  <c r="G327" i="4"/>
  <c r="G102" i="4"/>
  <c r="H102" i="4"/>
  <c r="R102" i="4" s="1"/>
  <c r="G138" i="4"/>
  <c r="H138" i="4"/>
  <c r="R138" i="4" s="1"/>
  <c r="G129" i="4"/>
  <c r="H129" i="4"/>
  <c r="R129" i="4" s="1"/>
  <c r="AO62" i="3" s="1"/>
  <c r="AO62" i="1" s="1"/>
  <c r="Q17" i="1"/>
  <c r="BJ382" i="3"/>
  <c r="V382" i="3"/>
  <c r="U373" i="3"/>
  <c r="BI373" i="3"/>
  <c r="H831" i="4"/>
  <c r="R831" i="4" s="1"/>
  <c r="G831" i="4"/>
  <c r="G423" i="4"/>
  <c r="H423" i="4"/>
  <c r="R423" i="4" s="1"/>
  <c r="U226" i="3"/>
  <c r="U34" i="2" s="1"/>
  <c r="O34" i="2"/>
  <c r="U176" i="3"/>
  <c r="W176" i="3" s="1"/>
  <c r="Y176" i="3" s="1"/>
  <c r="W152" i="3"/>
  <c r="Y152" i="3" s="1"/>
  <c r="BI187" i="3"/>
  <c r="U187" i="3"/>
  <c r="H798" i="4"/>
  <c r="R798" i="4" s="1"/>
  <c r="AO334" i="3" s="1"/>
  <c r="G798" i="4"/>
  <c r="W343" i="3"/>
  <c r="G913" i="4"/>
  <c r="H913" i="4"/>
  <c r="R913" i="4" s="1"/>
  <c r="U369" i="3"/>
  <c r="W369" i="3" s="1"/>
  <c r="Y369" i="3" s="1"/>
  <c r="BI369" i="3"/>
  <c r="H810" i="4"/>
  <c r="R810" i="4" s="1"/>
  <c r="G810" i="4"/>
  <c r="U381" i="3"/>
  <c r="W381" i="3" s="1"/>
  <c r="Y381" i="3" s="1"/>
  <c r="BI381" i="3"/>
  <c r="W375" i="3"/>
  <c r="Y375" i="3" s="1"/>
  <c r="H832" i="4"/>
  <c r="R832" i="4" s="1"/>
  <c r="G832" i="4"/>
  <c r="W364" i="3"/>
  <c r="Y364" i="3" s="1"/>
  <c r="BE364" i="3"/>
  <c r="H879" i="4"/>
  <c r="R879" i="4" s="1"/>
  <c r="G879" i="4"/>
  <c r="V362" i="3"/>
  <c r="BJ362" i="3" s="1"/>
  <c r="H717" i="4"/>
  <c r="R717" i="4" s="1"/>
  <c r="G717" i="4"/>
  <c r="V229" i="3"/>
  <c r="V37" i="2" s="1"/>
  <c r="BJ229" i="3"/>
  <c r="BJ37" i="2" s="1"/>
  <c r="P37" i="2"/>
  <c r="G719" i="4"/>
  <c r="H719" i="4"/>
  <c r="R719" i="4" s="1"/>
  <c r="V328" i="3"/>
  <c r="BJ328" i="3"/>
  <c r="G546" i="4"/>
  <c r="H546" i="4"/>
  <c r="R546" i="4" s="1"/>
  <c r="AO230" i="3" s="1"/>
  <c r="AO38" i="2" s="1"/>
  <c r="Q75" i="2"/>
  <c r="G459" i="4"/>
  <c r="H459" i="4"/>
  <c r="R459" i="4" s="1"/>
  <c r="G499" i="4"/>
  <c r="H499" i="4"/>
  <c r="R499" i="4" s="1"/>
  <c r="P282" i="3"/>
  <c r="AG90" i="2"/>
  <c r="BI319" i="3"/>
  <c r="U319" i="3"/>
  <c r="H601" i="4"/>
  <c r="R601" i="4" s="1"/>
  <c r="AO254" i="3" s="1"/>
  <c r="AO62" i="2" s="1"/>
  <c r="G601" i="4"/>
  <c r="BI315" i="3"/>
  <c r="U315" i="3"/>
  <c r="G556" i="4"/>
  <c r="H556" i="4"/>
  <c r="R556" i="4" s="1"/>
  <c r="AO234" i="3" s="1"/>
  <c r="AO42" i="2" s="1"/>
  <c r="U288" i="3"/>
  <c r="BI288" i="3"/>
  <c r="BI96" i="2" s="1"/>
  <c r="O96" i="2"/>
  <c r="U193" i="3"/>
  <c r="W193" i="3" s="1"/>
  <c r="Y193" i="3" s="1"/>
  <c r="Q56" i="2"/>
  <c r="Q18" i="2"/>
  <c r="BE272" i="3"/>
  <c r="BE80" i="2" s="1"/>
  <c r="H428" i="4"/>
  <c r="R428" i="4" s="1"/>
  <c r="AO183" i="3" s="1"/>
  <c r="G428" i="4"/>
  <c r="Q60" i="2"/>
  <c r="BK265" i="3"/>
  <c r="BK73" i="2" s="1"/>
  <c r="P207" i="3"/>
  <c r="G302" i="4"/>
  <c r="H302" i="4"/>
  <c r="R302" i="4" s="1"/>
  <c r="BE262" i="3"/>
  <c r="BE70" i="2" s="1"/>
  <c r="BF222" i="3"/>
  <c r="BF30" i="2" s="1"/>
  <c r="H503" i="4"/>
  <c r="R503" i="4" s="1"/>
  <c r="AO211" i="3" s="1"/>
  <c r="AO19" i="2" s="1"/>
  <c r="G503" i="4"/>
  <c r="H637" i="4"/>
  <c r="R637" i="4" s="1"/>
  <c r="G637" i="4"/>
  <c r="G413" i="4"/>
  <c r="H413" i="4"/>
  <c r="R413" i="4" s="1"/>
  <c r="V125" i="3"/>
  <c r="BJ125" i="3"/>
  <c r="H306" i="4"/>
  <c r="R306" i="4" s="1"/>
  <c r="AO133" i="3" s="1"/>
  <c r="G306" i="4"/>
  <c r="H220" i="4"/>
  <c r="R220" i="4" s="1"/>
  <c r="G220" i="4"/>
  <c r="G559" i="4"/>
  <c r="H559" i="4"/>
  <c r="R559" i="4" s="1"/>
  <c r="W162" i="3"/>
  <c r="Y162" i="3" s="1"/>
  <c r="BK162" i="3"/>
  <c r="BE162" i="3"/>
  <c r="H196" i="4"/>
  <c r="R196" i="4" s="1"/>
  <c r="G196" i="4"/>
  <c r="W258" i="3"/>
  <c r="G426" i="4"/>
  <c r="H426" i="4"/>
  <c r="R426" i="4" s="1"/>
  <c r="BK148" i="3"/>
  <c r="W148" i="3"/>
  <c r="Y148" i="3" s="1"/>
  <c r="U195" i="3"/>
  <c r="W195" i="3" s="1"/>
  <c r="BI195" i="3"/>
  <c r="BK108" i="3"/>
  <c r="W108" i="3"/>
  <c r="Y108" i="3" s="1"/>
  <c r="O260" i="3"/>
  <c r="H271" i="4"/>
  <c r="R271" i="4" s="1"/>
  <c r="G271" i="4"/>
  <c r="Q49" i="2"/>
  <c r="G246" i="4"/>
  <c r="H246" i="4"/>
  <c r="R246" i="4" s="1"/>
  <c r="AO108" i="3" s="1"/>
  <c r="O234" i="3"/>
  <c r="AF42" i="2"/>
  <c r="G288" i="4"/>
  <c r="H288" i="4"/>
  <c r="R288" i="4" s="1"/>
  <c r="R95" i="1"/>
  <c r="O90" i="3"/>
  <c r="H142" i="4"/>
  <c r="R142" i="4" s="1"/>
  <c r="G142" i="4"/>
  <c r="W150" i="3"/>
  <c r="Y150" i="3" s="1"/>
  <c r="H92" i="4"/>
  <c r="R92" i="4" s="1"/>
  <c r="G92" i="4"/>
  <c r="O27" i="3"/>
  <c r="G331" i="4"/>
  <c r="H331" i="4"/>
  <c r="R331" i="4" s="1"/>
  <c r="H163" i="4"/>
  <c r="R163" i="4" s="1"/>
  <c r="G163" i="4"/>
  <c r="G329" i="4"/>
  <c r="H329" i="4"/>
  <c r="R329" i="4" s="1"/>
  <c r="H185" i="4"/>
  <c r="R185" i="4" s="1"/>
  <c r="G185" i="4"/>
  <c r="G432" i="4"/>
  <c r="H432" i="4"/>
  <c r="R432" i="4" s="1"/>
  <c r="H177" i="4"/>
  <c r="R177" i="4" s="1"/>
  <c r="G177" i="4"/>
  <c r="BJ93" i="3"/>
  <c r="BJ93" i="1" s="1"/>
  <c r="V93" i="3"/>
  <c r="V93" i="1" s="1"/>
  <c r="P93" i="1"/>
  <c r="P87" i="3"/>
  <c r="AG87" i="1"/>
  <c r="Q97" i="1"/>
  <c r="BE97" i="3"/>
  <c r="BE97" i="1" s="1"/>
  <c r="H73" i="4"/>
  <c r="R73" i="4" s="1"/>
  <c r="G73" i="4"/>
  <c r="BJ174" i="3"/>
  <c r="V174" i="3"/>
  <c r="P54" i="3"/>
  <c r="AG54" i="1"/>
  <c r="BH25" i="3"/>
  <c r="BH25" i="1" s="1"/>
  <c r="T25" i="1"/>
  <c r="T106" i="1" s="1"/>
  <c r="U29" i="3"/>
  <c r="U29" i="1" s="1"/>
  <c r="BI29" i="3"/>
  <c r="BI29" i="1" s="1"/>
  <c r="O29" i="1"/>
  <c r="R18" i="1"/>
  <c r="H109" i="4"/>
  <c r="R109" i="4" s="1"/>
  <c r="G109" i="4"/>
  <c r="V23" i="3"/>
  <c r="V23" i="1" s="1"/>
  <c r="P23" i="1"/>
  <c r="BJ23" i="3"/>
  <c r="BJ23" i="1" s="1"/>
  <c r="Q26" i="1"/>
  <c r="BE78" i="3"/>
  <c r="BE78" i="1" s="1"/>
  <c r="Y33" i="3"/>
  <c r="Y33" i="1" s="1"/>
  <c r="W33" i="1"/>
  <c r="H188" i="4"/>
  <c r="R188" i="4" s="1"/>
  <c r="G188" i="4"/>
  <c r="V38" i="3"/>
  <c r="V38" i="1" s="1"/>
  <c r="BJ38" i="3"/>
  <c r="BJ38" i="1" s="1"/>
  <c r="P38" i="1"/>
  <c r="H83" i="4"/>
  <c r="R83" i="4" s="1"/>
  <c r="G83" i="4"/>
  <c r="V208" i="3"/>
  <c r="BJ208" i="3"/>
  <c r="BJ16" i="2" s="1"/>
  <c r="P16" i="2"/>
  <c r="P92" i="3"/>
  <c r="AG92" i="1"/>
  <c r="BJ370" i="3"/>
  <c r="V370" i="3"/>
  <c r="W316" i="3"/>
  <c r="Y316" i="3" s="1"/>
  <c r="BK316" i="3"/>
  <c r="U285" i="3"/>
  <c r="U93" i="2" s="1"/>
  <c r="O93" i="2"/>
  <c r="G553" i="4"/>
  <c r="H553" i="4"/>
  <c r="R553" i="4" s="1"/>
  <c r="G250" i="4"/>
  <c r="H250" i="4"/>
  <c r="R250" i="4" s="1"/>
  <c r="BJ161" i="3"/>
  <c r="V161" i="3"/>
  <c r="W161" i="3" s="1"/>
  <c r="Y161" i="3" s="1"/>
  <c r="W264" i="3"/>
  <c r="Q72" i="2"/>
  <c r="H915" i="4"/>
  <c r="R915" i="4" s="1"/>
  <c r="G915" i="4"/>
  <c r="H821" i="4"/>
  <c r="R821" i="4" s="1"/>
  <c r="G821" i="4"/>
  <c r="BI354" i="3"/>
  <c r="U354" i="3"/>
  <c r="H738" i="4"/>
  <c r="R738" i="4" s="1"/>
  <c r="G738" i="4"/>
  <c r="H208" i="4"/>
  <c r="R208" i="4" s="1"/>
  <c r="AO94" i="3" s="1"/>
  <c r="AO94" i="1" s="1"/>
  <c r="G208" i="4"/>
  <c r="H569" i="4"/>
  <c r="R569" i="4" s="1"/>
  <c r="G569" i="4"/>
  <c r="G509" i="4"/>
  <c r="H509" i="4"/>
  <c r="R509" i="4" s="1"/>
  <c r="H81" i="4"/>
  <c r="R81" i="4" s="1"/>
  <c r="AO43" i="3" s="1"/>
  <c r="AO43" i="1" s="1"/>
  <c r="G81" i="4"/>
  <c r="R74" i="2"/>
  <c r="H198" i="4"/>
  <c r="R198" i="4" s="1"/>
  <c r="AO90" i="3" s="1"/>
  <c r="AO90" i="1" s="1"/>
  <c r="G198" i="4"/>
  <c r="H744" i="4"/>
  <c r="R744" i="4" s="1"/>
  <c r="G744" i="4"/>
  <c r="H800" i="4"/>
  <c r="R800" i="4" s="1"/>
  <c r="AO335" i="3" s="1"/>
  <c r="G800" i="4"/>
  <c r="H252" i="4"/>
  <c r="R252" i="4" s="1"/>
  <c r="G252" i="4"/>
  <c r="H170" i="4"/>
  <c r="R170" i="4" s="1"/>
  <c r="G170" i="4"/>
  <c r="H31" i="4"/>
  <c r="R31" i="4" s="1"/>
  <c r="AO19" i="3" s="1"/>
  <c r="AO19" i="1" s="1"/>
  <c r="G31" i="4"/>
  <c r="P11" i="3"/>
  <c r="AG11" i="1"/>
  <c r="H919" i="4"/>
  <c r="R919" i="4" s="1"/>
  <c r="G919" i="4"/>
  <c r="G885" i="4"/>
  <c r="H885" i="4"/>
  <c r="R885" i="4" s="1"/>
  <c r="H842" i="4"/>
  <c r="R842" i="4" s="1"/>
  <c r="G842" i="4"/>
  <c r="H774" i="4"/>
  <c r="R774" i="4" s="1"/>
  <c r="AO321" i="3" s="1"/>
  <c r="G774" i="4"/>
  <c r="V360" i="3"/>
  <c r="BJ360" i="3"/>
  <c r="BJ361" i="3"/>
  <c r="V361" i="3"/>
  <c r="H844" i="4"/>
  <c r="R844" i="4" s="1"/>
  <c r="AO354" i="3" s="1"/>
  <c r="G844" i="4"/>
  <c r="H924" i="4"/>
  <c r="R924" i="4" s="1"/>
  <c r="G924" i="4"/>
  <c r="G857" i="4"/>
  <c r="H857" i="4"/>
  <c r="R857" i="4" s="1"/>
  <c r="V317" i="3"/>
  <c r="G730" i="4"/>
  <c r="H730" i="4"/>
  <c r="R730" i="4" s="1"/>
  <c r="H700" i="4"/>
  <c r="R700" i="4" s="1"/>
  <c r="G700" i="4"/>
  <c r="W317" i="3"/>
  <c r="Y317" i="3" s="1"/>
  <c r="Q102" i="2"/>
  <c r="G541" i="4"/>
  <c r="H541" i="4"/>
  <c r="R541" i="4" s="1"/>
  <c r="H580" i="4"/>
  <c r="R580" i="4" s="1"/>
  <c r="G580" i="4"/>
  <c r="G914" i="4"/>
  <c r="H914" i="4"/>
  <c r="R914" i="4" s="1"/>
  <c r="U390" i="3"/>
  <c r="W390" i="3" s="1"/>
  <c r="Y390" i="3" s="1"/>
  <c r="BI390" i="3"/>
  <c r="BI380" i="3"/>
  <c r="U380" i="3"/>
  <c r="V379" i="3"/>
  <c r="BJ379" i="3"/>
  <c r="G923" i="4"/>
  <c r="H923" i="4"/>
  <c r="R923" i="4" s="1"/>
  <c r="AO390" i="3" s="1"/>
  <c r="H892" i="4"/>
  <c r="R892" i="4" s="1"/>
  <c r="G892" i="4"/>
  <c r="G833" i="4"/>
  <c r="H833" i="4"/>
  <c r="R833" i="4" s="1"/>
  <c r="H871" i="4"/>
  <c r="R871" i="4" s="1"/>
  <c r="G871" i="4"/>
  <c r="BK327" i="3"/>
  <c r="W327" i="3"/>
  <c r="Y327" i="3" s="1"/>
  <c r="G855" i="4"/>
  <c r="H855" i="4"/>
  <c r="R855" i="4" s="1"/>
  <c r="W309" i="3"/>
  <c r="Y309" i="3" s="1"/>
  <c r="Q92" i="2"/>
  <c r="U358" i="3"/>
  <c r="G762" i="4"/>
  <c r="H762" i="4"/>
  <c r="R762" i="4" s="1"/>
  <c r="H731" i="4"/>
  <c r="R731" i="4" s="1"/>
  <c r="G731" i="4"/>
  <c r="BE363" i="3"/>
  <c r="H698" i="4"/>
  <c r="R698" i="4" s="1"/>
  <c r="AO291" i="3" s="1"/>
  <c r="AO99" i="2" s="1"/>
  <c r="G698" i="4"/>
  <c r="H716" i="4"/>
  <c r="R716" i="4" s="1"/>
  <c r="G716" i="4"/>
  <c r="G765" i="4"/>
  <c r="H765" i="4"/>
  <c r="R765" i="4" s="1"/>
  <c r="BK289" i="3"/>
  <c r="BK97" i="2" s="1"/>
  <c r="W289" i="3"/>
  <c r="Q97" i="2"/>
  <c r="G542" i="4"/>
  <c r="H542" i="4"/>
  <c r="R542" i="4" s="1"/>
  <c r="H578" i="4"/>
  <c r="R578" i="4" s="1"/>
  <c r="G578" i="4"/>
  <c r="W341" i="3"/>
  <c r="Y341" i="3" s="1"/>
  <c r="G721" i="4"/>
  <c r="H721" i="4"/>
  <c r="R721" i="4" s="1"/>
  <c r="H582" i="4"/>
  <c r="R582" i="4" s="1"/>
  <c r="G582" i="4"/>
  <c r="V224" i="3"/>
  <c r="V32" i="2" s="1"/>
  <c r="BJ224" i="3"/>
  <c r="BJ32" i="2" s="1"/>
  <c r="P32" i="2"/>
  <c r="H548" i="4"/>
  <c r="R548" i="4" s="1"/>
  <c r="G548" i="4"/>
  <c r="BF266" i="3"/>
  <c r="BF74" i="2" s="1"/>
  <c r="G663" i="4"/>
  <c r="H663" i="4"/>
  <c r="R663" i="4" s="1"/>
  <c r="W325" i="3"/>
  <c r="Y325" i="3" s="1"/>
  <c r="H602" i="4"/>
  <c r="R602" i="4" s="1"/>
  <c r="G602" i="4"/>
  <c r="BF239" i="3"/>
  <c r="BF47" i="2" s="1"/>
  <c r="G557" i="4"/>
  <c r="H557" i="4"/>
  <c r="R557" i="4" s="1"/>
  <c r="BH285" i="3"/>
  <c r="BH93" i="2" s="1"/>
  <c r="H590" i="4"/>
  <c r="R590" i="4" s="1"/>
  <c r="G590" i="4"/>
  <c r="BG290" i="3"/>
  <c r="BG98" i="2" s="1"/>
  <c r="U165" i="3"/>
  <c r="W165" i="3" s="1"/>
  <c r="Y165" i="3" s="1"/>
  <c r="BI165" i="3"/>
  <c r="H319" i="4"/>
  <c r="R319" i="4" s="1"/>
  <c r="G319" i="4"/>
  <c r="P256" i="3"/>
  <c r="G300" i="4"/>
  <c r="H300" i="4"/>
  <c r="R300" i="4" s="1"/>
  <c r="AO131" i="3" s="1"/>
  <c r="BJ261" i="3"/>
  <c r="BJ69" i="2" s="1"/>
  <c r="BI320" i="3"/>
  <c r="U320" i="3"/>
  <c r="W320" i="3" s="1"/>
  <c r="Y320" i="3" s="1"/>
  <c r="H638" i="4"/>
  <c r="R638" i="4" s="1"/>
  <c r="G638" i="4"/>
  <c r="P237" i="3"/>
  <c r="G412" i="4"/>
  <c r="H412" i="4"/>
  <c r="R412" i="4" s="1"/>
  <c r="Q17" i="2"/>
  <c r="H307" i="4"/>
  <c r="R307" i="4" s="1"/>
  <c r="G307" i="4"/>
  <c r="H219" i="4"/>
  <c r="R219" i="4" s="1"/>
  <c r="AO98" i="3" s="1"/>
  <c r="AO98" i="1" s="1"/>
  <c r="G219" i="4"/>
  <c r="BI199" i="3"/>
  <c r="U199" i="3"/>
  <c r="G366" i="4"/>
  <c r="H366" i="4"/>
  <c r="R366" i="4" s="1"/>
  <c r="O287" i="3"/>
  <c r="AF95" i="2"/>
  <c r="Q39" i="2"/>
  <c r="H374" i="4"/>
  <c r="R374" i="4" s="1"/>
  <c r="G374" i="4"/>
  <c r="BH85" i="3"/>
  <c r="BH85" i="1" s="1"/>
  <c r="BK258" i="3"/>
  <c r="BK66" i="2" s="1"/>
  <c r="BJ258" i="3"/>
  <c r="BJ66" i="2" s="1"/>
  <c r="H343" i="4"/>
  <c r="R343" i="4" s="1"/>
  <c r="G343" i="4"/>
  <c r="P96" i="3"/>
  <c r="H347" i="4"/>
  <c r="R347" i="4" s="1"/>
  <c r="AO150" i="3" s="1"/>
  <c r="G347" i="4"/>
  <c r="H572" i="4"/>
  <c r="R572" i="4" s="1"/>
  <c r="G572" i="4"/>
  <c r="U105" i="3"/>
  <c r="BI105" i="3"/>
  <c r="P233" i="3"/>
  <c r="AG41" i="2"/>
  <c r="G247" i="4"/>
  <c r="H247" i="4"/>
  <c r="R247" i="4" s="1"/>
  <c r="P234" i="3"/>
  <c r="AG42" i="2"/>
  <c r="G289" i="4"/>
  <c r="H289" i="4"/>
  <c r="R289" i="4" s="1"/>
  <c r="BI157" i="3"/>
  <c r="U157" i="3"/>
  <c r="W157" i="3" s="1"/>
  <c r="Y157" i="3" s="1"/>
  <c r="G141" i="4"/>
  <c r="H141" i="4"/>
  <c r="R141" i="4" s="1"/>
  <c r="AO68" i="3" s="1"/>
  <c r="AO68" i="1" s="1"/>
  <c r="BJ124" i="3"/>
  <c r="V124" i="3"/>
  <c r="BK124" i="3" s="1"/>
  <c r="H93" i="4"/>
  <c r="R93" i="4" s="1"/>
  <c r="G93" i="4"/>
  <c r="BI135" i="3"/>
  <c r="U135" i="3"/>
  <c r="BE120" i="3"/>
  <c r="BJ20" i="3"/>
  <c r="BJ20" i="1" s="1"/>
  <c r="P20" i="1"/>
  <c r="V20" i="3"/>
  <c r="V20" i="1" s="1"/>
  <c r="G148" i="4"/>
  <c r="H148" i="4"/>
  <c r="R148" i="4" s="1"/>
  <c r="G333" i="4"/>
  <c r="H333" i="4"/>
  <c r="R333" i="4" s="1"/>
  <c r="H164" i="4"/>
  <c r="R164" i="4" s="1"/>
  <c r="G164" i="4"/>
  <c r="G330" i="4"/>
  <c r="H330" i="4"/>
  <c r="R330" i="4" s="1"/>
  <c r="H433" i="4"/>
  <c r="R433" i="4" s="1"/>
  <c r="G433" i="4"/>
  <c r="G178" i="4"/>
  <c r="H178" i="4"/>
  <c r="R178" i="4" s="1"/>
  <c r="O81" i="3"/>
  <c r="BF65" i="3"/>
  <c r="BF65" i="1" s="1"/>
  <c r="G217" i="4"/>
  <c r="H217" i="4"/>
  <c r="R217" i="4" s="1"/>
  <c r="AO97" i="3" s="1"/>
  <c r="AO97" i="1" s="1"/>
  <c r="BJ31" i="3"/>
  <c r="BJ31" i="1" s="1"/>
  <c r="P31" i="1"/>
  <c r="V31" i="3"/>
  <c r="V31" i="1" s="1"/>
  <c r="BK102" i="3"/>
  <c r="BK102" i="1" s="1"/>
  <c r="R102" i="1"/>
  <c r="G195" i="4"/>
  <c r="H195" i="4"/>
  <c r="R195" i="4" s="1"/>
  <c r="AG57" i="2"/>
  <c r="P249" i="3"/>
  <c r="V100" i="3"/>
  <c r="V100" i="1" s="1"/>
  <c r="BJ100" i="3"/>
  <c r="BJ100" i="1" s="1"/>
  <c r="P100" i="1"/>
  <c r="BF21" i="3"/>
  <c r="BF21" i="1" s="1"/>
  <c r="BG29" i="3"/>
  <c r="BG29" i="1" s="1"/>
  <c r="BJ55" i="3"/>
  <c r="BJ55" i="1" s="1"/>
  <c r="BK63" i="3"/>
  <c r="BK63" i="1" s="1"/>
  <c r="BJ189" i="3"/>
  <c r="V189" i="3"/>
  <c r="O13" i="3"/>
  <c r="H110" i="4"/>
  <c r="R110" i="4" s="1"/>
  <c r="G110" i="4"/>
  <c r="O12" i="3"/>
  <c r="H45" i="4"/>
  <c r="R45" i="4" s="1"/>
  <c r="AO26" i="3" s="1"/>
  <c r="AO26" i="1" s="1"/>
  <c r="G45" i="4"/>
  <c r="Q13" i="1"/>
  <c r="BF53" i="3"/>
  <c r="BF53" i="1" s="1"/>
  <c r="Q42" i="1"/>
  <c r="H189" i="4"/>
  <c r="R189" i="4" s="1"/>
  <c r="G189" i="4"/>
  <c r="P37" i="3"/>
  <c r="H85" i="4"/>
  <c r="R85" i="4" s="1"/>
  <c r="G85" i="4"/>
  <c r="W117" i="3"/>
  <c r="Y117" i="3" s="1"/>
  <c r="U149" i="3"/>
  <c r="BI149" i="3"/>
  <c r="H840" i="4"/>
  <c r="R840" i="4" s="1"/>
  <c r="G840" i="4"/>
  <c r="BJ337" i="3"/>
  <c r="V337" i="3"/>
  <c r="W337" i="3" s="1"/>
  <c r="Y337" i="3" s="1"/>
  <c r="BH105" i="3"/>
  <c r="H133" i="4"/>
  <c r="R133" i="4" s="1"/>
  <c r="AO64" i="3" s="1"/>
  <c r="AO64" i="1" s="1"/>
  <c r="G133" i="4"/>
  <c r="G55" i="4"/>
  <c r="H55" i="4"/>
  <c r="R55" i="4" s="1"/>
  <c r="V353" i="3"/>
  <c r="H471" i="4"/>
  <c r="R471" i="4" s="1"/>
  <c r="AO199" i="3" s="1"/>
  <c r="G471" i="4"/>
  <c r="H785" i="4"/>
  <c r="R785" i="4" s="1"/>
  <c r="AO328" i="3" s="1"/>
  <c r="G785" i="4"/>
  <c r="H417" i="4"/>
  <c r="R417" i="4" s="1"/>
  <c r="G417" i="4"/>
  <c r="O238" i="3"/>
  <c r="AF46" i="2"/>
  <c r="Q70" i="1"/>
  <c r="P218" i="3"/>
  <c r="AG26" i="2"/>
  <c r="V149" i="3"/>
  <c r="BJ149" i="3"/>
  <c r="V153" i="3"/>
  <c r="BJ153" i="3" s="1"/>
  <c r="H482" i="4"/>
  <c r="R482" i="4" s="1"/>
  <c r="G482" i="4"/>
  <c r="G415" i="4"/>
  <c r="H415" i="4"/>
  <c r="R415" i="4" s="1"/>
  <c r="H484" i="4"/>
  <c r="R484" i="4" s="1"/>
  <c r="G484" i="4"/>
  <c r="O239" i="3"/>
  <c r="AF47" i="2"/>
  <c r="G410" i="4"/>
  <c r="H410" i="4"/>
  <c r="R410" i="4" s="1"/>
  <c r="G328" i="4"/>
  <c r="H328" i="4"/>
  <c r="R328" i="4" s="1"/>
  <c r="H101" i="4"/>
  <c r="R101" i="4" s="1"/>
  <c r="AO50" i="3" s="1"/>
  <c r="AO50" i="1" s="1"/>
  <c r="G101" i="4"/>
  <c r="G206" i="4"/>
  <c r="H206" i="4"/>
  <c r="R206" i="4" s="1"/>
  <c r="AO93" i="3" s="1"/>
  <c r="AO93" i="1" s="1"/>
  <c r="BJ25" i="3"/>
  <c r="BJ25" i="1" s="1"/>
  <c r="P25" i="1"/>
  <c r="V25" i="3"/>
  <c r="V25" i="1" s="1"/>
  <c r="G165" i="4"/>
  <c r="H165" i="4"/>
  <c r="R165" i="4" s="1"/>
  <c r="H690" i="4"/>
  <c r="R690" i="4" s="1"/>
  <c r="G690" i="4"/>
  <c r="U66" i="3"/>
  <c r="U66" i="1" s="1"/>
  <c r="BI66" i="3"/>
  <c r="BI66" i="1" s="1"/>
  <c r="O66" i="1"/>
  <c r="H207" i="4"/>
  <c r="R207" i="4" s="1"/>
  <c r="G207" i="4"/>
  <c r="H99" i="4"/>
  <c r="R99" i="4" s="1"/>
  <c r="G99" i="4"/>
  <c r="V68" i="3"/>
  <c r="P68" i="1"/>
  <c r="H298" i="4"/>
  <c r="R298" i="4" s="1"/>
  <c r="AO130" i="3" s="1"/>
  <c r="G298" i="4"/>
  <c r="H82" i="4"/>
  <c r="R82" i="4" s="1"/>
  <c r="G82" i="4"/>
  <c r="W388" i="3"/>
  <c r="Y388" i="3" s="1"/>
  <c r="BK388" i="3"/>
  <c r="BE353" i="3"/>
  <c r="W353" i="3"/>
  <c r="Y353" i="3" s="1"/>
  <c r="N872" i="4"/>
  <c r="Q872" i="4"/>
  <c r="AN365" i="3" s="1"/>
  <c r="H862" i="4"/>
  <c r="R862" i="4" s="1"/>
  <c r="G862" i="4"/>
  <c r="V385" i="3"/>
  <c r="BJ385" i="3"/>
  <c r="W379" i="3"/>
  <c r="Y379" i="3" s="1"/>
  <c r="H891" i="4"/>
  <c r="R891" i="4" s="1"/>
  <c r="G891" i="4"/>
  <c r="G834" i="4"/>
  <c r="H834" i="4"/>
  <c r="R834" i="4" s="1"/>
  <c r="H870" i="4"/>
  <c r="R870" i="4" s="1"/>
  <c r="AO364" i="3" s="1"/>
  <c r="G870" i="4"/>
  <c r="W323" i="3"/>
  <c r="Y323" i="3" s="1"/>
  <c r="G856" i="4"/>
  <c r="H856" i="4"/>
  <c r="R856" i="4" s="1"/>
  <c r="V354" i="3"/>
  <c r="BJ354" i="3" s="1"/>
  <c r="H763" i="4"/>
  <c r="R763" i="4" s="1"/>
  <c r="G763" i="4"/>
  <c r="G699" i="4"/>
  <c r="H699" i="4"/>
  <c r="R699" i="4" s="1"/>
  <c r="H679" i="4"/>
  <c r="R679" i="4" s="1"/>
  <c r="AO284" i="3" s="1"/>
  <c r="AO92" i="2" s="1"/>
  <c r="G679" i="4"/>
  <c r="G764" i="4"/>
  <c r="H764" i="4"/>
  <c r="R764" i="4" s="1"/>
  <c r="AO317" i="3" s="1"/>
  <c r="H523" i="4"/>
  <c r="R523" i="4" s="1"/>
  <c r="G523" i="4"/>
  <c r="G543" i="4"/>
  <c r="H543" i="4"/>
  <c r="R543" i="4" s="1"/>
  <c r="H579" i="4"/>
  <c r="R579" i="4" s="1"/>
  <c r="G579" i="4"/>
  <c r="U335" i="3"/>
  <c r="H814" i="4"/>
  <c r="R814" i="4" s="1"/>
  <c r="AO341" i="3" s="1"/>
  <c r="G814" i="4"/>
  <c r="H720" i="4"/>
  <c r="R720" i="4" s="1"/>
  <c r="G720" i="4"/>
  <c r="G581" i="4"/>
  <c r="H581" i="4"/>
  <c r="R581" i="4" s="1"/>
  <c r="AO244" i="3" s="1"/>
  <c r="AO52" i="2" s="1"/>
  <c r="BJ308" i="3"/>
  <c r="V308" i="3"/>
  <c r="H497" i="4"/>
  <c r="R497" i="4" s="1"/>
  <c r="G497" i="4"/>
  <c r="BE259" i="3"/>
  <c r="BE67" i="2" s="1"/>
  <c r="U278" i="3"/>
  <c r="BI278" i="3" s="1"/>
  <c r="BI86" i="2" s="1"/>
  <c r="O86" i="2"/>
  <c r="H664" i="4"/>
  <c r="R664" i="4" s="1"/>
  <c r="G664" i="4"/>
  <c r="H603" i="4"/>
  <c r="R603" i="4" s="1"/>
  <c r="G603" i="4"/>
  <c r="Y281" i="3"/>
  <c r="Y89" i="2" s="1"/>
  <c r="W89" i="2"/>
  <c r="Q41" i="2"/>
  <c r="U248" i="3"/>
  <c r="BI248" i="3"/>
  <c r="BI56" i="2" s="1"/>
  <c r="O56" i="2"/>
  <c r="BE174" i="3"/>
  <c r="H444" i="4"/>
  <c r="R444" i="4" s="1"/>
  <c r="AO189" i="3" s="1"/>
  <c r="G444" i="4"/>
  <c r="G589" i="4"/>
  <c r="H589" i="4"/>
  <c r="R589" i="4" s="1"/>
  <c r="V295" i="3"/>
  <c r="V103" i="2" s="1"/>
  <c r="BJ295" i="3"/>
  <c r="BJ103" i="2" s="1"/>
  <c r="P103" i="2"/>
  <c r="BG270" i="3"/>
  <c r="BG78" i="2" s="1"/>
  <c r="G318" i="4"/>
  <c r="H318" i="4"/>
  <c r="R318" i="4" s="1"/>
  <c r="AO138" i="3" s="1"/>
  <c r="U204" i="3"/>
  <c r="U12" i="2" s="1"/>
  <c r="BI204" i="3"/>
  <c r="BI12" i="2" s="1"/>
  <c r="O12" i="2"/>
  <c r="H249" i="4"/>
  <c r="R249" i="4" s="1"/>
  <c r="G249" i="4"/>
  <c r="V186" i="3"/>
  <c r="Q81" i="2"/>
  <c r="H492" i="4"/>
  <c r="R492" i="4" s="1"/>
  <c r="G492" i="4"/>
  <c r="H636" i="4"/>
  <c r="R636" i="4" s="1"/>
  <c r="G636" i="4"/>
  <c r="W175" i="3"/>
  <c r="Y175" i="3" s="1"/>
  <c r="BE175" i="3"/>
  <c r="BK175" i="3"/>
  <c r="V235" i="3"/>
  <c r="V43" i="2" s="1"/>
  <c r="BJ235" i="3"/>
  <c r="BJ43" i="2" s="1"/>
  <c r="P43" i="2"/>
  <c r="U205" i="3"/>
  <c r="BI205" i="3"/>
  <c r="BI13" i="2" s="1"/>
  <c r="O13" i="2"/>
  <c r="H221" i="4"/>
  <c r="R221" i="4" s="1"/>
  <c r="G221" i="4"/>
  <c r="U190" i="3"/>
  <c r="BI190" i="3"/>
  <c r="H367" i="4"/>
  <c r="R367" i="4" s="1"/>
  <c r="G367" i="4"/>
  <c r="H431" i="4"/>
  <c r="R431" i="4" s="1"/>
  <c r="G431" i="4"/>
  <c r="BH227" i="3"/>
  <c r="BH35" i="2" s="1"/>
  <c r="V182" i="3"/>
  <c r="BJ182" i="3"/>
  <c r="BI243" i="3"/>
  <c r="BI51" i="2" s="1"/>
  <c r="H373" i="4"/>
  <c r="R373" i="4" s="1"/>
  <c r="G373" i="4"/>
  <c r="BE264" i="3"/>
  <c r="BE72" i="2" s="1"/>
  <c r="H392" i="4"/>
  <c r="R392" i="4" s="1"/>
  <c r="AO170" i="3" s="1"/>
  <c r="G392" i="4"/>
  <c r="W214" i="3"/>
  <c r="BK214" i="3" s="1"/>
  <c r="BK22" i="2" s="1"/>
  <c r="Q22" i="2"/>
  <c r="G344" i="4"/>
  <c r="H344" i="4"/>
  <c r="R344" i="4" s="1"/>
  <c r="BJ167" i="3"/>
  <c r="V167" i="3"/>
  <c r="W167" i="3" s="1"/>
  <c r="Y167" i="3" s="1"/>
  <c r="H348" i="4"/>
  <c r="R348" i="4" s="1"/>
  <c r="G348" i="4"/>
  <c r="H573" i="4"/>
  <c r="R573" i="4" s="1"/>
  <c r="G573" i="4"/>
  <c r="BH209" i="3"/>
  <c r="BH17" i="2" s="1"/>
  <c r="G248" i="4"/>
  <c r="H248" i="4"/>
  <c r="R248" i="4" s="1"/>
  <c r="U110" i="3"/>
  <c r="BH212" i="3"/>
  <c r="BH20" i="2" s="1"/>
  <c r="Q94" i="1"/>
  <c r="P59" i="3"/>
  <c r="AG59" i="1"/>
  <c r="H94" i="4"/>
  <c r="R94" i="4" s="1"/>
  <c r="G94" i="4"/>
  <c r="BI133" i="3"/>
  <c r="U133" i="3"/>
  <c r="BJ76" i="3"/>
  <c r="BJ76" i="1" s="1"/>
  <c r="V76" i="3"/>
  <c r="V76" i="1" s="1"/>
  <c r="P76" i="1"/>
  <c r="H149" i="4"/>
  <c r="R149" i="4" s="1"/>
  <c r="G149" i="4"/>
  <c r="G332" i="4"/>
  <c r="H332" i="4"/>
  <c r="R332" i="4" s="1"/>
  <c r="BK304" i="3"/>
  <c r="W304" i="3"/>
  <c r="Y304" i="3" s="1"/>
  <c r="G162" i="4"/>
  <c r="H162" i="4"/>
  <c r="R162" i="4" s="1"/>
  <c r="BK137" i="3"/>
  <c r="G434" i="4"/>
  <c r="H434" i="4"/>
  <c r="R434" i="4" s="1"/>
  <c r="W74" i="3"/>
  <c r="BK74" i="3"/>
  <c r="BK74" i="1" s="1"/>
  <c r="BE74" i="3"/>
  <c r="BE74" i="1" s="1"/>
  <c r="Q74" i="1"/>
  <c r="BG81" i="3"/>
  <c r="BG81" i="1" s="1"/>
  <c r="S81" i="1"/>
  <c r="H218" i="4"/>
  <c r="R218" i="4" s="1"/>
  <c r="G218" i="4"/>
  <c r="BK123" i="3"/>
  <c r="H52" i="4"/>
  <c r="R52" i="4" s="1"/>
  <c r="G52" i="4"/>
  <c r="BF78" i="3"/>
  <c r="BF78" i="1" s="1"/>
  <c r="BH65" i="3"/>
  <c r="BH65" i="1" s="1"/>
  <c r="U34" i="3"/>
  <c r="O34" i="1"/>
  <c r="H194" i="4"/>
  <c r="R194" i="4" s="1"/>
  <c r="AO88" i="3" s="1"/>
  <c r="AO88" i="1" s="1"/>
  <c r="G194" i="4"/>
  <c r="O249" i="3"/>
  <c r="AF57" i="2"/>
  <c r="BF16" i="3"/>
  <c r="BF16" i="1" s="1"/>
  <c r="R16" i="1"/>
  <c r="BI43" i="3"/>
  <c r="BI43" i="1" s="1"/>
  <c r="O40" i="3"/>
  <c r="AF40" i="1"/>
  <c r="BG13" i="3"/>
  <c r="BG13" i="1" s="1"/>
  <c r="V66" i="3"/>
  <c r="V66" i="1" s="1"/>
  <c r="BJ66" i="3"/>
  <c r="BJ66" i="1" s="1"/>
  <c r="P66" i="1"/>
  <c r="V252" i="3"/>
  <c r="P60" i="2"/>
  <c r="H108" i="4"/>
  <c r="R108" i="4" s="1"/>
  <c r="G108" i="4"/>
  <c r="H46" i="4"/>
  <c r="R46" i="4" s="1"/>
  <c r="G46" i="4"/>
  <c r="BI58" i="3"/>
  <c r="BI58" i="1" s="1"/>
  <c r="U58" i="3"/>
  <c r="O58" i="1"/>
  <c r="BF79" i="3"/>
  <c r="BF79" i="1" s="1"/>
  <c r="BE50" i="3"/>
  <c r="BE50" i="1" s="1"/>
  <c r="H79" i="4"/>
  <c r="R79" i="4" s="1"/>
  <c r="AO42" i="3" s="1"/>
  <c r="AO42" i="1" s="1"/>
  <c r="G79" i="4"/>
  <c r="BE70" i="3"/>
  <c r="BE70" i="1" s="1"/>
  <c r="BH37" i="3"/>
  <c r="BH37" i="1" s="1"/>
  <c r="H84" i="4"/>
  <c r="R84" i="4" s="1"/>
  <c r="G84" i="4"/>
  <c r="W9" i="3"/>
  <c r="O15" i="3"/>
  <c r="AF15" i="1"/>
  <c r="BF77" i="3"/>
  <c r="BF77" i="1" s="1"/>
  <c r="H27" i="4"/>
  <c r="R27" i="4" s="1"/>
  <c r="AO17" i="3" s="1"/>
  <c r="AO17" i="1" s="1"/>
  <c r="G27" i="4"/>
  <c r="Y271" i="3" l="1"/>
  <c r="Y79" i="2" s="1"/>
  <c r="W79" i="2"/>
  <c r="Y241" i="3"/>
  <c r="Y49" i="2" s="1"/>
  <c r="W49" i="2"/>
  <c r="Q430" i="4"/>
  <c r="N430" i="4"/>
  <c r="Q493" i="4"/>
  <c r="N493" i="4"/>
  <c r="P493" i="4" s="1"/>
  <c r="N66" i="4"/>
  <c r="P66" i="4" s="1"/>
  <c r="Q66" i="4"/>
  <c r="BI247" i="3"/>
  <c r="BI55" i="2" s="1"/>
  <c r="U247" i="3"/>
  <c r="O55" i="2"/>
  <c r="N608" i="4"/>
  <c r="P608" i="4" s="1"/>
  <c r="Q608" i="4"/>
  <c r="N404" i="4"/>
  <c r="Q404" i="4"/>
  <c r="AN174" i="3" s="1"/>
  <c r="N865" i="4"/>
  <c r="P865" i="4" s="1"/>
  <c r="Q865" i="4"/>
  <c r="N614" i="4"/>
  <c r="P614" i="4" s="1"/>
  <c r="Q614" i="4"/>
  <c r="Q596" i="4"/>
  <c r="N596" i="4"/>
  <c r="P596" i="4" s="1"/>
  <c r="N713" i="4"/>
  <c r="P713" i="4" s="1"/>
  <c r="Q713" i="4"/>
  <c r="N728" i="4"/>
  <c r="P728" i="4" s="1"/>
  <c r="Q728" i="4"/>
  <c r="Q618" i="4"/>
  <c r="N618" i="4"/>
  <c r="N170" i="4"/>
  <c r="P170" i="4" s="1"/>
  <c r="Q170" i="4"/>
  <c r="N831" i="4"/>
  <c r="P831" i="4" s="1"/>
  <c r="Q831" i="4"/>
  <c r="Y276" i="3"/>
  <c r="Y84" i="2" s="1"/>
  <c r="W84" i="2"/>
  <c r="N177" i="4"/>
  <c r="P177" i="4" s="1"/>
  <c r="Q177" i="4"/>
  <c r="Q381" i="4"/>
  <c r="N381" i="4"/>
  <c r="P381" i="4" s="1"/>
  <c r="Q398" i="4"/>
  <c r="AN172" i="3" s="1"/>
  <c r="N398" i="4"/>
  <c r="Q720" i="4"/>
  <c r="N720" i="4"/>
  <c r="P720" i="4" s="1"/>
  <c r="U238" i="3"/>
  <c r="BI238" i="3"/>
  <c r="BI46" i="2" s="1"/>
  <c r="O46" i="2"/>
  <c r="Q164" i="4"/>
  <c r="N164" i="4"/>
  <c r="P164" i="4" s="1"/>
  <c r="N131" i="4"/>
  <c r="Q131" i="4"/>
  <c r="Q597" i="4"/>
  <c r="N597" i="4"/>
  <c r="Q15" i="4"/>
  <c r="N15" i="4"/>
  <c r="Q658" i="4"/>
  <c r="N658" i="4"/>
  <c r="Q823" i="4"/>
  <c r="N823" i="4"/>
  <c r="P823" i="4" s="1"/>
  <c r="Q277" i="4"/>
  <c r="N277" i="4"/>
  <c r="P277" i="4" s="1"/>
  <c r="V12" i="1"/>
  <c r="BJ12" i="3"/>
  <c r="BJ12" i="1" s="1"/>
  <c r="Q500" i="4"/>
  <c r="N500" i="4"/>
  <c r="Q776" i="4"/>
  <c r="N776" i="4"/>
  <c r="Q79" i="4"/>
  <c r="N79" i="4"/>
  <c r="BK323" i="3"/>
  <c r="V234" i="3"/>
  <c r="V42" i="2" s="1"/>
  <c r="BJ234" i="3"/>
  <c r="BJ42" i="2" s="1"/>
  <c r="P42" i="2"/>
  <c r="Q924" i="4"/>
  <c r="N924" i="4"/>
  <c r="P924" i="4" s="1"/>
  <c r="U56" i="2"/>
  <c r="W248" i="3"/>
  <c r="BK248" i="3" s="1"/>
  <c r="BK56" i="2" s="1"/>
  <c r="W358" i="3"/>
  <c r="Y358" i="3" s="1"/>
  <c r="BI358" i="3"/>
  <c r="AO348" i="3"/>
  <c r="Q864" i="4"/>
  <c r="N864" i="4"/>
  <c r="P864" i="4" s="1"/>
  <c r="N516" i="4"/>
  <c r="Q516" i="4"/>
  <c r="Q801" i="4"/>
  <c r="N801" i="4"/>
  <c r="P801" i="4" s="1"/>
  <c r="V64" i="1"/>
  <c r="BJ64" i="3"/>
  <c r="BJ64" i="1" s="1"/>
  <c r="S106" i="2"/>
  <c r="BI306" i="3"/>
  <c r="W306" i="3"/>
  <c r="Y306" i="3" s="1"/>
  <c r="Y156" i="3"/>
  <c r="BK156" i="3"/>
  <c r="Q617" i="4"/>
  <c r="N617" i="4"/>
  <c r="P617" i="4" s="1"/>
  <c r="N750" i="4"/>
  <c r="Q750" i="4"/>
  <c r="Q162" i="4"/>
  <c r="N162" i="4"/>
  <c r="V68" i="1"/>
  <c r="BJ68" i="3"/>
  <c r="BJ68" i="1" s="1"/>
  <c r="N333" i="4"/>
  <c r="P333" i="4" s="1"/>
  <c r="Q333" i="4"/>
  <c r="Q296" i="4"/>
  <c r="N296" i="4"/>
  <c r="P296" i="4" s="1"/>
  <c r="Q21" i="4"/>
  <c r="N21" i="4"/>
  <c r="U86" i="3"/>
  <c r="BI86" i="3"/>
  <c r="BI86" i="1" s="1"/>
  <c r="O86" i="1"/>
  <c r="W318" i="3"/>
  <c r="Y318" i="3" s="1"/>
  <c r="Q742" i="4"/>
  <c r="N742" i="4"/>
  <c r="Q573" i="4"/>
  <c r="N573" i="4"/>
  <c r="P573" i="4" s="1"/>
  <c r="BI335" i="3"/>
  <c r="Q99" i="4"/>
  <c r="N99" i="4"/>
  <c r="P99" i="4" s="1"/>
  <c r="Q721" i="4"/>
  <c r="N721" i="4"/>
  <c r="P721" i="4" s="1"/>
  <c r="AO386" i="3"/>
  <c r="N810" i="4"/>
  <c r="Q810" i="4"/>
  <c r="AN339" i="3" s="1"/>
  <c r="N429" i="4"/>
  <c r="P429" i="4" s="1"/>
  <c r="Q429" i="4"/>
  <c r="W362" i="3"/>
  <c r="Y362" i="3" s="1"/>
  <c r="Q816" i="4"/>
  <c r="N816" i="4"/>
  <c r="N293" i="4"/>
  <c r="P293" i="4" s="1"/>
  <c r="Q293" i="4"/>
  <c r="BI350" i="3"/>
  <c r="W350" i="3"/>
  <c r="Y350" i="3" s="1"/>
  <c r="N695" i="4"/>
  <c r="Q695" i="4"/>
  <c r="U283" i="3"/>
  <c r="BI283" i="3"/>
  <c r="BI91" i="2" s="1"/>
  <c r="O91" i="2"/>
  <c r="N121" i="4"/>
  <c r="Q121" i="4"/>
  <c r="BK326" i="3"/>
  <c r="Q420" i="4"/>
  <c r="AN180" i="3" s="1"/>
  <c r="N420" i="4"/>
  <c r="Q479" i="4"/>
  <c r="AN202" i="3" s="1"/>
  <c r="AN10" i="2" s="1"/>
  <c r="N479" i="4"/>
  <c r="Q437" i="4"/>
  <c r="N437" i="4"/>
  <c r="P437" i="4" s="1"/>
  <c r="Y331" i="3"/>
  <c r="BK331" i="3"/>
  <c r="AO238" i="3"/>
  <c r="AO46" i="2" s="1"/>
  <c r="AO83" i="3"/>
  <c r="AO83" i="1" s="1"/>
  <c r="AO259" i="3"/>
  <c r="AO67" i="2" s="1"/>
  <c r="Q463" i="4"/>
  <c r="N463" i="4"/>
  <c r="Y310" i="3"/>
  <c r="BK310" i="3"/>
  <c r="Q905" i="4"/>
  <c r="N905" i="4"/>
  <c r="P905" i="4" s="1"/>
  <c r="Q283" i="4"/>
  <c r="N283" i="4"/>
  <c r="P283" i="4" s="1"/>
  <c r="Q204" i="4"/>
  <c r="N204" i="4"/>
  <c r="P204" i="4" s="1"/>
  <c r="Q369" i="4"/>
  <c r="AN160" i="3" s="1"/>
  <c r="N369" i="4"/>
  <c r="N635" i="4"/>
  <c r="P635" i="4" s="1"/>
  <c r="Q635" i="4"/>
  <c r="N806" i="4"/>
  <c r="P806" i="4" s="1"/>
  <c r="Q806" i="4"/>
  <c r="N677" i="4"/>
  <c r="P677" i="4" s="1"/>
  <c r="Q677" i="4"/>
  <c r="Q96" i="4"/>
  <c r="N96" i="4"/>
  <c r="P96" i="4" s="1"/>
  <c r="Q917" i="4"/>
  <c r="N917" i="4"/>
  <c r="BK318" i="3"/>
  <c r="BJ318" i="3"/>
  <c r="V249" i="3"/>
  <c r="V57" i="2" s="1"/>
  <c r="BJ249" i="3"/>
  <c r="BJ57" i="2" s="1"/>
  <c r="P57" i="2"/>
  <c r="N921" i="4"/>
  <c r="Q921" i="4"/>
  <c r="N367" i="4"/>
  <c r="P367" i="4" s="1"/>
  <c r="Q367" i="4"/>
  <c r="W186" i="3"/>
  <c r="Y186" i="3" s="1"/>
  <c r="BJ186" i="3"/>
  <c r="N834" i="4"/>
  <c r="P834" i="4" s="1"/>
  <c r="Q834" i="4"/>
  <c r="U239" i="3"/>
  <c r="BI239" i="3"/>
  <c r="BI47" i="2" s="1"/>
  <c r="O47" i="2"/>
  <c r="Q471" i="4"/>
  <c r="N471" i="4"/>
  <c r="Q744" i="4"/>
  <c r="N744" i="4"/>
  <c r="P744" i="4" s="1"/>
  <c r="Q306" i="4"/>
  <c r="N306" i="4"/>
  <c r="AO339" i="3"/>
  <c r="Q775" i="4"/>
  <c r="N775" i="4"/>
  <c r="P775" i="4" s="1"/>
  <c r="Q672" i="4"/>
  <c r="N672" i="4"/>
  <c r="P672" i="4" s="1"/>
  <c r="BI351" i="3"/>
  <c r="W351" i="3"/>
  <c r="Y351" i="3" s="1"/>
  <c r="Q612" i="4"/>
  <c r="N612" i="4"/>
  <c r="P612" i="4" s="1"/>
  <c r="Q766" i="4"/>
  <c r="AN318" i="3" s="1"/>
  <c r="N766" i="4"/>
  <c r="BI371" i="3"/>
  <c r="W371" i="3"/>
  <c r="Y371" i="3" s="1"/>
  <c r="Q159" i="4"/>
  <c r="N159" i="4"/>
  <c r="Q453" i="4"/>
  <c r="N453" i="4"/>
  <c r="P453" i="4" s="1"/>
  <c r="Q876" i="4"/>
  <c r="N876" i="4"/>
  <c r="Q315" i="4"/>
  <c r="N315" i="4"/>
  <c r="Q756" i="4"/>
  <c r="N756" i="4"/>
  <c r="P756" i="4" s="1"/>
  <c r="Q317" i="4"/>
  <c r="N317" i="4"/>
  <c r="P317" i="4" s="1"/>
  <c r="BI64" i="3"/>
  <c r="BI64" i="1" s="1"/>
  <c r="U64" i="3"/>
  <c r="O64" i="1"/>
  <c r="Q44" i="4"/>
  <c r="N44" i="4"/>
  <c r="P44" i="4" s="1"/>
  <c r="N890" i="4"/>
  <c r="P890" i="4" s="1"/>
  <c r="Q890" i="4"/>
  <c r="Q749" i="4"/>
  <c r="N749" i="4"/>
  <c r="P749" i="4" s="1"/>
  <c r="BI110" i="3"/>
  <c r="W110" i="3"/>
  <c r="Y110" i="3" s="1"/>
  <c r="N492" i="4"/>
  <c r="Q492" i="4"/>
  <c r="Q298" i="4"/>
  <c r="N298" i="4"/>
  <c r="Q857" i="4"/>
  <c r="N857" i="4"/>
  <c r="P857" i="4" s="1"/>
  <c r="Q606" i="4"/>
  <c r="N606" i="4"/>
  <c r="P606" i="4" s="1"/>
  <c r="Q607" i="4"/>
  <c r="N607" i="4"/>
  <c r="Q186" i="4"/>
  <c r="N186" i="4"/>
  <c r="Q248" i="4"/>
  <c r="N248" i="4"/>
  <c r="P248" i="4" s="1"/>
  <c r="Q431" i="4"/>
  <c r="N431" i="4"/>
  <c r="P431" i="4" s="1"/>
  <c r="Q484" i="4"/>
  <c r="N484" i="4"/>
  <c r="Y264" i="3"/>
  <c r="Y72" i="2" s="1"/>
  <c r="W72" i="2"/>
  <c r="BK264" i="3"/>
  <c r="BK72" i="2" s="1"/>
  <c r="Q271" i="4"/>
  <c r="N271" i="4"/>
  <c r="P271" i="4" s="1"/>
  <c r="U39" i="2"/>
  <c r="Q545" i="4"/>
  <c r="N545" i="4"/>
  <c r="P545" i="4" s="1"/>
  <c r="BK142" i="3"/>
  <c r="BI201" i="3"/>
  <c r="BI9" i="2" s="1"/>
  <c r="U201" i="3"/>
  <c r="O9" i="2"/>
  <c r="N201" i="4"/>
  <c r="P201" i="4" s="1"/>
  <c r="Q201" i="4"/>
  <c r="BI184" i="3"/>
  <c r="BK184" i="3"/>
  <c r="Q460" i="4"/>
  <c r="N460" i="4"/>
  <c r="Y49" i="3"/>
  <c r="Y49" i="1" s="1"/>
  <c r="W49" i="1"/>
  <c r="W297" i="3"/>
  <c r="Y297" i="3" s="1"/>
  <c r="BI297" i="3"/>
  <c r="BI143" i="3"/>
  <c r="BK143" i="3"/>
  <c r="V101" i="1"/>
  <c r="W101" i="3"/>
  <c r="BK101" i="3"/>
  <c r="BK101" i="1" s="1"/>
  <c r="BK324" i="3"/>
  <c r="Y100" i="3"/>
  <c r="Y100" i="1" s="1"/>
  <c r="W100" i="1"/>
  <c r="AO149" i="3"/>
  <c r="Q908" i="4"/>
  <c r="N908" i="4"/>
  <c r="P908" i="4" s="1"/>
  <c r="Q334" i="4"/>
  <c r="N334" i="4"/>
  <c r="Q793" i="4"/>
  <c r="N793" i="4"/>
  <c r="N736" i="4"/>
  <c r="Q736" i="4"/>
  <c r="Q312" i="4"/>
  <c r="N312" i="4"/>
  <c r="P312" i="4" s="1"/>
  <c r="BK359" i="3"/>
  <c r="N330" i="4"/>
  <c r="P330" i="4" s="1"/>
  <c r="Q330" i="4"/>
  <c r="Q288" i="4"/>
  <c r="AN126" i="3" s="1"/>
  <c r="N288" i="4"/>
  <c r="Q499" i="4"/>
  <c r="N499" i="4"/>
  <c r="P499" i="4" s="1"/>
  <c r="V51" i="3"/>
  <c r="BJ51" i="3"/>
  <c r="BJ51" i="1" s="1"/>
  <c r="P51" i="1"/>
  <c r="U39" i="1"/>
  <c r="W39" i="3"/>
  <c r="BK39" i="3" s="1"/>
  <c r="BK39" i="1" s="1"/>
  <c r="Q586" i="4"/>
  <c r="N586" i="4"/>
  <c r="P586" i="4" s="1"/>
  <c r="Q189" i="4"/>
  <c r="N189" i="4"/>
  <c r="P189" i="4" s="1"/>
  <c r="Q558" i="4"/>
  <c r="N558" i="4"/>
  <c r="Q824" i="4"/>
  <c r="N824" i="4"/>
  <c r="U94" i="1"/>
  <c r="BI94" i="3"/>
  <c r="BI94" i="1" s="1"/>
  <c r="W94" i="3"/>
  <c r="BK94" i="3"/>
  <c r="BK94" i="1" s="1"/>
  <c r="U10" i="2"/>
  <c r="W202" i="3"/>
  <c r="BK202" i="3" s="1"/>
  <c r="BK10" i="2" s="1"/>
  <c r="V94" i="3"/>
  <c r="V94" i="1" s="1"/>
  <c r="BJ94" i="3"/>
  <c r="BJ94" i="1" s="1"/>
  <c r="P94" i="1"/>
  <c r="W171" i="3"/>
  <c r="Y171" i="3" s="1"/>
  <c r="BK171" i="3"/>
  <c r="BI171" i="3"/>
  <c r="N432" i="4"/>
  <c r="Q432" i="4"/>
  <c r="Q220" i="4"/>
  <c r="N220" i="4"/>
  <c r="P220" i="4" s="1"/>
  <c r="AO235" i="3"/>
  <c r="AO43" i="2" s="1"/>
  <c r="U11" i="3"/>
  <c r="BI11" i="3" s="1"/>
  <c r="BI11" i="1" s="1"/>
  <c r="O11" i="1"/>
  <c r="Q446" i="4"/>
  <c r="AN190" i="3" s="1"/>
  <c r="N446" i="4"/>
  <c r="Q40" i="4"/>
  <c r="N40" i="4"/>
  <c r="P40" i="4" s="1"/>
  <c r="U209" i="3"/>
  <c r="BI209" i="3" s="1"/>
  <c r="BI17" i="2" s="1"/>
  <c r="O17" i="2"/>
  <c r="BK188" i="3"/>
  <c r="Q792" i="4"/>
  <c r="N792" i="4"/>
  <c r="P792" i="4" s="1"/>
  <c r="Q89" i="4"/>
  <c r="N89" i="4"/>
  <c r="Q534" i="4"/>
  <c r="N534" i="4"/>
  <c r="P534" i="4" s="1"/>
  <c r="U34" i="1"/>
  <c r="W34" i="3"/>
  <c r="N891" i="4"/>
  <c r="Q891" i="4"/>
  <c r="BI34" i="3"/>
  <c r="BI34" i="1" s="1"/>
  <c r="Q332" i="4"/>
  <c r="N332" i="4"/>
  <c r="P332" i="4" s="1"/>
  <c r="AO204" i="3"/>
  <c r="AO12" i="2" s="1"/>
  <c r="BK353" i="3"/>
  <c r="BJ353" i="3"/>
  <c r="BK105" i="3"/>
  <c r="AO243" i="3"/>
  <c r="AO51" i="2" s="1"/>
  <c r="BK309" i="3"/>
  <c r="BK337" i="3"/>
  <c r="Q329" i="4"/>
  <c r="N329" i="4"/>
  <c r="BI193" i="3"/>
  <c r="BK193" i="3"/>
  <c r="Q129" i="4"/>
  <c r="N129" i="4"/>
  <c r="U87" i="3"/>
  <c r="BI87" i="3"/>
  <c r="BI87" i="1" s="1"/>
  <c r="O87" i="1"/>
  <c r="N407" i="4"/>
  <c r="Q407" i="4"/>
  <c r="U50" i="2"/>
  <c r="BI242" i="3"/>
  <c r="BI50" i="2" s="1"/>
  <c r="Q128" i="4"/>
  <c r="N128" i="4"/>
  <c r="P128" i="4" s="1"/>
  <c r="Q16" i="4"/>
  <c r="N16" i="4"/>
  <c r="P16" i="4" s="1"/>
  <c r="R106" i="1"/>
  <c r="AO331" i="3"/>
  <c r="N61" i="4"/>
  <c r="Q61" i="4"/>
  <c r="Q702" i="4"/>
  <c r="N702" i="4"/>
  <c r="P702" i="4" s="1"/>
  <c r="Q751" i="4"/>
  <c r="N751" i="4"/>
  <c r="P751" i="4" s="1"/>
  <c r="Q691" i="4"/>
  <c r="N691" i="4"/>
  <c r="P691" i="4" s="1"/>
  <c r="Q69" i="4"/>
  <c r="N69" i="4"/>
  <c r="P69" i="4" s="1"/>
  <c r="BK169" i="3"/>
  <c r="Q308" i="4"/>
  <c r="N308" i="4"/>
  <c r="Q780" i="4"/>
  <c r="N780" i="4"/>
  <c r="BK329" i="3"/>
  <c r="BI329" i="3"/>
  <c r="Q631" i="4"/>
  <c r="N631" i="4"/>
  <c r="P631" i="4" s="1"/>
  <c r="Q54" i="4"/>
  <c r="N54" i="4"/>
  <c r="P54" i="4" s="1"/>
  <c r="N378" i="4"/>
  <c r="P378" i="4" s="1"/>
  <c r="Q378" i="4"/>
  <c r="BJ212" i="3"/>
  <c r="BJ20" i="2" s="1"/>
  <c r="V212" i="3"/>
  <c r="P20" i="2"/>
  <c r="Q641" i="4"/>
  <c r="N641" i="4"/>
  <c r="P641" i="4" s="1"/>
  <c r="Q86" i="4"/>
  <c r="N86" i="4"/>
  <c r="Q360" i="4"/>
  <c r="N360" i="4"/>
  <c r="P360" i="4" s="1"/>
  <c r="N785" i="4"/>
  <c r="Q785" i="4"/>
  <c r="AN328" i="3" s="1"/>
  <c r="AO127" i="3"/>
  <c r="Q307" i="4"/>
  <c r="N307" i="4"/>
  <c r="P307" i="4" s="1"/>
  <c r="W360" i="3"/>
  <c r="Y360" i="3" s="1"/>
  <c r="BJ54" i="3"/>
  <c r="BJ54" i="1" s="1"/>
  <c r="V54" i="3"/>
  <c r="P54" i="1"/>
  <c r="N163" i="4"/>
  <c r="P163" i="4" s="1"/>
  <c r="Q163" i="4"/>
  <c r="AO299" i="3"/>
  <c r="Y133" i="3"/>
  <c r="BK133" i="3"/>
  <c r="N592" i="4"/>
  <c r="P592" i="4" s="1"/>
  <c r="Q592" i="4"/>
  <c r="BK118" i="3"/>
  <c r="BI118" i="3"/>
  <c r="Y387" i="3"/>
  <c r="BK387" i="3"/>
  <c r="Q211" i="4"/>
  <c r="N211" i="4"/>
  <c r="Y356" i="3"/>
  <c r="BK356" i="3"/>
  <c r="U87" i="2"/>
  <c r="BI279" i="3"/>
  <c r="BI87" i="2" s="1"/>
  <c r="Q261" i="4"/>
  <c r="N261" i="4"/>
  <c r="P261" i="4" s="1"/>
  <c r="Q105" i="4"/>
  <c r="AN52" i="3" s="1"/>
  <c r="AN52" i="1" s="1"/>
  <c r="N105" i="4"/>
  <c r="O23" i="1"/>
  <c r="U23" i="3"/>
  <c r="BI23" i="3" s="1"/>
  <c r="BI23" i="1" s="1"/>
  <c r="Q599" i="4"/>
  <c r="N599" i="4"/>
  <c r="BJ18" i="3"/>
  <c r="BJ18" i="1" s="1"/>
  <c r="V18" i="3"/>
  <c r="V18" i="1" s="1"/>
  <c r="P18" i="1"/>
  <c r="V22" i="1"/>
  <c r="W22" i="3"/>
  <c r="V38" i="2"/>
  <c r="BJ230" i="3"/>
  <c r="BJ38" i="2" s="1"/>
  <c r="BK363" i="3"/>
  <c r="AO176" i="3"/>
  <c r="U83" i="3"/>
  <c r="BI83" i="3"/>
  <c r="BI83" i="1" s="1"/>
  <c r="O83" i="1"/>
  <c r="Q623" i="4"/>
  <c r="AN263" i="3" s="1"/>
  <c r="AN71" i="2" s="1"/>
  <c r="N623" i="4"/>
  <c r="N167" i="4"/>
  <c r="P167" i="4" s="1"/>
  <c r="Q167" i="4"/>
  <c r="Q466" i="4"/>
  <c r="AN197" i="3" s="1"/>
  <c r="N466" i="4"/>
  <c r="BJ145" i="3"/>
  <c r="W153" i="3"/>
  <c r="Y153" i="3" s="1"/>
  <c r="BK153" i="3"/>
  <c r="U280" i="3"/>
  <c r="BI280" i="3"/>
  <c r="BI88" i="2" s="1"/>
  <c r="O88" i="2"/>
  <c r="AO102" i="3"/>
  <c r="AO102" i="1" s="1"/>
  <c r="U16" i="1"/>
  <c r="W16" i="3"/>
  <c r="BK16" i="3" s="1"/>
  <c r="BK16" i="1" s="1"/>
  <c r="BI16" i="3"/>
  <c r="BI16" i="1" s="1"/>
  <c r="N844" i="4"/>
  <c r="Q844" i="4"/>
  <c r="Q800" i="4"/>
  <c r="AN335" i="3" s="1"/>
  <c r="N800" i="4"/>
  <c r="N83" i="4"/>
  <c r="Q83" i="4"/>
  <c r="W154" i="3"/>
  <c r="Y154" i="3" s="1"/>
  <c r="Y132" i="3"/>
  <c r="BK132" i="3"/>
  <c r="N256" i="4"/>
  <c r="P256" i="4" s="1"/>
  <c r="Q256" i="4"/>
  <c r="N590" i="4"/>
  <c r="P590" i="4" s="1"/>
  <c r="Q590" i="4"/>
  <c r="Q578" i="4"/>
  <c r="N578" i="4"/>
  <c r="N46" i="4"/>
  <c r="P46" i="4" s="1"/>
  <c r="Q46" i="4"/>
  <c r="Q149" i="4"/>
  <c r="N149" i="4"/>
  <c r="P149" i="4" s="1"/>
  <c r="Q603" i="4"/>
  <c r="N603" i="4"/>
  <c r="P603" i="4" s="1"/>
  <c r="AO178" i="3"/>
  <c r="N572" i="4"/>
  <c r="Q572" i="4"/>
  <c r="N523" i="4"/>
  <c r="P523" i="4" s="1"/>
  <c r="Q523" i="4"/>
  <c r="BK379" i="3"/>
  <c r="N415" i="4"/>
  <c r="Q415" i="4"/>
  <c r="AN178" i="3" s="1"/>
  <c r="AO241" i="3"/>
  <c r="AO49" i="2" s="1"/>
  <c r="Q855" i="4"/>
  <c r="N855" i="4"/>
  <c r="N188" i="4"/>
  <c r="Q188" i="4"/>
  <c r="BJ291" i="3"/>
  <c r="BJ99" i="2" s="1"/>
  <c r="V291" i="3"/>
  <c r="P99" i="2"/>
  <c r="Q292" i="4"/>
  <c r="N292" i="4"/>
  <c r="Q122" i="4"/>
  <c r="N122" i="4"/>
  <c r="P122" i="4" s="1"/>
  <c r="AO95" i="3"/>
  <c r="AO95" i="1" s="1"/>
  <c r="BJ263" i="3"/>
  <c r="BJ71" i="2" s="1"/>
  <c r="V263" i="3"/>
  <c r="V71" i="2" s="1"/>
  <c r="P71" i="2"/>
  <c r="U75" i="3"/>
  <c r="O75" i="1"/>
  <c r="N103" i="4"/>
  <c r="Q103" i="4"/>
  <c r="Q316" i="4"/>
  <c r="N316" i="4"/>
  <c r="P316" i="4" s="1"/>
  <c r="Q779" i="4"/>
  <c r="N779" i="4"/>
  <c r="P779" i="4" s="1"/>
  <c r="AO373" i="3"/>
  <c r="BK138" i="3"/>
  <c r="Q671" i="4"/>
  <c r="N671" i="4"/>
  <c r="P671" i="4" s="1"/>
  <c r="BK305" i="3"/>
  <c r="BI305" i="3"/>
  <c r="Q56" i="4"/>
  <c r="N56" i="4"/>
  <c r="P56" i="4" s="1"/>
  <c r="AO78" i="3"/>
  <c r="AO78" i="1" s="1"/>
  <c r="Q285" i="4"/>
  <c r="N285" i="4"/>
  <c r="P285" i="4" s="1"/>
  <c r="N650" i="4"/>
  <c r="Q650" i="4"/>
  <c r="Q382" i="4"/>
  <c r="N382" i="4"/>
  <c r="BI103" i="3"/>
  <c r="BI103" i="1" s="1"/>
  <c r="U103" i="3"/>
  <c r="O103" i="1"/>
  <c r="V37" i="3"/>
  <c r="V37" i="1" s="1"/>
  <c r="BJ37" i="3"/>
  <c r="BJ37" i="1" s="1"/>
  <c r="P37" i="1"/>
  <c r="Q252" i="4"/>
  <c r="N252" i="4"/>
  <c r="P252" i="4" s="1"/>
  <c r="N701" i="4"/>
  <c r="Q701" i="4"/>
  <c r="N438" i="4"/>
  <c r="Q438" i="4"/>
  <c r="BK110" i="3"/>
  <c r="N814" i="4"/>
  <c r="Q814" i="4"/>
  <c r="BK362" i="3"/>
  <c r="BI39" i="3"/>
  <c r="BI39" i="1" s="1"/>
  <c r="AO336" i="3"/>
  <c r="U31" i="3"/>
  <c r="BI31" i="3"/>
  <c r="BI31" i="1" s="1"/>
  <c r="O31" i="1"/>
  <c r="U58" i="1"/>
  <c r="BK58" i="3"/>
  <c r="BK58" i="1" s="1"/>
  <c r="W58" i="3"/>
  <c r="N249" i="4"/>
  <c r="Q249" i="4"/>
  <c r="AN109" i="3" s="1"/>
  <c r="Q207" i="4"/>
  <c r="N207" i="4"/>
  <c r="P207" i="4" s="1"/>
  <c r="BK190" i="3"/>
  <c r="N221" i="4"/>
  <c r="P221" i="4" s="1"/>
  <c r="Q221" i="4"/>
  <c r="Q719" i="4"/>
  <c r="N719" i="4"/>
  <c r="Q138" i="4"/>
  <c r="N138" i="4"/>
  <c r="P138" i="4" s="1"/>
  <c r="Q108" i="4"/>
  <c r="N108" i="4"/>
  <c r="BK109" i="3"/>
  <c r="Q664" i="4"/>
  <c r="N664" i="4"/>
  <c r="P664" i="4" s="1"/>
  <c r="BK135" i="3"/>
  <c r="Q347" i="4"/>
  <c r="N347" i="4"/>
  <c r="AO228" i="3"/>
  <c r="AO36" i="2" s="1"/>
  <c r="Q250" i="4"/>
  <c r="N250" i="4"/>
  <c r="P250" i="4" s="1"/>
  <c r="AO86" i="3"/>
  <c r="AO86" i="1" s="1"/>
  <c r="U96" i="2"/>
  <c r="Y343" i="3"/>
  <c r="BK343" i="3"/>
  <c r="U257" i="3"/>
  <c r="BI257" i="3"/>
  <c r="BI65" i="2" s="1"/>
  <c r="O65" i="2"/>
  <c r="BK299" i="3"/>
  <c r="V60" i="3"/>
  <c r="P60" i="1"/>
  <c r="Q59" i="4"/>
  <c r="N59" i="4"/>
  <c r="V104" i="1"/>
  <c r="BJ104" i="3"/>
  <c r="BJ104" i="1" s="1"/>
  <c r="AO231" i="3"/>
  <c r="AO39" i="2" s="1"/>
  <c r="BI115" i="3"/>
  <c r="N687" i="4"/>
  <c r="P687" i="4" s="1"/>
  <c r="Q687" i="4"/>
  <c r="Q822" i="4"/>
  <c r="N822" i="4"/>
  <c r="BK113" i="3"/>
  <c r="Q626" i="4"/>
  <c r="N626" i="4"/>
  <c r="P626" i="4" s="1"/>
  <c r="Q703" i="4"/>
  <c r="N703" i="4"/>
  <c r="P703" i="4" s="1"/>
  <c r="AO57" i="3"/>
  <c r="AO57" i="1" s="1"/>
  <c r="Q365" i="4"/>
  <c r="N365" i="4"/>
  <c r="P365" i="4" s="1"/>
  <c r="W340" i="3"/>
  <c r="Y340" i="3" s="1"/>
  <c r="N520" i="4"/>
  <c r="Q520" i="4"/>
  <c r="Q262" i="4"/>
  <c r="N262" i="4"/>
  <c r="BK152" i="3"/>
  <c r="Q402" i="4"/>
  <c r="N402" i="4"/>
  <c r="P402" i="4" s="1"/>
  <c r="N709" i="4"/>
  <c r="Q709" i="4"/>
  <c r="Q883" i="4"/>
  <c r="N883" i="4"/>
  <c r="P883" i="4" s="1"/>
  <c r="Y172" i="3"/>
  <c r="BK172" i="3"/>
  <c r="Y389" i="3"/>
  <c r="BK389" i="3"/>
  <c r="Q447" i="4"/>
  <c r="N447" i="4"/>
  <c r="P447" i="4" s="1"/>
  <c r="N255" i="4"/>
  <c r="P255" i="4" s="1"/>
  <c r="Q255" i="4"/>
  <c r="Q477" i="4"/>
  <c r="N477" i="4"/>
  <c r="P477" i="4" s="1"/>
  <c r="W373" i="3"/>
  <c r="Y373" i="3" s="1"/>
  <c r="AO53" i="3"/>
  <c r="AO53" i="1" s="1"/>
  <c r="AO233" i="3"/>
  <c r="AO41" i="2" s="1"/>
  <c r="Q637" i="4"/>
  <c r="N637" i="4"/>
  <c r="P637" i="4" s="1"/>
  <c r="Q798" i="4"/>
  <c r="N798" i="4"/>
  <c r="Q102" i="4"/>
  <c r="N102" i="4"/>
  <c r="P102" i="4" s="1"/>
  <c r="Q158" i="4"/>
  <c r="N158" i="4"/>
  <c r="P158" i="4" s="1"/>
  <c r="Q878" i="4"/>
  <c r="N878" i="4"/>
  <c r="U42" i="3"/>
  <c r="BI42" i="3"/>
  <c r="BI42" i="1" s="1"/>
  <c r="O42" i="1"/>
  <c r="N859" i="4"/>
  <c r="P859" i="4" s="1"/>
  <c r="Q859" i="4"/>
  <c r="Q387" i="4"/>
  <c r="N387" i="4"/>
  <c r="Q629" i="4"/>
  <c r="N629" i="4"/>
  <c r="P629" i="4" s="1"/>
  <c r="Q688" i="4"/>
  <c r="N688" i="4"/>
  <c r="P688" i="4" s="1"/>
  <c r="Y21" i="3"/>
  <c r="Y21" i="1" s="1"/>
  <c r="W21" i="1"/>
  <c r="BK21" i="3"/>
  <c r="BK21" i="1" s="1"/>
  <c r="BK129" i="3"/>
  <c r="BJ129" i="3"/>
  <c r="BK313" i="3"/>
  <c r="Q790" i="4"/>
  <c r="N790" i="4"/>
  <c r="P790" i="4" s="1"/>
  <c r="Q839" i="4"/>
  <c r="N839" i="4"/>
  <c r="P839" i="4" s="1"/>
  <c r="Y134" i="3"/>
  <c r="BK134" i="3"/>
  <c r="W357" i="3"/>
  <c r="Y357" i="3" s="1"/>
  <c r="BK357" i="3"/>
  <c r="BI357" i="3"/>
  <c r="BI294" i="3"/>
  <c r="BI102" i="2" s="1"/>
  <c r="U294" i="3"/>
  <c r="O102" i="2"/>
  <c r="Q805" i="4"/>
  <c r="N805" i="4"/>
  <c r="BK111" i="3"/>
  <c r="BI111" i="3"/>
  <c r="Y48" i="3"/>
  <c r="Y48" i="1" s="1"/>
  <c r="W48" i="1"/>
  <c r="N860" i="4"/>
  <c r="P860" i="4" s="1"/>
  <c r="Q860" i="4"/>
  <c r="U48" i="1"/>
  <c r="BI48" i="3"/>
  <c r="BI48" i="1" s="1"/>
  <c r="BK48" i="3"/>
  <c r="BK48" i="1" s="1"/>
  <c r="Q536" i="4"/>
  <c r="N536" i="4"/>
  <c r="U61" i="2"/>
  <c r="Q328" i="4"/>
  <c r="N328" i="4"/>
  <c r="P328" i="4" s="1"/>
  <c r="AO343" i="3"/>
  <c r="N896" i="4"/>
  <c r="P896" i="4" s="1"/>
  <c r="Q896" i="4"/>
  <c r="N318" i="4"/>
  <c r="Q318" i="4"/>
  <c r="Q764" i="4"/>
  <c r="N764" i="4"/>
  <c r="Q862" i="4"/>
  <c r="N862" i="4"/>
  <c r="P862" i="4" s="1"/>
  <c r="U12" i="3"/>
  <c r="O12" i="1"/>
  <c r="Q871" i="4"/>
  <c r="N871" i="4"/>
  <c r="P871" i="4" s="1"/>
  <c r="Y195" i="3"/>
  <c r="BK195" i="3"/>
  <c r="Q270" i="4"/>
  <c r="AN117" i="3" s="1"/>
  <c r="N270" i="4"/>
  <c r="Q845" i="4"/>
  <c r="N845" i="4"/>
  <c r="P845" i="4" s="1"/>
  <c r="U89" i="1"/>
  <c r="W89" i="3"/>
  <c r="U47" i="3"/>
  <c r="O47" i="1"/>
  <c r="BK159" i="3"/>
  <c r="Q351" i="4"/>
  <c r="N351" i="4"/>
  <c r="Q884" i="4"/>
  <c r="N884" i="4"/>
  <c r="N600" i="4"/>
  <c r="P600" i="4" s="1"/>
  <c r="Q600" i="4"/>
  <c r="Q113" i="4"/>
  <c r="AN55" i="3" s="1"/>
  <c r="AN55" i="1" s="1"/>
  <c r="N113" i="4"/>
  <c r="N276" i="4"/>
  <c r="Q276" i="4"/>
  <c r="AN120" i="3" s="1"/>
  <c r="N927" i="4"/>
  <c r="Q927" i="4"/>
  <c r="Q361" i="4"/>
  <c r="N361" i="4"/>
  <c r="N788" i="4"/>
  <c r="P788" i="4" s="1"/>
  <c r="Q788" i="4"/>
  <c r="Q115" i="4"/>
  <c r="N115" i="4"/>
  <c r="P115" i="4" s="1"/>
  <c r="Q768" i="4"/>
  <c r="N768" i="4"/>
  <c r="N807" i="4"/>
  <c r="P807" i="4" s="1"/>
  <c r="Q807" i="4"/>
  <c r="W158" i="3"/>
  <c r="Y158" i="3" s="1"/>
  <c r="BI158" i="3"/>
  <c r="V272" i="3"/>
  <c r="V80" i="2" s="1"/>
  <c r="P80" i="2"/>
  <c r="Q97" i="4"/>
  <c r="N97" i="4"/>
  <c r="P97" i="4" s="1"/>
  <c r="BK199" i="3"/>
  <c r="Q395" i="4"/>
  <c r="AN171" i="3" s="1"/>
  <c r="N395" i="4"/>
  <c r="W335" i="3"/>
  <c r="Y335" i="3" s="1"/>
  <c r="V60" i="2"/>
  <c r="W252" i="3"/>
  <c r="BJ252" i="3"/>
  <c r="BJ60" i="2" s="1"/>
  <c r="N218" i="4"/>
  <c r="P218" i="4" s="1"/>
  <c r="Q218" i="4"/>
  <c r="U13" i="2"/>
  <c r="Q679" i="4"/>
  <c r="N679" i="4"/>
  <c r="Q110" i="4"/>
  <c r="N110" i="4"/>
  <c r="P110" i="4" s="1"/>
  <c r="Q217" i="4"/>
  <c r="N217" i="4"/>
  <c r="Q343" i="4"/>
  <c r="N343" i="4"/>
  <c r="Q412" i="4"/>
  <c r="AN177" i="3" s="1"/>
  <c r="N412" i="4"/>
  <c r="N92" i="4"/>
  <c r="Q92" i="4"/>
  <c r="AN47" i="3" s="1"/>
  <c r="AN47" i="1" s="1"/>
  <c r="Q503" i="4"/>
  <c r="N503" i="4"/>
  <c r="W315" i="3"/>
  <c r="Y315" i="3" s="1"/>
  <c r="BK315" i="3"/>
  <c r="N717" i="4"/>
  <c r="P717" i="4" s="1"/>
  <c r="Q717" i="4"/>
  <c r="W187" i="3"/>
  <c r="Y187" i="3" s="1"/>
  <c r="BK187" i="3"/>
  <c r="Q825" i="4"/>
  <c r="N825" i="4"/>
  <c r="P825" i="4" s="1"/>
  <c r="S106" i="1"/>
  <c r="AO272" i="3"/>
  <c r="AO80" i="2" s="1"/>
  <c r="N898" i="4"/>
  <c r="P898" i="4" s="1"/>
  <c r="Q898" i="4"/>
  <c r="BJ324" i="3"/>
  <c r="N396" i="4"/>
  <c r="P396" i="4" s="1"/>
  <c r="Q396" i="4"/>
  <c r="Q551" i="4"/>
  <c r="AN232" i="3" s="1"/>
  <c r="AN40" i="2" s="1"/>
  <c r="N551" i="4"/>
  <c r="U43" i="2"/>
  <c r="W235" i="3"/>
  <c r="N364" i="4"/>
  <c r="P364" i="4" s="1"/>
  <c r="Q364" i="4"/>
  <c r="N483" i="4"/>
  <c r="P483" i="4" s="1"/>
  <c r="Q483" i="4"/>
  <c r="W279" i="3"/>
  <c r="BK279" i="3" s="1"/>
  <c r="BK87" i="2" s="1"/>
  <c r="Q746" i="4"/>
  <c r="N746" i="4"/>
  <c r="P746" i="4" s="1"/>
  <c r="Q524" i="4"/>
  <c r="N524" i="4"/>
  <c r="BI70" i="3"/>
  <c r="BI70" i="1" s="1"/>
  <c r="U70" i="3"/>
  <c r="O70" i="1"/>
  <c r="W115" i="3"/>
  <c r="Y115" i="3" s="1"/>
  <c r="Q98" i="4"/>
  <c r="N98" i="4"/>
  <c r="AO360" i="3"/>
  <c r="N741" i="4"/>
  <c r="P741" i="4" s="1"/>
  <c r="Q741" i="4"/>
  <c r="U74" i="1"/>
  <c r="BI74" i="3"/>
  <c r="BI74" i="1" s="1"/>
  <c r="Q85" i="4"/>
  <c r="N85" i="4"/>
  <c r="P85" i="4" s="1"/>
  <c r="N518" i="4"/>
  <c r="Q518" i="4"/>
  <c r="N445" i="4"/>
  <c r="P445" i="4" s="1"/>
  <c r="Q445" i="4"/>
  <c r="N743" i="4"/>
  <c r="P743" i="4" s="1"/>
  <c r="Q743" i="4"/>
  <c r="Q29" i="4"/>
  <c r="AN18" i="3" s="1"/>
  <c r="AN18" i="1" s="1"/>
  <c r="N29" i="4"/>
  <c r="Q902" i="4"/>
  <c r="N902" i="4"/>
  <c r="P902" i="4" s="1"/>
  <c r="Q621" i="4"/>
  <c r="N621" i="4"/>
  <c r="P621" i="4" s="1"/>
  <c r="Q682" i="4"/>
  <c r="N682" i="4"/>
  <c r="Q358" i="4"/>
  <c r="N358" i="4"/>
  <c r="P358" i="4" s="1"/>
  <c r="U26" i="3"/>
  <c r="BI26" i="3" s="1"/>
  <c r="BI26" i="1" s="1"/>
  <c r="O26" i="1"/>
  <c r="N840" i="4"/>
  <c r="P840" i="4" s="1"/>
  <c r="Q840" i="4"/>
  <c r="N716" i="4"/>
  <c r="Q716" i="4"/>
  <c r="Q601" i="4"/>
  <c r="N601" i="4"/>
  <c r="N920" i="4"/>
  <c r="P920" i="4" s="1"/>
  <c r="Q920" i="4"/>
  <c r="U69" i="2"/>
  <c r="W261" i="3"/>
  <c r="BK261" i="3" s="1"/>
  <c r="BK69" i="2" s="1"/>
  <c r="Y181" i="3"/>
  <c r="BK181" i="3"/>
  <c r="Q772" i="4"/>
  <c r="N772" i="4"/>
  <c r="P772" i="4" s="1"/>
  <c r="Q165" i="4"/>
  <c r="N165" i="4"/>
  <c r="Q392" i="4"/>
  <c r="N392" i="4"/>
  <c r="U81" i="3"/>
  <c r="BI81" i="3"/>
  <c r="BI81" i="1" s="1"/>
  <c r="O81" i="1"/>
  <c r="N700" i="4"/>
  <c r="P700" i="4" s="1"/>
  <c r="Q700" i="4"/>
  <c r="Q173" i="4"/>
  <c r="N173" i="4"/>
  <c r="P173" i="4" s="1"/>
  <c r="U30" i="2"/>
  <c r="BI222" i="3"/>
  <c r="BI30" i="2" s="1"/>
  <c r="W222" i="3"/>
  <c r="BK222" i="3" s="1"/>
  <c r="BK30" i="2" s="1"/>
  <c r="Q94" i="4"/>
  <c r="N94" i="4"/>
  <c r="P94" i="4" s="1"/>
  <c r="Q892" i="4"/>
  <c r="N892" i="4"/>
  <c r="P892" i="4" s="1"/>
  <c r="Q426" i="4"/>
  <c r="N426" i="4"/>
  <c r="P426" i="4" s="1"/>
  <c r="Q598" i="4"/>
  <c r="N598" i="4"/>
  <c r="P598" i="4" s="1"/>
  <c r="AO192" i="3"/>
  <c r="Q62" i="4"/>
  <c r="N62" i="4"/>
  <c r="P62" i="4" s="1"/>
  <c r="BJ131" i="3"/>
  <c r="W131" i="3"/>
  <c r="Y131" i="3" s="1"/>
  <c r="AO344" i="3"/>
  <c r="V77" i="2"/>
  <c r="W269" i="3"/>
  <c r="BJ269" i="3"/>
  <c r="BJ77" i="2" s="1"/>
  <c r="BI259" i="3"/>
  <c r="BI67" i="2" s="1"/>
  <c r="U259" i="3"/>
  <c r="O67" i="2"/>
  <c r="Q852" i="4"/>
  <c r="N852" i="4"/>
  <c r="Q179" i="4"/>
  <c r="N179" i="4"/>
  <c r="U22" i="2"/>
  <c r="BI214" i="3"/>
  <c r="BI22" i="2" s="1"/>
  <c r="Q748" i="4"/>
  <c r="N748" i="4"/>
  <c r="P748" i="4" s="1"/>
  <c r="W382" i="3"/>
  <c r="Y382" i="3" s="1"/>
  <c r="V54" i="2"/>
  <c r="BJ246" i="3"/>
  <c r="BJ54" i="2" s="1"/>
  <c r="Q397" i="4"/>
  <c r="N397" i="4"/>
  <c r="P397" i="4" s="1"/>
  <c r="Y139" i="3"/>
  <c r="BK139" i="3"/>
  <c r="BK119" i="3"/>
  <c r="U17" i="3"/>
  <c r="O17" i="1"/>
  <c r="Q280" i="4"/>
  <c r="N280" i="4"/>
  <c r="U62" i="1"/>
  <c r="W62" i="3"/>
  <c r="U15" i="3"/>
  <c r="BI15" i="3"/>
  <c r="BI15" i="1" s="1"/>
  <c r="O15" i="1"/>
  <c r="W189" i="3"/>
  <c r="Y189" i="3" s="1"/>
  <c r="Q178" i="4"/>
  <c r="N178" i="4"/>
  <c r="P178" i="4" s="1"/>
  <c r="Q698" i="4"/>
  <c r="N698" i="4"/>
  <c r="W370" i="3"/>
  <c r="Y370" i="3" s="1"/>
  <c r="U246" i="3"/>
  <c r="BI246" i="3"/>
  <c r="BI54" i="2" s="1"/>
  <c r="O54" i="2"/>
  <c r="BK369" i="3"/>
  <c r="BK307" i="3"/>
  <c r="W307" i="3"/>
  <c r="Y307" i="3" s="1"/>
  <c r="BI307" i="3"/>
  <c r="Q200" i="4"/>
  <c r="AN91" i="3" s="1"/>
  <c r="AN91" i="1" s="1"/>
  <c r="N200" i="4"/>
  <c r="BJ322" i="3"/>
  <c r="BK322" i="3"/>
  <c r="N147" i="4"/>
  <c r="P147" i="4" s="1"/>
  <c r="Q147" i="4"/>
  <c r="AO200" i="3"/>
  <c r="Q778" i="4"/>
  <c r="N778" i="4"/>
  <c r="Q525" i="4"/>
  <c r="N525" i="4"/>
  <c r="P525" i="4" s="1"/>
  <c r="Q653" i="4"/>
  <c r="N653" i="4"/>
  <c r="Q863" i="4"/>
  <c r="AN361" i="3" s="1"/>
  <c r="N863" i="4"/>
  <c r="Q354" i="4"/>
  <c r="N354" i="4"/>
  <c r="P354" i="4" s="1"/>
  <c r="Q49" i="4"/>
  <c r="N49" i="4"/>
  <c r="Y120" i="3"/>
  <c r="BK120" i="3"/>
  <c r="Q909" i="4"/>
  <c r="AN383" i="3" s="1"/>
  <c r="N909" i="4"/>
  <c r="W383" i="3"/>
  <c r="Y383" i="3" s="1"/>
  <c r="U44" i="1"/>
  <c r="BI44" i="3"/>
  <c r="BI44" i="1" s="1"/>
  <c r="W44" i="3"/>
  <c r="Y66" i="3"/>
  <c r="Y66" i="1" s="1"/>
  <c r="W66" i="1"/>
  <c r="V90" i="3"/>
  <c r="V90" i="1" s="1"/>
  <c r="BJ90" i="3"/>
  <c r="BJ90" i="1" s="1"/>
  <c r="P90" i="1"/>
  <c r="BI68" i="3"/>
  <c r="BI68" i="1" s="1"/>
  <c r="U68" i="3"/>
  <c r="O68" i="1"/>
  <c r="W392" i="3"/>
  <c r="U25" i="1"/>
  <c r="BK25" i="3"/>
  <c r="BK25" i="1" s="1"/>
  <c r="W25" i="3"/>
  <c r="V237" i="3"/>
  <c r="V45" i="2" s="1"/>
  <c r="P45" i="2"/>
  <c r="V49" i="2"/>
  <c r="BJ241" i="3"/>
  <c r="BJ49" i="2" s="1"/>
  <c r="BK241" i="3"/>
  <c r="BK49" i="2" s="1"/>
  <c r="AO18" i="3"/>
  <c r="AO18" i="1" s="1"/>
  <c r="Q214" i="4"/>
  <c r="N214" i="4"/>
  <c r="N663" i="4"/>
  <c r="Q663" i="4"/>
  <c r="Q142" i="4"/>
  <c r="N142" i="4"/>
  <c r="P142" i="4" s="1"/>
  <c r="BK176" i="3"/>
  <c r="BI176" i="3"/>
  <c r="W149" i="3"/>
  <c r="Y149" i="3" s="1"/>
  <c r="N433" i="4"/>
  <c r="P433" i="4" s="1"/>
  <c r="Q433" i="4"/>
  <c r="N374" i="4"/>
  <c r="P374" i="4" s="1"/>
  <c r="Q374" i="4"/>
  <c r="Q548" i="4"/>
  <c r="N548" i="4"/>
  <c r="P548" i="4" s="1"/>
  <c r="V11" i="3"/>
  <c r="V11" i="1" s="1"/>
  <c r="BJ11" i="3"/>
  <c r="BJ11" i="1" s="1"/>
  <c r="P11" i="1"/>
  <c r="V87" i="3"/>
  <c r="V87" i="1" s="1"/>
  <c r="BJ87" i="3"/>
  <c r="BJ87" i="1" s="1"/>
  <c r="P87" i="1"/>
  <c r="U90" i="3"/>
  <c r="BI90" i="3"/>
  <c r="BI90" i="1" s="1"/>
  <c r="O90" i="1"/>
  <c r="N196" i="4"/>
  <c r="Q196" i="4"/>
  <c r="N302" i="4"/>
  <c r="P302" i="4" s="1"/>
  <c r="Q302" i="4"/>
  <c r="Q427" i="4"/>
  <c r="N427" i="4"/>
  <c r="P427" i="4" s="1"/>
  <c r="Q498" i="4"/>
  <c r="AN209" i="3" s="1"/>
  <c r="AN17" i="2" s="1"/>
  <c r="N498" i="4"/>
  <c r="BK341" i="3"/>
  <c r="BJ341" i="3"/>
  <c r="N563" i="4"/>
  <c r="P563" i="4" s="1"/>
  <c r="Q563" i="4"/>
  <c r="AO260" i="3"/>
  <c r="AO68" i="2" s="1"/>
  <c r="N153" i="4"/>
  <c r="Q153" i="4"/>
  <c r="Q391" i="4"/>
  <c r="N391" i="4"/>
  <c r="P391" i="4" s="1"/>
  <c r="Q794" i="4"/>
  <c r="N794" i="4"/>
  <c r="P794" i="4" s="1"/>
  <c r="U256" i="3"/>
  <c r="BI256" i="3"/>
  <c r="BI64" i="2" s="1"/>
  <c r="O64" i="2"/>
  <c r="U62" i="2"/>
  <c r="W254" i="3"/>
  <c r="BK254" i="3"/>
  <c r="BK62" i="2" s="1"/>
  <c r="BJ251" i="3"/>
  <c r="BJ59" i="2" s="1"/>
  <c r="N476" i="4"/>
  <c r="Q476" i="4"/>
  <c r="J476" i="4"/>
  <c r="AO225" i="3"/>
  <c r="AO33" i="2" s="1"/>
  <c r="AO300" i="3"/>
  <c r="Q282" i="4"/>
  <c r="AN123" i="3" s="1"/>
  <c r="N282" i="4"/>
  <c r="W183" i="3"/>
  <c r="Y183" i="3" s="1"/>
  <c r="Q856" i="4"/>
  <c r="N856" i="4"/>
  <c r="P856" i="4" s="1"/>
  <c r="Q300" i="4"/>
  <c r="N300" i="4"/>
  <c r="Q126" i="4"/>
  <c r="N126" i="4"/>
  <c r="P126" i="4" s="1"/>
  <c r="Q275" i="4"/>
  <c r="N275" i="4"/>
  <c r="P275" i="4" s="1"/>
  <c r="V11" i="2"/>
  <c r="BJ203" i="3"/>
  <c r="BJ11" i="2" s="1"/>
  <c r="Q325" i="4"/>
  <c r="N325" i="4"/>
  <c r="P325" i="4" s="1"/>
  <c r="Q474" i="4"/>
  <c r="N474" i="4"/>
  <c r="P474" i="4" s="1"/>
  <c r="AO107" i="3"/>
  <c r="BK192" i="3"/>
  <c r="W192" i="3"/>
  <c r="Y192" i="3" s="1"/>
  <c r="N895" i="4"/>
  <c r="Q895" i="4"/>
  <c r="AN377" i="3" s="1"/>
  <c r="Q481" i="4"/>
  <c r="N481" i="4"/>
  <c r="Q161" i="4"/>
  <c r="N161" i="4"/>
  <c r="P161" i="4" s="1"/>
  <c r="W180" i="3"/>
  <c r="BI180" i="3"/>
  <c r="Q866" i="4"/>
  <c r="N866" i="4"/>
  <c r="Q530" i="4"/>
  <c r="N530" i="4"/>
  <c r="Q757" i="4"/>
  <c r="N757" i="4"/>
  <c r="BK325" i="3"/>
  <c r="Q64" i="4"/>
  <c r="N64" i="4"/>
  <c r="P64" i="4" s="1"/>
  <c r="Q848" i="4"/>
  <c r="N848" i="4"/>
  <c r="P848" i="4" s="1"/>
  <c r="U292" i="3"/>
  <c r="O100" i="2"/>
  <c r="N660" i="4"/>
  <c r="Q660" i="4"/>
  <c r="AN277" i="3" s="1"/>
  <c r="AN85" i="2" s="1"/>
  <c r="W354" i="3"/>
  <c r="Y354" i="3" s="1"/>
  <c r="Y214" i="3"/>
  <c r="Y22" i="2" s="1"/>
  <c r="W22" i="2"/>
  <c r="U86" i="2"/>
  <c r="W278" i="3"/>
  <c r="BK278" i="3" s="1"/>
  <c r="BK86" i="2" s="1"/>
  <c r="Q183" i="4"/>
  <c r="N183" i="4"/>
  <c r="Q811" i="4"/>
  <c r="N811" i="4"/>
  <c r="P811" i="4" s="1"/>
  <c r="BI99" i="3"/>
  <c r="BI99" i="1" s="1"/>
  <c r="O99" i="1"/>
  <c r="U99" i="3"/>
  <c r="U79" i="2"/>
  <c r="BI271" i="3"/>
  <c r="BI79" i="2" s="1"/>
  <c r="BK271" i="3"/>
  <c r="BK79" i="2" s="1"/>
  <c r="Q154" i="4"/>
  <c r="N154" i="4"/>
  <c r="P154" i="4" s="1"/>
  <c r="Q506" i="4"/>
  <c r="N506" i="4"/>
  <c r="N826" i="4"/>
  <c r="Q826" i="4"/>
  <c r="AN347" i="3" s="1"/>
  <c r="Q495" i="4"/>
  <c r="AN208" i="3" s="1"/>
  <c r="AN16" i="2" s="1"/>
  <c r="N495" i="4"/>
  <c r="Q829" i="4"/>
  <c r="N829" i="4"/>
  <c r="P829" i="4" s="1"/>
  <c r="W151" i="3"/>
  <c r="Y151" i="3" s="1"/>
  <c r="Q711" i="4"/>
  <c r="N711" i="4"/>
  <c r="Q192" i="4"/>
  <c r="N192" i="4"/>
  <c r="P192" i="4" s="1"/>
  <c r="Q451" i="4"/>
  <c r="N451" i="4"/>
  <c r="N439" i="4"/>
  <c r="P439" i="4" s="1"/>
  <c r="Q439" i="4"/>
  <c r="Y227" i="3"/>
  <c r="Y35" i="2" s="1"/>
  <c r="W35" i="2"/>
  <c r="BK227" i="3"/>
  <c r="BK35" i="2" s="1"/>
  <c r="V36" i="3"/>
  <c r="BJ36" i="3" s="1"/>
  <c r="BJ36" i="1" s="1"/>
  <c r="P36" i="1"/>
  <c r="BJ218" i="3"/>
  <c r="BJ26" i="2" s="1"/>
  <c r="V218" i="3"/>
  <c r="P26" i="2"/>
  <c r="Q505" i="4"/>
  <c r="N505" i="4"/>
  <c r="P505" i="4" s="1"/>
  <c r="U284" i="3"/>
  <c r="BI284" i="3"/>
  <c r="BI92" i="2" s="1"/>
  <c r="O92" i="2"/>
  <c r="N594" i="4"/>
  <c r="P594" i="4" s="1"/>
  <c r="Q594" i="4"/>
  <c r="N897" i="4"/>
  <c r="Q897" i="4"/>
  <c r="AN378" i="3" s="1"/>
  <c r="Y174" i="3"/>
  <c r="BK174" i="3"/>
  <c r="Y9" i="3"/>
  <c r="Y9" i="1" s="1"/>
  <c r="W9" i="1"/>
  <c r="BK9" i="3"/>
  <c r="BK9" i="1" s="1"/>
  <c r="N84" i="4"/>
  <c r="P84" i="4" s="1"/>
  <c r="Q84" i="4"/>
  <c r="BI40" i="3"/>
  <c r="BI40" i="1" s="1"/>
  <c r="U40" i="3"/>
  <c r="O40" i="1"/>
  <c r="V59" i="3"/>
  <c r="V59" i="1" s="1"/>
  <c r="BJ59" i="3"/>
  <c r="BJ59" i="1" s="1"/>
  <c r="P59" i="1"/>
  <c r="N206" i="4"/>
  <c r="Q206" i="4"/>
  <c r="AN93" i="3" s="1"/>
  <c r="AN93" i="1" s="1"/>
  <c r="N923" i="4"/>
  <c r="Q923" i="4"/>
  <c r="AN390" i="3" s="1"/>
  <c r="BJ317" i="3"/>
  <c r="BK317" i="3"/>
  <c r="N738" i="4"/>
  <c r="P738" i="4" s="1"/>
  <c r="Q738" i="4"/>
  <c r="V40" i="3"/>
  <c r="V40" i="1" s="1"/>
  <c r="P40" i="1"/>
  <c r="BK311" i="3"/>
  <c r="BJ311" i="3"/>
  <c r="BK298" i="3"/>
  <c r="U273" i="3"/>
  <c r="BI273" i="3" s="1"/>
  <c r="BI81" i="2" s="1"/>
  <c r="O81" i="2"/>
  <c r="Y74" i="3"/>
  <c r="Y74" i="1" s="1"/>
  <c r="W74" i="1"/>
  <c r="Q82" i="4"/>
  <c r="N82" i="4"/>
  <c r="P82" i="4" s="1"/>
  <c r="Q731" i="4"/>
  <c r="N731" i="4"/>
  <c r="P731" i="4" s="1"/>
  <c r="BK361" i="3"/>
  <c r="V92" i="3"/>
  <c r="V92" i="1" s="1"/>
  <c r="P92" i="1"/>
  <c r="V282" i="3"/>
  <c r="V90" i="2" s="1"/>
  <c r="P90" i="2"/>
  <c r="BK364" i="3"/>
  <c r="BI25" i="3"/>
  <c r="BI25" i="1" s="1"/>
  <c r="Q117" i="4"/>
  <c r="N117" i="4"/>
  <c r="P117" i="4" s="1"/>
  <c r="N771" i="4"/>
  <c r="Q771" i="4"/>
  <c r="Q881" i="4"/>
  <c r="N881" i="4"/>
  <c r="BI225" i="3"/>
  <c r="BI33" i="2" s="1"/>
  <c r="U225" i="3"/>
  <c r="O33" i="2"/>
  <c r="BI192" i="3"/>
  <c r="Q564" i="4"/>
  <c r="N564" i="4"/>
  <c r="P564" i="4" s="1"/>
  <c r="V283" i="3"/>
  <c r="V91" i="2" s="1"/>
  <c r="P91" i="2"/>
  <c r="BK157" i="3"/>
  <c r="N212" i="4"/>
  <c r="P212" i="4" s="1"/>
  <c r="Q212" i="4"/>
  <c r="N627" i="4"/>
  <c r="Q627" i="4"/>
  <c r="N812" i="4"/>
  <c r="Q812" i="4"/>
  <c r="N529" i="4"/>
  <c r="P529" i="4" s="1"/>
  <c r="Q529" i="4"/>
  <c r="N107" i="4"/>
  <c r="P107" i="4" s="1"/>
  <c r="Q107" i="4"/>
  <c r="W106" i="3"/>
  <c r="Y106" i="3" s="1"/>
  <c r="N747" i="4"/>
  <c r="Q747" i="4"/>
  <c r="Y71" i="3"/>
  <c r="Y71" i="1" s="1"/>
  <c r="W71" i="1"/>
  <c r="Q23" i="4"/>
  <c r="AN15" i="3" s="1"/>
  <c r="AN15" i="1" s="1"/>
  <c r="N23" i="4"/>
  <c r="BK173" i="3"/>
  <c r="Q781" i="4"/>
  <c r="N781" i="4"/>
  <c r="P781" i="4" s="1"/>
  <c r="V67" i="1"/>
  <c r="BJ67" i="3"/>
  <c r="BJ67" i="1" s="1"/>
  <c r="R106" i="2"/>
  <c r="U84" i="2"/>
  <c r="BI276" i="3"/>
  <c r="BI84" i="2" s="1"/>
  <c r="BK276" i="3"/>
  <c r="BK84" i="2" s="1"/>
  <c r="N512" i="4"/>
  <c r="Q512" i="4"/>
  <c r="V57" i="3"/>
  <c r="BJ57" i="3" s="1"/>
  <c r="BJ57" i="1" s="1"/>
  <c r="P57" i="1"/>
  <c r="AO298" i="3"/>
  <c r="Q833" i="4"/>
  <c r="N833" i="4"/>
  <c r="P833" i="4" s="1"/>
  <c r="Q774" i="4"/>
  <c r="AN321" i="3" s="1"/>
  <c r="N774" i="4"/>
  <c r="Q185" i="4"/>
  <c r="N185" i="4"/>
  <c r="P185" i="4" s="1"/>
  <c r="N246" i="4"/>
  <c r="Q246" i="4"/>
  <c r="N559" i="4"/>
  <c r="P559" i="4" s="1"/>
  <c r="Q559" i="4"/>
  <c r="Q428" i="4"/>
  <c r="AN183" i="3" s="1"/>
  <c r="N428" i="4"/>
  <c r="N879" i="4"/>
  <c r="P879" i="4" s="1"/>
  <c r="Q879" i="4"/>
  <c r="Y204" i="3"/>
  <c r="Y12" i="2" s="1"/>
  <c r="W12" i="2"/>
  <c r="N72" i="4"/>
  <c r="Q72" i="4"/>
  <c r="AN39" i="3" s="1"/>
  <c r="AN39" i="1" s="1"/>
  <c r="Q197" i="4"/>
  <c r="N197" i="4"/>
  <c r="P197" i="4" s="1"/>
  <c r="N591" i="4"/>
  <c r="Q591" i="4"/>
  <c r="AN249" i="3" s="1"/>
  <c r="AN57" i="2" s="1"/>
  <c r="Y240" i="3"/>
  <c r="Y48" i="2" s="1"/>
  <c r="W48" i="2"/>
  <c r="N202" i="4"/>
  <c r="P202" i="4" s="1"/>
  <c r="Q202" i="4"/>
  <c r="Q231" i="4"/>
  <c r="N231" i="4"/>
  <c r="BK330" i="3"/>
  <c r="Q767" i="4"/>
  <c r="N767" i="4"/>
  <c r="P767" i="4" s="1"/>
  <c r="AO52" i="3"/>
  <c r="AO52" i="1" s="1"/>
  <c r="Q127" i="4"/>
  <c r="AN61" i="3" s="1"/>
  <c r="AN61" i="1" s="1"/>
  <c r="N127" i="4"/>
  <c r="N377" i="4"/>
  <c r="Q377" i="4"/>
  <c r="BK374" i="3"/>
  <c r="Q480" i="4"/>
  <c r="N480" i="4"/>
  <c r="P480" i="4" s="1"/>
  <c r="Q803" i="4"/>
  <c r="N803" i="4"/>
  <c r="P803" i="4" s="1"/>
  <c r="Q887" i="4"/>
  <c r="N887" i="4"/>
  <c r="P887" i="4" s="1"/>
  <c r="Q786" i="4"/>
  <c r="AN329" i="3" s="1"/>
  <c r="N786" i="4"/>
  <c r="N820" i="4"/>
  <c r="Q820" i="4"/>
  <c r="Q326" i="4"/>
  <c r="N326" i="4"/>
  <c r="P326" i="4" s="1"/>
  <c r="Q804" i="4"/>
  <c r="N804" i="4"/>
  <c r="P804" i="4" s="1"/>
  <c r="V260" i="3"/>
  <c r="V68" i="2" s="1"/>
  <c r="BJ260" i="3"/>
  <c r="BJ68" i="2" s="1"/>
  <c r="P68" i="2"/>
  <c r="Q193" i="4"/>
  <c r="N193" i="4"/>
  <c r="P193" i="4" s="1"/>
  <c r="Q182" i="4"/>
  <c r="N182" i="4"/>
  <c r="P182" i="4" s="1"/>
  <c r="BJ216" i="3"/>
  <c r="BJ24" i="2" s="1"/>
  <c r="V216" i="3"/>
  <c r="V24" i="2" s="1"/>
  <c r="P24" i="2"/>
  <c r="AO324" i="3"/>
  <c r="Q656" i="4"/>
  <c r="N656" i="4"/>
  <c r="Q818" i="4"/>
  <c r="N818" i="4"/>
  <c r="AO362" i="3"/>
  <c r="Q566" i="4"/>
  <c r="N566" i="4"/>
  <c r="P566" i="4" s="1"/>
  <c r="AO383" i="3"/>
  <c r="Q286" i="4"/>
  <c r="AN125" i="3" s="1"/>
  <c r="N286" i="4"/>
  <c r="Q464" i="4"/>
  <c r="N464" i="4"/>
  <c r="P464" i="4" s="1"/>
  <c r="N533" i="4"/>
  <c r="Q533" i="4"/>
  <c r="AN225" i="3" s="1"/>
  <c r="AN33" i="2" s="1"/>
  <c r="Q568" i="4"/>
  <c r="N568" i="4"/>
  <c r="P568" i="4" s="1"/>
  <c r="Q362" i="4"/>
  <c r="N362" i="4"/>
  <c r="P362" i="4" s="1"/>
  <c r="Q156" i="4"/>
  <c r="AN74" i="3" s="1"/>
  <c r="AN74" i="1" s="1"/>
  <c r="N156" i="4"/>
  <c r="N613" i="4"/>
  <c r="Q613" i="4"/>
  <c r="AN259" i="3" s="1"/>
  <c r="AN67" i="2" s="1"/>
  <c r="Q287" i="4"/>
  <c r="N287" i="4"/>
  <c r="P287" i="4" s="1"/>
  <c r="U266" i="3"/>
  <c r="BI266" i="3" s="1"/>
  <c r="BI74" i="2" s="1"/>
  <c r="O74" i="2"/>
  <c r="AO197" i="3"/>
  <c r="AO314" i="3"/>
  <c r="U272" i="3"/>
  <c r="BI272" i="3"/>
  <c r="BI80" i="2" s="1"/>
  <c r="O80" i="2"/>
  <c r="Q722" i="4"/>
  <c r="AN300" i="3" s="1"/>
  <c r="N722" i="4"/>
  <c r="Q875" i="4"/>
  <c r="AN368" i="3" s="1"/>
  <c r="N875" i="4"/>
  <c r="Q236" i="4"/>
  <c r="N236" i="4"/>
  <c r="P236" i="4" s="1"/>
  <c r="BI232" i="3"/>
  <c r="BI40" i="2" s="1"/>
  <c r="U232" i="3"/>
  <c r="O40" i="2"/>
  <c r="Q340" i="4"/>
  <c r="N340" i="4"/>
  <c r="U78" i="3"/>
  <c r="BI78" i="3" s="1"/>
  <c r="BI78" i="1" s="1"/>
  <c r="O78" i="1"/>
  <c r="V88" i="3"/>
  <c r="BJ88" i="3"/>
  <c r="BJ88" i="1" s="1"/>
  <c r="P88" i="1"/>
  <c r="W179" i="3"/>
  <c r="Y179" i="3" s="1"/>
  <c r="N440" i="4"/>
  <c r="P440" i="4" s="1"/>
  <c r="Q440" i="4"/>
  <c r="Q773" i="4"/>
  <c r="N773" i="4"/>
  <c r="P773" i="4" s="1"/>
  <c r="AO322" i="3"/>
  <c r="BJ223" i="3"/>
  <c r="BJ31" i="2" s="1"/>
  <c r="V223" i="3"/>
  <c r="V31" i="2" s="1"/>
  <c r="P31" i="2"/>
  <c r="V294" i="3"/>
  <c r="V102" i="2" s="1"/>
  <c r="BJ294" i="3"/>
  <c r="BJ102" i="2" s="1"/>
  <c r="P102" i="2"/>
  <c r="W380" i="3"/>
  <c r="Y380" i="3" s="1"/>
  <c r="AO332" i="3"/>
  <c r="AO160" i="3"/>
  <c r="Q510" i="4"/>
  <c r="AN214" i="3" s="1"/>
  <c r="AN22" i="2" s="1"/>
  <c r="N510" i="4"/>
  <c r="N353" i="4"/>
  <c r="Q353" i="4"/>
  <c r="AO273" i="3"/>
  <c r="AO81" i="2" s="1"/>
  <c r="W52" i="3"/>
  <c r="BK114" i="3"/>
  <c r="W114" i="3"/>
  <c r="Y114" i="3" s="1"/>
  <c r="Q289" i="4"/>
  <c r="N289" i="4"/>
  <c r="P289" i="4" s="1"/>
  <c r="Q842" i="4"/>
  <c r="N842" i="4"/>
  <c r="P842" i="4" s="1"/>
  <c r="Q81" i="4"/>
  <c r="N81" i="4"/>
  <c r="AO143" i="3"/>
  <c r="Q327" i="4"/>
  <c r="AN142" i="3" s="1"/>
  <c r="N327" i="4"/>
  <c r="N448" i="4"/>
  <c r="Q448" i="4"/>
  <c r="V79" i="3"/>
  <c r="BJ79" i="3" s="1"/>
  <c r="BJ79" i="1" s="1"/>
  <c r="P79" i="1"/>
  <c r="BJ15" i="3"/>
  <c r="BJ15" i="1" s="1"/>
  <c r="V15" i="3"/>
  <c r="V15" i="1" s="1"/>
  <c r="P15" i="1"/>
  <c r="Q274" i="4"/>
  <c r="N274" i="4"/>
  <c r="N227" i="4"/>
  <c r="P227" i="4" s="1"/>
  <c r="Q227" i="4"/>
  <c r="AO33" i="3"/>
  <c r="AO33" i="1" s="1"/>
  <c r="N504" i="4"/>
  <c r="P504" i="4" s="1"/>
  <c r="Q504" i="4"/>
  <c r="N295" i="4"/>
  <c r="Q295" i="4"/>
  <c r="V220" i="3"/>
  <c r="BJ220" i="3"/>
  <c r="BJ28" i="2" s="1"/>
  <c r="P28" i="2"/>
  <c r="P106" i="2" s="1"/>
  <c r="Q789" i="4"/>
  <c r="AN330" i="3" s="1"/>
  <c r="N789" i="4"/>
  <c r="AO226" i="3"/>
  <c r="AO34" i="2" s="1"/>
  <c r="Q473" i="4"/>
  <c r="N473" i="4"/>
  <c r="AO347" i="3"/>
  <c r="Q230" i="4"/>
  <c r="N230" i="4"/>
  <c r="P230" i="4" s="1"/>
  <c r="U91" i="3"/>
  <c r="O91" i="1"/>
  <c r="BI91" i="3"/>
  <c r="BI91" i="1" s="1"/>
  <c r="Q450" i="4"/>
  <c r="N450" i="4"/>
  <c r="P450" i="4" s="1"/>
  <c r="Q539" i="4"/>
  <c r="N539" i="4"/>
  <c r="P539" i="4" s="1"/>
  <c r="N791" i="4"/>
  <c r="Q791" i="4"/>
  <c r="AN331" i="3" s="1"/>
  <c r="Q928" i="4"/>
  <c r="N928" i="4"/>
  <c r="P928" i="4" s="1"/>
  <c r="AO369" i="3"/>
  <c r="Q290" i="4"/>
  <c r="AN127" i="3" s="1"/>
  <c r="N290" i="4"/>
  <c r="AO203" i="3"/>
  <c r="AO11" i="2" s="1"/>
  <c r="U45" i="2"/>
  <c r="Q11" i="4"/>
  <c r="N11" i="4"/>
  <c r="AO120" i="3"/>
  <c r="AO202" i="3"/>
  <c r="AO10" i="2" s="1"/>
  <c r="BK377" i="3"/>
  <c r="Q910" i="4"/>
  <c r="N910" i="4"/>
  <c r="P910" i="4" s="1"/>
  <c r="Q47" i="4"/>
  <c r="N47" i="4"/>
  <c r="N515" i="4"/>
  <c r="P515" i="4" s="1"/>
  <c r="Q515" i="4"/>
  <c r="Q802" i="4"/>
  <c r="N802" i="4"/>
  <c r="V266" i="3"/>
  <c r="V74" i="2" s="1"/>
  <c r="BJ266" i="3"/>
  <c r="BJ74" i="2" s="1"/>
  <c r="P74" i="2"/>
  <c r="U295" i="3"/>
  <c r="BI295" i="3"/>
  <c r="BI103" i="2" s="1"/>
  <c r="O103" i="2"/>
  <c r="AO224" i="3"/>
  <c r="AO32" i="2" s="1"/>
  <c r="AO337" i="3"/>
  <c r="Q336" i="4"/>
  <c r="N336" i="4"/>
  <c r="P336" i="4" s="1"/>
  <c r="Q449" i="4"/>
  <c r="N449" i="4"/>
  <c r="P449" i="4" s="1"/>
  <c r="Q145" i="4"/>
  <c r="N145" i="4"/>
  <c r="P145" i="4" s="1"/>
  <c r="BJ103" i="3"/>
  <c r="BJ103" i="1" s="1"/>
  <c r="V103" i="3"/>
  <c r="V103" i="1" s="1"/>
  <c r="P103" i="1"/>
  <c r="Q346" i="4"/>
  <c r="N346" i="4"/>
  <c r="P346" i="4" s="1"/>
  <c r="AO166" i="3"/>
  <c r="N693" i="4"/>
  <c r="P693" i="4" s="1"/>
  <c r="Q693" i="4"/>
  <c r="Q632" i="4"/>
  <c r="N632" i="4"/>
  <c r="P632" i="4" s="1"/>
  <c r="BK308" i="3"/>
  <c r="Q696" i="4"/>
  <c r="N696" i="4"/>
  <c r="P696" i="4" s="1"/>
  <c r="Q383" i="4"/>
  <c r="N383" i="4"/>
  <c r="P383" i="4" s="1"/>
  <c r="Q646" i="4"/>
  <c r="N646" i="4"/>
  <c r="P646" i="4" s="1"/>
  <c r="Q470" i="4"/>
  <c r="N470" i="4"/>
  <c r="P470" i="4" s="1"/>
  <c r="Q118" i="4"/>
  <c r="N118" i="4"/>
  <c r="P118" i="4" s="1"/>
  <c r="AO122" i="3"/>
  <c r="BJ238" i="3"/>
  <c r="BJ46" i="2" s="1"/>
  <c r="V238" i="3"/>
  <c r="V46" i="2" s="1"/>
  <c r="P46" i="2"/>
  <c r="AO306" i="3"/>
  <c r="N393" i="4"/>
  <c r="P393" i="4" s="1"/>
  <c r="Q393" i="4"/>
  <c r="Q305" i="4"/>
  <c r="N305" i="4"/>
  <c r="P305" i="4" s="1"/>
  <c r="N416" i="4"/>
  <c r="P416" i="4" s="1"/>
  <c r="Q416" i="4"/>
  <c r="Q53" i="4"/>
  <c r="N53" i="4"/>
  <c r="BI35" i="3"/>
  <c r="BI35" i="1" s="1"/>
  <c r="Q88" i="4"/>
  <c r="N88" i="4"/>
  <c r="P88" i="4" s="1"/>
  <c r="BI69" i="3"/>
  <c r="BI69" i="1" s="1"/>
  <c r="U207" i="3"/>
  <c r="BI207" i="3"/>
  <c r="BI15" i="2" s="1"/>
  <c r="O15" i="2"/>
  <c r="AO196" i="3"/>
  <c r="Q535" i="4"/>
  <c r="N535" i="4"/>
  <c r="P535" i="4" s="1"/>
  <c r="N674" i="4"/>
  <c r="P674" i="4" s="1"/>
  <c r="Q674" i="4"/>
  <c r="N125" i="4"/>
  <c r="Q125" i="4"/>
  <c r="AN60" i="3" s="1"/>
  <c r="AN60" i="1" s="1"/>
  <c r="Q441" i="4"/>
  <c r="N441" i="4"/>
  <c r="Q335" i="4"/>
  <c r="N335" i="4"/>
  <c r="P335" i="4" s="1"/>
  <c r="U20" i="3"/>
  <c r="BI20" i="3" s="1"/>
  <c r="BI20" i="1" s="1"/>
  <c r="O20" i="1"/>
  <c r="Q574" i="4"/>
  <c r="N574" i="4"/>
  <c r="P574" i="4" s="1"/>
  <c r="BJ166" i="3"/>
  <c r="Q714" i="4"/>
  <c r="N714" i="4"/>
  <c r="Q9" i="4"/>
  <c r="N9" i="4"/>
  <c r="J9" i="4"/>
  <c r="AO171" i="3"/>
  <c r="Q903" i="4"/>
  <c r="N903" i="4"/>
  <c r="P903" i="4" s="1"/>
  <c r="V46" i="3"/>
  <c r="V46" i="1" s="1"/>
  <c r="BJ46" i="3"/>
  <c r="BJ46" i="1" s="1"/>
  <c r="P46" i="1"/>
  <c r="Q787" i="4"/>
  <c r="N787" i="4"/>
  <c r="P787" i="4" s="1"/>
  <c r="AO248" i="3"/>
  <c r="AO56" i="2" s="1"/>
  <c r="N497" i="4"/>
  <c r="P497" i="4" s="1"/>
  <c r="Q497" i="4"/>
  <c r="N482" i="4"/>
  <c r="P482" i="4" s="1"/>
  <c r="Q482" i="4"/>
  <c r="AO71" i="3"/>
  <c r="AO71" i="1" s="1"/>
  <c r="U287" i="3"/>
  <c r="BI287" i="3"/>
  <c r="BI95" i="2" s="1"/>
  <c r="O95" i="2"/>
  <c r="V256" i="3"/>
  <c r="V64" i="2" s="1"/>
  <c r="P64" i="2"/>
  <c r="Q885" i="4"/>
  <c r="N885" i="4"/>
  <c r="P885" i="4" s="1"/>
  <c r="N509" i="4"/>
  <c r="P509" i="4" s="1"/>
  <c r="Q509" i="4"/>
  <c r="Q553" i="4"/>
  <c r="N553" i="4"/>
  <c r="W85" i="3"/>
  <c r="Q459" i="4"/>
  <c r="N459" i="4"/>
  <c r="P459" i="4" s="1"/>
  <c r="Q832" i="4"/>
  <c r="AN350" i="3" s="1"/>
  <c r="N832" i="4"/>
  <c r="BI226" i="3"/>
  <c r="BI34" i="2" s="1"/>
  <c r="N486" i="4"/>
  <c r="P486" i="4" s="1"/>
  <c r="Q486" i="4"/>
  <c r="Q225" i="4"/>
  <c r="AN100" i="3" s="1"/>
  <c r="AN100" i="1" s="1"/>
  <c r="N225" i="4"/>
  <c r="V219" i="3"/>
  <c r="V27" i="2" s="1"/>
  <c r="BJ219" i="3"/>
  <c r="BJ27" i="2" s="1"/>
  <c r="P27" i="2"/>
  <c r="AO209" i="3"/>
  <c r="AO17" i="2" s="1"/>
  <c r="AO236" i="3"/>
  <c r="AO44" i="2" s="1"/>
  <c r="BK338" i="3"/>
  <c r="AO184" i="3"/>
  <c r="Q522" i="4"/>
  <c r="N522" i="4"/>
  <c r="AO91" i="3"/>
  <c r="AO91" i="1" s="1"/>
  <c r="AO290" i="3"/>
  <c r="AO98" i="2" s="1"/>
  <c r="Q639" i="4"/>
  <c r="N639" i="4"/>
  <c r="U250" i="3"/>
  <c r="BI250" i="3"/>
  <c r="BI58" i="2" s="1"/>
  <c r="O58" i="2"/>
  <c r="U56" i="3"/>
  <c r="BI56" i="3"/>
  <c r="BI56" i="1" s="1"/>
  <c r="O56" i="1"/>
  <c r="W29" i="3"/>
  <c r="W182" i="3"/>
  <c r="Y182" i="3" s="1"/>
  <c r="BK211" i="3"/>
  <c r="BK19" i="2" s="1"/>
  <c r="Q655" i="4"/>
  <c r="N655" i="4"/>
  <c r="P655" i="4" s="1"/>
  <c r="Q537" i="4"/>
  <c r="N537" i="4"/>
  <c r="P537" i="4" s="1"/>
  <c r="Q712" i="4"/>
  <c r="N712" i="4"/>
  <c r="P712" i="4" s="1"/>
  <c r="BI355" i="3"/>
  <c r="W119" i="3"/>
  <c r="Y119" i="3" s="1"/>
  <c r="Q350" i="4"/>
  <c r="N350" i="4"/>
  <c r="P350" i="4" s="1"/>
  <c r="BI210" i="3"/>
  <c r="BI18" i="2" s="1"/>
  <c r="U210" i="3"/>
  <c r="O18" i="2"/>
  <c r="Q769" i="4"/>
  <c r="N769" i="4"/>
  <c r="P769" i="4" s="1"/>
  <c r="BK49" i="3"/>
  <c r="BK49" i="1" s="1"/>
  <c r="Y14" i="3"/>
  <c r="Y14" i="1" s="1"/>
  <c r="W14" i="1"/>
  <c r="Q24" i="4"/>
  <c r="N24" i="4"/>
  <c r="P24" i="4" s="1"/>
  <c r="W104" i="3"/>
  <c r="BK104" i="3" s="1"/>
  <c r="BK104" i="1" s="1"/>
  <c r="BK194" i="3"/>
  <c r="BK229" i="3"/>
  <c r="BK37" i="2" s="1"/>
  <c r="U267" i="3"/>
  <c r="O75" i="2"/>
  <c r="Q911" i="4"/>
  <c r="N911" i="4"/>
  <c r="Q809" i="4"/>
  <c r="N809" i="4"/>
  <c r="P809" i="4" s="1"/>
  <c r="Q135" i="4"/>
  <c r="N135" i="4"/>
  <c r="BI55" i="3"/>
  <c r="BI55" i="1" s="1"/>
  <c r="U55" i="3"/>
  <c r="O55" i="1"/>
  <c r="AO114" i="3"/>
  <c r="Q760" i="4"/>
  <c r="N760" i="4"/>
  <c r="P760" i="4" s="1"/>
  <c r="BI79" i="3"/>
  <c r="BI79" i="1" s="1"/>
  <c r="BJ62" i="3"/>
  <c r="BJ62" i="1" s="1"/>
  <c r="Q310" i="4"/>
  <c r="N310" i="4"/>
  <c r="P310" i="4" s="1"/>
  <c r="Q918" i="4"/>
  <c r="N918" i="4"/>
  <c r="P918" i="4" s="1"/>
  <c r="AO79" i="3"/>
  <c r="AO79" i="1" s="1"/>
  <c r="AO9" i="3"/>
  <c r="AO9" i="1" s="1"/>
  <c r="Q75" i="4"/>
  <c r="N75" i="4"/>
  <c r="P75" i="4" s="1"/>
  <c r="Q644" i="4"/>
  <c r="N644" i="4"/>
  <c r="P644" i="4" s="1"/>
  <c r="N422" i="4"/>
  <c r="Q422" i="4"/>
  <c r="BI125" i="3"/>
  <c r="U53" i="3"/>
  <c r="BI53" i="3"/>
  <c r="BI53" i="1" s="1"/>
  <c r="O53" i="1"/>
  <c r="Q273" i="4"/>
  <c r="N273" i="4"/>
  <c r="P273" i="4" s="1"/>
  <c r="P784" i="4"/>
  <c r="AM327" i="3"/>
  <c r="N124" i="4"/>
  <c r="P124" i="4" s="1"/>
  <c r="Q124" i="4"/>
  <c r="AO374" i="3"/>
  <c r="V232" i="3"/>
  <c r="V40" i="2" s="1"/>
  <c r="BJ232" i="3"/>
  <c r="BJ40" i="2" s="1"/>
  <c r="P40" i="2"/>
  <c r="AO118" i="3"/>
  <c r="Q78" i="4"/>
  <c r="N78" i="4"/>
  <c r="P78" i="4" s="1"/>
  <c r="AO60" i="3"/>
  <c r="AO60" i="1" s="1"/>
  <c r="Q323" i="4"/>
  <c r="N323" i="4"/>
  <c r="P323" i="4" s="1"/>
  <c r="AO188" i="3"/>
  <c r="AO271" i="3"/>
  <c r="AO79" i="2" s="1"/>
  <c r="Q922" i="4"/>
  <c r="N922" i="4"/>
  <c r="P922" i="4" s="1"/>
  <c r="Q502" i="4"/>
  <c r="N502" i="4"/>
  <c r="P502" i="4" s="1"/>
  <c r="Q604" i="4"/>
  <c r="N604" i="4"/>
  <c r="BI293" i="3"/>
  <c r="BI101" i="2" s="1"/>
  <c r="BJ159" i="3"/>
  <c r="V97" i="3"/>
  <c r="BJ97" i="3"/>
  <c r="BJ97" i="1" s="1"/>
  <c r="P97" i="1"/>
  <c r="Q294" i="4"/>
  <c r="N294" i="4"/>
  <c r="P294" i="4" s="1"/>
  <c r="Q80" i="4"/>
  <c r="N80" i="4"/>
  <c r="P80" i="4" s="1"/>
  <c r="Q847" i="4"/>
  <c r="N847" i="4"/>
  <c r="P847" i="4" s="1"/>
  <c r="Q171" i="4"/>
  <c r="N171" i="4"/>
  <c r="Q309" i="4"/>
  <c r="N309" i="4"/>
  <c r="P309" i="4" s="1"/>
  <c r="Q726" i="4"/>
  <c r="N726" i="4"/>
  <c r="P726" i="4" s="1"/>
  <c r="Q434" i="4"/>
  <c r="N434" i="4"/>
  <c r="P434" i="4" s="1"/>
  <c r="AO31" i="3"/>
  <c r="AO31" i="1" s="1"/>
  <c r="AO159" i="3"/>
  <c r="Q319" i="4"/>
  <c r="N319" i="4"/>
  <c r="P319" i="4" s="1"/>
  <c r="Q582" i="4"/>
  <c r="N582" i="4"/>
  <c r="P582" i="4" s="1"/>
  <c r="Q919" i="4"/>
  <c r="AN388" i="3" s="1"/>
  <c r="N919" i="4"/>
  <c r="Q569" i="4"/>
  <c r="AN240" i="3" s="1"/>
  <c r="AN48" i="2" s="1"/>
  <c r="N569" i="4"/>
  <c r="AO144" i="3"/>
  <c r="U260" i="3"/>
  <c r="BI260" i="3"/>
  <c r="BI68" i="2" s="1"/>
  <c r="O68" i="2"/>
  <c r="AO350" i="3"/>
  <c r="AO100" i="3"/>
  <c r="AO100" i="1" s="1"/>
  <c r="N301" i="4"/>
  <c r="P301" i="4" s="1"/>
  <c r="Q301" i="4"/>
  <c r="Q577" i="4"/>
  <c r="N577" i="4"/>
  <c r="P577" i="4" s="1"/>
  <c r="N560" i="4"/>
  <c r="Q560" i="4"/>
  <c r="AO220" i="3"/>
  <c r="AO28" i="2" s="1"/>
  <c r="Q132" i="4"/>
  <c r="N132" i="4"/>
  <c r="P132" i="4" s="1"/>
  <c r="Q425" i="4"/>
  <c r="AN182" i="3" s="1"/>
  <c r="N425" i="4"/>
  <c r="Q686" i="4"/>
  <c r="N686" i="4"/>
  <c r="AO266" i="3"/>
  <c r="AO74" i="2" s="1"/>
  <c r="Q152" i="4"/>
  <c r="N152" i="4"/>
  <c r="P152" i="4" s="1"/>
  <c r="N418" i="4"/>
  <c r="Q418" i="4"/>
  <c r="AN179" i="3" s="1"/>
  <c r="Y211" i="3"/>
  <c r="Y19" i="2" s="1"/>
  <c r="W19" i="2"/>
  <c r="N297" i="4"/>
  <c r="P297" i="4" s="1"/>
  <c r="Q297" i="4"/>
  <c r="N341" i="4"/>
  <c r="P341" i="4" s="1"/>
  <c r="Q341" i="4"/>
  <c r="U46" i="1"/>
  <c r="W46" i="3"/>
  <c r="BK46" i="3"/>
  <c r="BK46" i="1" s="1"/>
  <c r="U217" i="3"/>
  <c r="BI217" i="3" s="1"/>
  <c r="BI25" i="2" s="1"/>
  <c r="O25" i="2"/>
  <c r="Q139" i="4"/>
  <c r="N139" i="4"/>
  <c r="Q48" i="4"/>
  <c r="N48" i="4"/>
  <c r="P48" i="4" s="1"/>
  <c r="N478" i="4"/>
  <c r="P478" i="4" s="1"/>
  <c r="Q478" i="4"/>
  <c r="W229" i="3"/>
  <c r="Q514" i="4"/>
  <c r="AN216" i="3" s="1"/>
  <c r="AN24" i="2" s="1"/>
  <c r="N514" i="4"/>
  <c r="V61" i="3"/>
  <c r="V61" i="1" s="1"/>
  <c r="BJ61" i="3"/>
  <c r="BJ61" i="1" s="1"/>
  <c r="P61" i="1"/>
  <c r="N737" i="4"/>
  <c r="P737" i="4" s="1"/>
  <c r="Q737" i="4"/>
  <c r="AO65" i="3"/>
  <c r="AO65" i="1" s="1"/>
  <c r="Q180" i="4"/>
  <c r="N180" i="4"/>
  <c r="P180" i="4" s="1"/>
  <c r="AO161" i="3"/>
  <c r="Q239" i="4"/>
  <c r="N239" i="4"/>
  <c r="P239" i="4" s="1"/>
  <c r="Q724" i="4"/>
  <c r="N724" i="4"/>
  <c r="P724" i="4" s="1"/>
  <c r="N114" i="4"/>
  <c r="P114" i="4" s="1"/>
  <c r="Q114" i="4"/>
  <c r="BK333" i="3"/>
  <c r="W333" i="3"/>
  <c r="Y333" i="3" s="1"/>
  <c r="Q882" i="4"/>
  <c r="N882" i="4"/>
  <c r="P882" i="4" s="1"/>
  <c r="U32" i="3"/>
  <c r="BI32" i="3" s="1"/>
  <c r="BI32" i="1" s="1"/>
  <c r="O32" i="1"/>
  <c r="Q710" i="4"/>
  <c r="N710" i="4"/>
  <c r="P710" i="4" s="1"/>
  <c r="AO239" i="3"/>
  <c r="AO47" i="2" s="1"/>
  <c r="AO181" i="3"/>
  <c r="Q74" i="4"/>
  <c r="N74" i="4"/>
  <c r="Q386" i="4"/>
  <c r="N386" i="4"/>
  <c r="P386" i="4" s="1"/>
  <c r="BK300" i="3"/>
  <c r="Q889" i="4"/>
  <c r="N889" i="4"/>
  <c r="N272" i="4"/>
  <c r="Q272" i="4"/>
  <c r="AN118" i="3" s="1"/>
  <c r="O95" i="1"/>
  <c r="U95" i="3"/>
  <c r="P873" i="4"/>
  <c r="AM366" i="3"/>
  <c r="AO113" i="3"/>
  <c r="Q284" i="4"/>
  <c r="AN124" i="3" s="1"/>
  <c r="N284" i="4"/>
  <c r="BJ73" i="3"/>
  <c r="BJ73" i="1" s="1"/>
  <c r="V73" i="3"/>
  <c r="V73" i="1" s="1"/>
  <c r="P73" i="1"/>
  <c r="V284" i="3"/>
  <c r="V92" i="2" s="1"/>
  <c r="P92" i="2"/>
  <c r="Q645" i="4"/>
  <c r="AN271" i="3" s="1"/>
  <c r="AN79" i="2" s="1"/>
  <c r="N645" i="4"/>
  <c r="AO255" i="3"/>
  <c r="AO63" i="2" s="1"/>
  <c r="N513" i="4"/>
  <c r="P513" i="4" s="1"/>
  <c r="Q513" i="4"/>
  <c r="Q210" i="4"/>
  <c r="N210" i="4"/>
  <c r="P210" i="4" s="1"/>
  <c r="BI245" i="3"/>
  <c r="BI53" i="2" s="1"/>
  <c r="U245" i="3"/>
  <c r="O53" i="2"/>
  <c r="Q87" i="4"/>
  <c r="N87" i="4"/>
  <c r="P87" i="4" s="1"/>
  <c r="U37" i="3"/>
  <c r="BI37" i="3"/>
  <c r="BI37" i="1" s="1"/>
  <c r="O37" i="1"/>
  <c r="N195" i="4"/>
  <c r="P195" i="4" s="1"/>
  <c r="Q195" i="4"/>
  <c r="Q148" i="4"/>
  <c r="AN71" i="3" s="1"/>
  <c r="AN71" i="1" s="1"/>
  <c r="N148" i="4"/>
  <c r="Q247" i="4"/>
  <c r="N247" i="4"/>
  <c r="P247" i="4" s="1"/>
  <c r="U249" i="3"/>
  <c r="BI249" i="3"/>
  <c r="BI57" i="2" s="1"/>
  <c r="O57" i="2"/>
  <c r="AO162" i="3"/>
  <c r="Q636" i="4"/>
  <c r="N636" i="4"/>
  <c r="N444" i="4"/>
  <c r="Q444" i="4"/>
  <c r="Q763" i="4"/>
  <c r="N763" i="4"/>
  <c r="P763" i="4" s="1"/>
  <c r="Q55" i="4"/>
  <c r="AN31" i="3" s="1"/>
  <c r="AN31" i="1" s="1"/>
  <c r="N55" i="4"/>
  <c r="N366" i="4"/>
  <c r="Q366" i="4"/>
  <c r="Q762" i="4"/>
  <c r="N762" i="4"/>
  <c r="P762" i="4" s="1"/>
  <c r="N730" i="4"/>
  <c r="P730" i="4" s="1"/>
  <c r="Q730" i="4"/>
  <c r="AO388" i="3"/>
  <c r="AO240" i="3"/>
  <c r="AO48" i="2" s="1"/>
  <c r="BI285" i="3"/>
  <c r="BI93" i="2" s="1"/>
  <c r="N73" i="4"/>
  <c r="P73" i="4" s="1"/>
  <c r="Q73" i="4"/>
  <c r="Q331" i="4"/>
  <c r="N331" i="4"/>
  <c r="BK375" i="3"/>
  <c r="AO81" i="3"/>
  <c r="AO81" i="1" s="1"/>
  <c r="Q458" i="4"/>
  <c r="N458" i="4"/>
  <c r="P458" i="4" s="1"/>
  <c r="U44" i="2"/>
  <c r="BK236" i="3"/>
  <c r="BK44" i="2" s="1"/>
  <c r="W236" i="3"/>
  <c r="Q368" i="4"/>
  <c r="N368" i="4"/>
  <c r="P368" i="4" s="1"/>
  <c r="Q661" i="4"/>
  <c r="N661" i="4"/>
  <c r="P661" i="4" s="1"/>
  <c r="Q67" i="4"/>
  <c r="N67" i="4"/>
  <c r="P67" i="4" s="1"/>
  <c r="AO182" i="3"/>
  <c r="BJ285" i="3"/>
  <c r="BJ93" i="2" s="1"/>
  <c r="V285" i="3"/>
  <c r="V93" i="2" s="1"/>
  <c r="P93" i="2"/>
  <c r="AO287" i="3"/>
  <c r="AO95" i="2" s="1"/>
  <c r="Q630" i="4"/>
  <c r="N630" i="4"/>
  <c r="V245" i="3"/>
  <c r="V53" i="2" s="1"/>
  <c r="P53" i="2"/>
  <c r="BI132" i="3"/>
  <c r="Q226" i="4"/>
  <c r="N226" i="4"/>
  <c r="P226" i="4" s="1"/>
  <c r="AO179" i="3"/>
  <c r="AO229" i="3"/>
  <c r="AO37" i="2" s="1"/>
  <c r="V293" i="3"/>
  <c r="BJ293" i="3" s="1"/>
  <c r="BJ101" i="2" s="1"/>
  <c r="P101" i="2"/>
  <c r="N799" i="4"/>
  <c r="P799" i="4" s="1"/>
  <c r="Q799" i="4"/>
  <c r="Q538" i="4"/>
  <c r="AN227" i="3" s="1"/>
  <c r="AN35" i="2" s="1"/>
  <c r="N538" i="4"/>
  <c r="Q654" i="4"/>
  <c r="N654" i="4"/>
  <c r="P654" i="4" s="1"/>
  <c r="Q843" i="4"/>
  <c r="N843" i="4"/>
  <c r="P843" i="4" s="1"/>
  <c r="Q442" i="4"/>
  <c r="N442" i="4"/>
  <c r="P442" i="4" s="1"/>
  <c r="Q65" i="4"/>
  <c r="N65" i="4"/>
  <c r="Q390" i="4"/>
  <c r="N390" i="4"/>
  <c r="P390" i="4" s="1"/>
  <c r="N352" i="4"/>
  <c r="P352" i="4" s="1"/>
  <c r="Q352" i="4"/>
  <c r="BK348" i="3"/>
  <c r="Q587" i="4"/>
  <c r="N587" i="4"/>
  <c r="BI49" i="3"/>
  <c r="BI49" i="1" s="1"/>
  <c r="U96" i="3"/>
  <c r="O96" i="1"/>
  <c r="AO237" i="3"/>
  <c r="AO45" i="2" s="1"/>
  <c r="Q782" i="4"/>
  <c r="AN325" i="3" s="1"/>
  <c r="N782" i="4"/>
  <c r="Q850" i="4"/>
  <c r="N850" i="4"/>
  <c r="P850" i="4" s="1"/>
  <c r="Q57" i="4"/>
  <c r="AN32" i="3" s="1"/>
  <c r="AN32" i="1" s="1"/>
  <c r="N57" i="4"/>
  <c r="Q137" i="4"/>
  <c r="AN66" i="3" s="1"/>
  <c r="AN66" i="1" s="1"/>
  <c r="N137" i="4"/>
  <c r="AO67" i="3"/>
  <c r="AO67" i="1" s="1"/>
  <c r="N104" i="4"/>
  <c r="P104" i="4" s="1"/>
  <c r="Q104" i="4"/>
  <c r="N540" i="4"/>
  <c r="P540" i="4" s="1"/>
  <c r="Q540" i="4"/>
  <c r="AO216" i="3"/>
  <c r="AO24" i="2" s="1"/>
  <c r="Q770" i="4"/>
  <c r="N770" i="4"/>
  <c r="P770" i="4" s="1"/>
  <c r="Q320" i="4"/>
  <c r="N320" i="4"/>
  <c r="Q472" i="4"/>
  <c r="N472" i="4"/>
  <c r="P472" i="4" s="1"/>
  <c r="Q371" i="4"/>
  <c r="N371" i="4"/>
  <c r="AO141" i="3"/>
  <c r="Q491" i="4"/>
  <c r="N491" i="4"/>
  <c r="P491" i="4" s="1"/>
  <c r="Q912" i="4"/>
  <c r="N912" i="4"/>
  <c r="P912" i="4" s="1"/>
  <c r="Y286" i="3"/>
  <c r="Y94" i="2" s="1"/>
  <c r="W94" i="2"/>
  <c r="Y274" i="3"/>
  <c r="Y82" i="2" s="1"/>
  <c r="W82" i="2"/>
  <c r="Q10" i="4"/>
  <c r="N10" i="4"/>
  <c r="P10" i="4" s="1"/>
  <c r="N238" i="4"/>
  <c r="Q238" i="4"/>
  <c r="AN105" i="3" s="1"/>
  <c r="BJ236" i="3"/>
  <c r="BJ44" i="2" s="1"/>
  <c r="BK384" i="3"/>
  <c r="Q858" i="4"/>
  <c r="N858" i="4"/>
  <c r="Q112" i="4"/>
  <c r="N112" i="4"/>
  <c r="P112" i="4" s="1"/>
  <c r="N242" i="4"/>
  <c r="P242" i="4" s="1"/>
  <c r="Q242" i="4"/>
  <c r="V231" i="3"/>
  <c r="BJ231" i="3"/>
  <c r="BJ39" i="2" s="1"/>
  <c r="P39" i="2"/>
  <c r="AO173" i="3"/>
  <c r="Q567" i="4"/>
  <c r="AN239" i="3" s="1"/>
  <c r="AN47" i="2" s="1"/>
  <c r="N567" i="4"/>
  <c r="N706" i="4"/>
  <c r="P706" i="4" s="1"/>
  <c r="Q706" i="4"/>
  <c r="Q370" i="4"/>
  <c r="N370" i="4"/>
  <c r="P370" i="4" s="1"/>
  <c r="Q26" i="4"/>
  <c r="N26" i="4"/>
  <c r="P26" i="4" s="1"/>
  <c r="AO40" i="3"/>
  <c r="AO40" i="1" s="1"/>
  <c r="Q265" i="4"/>
  <c r="AN115" i="3" s="1"/>
  <c r="N265" i="4"/>
  <c r="BI255" i="3"/>
  <c r="BI63" i="2" s="1"/>
  <c r="BK344" i="3"/>
  <c r="BI22" i="3"/>
  <c r="BI22" i="1" s="1"/>
  <c r="W136" i="3"/>
  <c r="Y136" i="3" s="1"/>
  <c r="N143" i="4"/>
  <c r="Q143" i="4"/>
  <c r="U38" i="2"/>
  <c r="W230" i="3"/>
  <c r="BK230" i="3" s="1"/>
  <c r="BK38" i="2" s="1"/>
  <c r="N400" i="4"/>
  <c r="P400" i="4" s="1"/>
  <c r="Q400" i="4"/>
  <c r="N399" i="4"/>
  <c r="P399" i="4" s="1"/>
  <c r="Q399" i="4"/>
  <c r="N260" i="4"/>
  <c r="Q260" i="4"/>
  <c r="AN113" i="3" s="1"/>
  <c r="AO124" i="3"/>
  <c r="Q783" i="4"/>
  <c r="AN326" i="3" s="1"/>
  <c r="N783" i="4"/>
  <c r="N668" i="4"/>
  <c r="Q668" i="4"/>
  <c r="AN280" i="3" s="1"/>
  <c r="AN88" i="2" s="1"/>
  <c r="BI263" i="3"/>
  <c r="BI71" i="2" s="1"/>
  <c r="U263" i="3"/>
  <c r="O71" i="2"/>
  <c r="BK382" i="3"/>
  <c r="AO223" i="3"/>
  <c r="AO31" i="2" s="1"/>
  <c r="N584" i="4"/>
  <c r="P584" i="4" s="1"/>
  <c r="Q584" i="4"/>
  <c r="AO154" i="3"/>
  <c r="U30" i="1"/>
  <c r="W30" i="3"/>
  <c r="BK30" i="3" s="1"/>
  <c r="BK30" i="1" s="1"/>
  <c r="N408" i="4"/>
  <c r="P408" i="4" s="1"/>
  <c r="Q408" i="4"/>
  <c r="Q14" i="4"/>
  <c r="N14" i="4"/>
  <c r="P14" i="4" s="1"/>
  <c r="BK347" i="3"/>
  <c r="Q555" i="4"/>
  <c r="N555" i="4"/>
  <c r="P555" i="4" s="1"/>
  <c r="Q373" i="4"/>
  <c r="N373" i="4"/>
  <c r="Q589" i="4"/>
  <c r="AN248" i="3" s="1"/>
  <c r="AN56" i="2" s="1"/>
  <c r="N589" i="4"/>
  <c r="Q699" i="4"/>
  <c r="N699" i="4"/>
  <c r="P699" i="4" s="1"/>
  <c r="Q690" i="4"/>
  <c r="N690" i="4"/>
  <c r="P690" i="4" s="1"/>
  <c r="Q194" i="4"/>
  <c r="N194" i="4"/>
  <c r="AO76" i="3"/>
  <c r="AO76" i="1" s="1"/>
  <c r="AO268" i="3"/>
  <c r="AO76" i="2" s="1"/>
  <c r="P872" i="4"/>
  <c r="AM365" i="3"/>
  <c r="AO77" i="3"/>
  <c r="AO77" i="1" s="1"/>
  <c r="Q133" i="4"/>
  <c r="N133" i="4"/>
  <c r="V233" i="3"/>
  <c r="P41" i="2"/>
  <c r="W199" i="3"/>
  <c r="Y199" i="3" s="1"/>
  <c r="Q208" i="4"/>
  <c r="N208" i="4"/>
  <c r="U27" i="3"/>
  <c r="O27" i="1"/>
  <c r="Q413" i="4"/>
  <c r="N413" i="4"/>
  <c r="P413" i="4" s="1"/>
  <c r="Q423" i="4"/>
  <c r="N423" i="4"/>
  <c r="P423" i="4" s="1"/>
  <c r="N151" i="4"/>
  <c r="P151" i="4" s="1"/>
  <c r="Q151" i="4"/>
  <c r="Q176" i="4"/>
  <c r="N176" i="4"/>
  <c r="Y265" i="3"/>
  <c r="Y73" i="2" s="1"/>
  <c r="W73" i="2"/>
  <c r="Q648" i="4"/>
  <c r="N648" i="4"/>
  <c r="P648" i="4" s="1"/>
  <c r="N718" i="4"/>
  <c r="P718" i="4" s="1"/>
  <c r="Q718" i="4"/>
  <c r="AO370" i="3"/>
  <c r="N616" i="4"/>
  <c r="P616" i="4" s="1"/>
  <c r="Q616" i="4"/>
  <c r="Q708" i="4"/>
  <c r="N708" i="4"/>
  <c r="P708" i="4" s="1"/>
  <c r="U10" i="3"/>
  <c r="BI10" i="3"/>
  <c r="BI10" i="1" s="1"/>
  <c r="O10" i="1"/>
  <c r="Q155" i="4"/>
  <c r="N155" i="4"/>
  <c r="P155" i="4" s="1"/>
  <c r="Q549" i="4"/>
  <c r="N549" i="4"/>
  <c r="Q487" i="4"/>
  <c r="N487" i="4"/>
  <c r="Q625" i="4"/>
  <c r="AN264" i="3" s="1"/>
  <c r="AN72" i="2" s="1"/>
  <c r="N625" i="4"/>
  <c r="Q33" i="4"/>
  <c r="N33" i="4"/>
  <c r="Q243" i="4"/>
  <c r="N243" i="4"/>
  <c r="Q544" i="4"/>
  <c r="AN229" i="3" s="1"/>
  <c r="AN37" i="2" s="1"/>
  <c r="N544" i="4"/>
  <c r="AO227" i="3"/>
  <c r="AO35" i="2" s="1"/>
  <c r="Q554" i="4"/>
  <c r="N554" i="4"/>
  <c r="P554" i="4" s="1"/>
  <c r="AO36" i="3"/>
  <c r="AO36" i="1" s="1"/>
  <c r="N213" i="4"/>
  <c r="P213" i="4" s="1"/>
  <c r="Q213" i="4"/>
  <c r="AO247" i="3"/>
  <c r="AO55" i="2" s="1"/>
  <c r="Q562" i="4"/>
  <c r="AN237" i="3" s="1"/>
  <c r="AN45" i="2" s="1"/>
  <c r="N562" i="4"/>
  <c r="Q796" i="4"/>
  <c r="N796" i="4"/>
  <c r="P796" i="4" s="1"/>
  <c r="AO32" i="3"/>
  <c r="AO32" i="1" s="1"/>
  <c r="Q119" i="4"/>
  <c r="N119" i="4"/>
  <c r="N144" i="4"/>
  <c r="P144" i="4" s="1"/>
  <c r="Q144" i="4"/>
  <c r="W345" i="3"/>
  <c r="Y345" i="3" s="1"/>
  <c r="BK345" i="3"/>
  <c r="N136" i="4"/>
  <c r="P136" i="4" s="1"/>
  <c r="Q136" i="4"/>
  <c r="AO174" i="3"/>
  <c r="Q12" i="4"/>
  <c r="N12" i="4"/>
  <c r="P12" i="4" s="1"/>
  <c r="Q324" i="4"/>
  <c r="AN141" i="3" s="1"/>
  <c r="N324" i="4"/>
  <c r="V288" i="3"/>
  <c r="V96" i="2" s="1"/>
  <c r="P96" i="2"/>
  <c r="Q888" i="4"/>
  <c r="N888" i="4"/>
  <c r="P888" i="4" s="1"/>
  <c r="Q565" i="4"/>
  <c r="AN238" i="3" s="1"/>
  <c r="AN46" i="2" s="1"/>
  <c r="N565" i="4"/>
  <c r="Q76" i="4"/>
  <c r="N76" i="4"/>
  <c r="P76" i="4" s="1"/>
  <c r="AO105" i="3"/>
  <c r="N375" i="4"/>
  <c r="Q375" i="4"/>
  <c r="N657" i="4"/>
  <c r="P657" i="4" s="1"/>
  <c r="Q657" i="4"/>
  <c r="Q745" i="4"/>
  <c r="AN309" i="3" s="1"/>
  <c r="N745" i="4"/>
  <c r="AO359" i="3"/>
  <c r="N39" i="4"/>
  <c r="Q39" i="4"/>
  <c r="U28" i="1"/>
  <c r="W28" i="3"/>
  <c r="Q401" i="4"/>
  <c r="N401" i="4"/>
  <c r="Q532" i="4"/>
  <c r="N532" i="4"/>
  <c r="P532" i="4" s="1"/>
  <c r="Q622" i="4"/>
  <c r="N622" i="4"/>
  <c r="P622" i="4" s="1"/>
  <c r="Q893" i="4"/>
  <c r="N893" i="4"/>
  <c r="AO115" i="3"/>
  <c r="Q692" i="4"/>
  <c r="N692" i="4"/>
  <c r="AO69" i="3"/>
  <c r="AO69" i="1" s="1"/>
  <c r="Q899" i="4"/>
  <c r="N899" i="4"/>
  <c r="Q836" i="4"/>
  <c r="N836" i="4"/>
  <c r="P836" i="4" s="1"/>
  <c r="N130" i="4"/>
  <c r="P130" i="4" s="1"/>
  <c r="Q130" i="4"/>
  <c r="Q321" i="4"/>
  <c r="N321" i="4"/>
  <c r="P321" i="4" s="1"/>
  <c r="N561" i="4"/>
  <c r="P561" i="4" s="1"/>
  <c r="Q561" i="4"/>
  <c r="Q830" i="4"/>
  <c r="AN349" i="3" s="1"/>
  <c r="N830" i="4"/>
  <c r="Q528" i="4"/>
  <c r="AN223" i="3" s="1"/>
  <c r="AN31" i="2" s="1"/>
  <c r="N528" i="4"/>
  <c r="Q651" i="4"/>
  <c r="N651" i="4"/>
  <c r="P651" i="4" s="1"/>
  <c r="Q777" i="4"/>
  <c r="N777" i="4"/>
  <c r="P777" i="4" s="1"/>
  <c r="Q355" i="4"/>
  <c r="N355" i="4"/>
  <c r="Q13" i="4"/>
  <c r="N13" i="4"/>
  <c r="Q51" i="4"/>
  <c r="N51" i="4"/>
  <c r="AO135" i="3"/>
  <c r="BK332" i="3"/>
  <c r="AO11" i="3"/>
  <c r="AO11" i="1" s="1"/>
  <c r="BI24" i="3"/>
  <c r="BI24" i="1" s="1"/>
  <c r="AO29" i="3"/>
  <c r="AO29" i="1" s="1"/>
  <c r="N311" i="4"/>
  <c r="Q311" i="4"/>
  <c r="AN135" i="3" s="1"/>
  <c r="N342" i="4"/>
  <c r="P342" i="4" s="1"/>
  <c r="Q342" i="4"/>
  <c r="AO379" i="3"/>
  <c r="N235" i="4"/>
  <c r="Q235" i="4"/>
  <c r="AN104" i="3" s="1"/>
  <c r="AN104" i="1" s="1"/>
  <c r="V253" i="3"/>
  <c r="V61" i="2" s="1"/>
  <c r="P61" i="2"/>
  <c r="Q488" i="4"/>
  <c r="N488" i="4"/>
  <c r="P488" i="4" s="1"/>
  <c r="N169" i="4"/>
  <c r="P169" i="4" s="1"/>
  <c r="Q169" i="4"/>
  <c r="AO283" i="3"/>
  <c r="AO91" i="2" s="1"/>
  <c r="Q707" i="4"/>
  <c r="AN294" i="3" s="1"/>
  <c r="AN102" i="2" s="1"/>
  <c r="N707" i="4"/>
  <c r="AO87" i="3"/>
  <c r="AO87" i="1" s="1"/>
  <c r="AO207" i="3"/>
  <c r="AO15" i="2" s="1"/>
  <c r="Q581" i="4"/>
  <c r="AN244" i="3" s="1"/>
  <c r="AN52" i="2" s="1"/>
  <c r="N581" i="4"/>
  <c r="Q45" i="4"/>
  <c r="AN26" i="3" s="1"/>
  <c r="AN26" i="1" s="1"/>
  <c r="N45" i="4"/>
  <c r="Q219" i="4"/>
  <c r="AN98" i="3" s="1"/>
  <c r="AN98" i="1" s="1"/>
  <c r="N219" i="4"/>
  <c r="Q31" i="4"/>
  <c r="AN19" i="3" s="1"/>
  <c r="AN19" i="1" s="1"/>
  <c r="N31" i="4"/>
  <c r="AO47" i="3"/>
  <c r="AO47" i="1" s="1"/>
  <c r="N546" i="4"/>
  <c r="Q546" i="4"/>
  <c r="AN230" i="3" s="1"/>
  <c r="AN38" i="2" s="1"/>
  <c r="N228" i="4"/>
  <c r="Q228" i="4"/>
  <c r="V35" i="3"/>
  <c r="BJ35" i="3"/>
  <c r="BJ35" i="1" s="1"/>
  <c r="P35" i="1"/>
  <c r="AO84" i="3"/>
  <c r="AO84" i="1" s="1"/>
  <c r="Q547" i="4"/>
  <c r="N547" i="4"/>
  <c r="P547" i="4" s="1"/>
  <c r="AO303" i="3"/>
  <c r="Q828" i="4"/>
  <c r="N828" i="4"/>
  <c r="Q150" i="4"/>
  <c r="AN72" i="3" s="1"/>
  <c r="AN72" i="1" s="1"/>
  <c r="N150" i="4"/>
  <c r="N419" i="4"/>
  <c r="P419" i="4" s="1"/>
  <c r="Q419" i="4"/>
  <c r="Q457" i="4"/>
  <c r="N457" i="4"/>
  <c r="Q904" i="4"/>
  <c r="N904" i="4"/>
  <c r="Q356" i="4"/>
  <c r="N356" i="4"/>
  <c r="P356" i="4" s="1"/>
  <c r="U50" i="3"/>
  <c r="BI50" i="3" s="1"/>
  <c r="BI50" i="1" s="1"/>
  <c r="O50" i="1"/>
  <c r="Q233" i="4"/>
  <c r="N233" i="4"/>
  <c r="V217" i="3"/>
  <c r="V25" i="2" s="1"/>
  <c r="BJ217" i="3"/>
  <c r="BJ25" i="2" s="1"/>
  <c r="P25" i="2"/>
  <c r="N461" i="4"/>
  <c r="P461" i="4" s="1"/>
  <c r="Q461" i="4"/>
  <c r="AO318" i="3"/>
  <c r="U203" i="3"/>
  <c r="BI203" i="3" s="1"/>
  <c r="BI11" i="2" s="1"/>
  <c r="O11" i="2"/>
  <c r="Q34" i="4"/>
  <c r="N34" i="4"/>
  <c r="P34" i="4" s="1"/>
  <c r="Q258" i="4"/>
  <c r="N258" i="4"/>
  <c r="P258" i="4" s="1"/>
  <c r="BJ248" i="3"/>
  <c r="BJ56" i="2" s="1"/>
  <c r="AO274" i="3"/>
  <c r="AO82" i="2" s="1"/>
  <c r="Q851" i="4"/>
  <c r="N851" i="4"/>
  <c r="P851" i="4" s="1"/>
  <c r="N813" i="4"/>
  <c r="P813" i="4" s="1"/>
  <c r="Q813" i="4"/>
  <c r="Q304" i="4"/>
  <c r="N304" i="4"/>
  <c r="P304" i="4" s="1"/>
  <c r="Y80" i="3"/>
  <c r="Y80" i="1" s="1"/>
  <c r="W80" i="1"/>
  <c r="BI112" i="3"/>
  <c r="BK107" i="3"/>
  <c r="Q259" i="4"/>
  <c r="N259" i="4"/>
  <c r="P259" i="4" s="1"/>
  <c r="AO222" i="3"/>
  <c r="AO30" i="2" s="1"/>
  <c r="Q349" i="4"/>
  <c r="AN151" i="3" s="1"/>
  <c r="N349" i="4"/>
  <c r="Q886" i="4"/>
  <c r="N886" i="4"/>
  <c r="Q755" i="4"/>
  <c r="AN313" i="3" s="1"/>
  <c r="N755" i="4"/>
  <c r="AO15" i="3"/>
  <c r="AO15" i="1" s="1"/>
  <c r="Q160" i="4"/>
  <c r="N160" i="4"/>
  <c r="P160" i="4" s="1"/>
  <c r="AO355" i="3"/>
  <c r="Q740" i="4"/>
  <c r="N740" i="4"/>
  <c r="P740" i="4" s="1"/>
  <c r="Q241" i="4"/>
  <c r="AN106" i="3" s="1"/>
  <c r="N241" i="4"/>
  <c r="Q263" i="4"/>
  <c r="N263" i="4"/>
  <c r="P263" i="4" s="1"/>
  <c r="BI104" i="3"/>
  <c r="BI104" i="1" s="1"/>
  <c r="Q808" i="4"/>
  <c r="N808" i="4"/>
  <c r="AO221" i="3"/>
  <c r="AO29" i="2" s="1"/>
  <c r="Q680" i="4"/>
  <c r="N680" i="4"/>
  <c r="P680" i="4" s="1"/>
  <c r="W35" i="3"/>
  <c r="W112" i="3"/>
  <c r="Y112" i="3" s="1"/>
  <c r="W349" i="3"/>
  <c r="Y349" i="3" s="1"/>
  <c r="AO49" i="3"/>
  <c r="AO49" i="1" s="1"/>
  <c r="AO104" i="3"/>
  <c r="AO104" i="1" s="1"/>
  <c r="BK314" i="3"/>
  <c r="W160" i="3"/>
  <c r="Y160" i="3" s="1"/>
  <c r="N633" i="4"/>
  <c r="Q633" i="4"/>
  <c r="Q394" i="4"/>
  <c r="N394" i="4"/>
  <c r="P394" i="4" s="1"/>
  <c r="Q35" i="4"/>
  <c r="N35" i="4"/>
  <c r="N676" i="4"/>
  <c r="Q676" i="4"/>
  <c r="BI392" i="3"/>
  <c r="AO294" i="3"/>
  <c r="AO102" i="2" s="1"/>
  <c r="N191" i="4"/>
  <c r="Q191" i="4"/>
  <c r="AN87" i="3" s="1"/>
  <c r="AN87" i="1" s="1"/>
  <c r="Q501" i="4"/>
  <c r="N501" i="4"/>
  <c r="P501" i="4" s="1"/>
  <c r="N223" i="4"/>
  <c r="P223" i="4" s="1"/>
  <c r="Q223" i="4"/>
  <c r="U41" i="1"/>
  <c r="W41" i="3"/>
  <c r="BK41" i="3" s="1"/>
  <c r="BK41" i="1" s="1"/>
  <c r="W313" i="3"/>
  <c r="Y313" i="3" s="1"/>
  <c r="Q659" i="4"/>
  <c r="N659" i="4"/>
  <c r="P659" i="4" s="1"/>
  <c r="N729" i="4"/>
  <c r="Q729" i="4"/>
  <c r="BI296" i="3"/>
  <c r="BI104" i="2" s="1"/>
  <c r="U296" i="3"/>
  <c r="O104" i="2"/>
  <c r="N662" i="4"/>
  <c r="P662" i="4" s="1"/>
  <c r="Q662" i="4"/>
  <c r="V24" i="3"/>
  <c r="BJ24" i="3"/>
  <c r="BJ24" i="1" s="1"/>
  <c r="P24" i="1"/>
  <c r="N184" i="4"/>
  <c r="P184" i="4" s="1"/>
  <c r="Q184" i="4"/>
  <c r="N234" i="4"/>
  <c r="P234" i="4" s="1"/>
  <c r="Q234" i="4"/>
  <c r="AO194" i="3"/>
  <c r="AO381" i="3"/>
  <c r="N456" i="4"/>
  <c r="P456" i="4" s="1"/>
  <c r="Q456" i="4"/>
  <c r="AO103" i="3"/>
  <c r="AO103" i="1" s="1"/>
  <c r="Q817" i="4"/>
  <c r="N817" i="4"/>
  <c r="P817" i="4" s="1"/>
  <c r="Q628" i="4"/>
  <c r="N628" i="4"/>
  <c r="P628" i="4" s="1"/>
  <c r="Q929" i="4"/>
  <c r="N929" i="4"/>
  <c r="P929" i="4" s="1"/>
  <c r="Q571" i="4"/>
  <c r="N571" i="4"/>
  <c r="P571" i="4" s="1"/>
  <c r="Q615" i="4"/>
  <c r="AN260" i="3" s="1"/>
  <c r="AN68" i="2" s="1"/>
  <c r="N615" i="4"/>
  <c r="Q675" i="4"/>
  <c r="N675" i="4"/>
  <c r="P675" i="4" s="1"/>
  <c r="U290" i="3"/>
  <c r="BI290" i="3" s="1"/>
  <c r="BI98" i="2" s="1"/>
  <c r="O98" i="2"/>
  <c r="N140" i="4"/>
  <c r="P140" i="4" s="1"/>
  <c r="Q140" i="4"/>
  <c r="Q134" i="4"/>
  <c r="N134" i="4"/>
  <c r="P134" i="4" s="1"/>
  <c r="BK71" i="3"/>
  <c r="BK71" i="1" s="1"/>
  <c r="Q526" i="4"/>
  <c r="N526" i="4"/>
  <c r="V205" i="3"/>
  <c r="V13" i="2" s="1"/>
  <c r="BJ205" i="3"/>
  <c r="BJ13" i="2" s="1"/>
  <c r="P13" i="2"/>
  <c r="AO392" i="3"/>
  <c r="Q752" i="4"/>
  <c r="N752" i="4"/>
  <c r="P752" i="4" s="1"/>
  <c r="AO313" i="3"/>
  <c r="Q172" i="4"/>
  <c r="N172" i="4"/>
  <c r="P172" i="4" s="1"/>
  <c r="N278" i="4"/>
  <c r="Q278" i="4"/>
  <c r="Q846" i="4"/>
  <c r="N846" i="4"/>
  <c r="U216" i="3"/>
  <c r="BI216" i="3"/>
  <c r="BI24" i="2" s="1"/>
  <c r="O24" i="2"/>
  <c r="Q216" i="4"/>
  <c r="N216" i="4"/>
  <c r="P216" i="4" s="1"/>
  <c r="Q683" i="4"/>
  <c r="N683" i="4"/>
  <c r="P683" i="4" s="1"/>
  <c r="Q877" i="4"/>
  <c r="N877" i="4"/>
  <c r="P877" i="4" s="1"/>
  <c r="AO338" i="3"/>
  <c r="Q237" i="4"/>
  <c r="N237" i="4"/>
  <c r="P237" i="4" s="1"/>
  <c r="V277" i="3"/>
  <c r="BJ277" i="3"/>
  <c r="BJ85" i="2" s="1"/>
  <c r="P85" i="2"/>
  <c r="V292" i="3"/>
  <c r="V100" i="2" s="1"/>
  <c r="BJ292" i="3"/>
  <c r="BJ100" i="2" s="1"/>
  <c r="P100" i="2"/>
  <c r="Q588" i="4"/>
  <c r="N588" i="4"/>
  <c r="P588" i="4" s="1"/>
  <c r="N468" i="4"/>
  <c r="P468" i="4" s="1"/>
  <c r="Q468" i="4"/>
  <c r="N314" i="4"/>
  <c r="P314" i="4" s="1"/>
  <c r="Q314" i="4"/>
  <c r="N624" i="4"/>
  <c r="P624" i="4" s="1"/>
  <c r="Q624" i="4"/>
  <c r="Q63" i="4"/>
  <c r="AN35" i="3" s="1"/>
  <c r="AN35" i="1" s="1"/>
  <c r="N63" i="4"/>
  <c r="N267" i="4"/>
  <c r="P267" i="4" s="1"/>
  <c r="Q267" i="4"/>
  <c r="AO267" i="3"/>
  <c r="AO75" i="2" s="1"/>
  <c r="AO21" i="3"/>
  <c r="AO21" i="1" s="1"/>
  <c r="BJ204" i="3"/>
  <c r="BJ12" i="2" s="1"/>
  <c r="AO198" i="3"/>
  <c r="BK334" i="3"/>
  <c r="BK146" i="3"/>
  <c r="U61" i="3"/>
  <c r="BI61" i="3"/>
  <c r="BI61" i="1" s="1"/>
  <c r="O61" i="1"/>
  <c r="BK117" i="3"/>
  <c r="V257" i="3"/>
  <c r="V65" i="2" s="1"/>
  <c r="BJ257" i="3"/>
  <c r="BJ65" i="2" s="1"/>
  <c r="P65" i="2"/>
  <c r="Q68" i="4"/>
  <c r="AN37" i="3" s="1"/>
  <c r="AN37" i="1" s="1"/>
  <c r="N68" i="4"/>
  <c r="N363" i="4"/>
  <c r="Q363" i="4"/>
  <c r="AN158" i="3" s="1"/>
  <c r="Q490" i="4"/>
  <c r="N490" i="4"/>
  <c r="P490" i="4" s="1"/>
  <c r="Q37" i="4"/>
  <c r="AN22" i="3" s="1"/>
  <c r="AN22" i="1" s="1"/>
  <c r="N37" i="4"/>
  <c r="N761" i="4"/>
  <c r="Q761" i="4"/>
  <c r="V78" i="3"/>
  <c r="V78" i="1" s="1"/>
  <c r="P78" i="1"/>
  <c r="BK161" i="3"/>
  <c r="U224" i="3"/>
  <c r="BI224" i="3" s="1"/>
  <c r="BI32" i="2" s="1"/>
  <c r="O32" i="2"/>
  <c r="U223" i="3"/>
  <c r="O31" i="2"/>
  <c r="U90" i="2"/>
  <c r="W282" i="3"/>
  <c r="BK282" i="3"/>
  <c r="BK90" i="2" s="1"/>
  <c r="N868" i="4"/>
  <c r="Q868" i="4"/>
  <c r="AN363" i="3" s="1"/>
  <c r="N605" i="4"/>
  <c r="P605" i="4" s="1"/>
  <c r="Q605" i="4"/>
  <c r="BK100" i="3"/>
  <c r="BK100" i="1" s="1"/>
  <c r="AO35" i="3"/>
  <c r="AO35" i="1" s="1"/>
  <c r="Q435" i="4"/>
  <c r="AN186" i="3" s="1"/>
  <c r="N435" i="4"/>
  <c r="N665" i="4"/>
  <c r="P665" i="4" s="1"/>
  <c r="Q665" i="4"/>
  <c r="Q570" i="4"/>
  <c r="N570" i="4"/>
  <c r="P570" i="4" s="1"/>
  <c r="W328" i="3"/>
  <c r="Y328" i="3" s="1"/>
  <c r="Q715" i="4"/>
  <c r="N715" i="4"/>
  <c r="P715" i="4" s="1"/>
  <c r="Q469" i="4"/>
  <c r="N469" i="4"/>
  <c r="N494" i="4"/>
  <c r="P494" i="4" s="1"/>
  <c r="Q494" i="4"/>
  <c r="N815" i="4"/>
  <c r="P815" i="4" s="1"/>
  <c r="Q815" i="4"/>
  <c r="Q157" i="4"/>
  <c r="N157" i="4"/>
  <c r="P157" i="4" s="1"/>
  <c r="N222" i="4"/>
  <c r="Q222" i="4"/>
  <c r="Q681" i="4"/>
  <c r="N681" i="4"/>
  <c r="P681" i="4" s="1"/>
  <c r="BI18" i="3"/>
  <c r="BI18" i="1" s="1"/>
  <c r="U18" i="3"/>
  <c r="O18" i="1"/>
  <c r="BI98" i="3"/>
  <c r="BI98" i="1" s="1"/>
  <c r="U98" i="3"/>
  <c r="O98" i="1"/>
  <c r="Q647" i="4"/>
  <c r="N647" i="4"/>
  <c r="V242" i="3"/>
  <c r="V50" i="2" s="1"/>
  <c r="P50" i="2"/>
  <c r="Q609" i="4"/>
  <c r="N609" i="4"/>
  <c r="Q869" i="4"/>
  <c r="N869" i="4"/>
  <c r="P869" i="4" s="1"/>
  <c r="N411" i="4"/>
  <c r="P411" i="4" s="1"/>
  <c r="Q411" i="4"/>
  <c r="N224" i="4"/>
  <c r="P224" i="4" s="1"/>
  <c r="Q224" i="4"/>
  <c r="Q22" i="4"/>
  <c r="N22" i="4"/>
  <c r="P22" i="4" s="1"/>
  <c r="Q849" i="4"/>
  <c r="AN356" i="3" s="1"/>
  <c r="N849" i="4"/>
  <c r="U219" i="3"/>
  <c r="BI219" i="3" s="1"/>
  <c r="BI27" i="2" s="1"/>
  <c r="O27" i="2"/>
  <c r="AO261" i="3"/>
  <c r="AO69" i="2" s="1"/>
  <c r="AO265" i="3"/>
  <c r="AO73" i="2" s="1"/>
  <c r="AO361" i="3"/>
  <c r="BI59" i="3"/>
  <c r="BI59" i="1" s="1"/>
  <c r="U59" i="3"/>
  <c r="O59" i="1"/>
  <c r="W163" i="3"/>
  <c r="Y163" i="3" s="1"/>
  <c r="N452" i="4"/>
  <c r="P452" i="4" s="1"/>
  <c r="Q452" i="4"/>
  <c r="U251" i="3"/>
  <c r="BI251" i="3"/>
  <c r="BI59" i="2" s="1"/>
  <c r="O59" i="2"/>
  <c r="Q901" i="4"/>
  <c r="N901" i="4"/>
  <c r="AO45" i="3"/>
  <c r="AO45" i="1" s="1"/>
  <c r="Q42" i="4"/>
  <c r="N42" i="4"/>
  <c r="P42" i="4" s="1"/>
  <c r="Q19" i="4"/>
  <c r="N19" i="4"/>
  <c r="P19" i="4" s="1"/>
  <c r="Q527" i="4"/>
  <c r="N527" i="4"/>
  <c r="P527" i="4" s="1"/>
  <c r="Q643" i="4"/>
  <c r="N643" i="4"/>
  <c r="P643" i="4" s="1"/>
  <c r="Q36" i="4"/>
  <c r="N36" i="4"/>
  <c r="P36" i="4" s="1"/>
  <c r="AO37" i="3"/>
  <c r="AO37" i="1" s="1"/>
  <c r="AO158" i="3"/>
  <c r="Q723" i="4"/>
  <c r="N723" i="4"/>
  <c r="P723" i="4" s="1"/>
  <c r="Q853" i="4"/>
  <c r="N853" i="4"/>
  <c r="P853" i="4" s="1"/>
  <c r="Q43" i="4"/>
  <c r="AN25" i="3" s="1"/>
  <c r="AN25" i="1" s="1"/>
  <c r="N43" i="4"/>
  <c r="Q511" i="4"/>
  <c r="N511" i="4"/>
  <c r="P511" i="4" s="1"/>
  <c r="AO316" i="3"/>
  <c r="Q106" i="2"/>
  <c r="Q376" i="4"/>
  <c r="N376" i="4"/>
  <c r="P376" i="4" s="1"/>
  <c r="Q854" i="4"/>
  <c r="N854" i="4"/>
  <c r="P854" i="4" s="1"/>
  <c r="Q634" i="4"/>
  <c r="N634" i="4"/>
  <c r="P634" i="4" s="1"/>
  <c r="Q345" i="4"/>
  <c r="AN149" i="3" s="1"/>
  <c r="N345" i="4"/>
  <c r="Q758" i="4"/>
  <c r="N758" i="4"/>
  <c r="P758" i="4" s="1"/>
  <c r="AO187" i="3"/>
  <c r="AO363" i="3"/>
  <c r="Q71" i="4"/>
  <c r="N71" i="4"/>
  <c r="P71" i="4" s="1"/>
  <c r="Q32" i="4"/>
  <c r="N32" i="4"/>
  <c r="P32" i="4" s="1"/>
  <c r="Y243" i="3"/>
  <c r="Y51" i="2" s="1"/>
  <c r="W51" i="2"/>
  <c r="AO186" i="3"/>
  <c r="N552" i="4"/>
  <c r="P552" i="4" s="1"/>
  <c r="Q552" i="4"/>
  <c r="Q299" i="4"/>
  <c r="N299" i="4"/>
  <c r="P299" i="4" s="1"/>
  <c r="Q253" i="4"/>
  <c r="N253" i="4"/>
  <c r="P253" i="4" s="1"/>
  <c r="AO145" i="3"/>
  <c r="Q436" i="4"/>
  <c r="N436" i="4"/>
  <c r="P436" i="4" s="1"/>
  <c r="N291" i="4"/>
  <c r="P291" i="4" s="1"/>
  <c r="Q291" i="4"/>
  <c r="N268" i="4"/>
  <c r="Q268" i="4"/>
  <c r="AN116" i="3" s="1"/>
  <c r="AO277" i="3"/>
  <c r="AO85" i="2" s="1"/>
  <c r="U28" i="2"/>
  <c r="W220" i="3"/>
  <c r="N106" i="4"/>
  <c r="P106" i="4" s="1"/>
  <c r="Q106" i="4"/>
  <c r="AO99" i="3"/>
  <c r="AO99" i="1" s="1"/>
  <c r="BK376" i="3"/>
  <c r="W376" i="3"/>
  <c r="Y376" i="3" s="1"/>
  <c r="W385" i="3"/>
  <c r="Y385" i="3" s="1"/>
  <c r="W145" i="3"/>
  <c r="Y145" i="3" s="1"/>
  <c r="Q111" i="4"/>
  <c r="AN54" i="3" s="1"/>
  <c r="AN54" i="1" s="1"/>
  <c r="N111" i="4"/>
  <c r="Q27" i="4"/>
  <c r="N27" i="4"/>
  <c r="Q52" i="4"/>
  <c r="N52" i="4"/>
  <c r="P52" i="4" s="1"/>
  <c r="Q348" i="4"/>
  <c r="N348" i="4"/>
  <c r="P348" i="4" s="1"/>
  <c r="Q870" i="4"/>
  <c r="N870" i="4"/>
  <c r="Q101" i="4"/>
  <c r="N101" i="4"/>
  <c r="BI13" i="3"/>
  <c r="BI13" i="1" s="1"/>
  <c r="U13" i="3"/>
  <c r="O13" i="1"/>
  <c r="Q93" i="4"/>
  <c r="N93" i="4"/>
  <c r="P93" i="4" s="1"/>
  <c r="V96" i="3"/>
  <c r="V96" i="1" s="1"/>
  <c r="P96" i="1"/>
  <c r="Q557" i="4"/>
  <c r="N557" i="4"/>
  <c r="P557" i="4" s="1"/>
  <c r="Q542" i="4"/>
  <c r="N542" i="4"/>
  <c r="P542" i="4" s="1"/>
  <c r="AO358" i="3"/>
  <c r="Q914" i="4"/>
  <c r="N914" i="4"/>
  <c r="P914" i="4" s="1"/>
  <c r="N821" i="4"/>
  <c r="P821" i="4" s="1"/>
  <c r="Q821" i="4"/>
  <c r="Q109" i="4"/>
  <c r="N109" i="4"/>
  <c r="P109" i="4" s="1"/>
  <c r="Y258" i="3"/>
  <c r="Y66" i="2" s="1"/>
  <c r="W66" i="2"/>
  <c r="N556" i="4"/>
  <c r="Q556" i="4"/>
  <c r="AN234" i="3" s="1"/>
  <c r="AN42" i="2" s="1"/>
  <c r="AO385" i="3"/>
  <c r="Q174" i="4"/>
  <c r="N174" i="4"/>
  <c r="Q414" i="4"/>
  <c r="N414" i="4"/>
  <c r="P414" i="4" s="1"/>
  <c r="Y255" i="3"/>
  <c r="Y63" i="2" s="1"/>
  <c r="W63" i="2"/>
  <c r="AO296" i="3"/>
  <c r="AO104" i="2" s="1"/>
  <c r="V13" i="3"/>
  <c r="V13" i="1" s="1"/>
  <c r="P13" i="1"/>
  <c r="U206" i="3"/>
  <c r="BI206" i="3"/>
  <c r="BI14" i="2" s="1"/>
  <c r="O14" i="2"/>
  <c r="N17" i="4"/>
  <c r="P17" i="4" s="1"/>
  <c r="Q17" i="4"/>
  <c r="Q550" i="4"/>
  <c r="N550" i="4"/>
  <c r="P550" i="4" s="1"/>
  <c r="Q610" i="4"/>
  <c r="N610" i="4"/>
  <c r="P610" i="4" s="1"/>
  <c r="Q841" i="4"/>
  <c r="N841" i="4"/>
  <c r="Q734" i="4"/>
  <c r="N734" i="4"/>
  <c r="Q70" i="4"/>
  <c r="AN38" i="3" s="1"/>
  <c r="AN38" i="1" s="1"/>
  <c r="N70" i="4"/>
  <c r="Q640" i="4"/>
  <c r="N640" i="4"/>
  <c r="P640" i="4" s="1"/>
  <c r="Q406" i="4"/>
  <c r="N406" i="4"/>
  <c r="P406" i="4" s="1"/>
  <c r="N257" i="4"/>
  <c r="Q257" i="4"/>
  <c r="AN112" i="3" s="1"/>
  <c r="AO253" i="3"/>
  <c r="AO61" i="2" s="1"/>
  <c r="Q916" i="4"/>
  <c r="N916" i="4"/>
  <c r="P916" i="4" s="1"/>
  <c r="N244" i="4"/>
  <c r="P244" i="4" s="1"/>
  <c r="Q244" i="4"/>
  <c r="N727" i="4"/>
  <c r="Q727" i="4"/>
  <c r="AN302" i="3" s="1"/>
  <c r="BK244" i="3"/>
  <c r="BK52" i="2" s="1"/>
  <c r="AO340" i="3"/>
  <c r="AO377" i="3"/>
  <c r="V209" i="3"/>
  <c r="V17" i="2" s="1"/>
  <c r="BJ209" i="3"/>
  <c r="BJ17" i="2" s="1"/>
  <c r="P17" i="2"/>
  <c r="N837" i="4"/>
  <c r="P837" i="4" s="1"/>
  <c r="Q837" i="4"/>
  <c r="Q41" i="4"/>
  <c r="N41" i="4"/>
  <c r="AO34" i="3"/>
  <c r="AO34" i="1" s="1"/>
  <c r="N684" i="4"/>
  <c r="Q684" i="4"/>
  <c r="AO46" i="3"/>
  <c r="AO46" i="1" s="1"/>
  <c r="N465" i="4"/>
  <c r="P465" i="4" s="1"/>
  <c r="Q465" i="4"/>
  <c r="N337" i="4"/>
  <c r="Q337" i="4"/>
  <c r="AN146" i="3" s="1"/>
  <c r="AO279" i="3"/>
  <c r="AO87" i="2" s="1"/>
  <c r="AO319" i="3"/>
  <c r="AO85" i="3"/>
  <c r="AO85" i="1" s="1"/>
  <c r="Q106" i="1"/>
  <c r="Q372" i="4"/>
  <c r="N372" i="4"/>
  <c r="P372" i="4" s="1"/>
  <c r="Q694" i="4"/>
  <c r="N694" i="4"/>
  <c r="P694" i="4" s="1"/>
  <c r="AO333" i="3"/>
  <c r="N926" i="4"/>
  <c r="P926" i="4" s="1"/>
  <c r="Q926" i="4"/>
  <c r="Q123" i="4"/>
  <c r="AN59" i="3" s="1"/>
  <c r="AN59" i="1" s="1"/>
  <c r="N123" i="4"/>
  <c r="Q673" i="4"/>
  <c r="N673" i="4"/>
  <c r="BK121" i="3"/>
  <c r="N264" i="4"/>
  <c r="P264" i="4" s="1"/>
  <c r="Q264" i="4"/>
  <c r="Q281" i="4"/>
  <c r="N281" i="4"/>
  <c r="P281" i="4" s="1"/>
  <c r="Q380" i="4"/>
  <c r="AN165" i="3" s="1"/>
  <c r="N380" i="4"/>
  <c r="Q685" i="4"/>
  <c r="N685" i="4"/>
  <c r="P685" i="4" s="1"/>
  <c r="Q269" i="4"/>
  <c r="N269" i="4"/>
  <c r="P269" i="4" s="1"/>
  <c r="Y82" i="3"/>
  <c r="Y82" i="1" s="1"/>
  <c r="W82" i="1"/>
  <c r="Q95" i="4"/>
  <c r="N95" i="4"/>
  <c r="N467" i="4"/>
  <c r="P467" i="4" s="1"/>
  <c r="Q467" i="4"/>
  <c r="N385" i="4"/>
  <c r="Q385" i="4"/>
  <c r="Q861" i="4"/>
  <c r="AN360" i="3" s="1"/>
  <c r="N861" i="4"/>
  <c r="Q38" i="4"/>
  <c r="N38" i="4"/>
  <c r="P38" i="4" s="1"/>
  <c r="Q409" i="4"/>
  <c r="N409" i="4"/>
  <c r="Q705" i="4"/>
  <c r="N705" i="4"/>
  <c r="P705" i="4" s="1"/>
  <c r="AO308" i="3"/>
  <c r="W93" i="3"/>
  <c r="N583" i="4"/>
  <c r="Q583" i="4"/>
  <c r="AN245" i="3" s="1"/>
  <c r="AN53" i="2" s="1"/>
  <c r="BK69" i="3"/>
  <c r="BK69" i="1" s="1"/>
  <c r="AO54" i="3"/>
  <c r="AO54" i="1" s="1"/>
  <c r="AO80" i="3"/>
  <c r="AO80" i="1" s="1"/>
  <c r="Q190" i="4"/>
  <c r="N190" i="4"/>
  <c r="P190" i="4" s="1"/>
  <c r="Q611" i="4"/>
  <c r="AN258" i="3" s="1"/>
  <c r="AN66" i="2" s="1"/>
  <c r="N611" i="4"/>
  <c r="Y221" i="3"/>
  <c r="Y29" i="2" s="1"/>
  <c r="W29" i="2"/>
  <c r="Q379" i="4"/>
  <c r="N379" i="4"/>
  <c r="P379" i="4" s="1"/>
  <c r="N507" i="4"/>
  <c r="P507" i="4" s="1"/>
  <c r="Q507" i="4"/>
  <c r="Q593" i="4"/>
  <c r="AN250" i="3" s="1"/>
  <c r="AN58" i="2" s="1"/>
  <c r="N593" i="4"/>
  <c r="AO41" i="3"/>
  <c r="AO41" i="1" s="1"/>
  <c r="V268" i="3"/>
  <c r="BJ268" i="3"/>
  <c r="BJ76" i="2" s="1"/>
  <c r="P76" i="2"/>
  <c r="AO353" i="3"/>
  <c r="Q462" i="4"/>
  <c r="N462" i="4"/>
  <c r="P462" i="4" s="1"/>
  <c r="AO305" i="3"/>
  <c r="AO38" i="3"/>
  <c r="AO38" i="1" s="1"/>
  <c r="Y63" i="3"/>
  <c r="Y63" i="1" s="1"/>
  <c r="W63" i="1"/>
  <c r="AO112" i="3"/>
  <c r="N575" i="4"/>
  <c r="Q575" i="4"/>
  <c r="Y244" i="3"/>
  <c r="Y52" i="2" s="1"/>
  <c r="W52" i="2"/>
  <c r="N759" i="4"/>
  <c r="Q759" i="4"/>
  <c r="AN315" i="3" s="1"/>
  <c r="U83" i="2"/>
  <c r="BK275" i="3"/>
  <c r="BK83" i="2" s="1"/>
  <c r="W275" i="3"/>
  <c r="AO24" i="3"/>
  <c r="AO24" i="1" s="1"/>
  <c r="N389" i="4"/>
  <c r="Q389" i="4"/>
  <c r="AN169" i="3" s="1"/>
  <c r="N359" i="4"/>
  <c r="Q359" i="4"/>
  <c r="AN156" i="3" s="1"/>
  <c r="Q667" i="4"/>
  <c r="N667" i="4"/>
  <c r="P667" i="4" s="1"/>
  <c r="N697" i="4"/>
  <c r="P697" i="4" s="1"/>
  <c r="Q697" i="4"/>
  <c r="V239" i="3"/>
  <c r="V47" i="2" s="1"/>
  <c r="BJ239" i="3"/>
  <c r="BJ47" i="2" s="1"/>
  <c r="P47" i="2"/>
  <c r="Q508" i="4"/>
  <c r="N508" i="4"/>
  <c r="AO146" i="3"/>
  <c r="Q517" i="4"/>
  <c r="N517" i="4"/>
  <c r="P517" i="4" s="1"/>
  <c r="Q666" i="4"/>
  <c r="N666" i="4"/>
  <c r="BK381" i="3"/>
  <c r="Y65" i="3"/>
  <c r="Y65" i="1" s="1"/>
  <c r="W65" i="1"/>
  <c r="Q339" i="4"/>
  <c r="N339" i="4"/>
  <c r="P339" i="4" s="1"/>
  <c r="Q795" i="4"/>
  <c r="AN333" i="3" s="1"/>
  <c r="N795" i="4"/>
  <c r="AO59" i="3"/>
  <c r="AO59" i="1" s="1"/>
  <c r="N91" i="4"/>
  <c r="P91" i="4" s="1"/>
  <c r="Q91" i="4"/>
  <c r="Q266" i="4"/>
  <c r="N266" i="4"/>
  <c r="P266" i="4" s="1"/>
  <c r="Q215" i="4"/>
  <c r="N215" i="4"/>
  <c r="P215" i="4" s="1"/>
  <c r="P874" i="4"/>
  <c r="AM367" i="3"/>
  <c r="U76" i="3"/>
  <c r="BI76" i="3" s="1"/>
  <c r="BI76" i="1" s="1"/>
  <c r="O76" i="1"/>
  <c r="Q620" i="4"/>
  <c r="AN262" i="3" s="1"/>
  <c r="AN70" i="2" s="1"/>
  <c r="N620" i="4"/>
  <c r="Q25" i="4"/>
  <c r="N25" i="4"/>
  <c r="AO48" i="3"/>
  <c r="AO48" i="1" s="1"/>
  <c r="Q669" i="4"/>
  <c r="N669" i="4"/>
  <c r="P669" i="4" s="1"/>
  <c r="W339" i="3"/>
  <c r="Y339" i="3" s="1"/>
  <c r="BK302" i="3"/>
  <c r="Q733" i="4"/>
  <c r="N733" i="4"/>
  <c r="P733" i="4" s="1"/>
  <c r="AO92" i="3"/>
  <c r="AO92" i="1" s="1"/>
  <c r="AO352" i="3"/>
  <c r="W69" i="3"/>
  <c r="W365" i="3"/>
  <c r="Y365" i="3" s="1"/>
  <c r="N913" i="4"/>
  <c r="Q913" i="4"/>
  <c r="W386" i="3"/>
  <c r="Y386" i="3" s="1"/>
  <c r="Q455" i="4"/>
  <c r="N455" i="4"/>
  <c r="P455" i="4" s="1"/>
  <c r="U92" i="3"/>
  <c r="BI92" i="3"/>
  <c r="BI92" i="1" s="1"/>
  <c r="O92" i="1"/>
  <c r="BK167" i="3"/>
  <c r="AO109" i="3"/>
  <c r="Q579" i="4"/>
  <c r="N579" i="4"/>
  <c r="P579" i="4" s="1"/>
  <c r="AO148" i="3"/>
  <c r="AO177" i="3"/>
  <c r="N602" i="4"/>
  <c r="P602" i="4" s="1"/>
  <c r="Q602" i="4"/>
  <c r="Y289" i="3"/>
  <c r="Y97" i="2" s="1"/>
  <c r="W97" i="2"/>
  <c r="N580" i="4"/>
  <c r="P580" i="4" s="1"/>
  <c r="Q580" i="4"/>
  <c r="Q915" i="4"/>
  <c r="AN386" i="3" s="1"/>
  <c r="N915" i="4"/>
  <c r="V16" i="2"/>
  <c r="W208" i="3"/>
  <c r="BK208" i="3" s="1"/>
  <c r="BK16" i="2" s="1"/>
  <c r="AO126" i="3"/>
  <c r="AO89" i="3"/>
  <c r="AO89" i="1" s="1"/>
  <c r="V207" i="3"/>
  <c r="V15" i="2" s="1"/>
  <c r="P15" i="2"/>
  <c r="Q595" i="4"/>
  <c r="AN251" i="3" s="1"/>
  <c r="AN59" i="2" s="1"/>
  <c r="N595" i="4"/>
  <c r="N60" i="4"/>
  <c r="P60" i="4" s="1"/>
  <c r="Q60" i="4"/>
  <c r="Q880" i="4"/>
  <c r="N880" i="4"/>
  <c r="P880" i="4" s="1"/>
  <c r="N739" i="4"/>
  <c r="Q739" i="4"/>
  <c r="AN307" i="3" s="1"/>
  <c r="Q519" i="4"/>
  <c r="N519" i="4"/>
  <c r="P519" i="4" s="1"/>
  <c r="Q254" i="4"/>
  <c r="AN111" i="3" s="1"/>
  <c r="N254" i="4"/>
  <c r="Q232" i="4"/>
  <c r="N232" i="4"/>
  <c r="P232" i="4" s="1"/>
  <c r="AO250" i="3"/>
  <c r="AO58" i="2" s="1"/>
  <c r="Q77" i="4"/>
  <c r="N77" i="4"/>
  <c r="Q120" i="4"/>
  <c r="N120" i="4"/>
  <c r="P120" i="4" s="1"/>
  <c r="BJ99" i="3"/>
  <c r="BJ99" i="1" s="1"/>
  <c r="P99" i="1"/>
  <c r="V99" i="3"/>
  <c r="V99" i="1" s="1"/>
  <c r="N475" i="4"/>
  <c r="P475" i="4" s="1"/>
  <c r="Q475" i="4"/>
  <c r="N649" i="4"/>
  <c r="P649" i="4" s="1"/>
  <c r="Q649" i="4"/>
  <c r="Q576" i="4"/>
  <c r="N576" i="4"/>
  <c r="P576" i="4" s="1"/>
  <c r="AO372" i="3"/>
  <c r="AO242" i="3"/>
  <c r="AO50" i="2" s="1"/>
  <c r="Q906" i="4"/>
  <c r="N906" i="4"/>
  <c r="P906" i="4" s="1"/>
  <c r="Q827" i="4"/>
  <c r="N827" i="4"/>
  <c r="P827" i="4" s="1"/>
  <c r="AO232" i="3"/>
  <c r="AO40" i="2" s="1"/>
  <c r="AO169" i="3"/>
  <c r="N619" i="4"/>
  <c r="P619" i="4" s="1"/>
  <c r="Q619" i="4"/>
  <c r="Q678" i="4"/>
  <c r="N678" i="4"/>
  <c r="P678" i="4" s="1"/>
  <c r="AO213" i="3"/>
  <c r="AO21" i="2" s="1"/>
  <c r="Y213" i="3"/>
  <c r="Y21" i="2" s="1"/>
  <c r="W21" i="2"/>
  <c r="N421" i="4"/>
  <c r="P421" i="4" s="1"/>
  <c r="Q421" i="4"/>
  <c r="N531" i="4"/>
  <c r="P531" i="4" s="1"/>
  <c r="Q531" i="4"/>
  <c r="AO357" i="3"/>
  <c r="Q181" i="4"/>
  <c r="AN83" i="3" s="1"/>
  <c r="AN83" i="1" s="1"/>
  <c r="N181" i="4"/>
  <c r="N279" i="4"/>
  <c r="P279" i="4" s="1"/>
  <c r="Q279" i="4"/>
  <c r="Q725" i="4"/>
  <c r="AN301" i="3" s="1"/>
  <c r="N725" i="4"/>
  <c r="N867" i="4"/>
  <c r="P867" i="4" s="1"/>
  <c r="Q867" i="4"/>
  <c r="N146" i="4"/>
  <c r="Q146" i="4"/>
  <c r="AN70" i="3" s="1"/>
  <c r="AN70" i="1" s="1"/>
  <c r="Q20" i="4"/>
  <c r="N20" i="4"/>
  <c r="P20" i="4" s="1"/>
  <c r="N489" i="4"/>
  <c r="Q489" i="4"/>
  <c r="AO285" i="3"/>
  <c r="AO93" i="2" s="1"/>
  <c r="V290" i="3"/>
  <c r="V98" i="2" s="1"/>
  <c r="P98" i="2"/>
  <c r="Q384" i="4"/>
  <c r="N384" i="4"/>
  <c r="P384" i="4" s="1"/>
  <c r="AO262" i="3"/>
  <c r="AO70" i="2" s="1"/>
  <c r="W43" i="3"/>
  <c r="BK391" i="3"/>
  <c r="W391" i="3"/>
  <c r="Y391" i="3" s="1"/>
  <c r="AO16" i="3"/>
  <c r="AO16" i="1" s="1"/>
  <c r="Q168" i="4"/>
  <c r="AN78" i="3" s="1"/>
  <c r="AN78" i="1" s="1"/>
  <c r="N168" i="4"/>
  <c r="Q403" i="4"/>
  <c r="N403" i="4"/>
  <c r="P403" i="4" s="1"/>
  <c r="Q50" i="4"/>
  <c r="N50" i="4"/>
  <c r="P50" i="4" s="1"/>
  <c r="U19" i="1"/>
  <c r="W19" i="3"/>
  <c r="BK19" i="3"/>
  <c r="BK19" i="1" s="1"/>
  <c r="Q485" i="4"/>
  <c r="N485" i="4"/>
  <c r="P485" i="4" s="1"/>
  <c r="Q454" i="4"/>
  <c r="N454" i="4"/>
  <c r="Q209" i="4"/>
  <c r="N209" i="4"/>
  <c r="P209" i="4" s="1"/>
  <c r="Q405" i="4"/>
  <c r="N405" i="4"/>
  <c r="P405" i="4" s="1"/>
  <c r="W147" i="3"/>
  <c r="Y147" i="3" s="1"/>
  <c r="Q203" i="4"/>
  <c r="AN92" i="3" s="1"/>
  <c r="AN92" i="1" s="1"/>
  <c r="N203" i="4"/>
  <c r="N838" i="4"/>
  <c r="Q838" i="4"/>
  <c r="BJ26" i="3"/>
  <c r="BJ26" i="1" s="1"/>
  <c r="V26" i="3"/>
  <c r="V26" i="1" s="1"/>
  <c r="P26" i="1"/>
  <c r="N754" i="4"/>
  <c r="P754" i="4" s="1"/>
  <c r="Q754" i="4"/>
  <c r="N496" i="4"/>
  <c r="P496" i="4" s="1"/>
  <c r="Q496" i="4"/>
  <c r="AO193" i="3"/>
  <c r="Q229" i="4"/>
  <c r="N229" i="4"/>
  <c r="P229" i="4" s="1"/>
  <c r="V56" i="3"/>
  <c r="V56" i="1" s="1"/>
  <c r="BJ56" i="3"/>
  <c r="BJ56" i="1" s="1"/>
  <c r="P56" i="1"/>
  <c r="N835" i="4"/>
  <c r="Q835" i="4"/>
  <c r="BI67" i="3"/>
  <c r="BI67" i="1" s="1"/>
  <c r="U67" i="3"/>
  <c r="O67" i="1"/>
  <c r="AO351" i="3"/>
  <c r="AO304" i="3"/>
  <c r="U77" i="3"/>
  <c r="BI77" i="3" s="1"/>
  <c r="BI77" i="1" s="1"/>
  <c r="O77" i="1"/>
  <c r="Q894" i="4"/>
  <c r="N894" i="4"/>
  <c r="P894" i="4" s="1"/>
  <c r="U84" i="3"/>
  <c r="BI84" i="3"/>
  <c r="BI84" i="1" s="1"/>
  <c r="O84" i="1"/>
  <c r="AO246" i="3"/>
  <c r="AO54" i="2" s="1"/>
  <c r="AO311" i="3"/>
  <c r="Q116" i="4"/>
  <c r="AN56" i="3" s="1"/>
  <c r="AN56" i="1" s="1"/>
  <c r="N116" i="4"/>
  <c r="Q251" i="4"/>
  <c r="N251" i="4"/>
  <c r="Q704" i="4"/>
  <c r="N704" i="4"/>
  <c r="U38" i="3"/>
  <c r="BI38" i="3" s="1"/>
  <c r="BI38" i="1" s="1"/>
  <c r="O38" i="1"/>
  <c r="Q199" i="4"/>
  <c r="N199" i="4"/>
  <c r="P199" i="4" s="1"/>
  <c r="Q424" i="4"/>
  <c r="N424" i="4"/>
  <c r="P424" i="4" s="1"/>
  <c r="Q689" i="4"/>
  <c r="AN288" i="3" s="1"/>
  <c r="AN96" i="2" s="1"/>
  <c r="N689" i="4"/>
  <c r="Q443" i="4"/>
  <c r="N443" i="4"/>
  <c r="P443" i="4" s="1"/>
  <c r="N303" i="4"/>
  <c r="Q303" i="4"/>
  <c r="AN132" i="3" s="1"/>
  <c r="V72" i="3"/>
  <c r="BJ72" i="3" s="1"/>
  <c r="BJ72" i="1" s="1"/>
  <c r="P72" i="1"/>
  <c r="Q344" i="4"/>
  <c r="N344" i="4"/>
  <c r="P344" i="4" s="1"/>
  <c r="Q543" i="4"/>
  <c r="N543" i="4"/>
  <c r="P543" i="4" s="1"/>
  <c r="AO375" i="3"/>
  <c r="N410" i="4"/>
  <c r="P410" i="4" s="1"/>
  <c r="Q410" i="4"/>
  <c r="N417" i="4"/>
  <c r="P417" i="4" s="1"/>
  <c r="Q417" i="4"/>
  <c r="Q141" i="4"/>
  <c r="AN68" i="3" s="1"/>
  <c r="AN68" i="1" s="1"/>
  <c r="N141" i="4"/>
  <c r="N638" i="4"/>
  <c r="P638" i="4" s="1"/>
  <c r="Q638" i="4"/>
  <c r="AO278" i="3"/>
  <c r="AO86" i="2" s="1"/>
  <c r="Q765" i="4"/>
  <c r="N765" i="4"/>
  <c r="P765" i="4" s="1"/>
  <c r="Q541" i="4"/>
  <c r="N541" i="4"/>
  <c r="Q198" i="4"/>
  <c r="N198" i="4"/>
  <c r="AO44" i="3"/>
  <c r="AO44" i="1" s="1"/>
  <c r="AO185" i="3"/>
  <c r="U234" i="3"/>
  <c r="BI234" i="3"/>
  <c r="BI42" i="2" s="1"/>
  <c r="O42" i="2"/>
  <c r="W319" i="3"/>
  <c r="Y319" i="3" s="1"/>
  <c r="BK319" i="3"/>
  <c r="V259" i="3"/>
  <c r="V67" i="2" s="1"/>
  <c r="P67" i="2"/>
  <c r="BJ47" i="3"/>
  <c r="BJ47" i="1" s="1"/>
  <c r="V47" i="3"/>
  <c r="V47" i="1" s="1"/>
  <c r="P47" i="1"/>
  <c r="AO320" i="3"/>
  <c r="Q357" i="4"/>
  <c r="AN155" i="3" s="1"/>
  <c r="N357" i="4"/>
  <c r="Q900" i="4"/>
  <c r="N900" i="4"/>
  <c r="P900" i="4" s="1"/>
  <c r="N388" i="4"/>
  <c r="P388" i="4" s="1"/>
  <c r="Q388" i="4"/>
  <c r="AO276" i="3"/>
  <c r="AO84" i="2" s="1"/>
  <c r="Q175" i="4"/>
  <c r="N175" i="4"/>
  <c r="P175" i="4" s="1"/>
  <c r="U73" i="3"/>
  <c r="O73" i="1"/>
  <c r="Q205" i="4"/>
  <c r="N205" i="4"/>
  <c r="P205" i="4" s="1"/>
  <c r="U45" i="1"/>
  <c r="W45" i="3"/>
  <c r="BK45" i="3"/>
  <c r="BK45" i="1" s="1"/>
  <c r="AO168" i="3"/>
  <c r="Q735" i="4"/>
  <c r="N735" i="4"/>
  <c r="P735" i="4" s="1"/>
  <c r="AO345" i="3"/>
  <c r="Q670" i="4"/>
  <c r="AN281" i="3" s="1"/>
  <c r="AN89" i="2" s="1"/>
  <c r="N670" i="4"/>
  <c r="N245" i="4"/>
  <c r="P245" i="4" s="1"/>
  <c r="Q245" i="4"/>
  <c r="Y270" i="3"/>
  <c r="Y78" i="2" s="1"/>
  <c r="W78" i="2"/>
  <c r="N322" i="4"/>
  <c r="Q322" i="4"/>
  <c r="AN140" i="3" s="1"/>
  <c r="AO14" i="3"/>
  <c r="AO14" i="1" s="1"/>
  <c r="W226" i="3"/>
  <c r="AO195" i="3"/>
  <c r="AO263" i="3"/>
  <c r="AO71" i="2" s="1"/>
  <c r="AO208" i="3"/>
  <c r="AO16" i="2" s="1"/>
  <c r="Q30" i="4"/>
  <c r="N30" i="4"/>
  <c r="P30" i="4" s="1"/>
  <c r="Q240" i="4"/>
  <c r="N240" i="4"/>
  <c r="P240" i="4" s="1"/>
  <c r="N819" i="4"/>
  <c r="P819" i="4" s="1"/>
  <c r="Q819" i="4"/>
  <c r="AO28" i="3"/>
  <c r="AO28" i="1" s="1"/>
  <c r="AO157" i="3"/>
  <c r="Q652" i="4"/>
  <c r="N652" i="4"/>
  <c r="P652" i="4" s="1"/>
  <c r="Q187" i="4"/>
  <c r="N187" i="4"/>
  <c r="P187" i="4" s="1"/>
  <c r="V280" i="3"/>
  <c r="V88" i="2" s="1"/>
  <c r="BJ280" i="3"/>
  <c r="BJ88" i="2" s="1"/>
  <c r="P88" i="2"/>
  <c r="AO292" i="3"/>
  <c r="AO100" i="2" s="1"/>
  <c r="Q797" i="4"/>
  <c r="N797" i="4"/>
  <c r="P797" i="4" s="1"/>
  <c r="N925" i="4"/>
  <c r="Q925" i="4"/>
  <c r="AN391" i="3" s="1"/>
  <c r="Q18" i="4"/>
  <c r="N18" i="4"/>
  <c r="Q90" i="4"/>
  <c r="N90" i="4"/>
  <c r="P90" i="4" s="1"/>
  <c r="Q642" i="4"/>
  <c r="AN270" i="3" s="1"/>
  <c r="AN78" i="2" s="1"/>
  <c r="N642" i="4"/>
  <c r="N753" i="4"/>
  <c r="Q753" i="4"/>
  <c r="U23" i="2"/>
  <c r="W215" i="3"/>
  <c r="Q338" i="4"/>
  <c r="N338" i="4"/>
  <c r="P338" i="4" s="1"/>
  <c r="Q907" i="4"/>
  <c r="AN382" i="3" s="1"/>
  <c r="N907" i="4"/>
  <c r="N166" i="4"/>
  <c r="P166" i="4" s="1"/>
  <c r="Q166" i="4"/>
  <c r="BK128" i="3"/>
  <c r="AO295" i="3"/>
  <c r="AO103" i="2" s="1"/>
  <c r="Q585" i="4"/>
  <c r="AN246" i="3" s="1"/>
  <c r="AN54" i="2" s="1"/>
  <c r="N585" i="4"/>
  <c r="AO56" i="3"/>
  <c r="AO56" i="1" s="1"/>
  <c r="BK66" i="3"/>
  <c r="BK66" i="1" s="1"/>
  <c r="AO110" i="3"/>
  <c r="Q313" i="4"/>
  <c r="N313" i="4"/>
  <c r="AO293" i="3"/>
  <c r="AO101" i="2" s="1"/>
  <c r="W293" i="3"/>
  <c r="Q100" i="4"/>
  <c r="N100" i="4"/>
  <c r="P100" i="4" s="1"/>
  <c r="Q58" i="4"/>
  <c r="N58" i="4"/>
  <c r="P58" i="4" s="1"/>
  <c r="U262" i="3"/>
  <c r="BI262" i="3" s="1"/>
  <c r="BI70" i="2" s="1"/>
  <c r="O70" i="2"/>
  <c r="Q521" i="4"/>
  <c r="N521" i="4"/>
  <c r="P521" i="4" s="1"/>
  <c r="AO132" i="3"/>
  <c r="N28" i="4"/>
  <c r="P28" i="4" s="1"/>
  <c r="Q28" i="4"/>
  <c r="Q732" i="4"/>
  <c r="N732" i="4"/>
  <c r="U92" i="2" l="1"/>
  <c r="W284" i="3"/>
  <c r="BK284" i="3"/>
  <c r="BK92" i="2" s="1"/>
  <c r="U17" i="1"/>
  <c r="W17" i="3"/>
  <c r="BK17" i="3"/>
  <c r="BK17" i="1" s="1"/>
  <c r="Y235" i="3"/>
  <c r="Y43" i="2" s="1"/>
  <c r="W43" i="2"/>
  <c r="P516" i="4"/>
  <c r="AM217" i="3"/>
  <c r="AM25" i="2" s="1"/>
  <c r="U103" i="2"/>
  <c r="W295" i="3"/>
  <c r="BK295" i="3"/>
  <c r="BK103" i="2" s="1"/>
  <c r="P670" i="4"/>
  <c r="AM281" i="3"/>
  <c r="AM89" i="2" s="1"/>
  <c r="P838" i="4"/>
  <c r="AM352" i="3"/>
  <c r="P181" i="4"/>
  <c r="AM83" i="3"/>
  <c r="AM83" i="1" s="1"/>
  <c r="P337" i="4"/>
  <c r="AM146" i="3"/>
  <c r="U14" i="2"/>
  <c r="W206" i="3"/>
  <c r="BK206" i="3" s="1"/>
  <c r="BK14" i="2" s="1"/>
  <c r="AN17" i="3"/>
  <c r="AN17" i="1" s="1"/>
  <c r="P828" i="4"/>
  <c r="AM348" i="3"/>
  <c r="P745" i="4"/>
  <c r="AM309" i="3"/>
  <c r="P243" i="4"/>
  <c r="AM107" i="3"/>
  <c r="AN64" i="3"/>
  <c r="AN64" i="1" s="1"/>
  <c r="P514" i="4"/>
  <c r="AM216" i="3"/>
  <c r="AM24" i="2" s="1"/>
  <c r="P418" i="4"/>
  <c r="AM179" i="3"/>
  <c r="P225" i="4"/>
  <c r="AM100" i="3"/>
  <c r="AM100" i="1" s="1"/>
  <c r="AN30" i="3"/>
  <c r="AN30" i="1" s="1"/>
  <c r="V28" i="2"/>
  <c r="BK220" i="3"/>
  <c r="BK28" i="2" s="1"/>
  <c r="AN43" i="3"/>
  <c r="AN43" i="1" s="1"/>
  <c r="P722" i="4"/>
  <c r="AM300" i="3"/>
  <c r="AN108" i="3"/>
  <c r="BJ283" i="3"/>
  <c r="BJ91" i="2" s="1"/>
  <c r="P206" i="4"/>
  <c r="AM93" i="3"/>
  <c r="AM93" i="1" s="1"/>
  <c r="P495" i="4"/>
  <c r="AM208" i="3"/>
  <c r="AM16" i="2" s="1"/>
  <c r="Y25" i="3"/>
  <c r="Y25" i="1" s="1"/>
  <c r="W25" i="1"/>
  <c r="AN28" i="3"/>
  <c r="AN28" i="1" s="1"/>
  <c r="P551" i="4"/>
  <c r="AM232" i="3"/>
  <c r="AM40" i="2" s="1"/>
  <c r="P412" i="4"/>
  <c r="AM177" i="3"/>
  <c r="P113" i="4"/>
  <c r="AM55" i="3"/>
  <c r="AM55" i="1" s="1"/>
  <c r="AN334" i="3"/>
  <c r="P709" i="4"/>
  <c r="AM295" i="3"/>
  <c r="AM103" i="2" s="1"/>
  <c r="BK115" i="3"/>
  <c r="Y58" i="3"/>
  <c r="Y58" i="1" s="1"/>
  <c r="W58" i="1"/>
  <c r="U103" i="1"/>
  <c r="W103" i="3"/>
  <c r="AN51" i="3"/>
  <c r="AN51" i="1" s="1"/>
  <c r="P415" i="4"/>
  <c r="AM178" i="3"/>
  <c r="BK154" i="3"/>
  <c r="Y94" i="3"/>
  <c r="Y94" i="1" s="1"/>
  <c r="W94" i="1"/>
  <c r="BK297" i="3"/>
  <c r="P420" i="4"/>
  <c r="AM180" i="3"/>
  <c r="P810" i="4"/>
  <c r="AM339" i="3"/>
  <c r="P404" i="4"/>
  <c r="AM174" i="3"/>
  <c r="P923" i="4"/>
  <c r="AM390" i="3"/>
  <c r="P27" i="4"/>
  <c r="AM17" i="3"/>
  <c r="AM17" i="1" s="1"/>
  <c r="P359" i="4"/>
  <c r="AM156" i="3"/>
  <c r="P363" i="4"/>
  <c r="AM158" i="3"/>
  <c r="P802" i="4"/>
  <c r="AM336" i="3"/>
  <c r="P826" i="4"/>
  <c r="AM347" i="3"/>
  <c r="Y392" i="3"/>
  <c r="BK392" i="3"/>
  <c r="P863" i="4"/>
  <c r="AM361" i="3"/>
  <c r="P392" i="4"/>
  <c r="AM170" i="3"/>
  <c r="AN148" i="3"/>
  <c r="P347" i="4"/>
  <c r="AM150" i="3"/>
  <c r="AN166" i="3"/>
  <c r="U75" i="1"/>
  <c r="W75" i="3"/>
  <c r="BK75" i="3" s="1"/>
  <c r="BK75" i="1" s="1"/>
  <c r="P800" i="4"/>
  <c r="AM335" i="3"/>
  <c r="P824" i="4"/>
  <c r="AM346" i="3"/>
  <c r="P162" i="4"/>
  <c r="AM76" i="3"/>
  <c r="AM76" i="1" s="1"/>
  <c r="P349" i="4"/>
  <c r="AM151" i="3"/>
  <c r="BK371" i="3"/>
  <c r="P623" i="4"/>
  <c r="AM263" i="3"/>
  <c r="AM71" i="2" s="1"/>
  <c r="P899" i="4"/>
  <c r="AM379" i="3"/>
  <c r="U81" i="1"/>
  <c r="W81" i="3"/>
  <c r="BK81" i="3" s="1"/>
  <c r="BK81" i="1" s="1"/>
  <c r="P83" i="4"/>
  <c r="AM44" i="3"/>
  <c r="AM44" i="1" s="1"/>
  <c r="AN380" i="3"/>
  <c r="AN29" i="3"/>
  <c r="AN29" i="1" s="1"/>
  <c r="U67" i="1"/>
  <c r="W67" i="3"/>
  <c r="BK67" i="3"/>
  <c r="BK67" i="1" s="1"/>
  <c r="P595" i="4"/>
  <c r="AM251" i="3"/>
  <c r="AM59" i="2" s="1"/>
  <c r="P593" i="4"/>
  <c r="AM250" i="3"/>
  <c r="AM58" i="2" s="1"/>
  <c r="AN176" i="3"/>
  <c r="AN286" i="3"/>
  <c r="AN94" i="2" s="1"/>
  <c r="P846" i="4"/>
  <c r="AM355" i="3"/>
  <c r="P191" i="4"/>
  <c r="AM87" i="3"/>
  <c r="AM87" i="1" s="1"/>
  <c r="AN338" i="3"/>
  <c r="P13" i="4"/>
  <c r="AM11" i="3"/>
  <c r="AM11" i="1" s="1"/>
  <c r="AN163" i="3"/>
  <c r="P625" i="4"/>
  <c r="AM264" i="3"/>
  <c r="AM72" i="2" s="1"/>
  <c r="P176" i="4"/>
  <c r="AM81" i="3"/>
  <c r="AM81" i="1" s="1"/>
  <c r="AN69" i="3"/>
  <c r="AN69" i="1" s="1"/>
  <c r="AN161" i="3"/>
  <c r="AN159" i="3"/>
  <c r="U37" i="1"/>
  <c r="W37" i="3"/>
  <c r="BK37" i="3"/>
  <c r="BK37" i="1" s="1"/>
  <c r="P686" i="4"/>
  <c r="AM287" i="3"/>
  <c r="AM95" i="2" s="1"/>
  <c r="AN336" i="3"/>
  <c r="P791" i="4"/>
  <c r="AM331" i="3"/>
  <c r="U80" i="2"/>
  <c r="BK272" i="3"/>
  <c r="BK80" i="2" s="1"/>
  <c r="W272" i="3"/>
  <c r="P774" i="4"/>
  <c r="AM321" i="3"/>
  <c r="P506" i="4"/>
  <c r="AM212" i="3"/>
  <c r="AM20" i="2" s="1"/>
  <c r="P660" i="4"/>
  <c r="AM277" i="3"/>
  <c r="AM85" i="2" s="1"/>
  <c r="P895" i="4"/>
  <c r="AM377" i="3"/>
  <c r="P498" i="4"/>
  <c r="AM209" i="3"/>
  <c r="AM17" i="2" s="1"/>
  <c r="BK370" i="3"/>
  <c r="AN170" i="3"/>
  <c r="P98" i="4"/>
  <c r="AM49" i="3"/>
  <c r="AM49" i="1" s="1"/>
  <c r="P217" i="4"/>
  <c r="AM97" i="3"/>
  <c r="AM97" i="1" s="1"/>
  <c r="BJ272" i="3"/>
  <c r="BJ80" i="2" s="1"/>
  <c r="P884" i="4"/>
  <c r="AM372" i="3"/>
  <c r="BK385" i="3"/>
  <c r="P262" i="4"/>
  <c r="AM114" i="3"/>
  <c r="AN150" i="3"/>
  <c r="BK147" i="3"/>
  <c r="BI75" i="3"/>
  <c r="BI75" i="1" s="1"/>
  <c r="AN241" i="3"/>
  <c r="AN49" i="2" s="1"/>
  <c r="BK360" i="3"/>
  <c r="AN346" i="3"/>
  <c r="AN306" i="3"/>
  <c r="P460" i="4"/>
  <c r="AM195" i="3"/>
  <c r="AN58" i="3"/>
  <c r="AN58" i="1" s="1"/>
  <c r="AN76" i="3"/>
  <c r="AN76" i="1" s="1"/>
  <c r="P658" i="4"/>
  <c r="AM276" i="3"/>
  <c r="AM84" i="2" s="1"/>
  <c r="U55" i="2"/>
  <c r="W247" i="3"/>
  <c r="BK247" i="3"/>
  <c r="BK55" i="2" s="1"/>
  <c r="P689" i="4"/>
  <c r="AM288" i="3"/>
  <c r="AM96" i="2" s="1"/>
  <c r="P583" i="4"/>
  <c r="AM245" i="3"/>
  <c r="AM53" i="2" s="1"/>
  <c r="P63" i="4"/>
  <c r="AM35" i="3"/>
  <c r="AM35" i="1" s="1"/>
  <c r="U11" i="2"/>
  <c r="BK203" i="3"/>
  <c r="BK11" i="2" s="1"/>
  <c r="W203" i="3"/>
  <c r="U95" i="2"/>
  <c r="W287" i="3"/>
  <c r="BK287" i="3"/>
  <c r="BK95" i="2" s="1"/>
  <c r="P81" i="4"/>
  <c r="AM43" i="3"/>
  <c r="AM43" i="1" s="1"/>
  <c r="P533" i="4"/>
  <c r="AM225" i="3"/>
  <c r="AM33" i="2" s="1"/>
  <c r="AN348" i="3"/>
  <c r="P481" i="4"/>
  <c r="AM203" i="3"/>
  <c r="AM11" i="2" s="1"/>
  <c r="BK339" i="3"/>
  <c r="P51" i="4"/>
  <c r="AM29" i="3"/>
  <c r="AM29" i="1" s="1"/>
  <c r="P33" i="4"/>
  <c r="AM20" i="3"/>
  <c r="AM20" i="1" s="1"/>
  <c r="Y29" i="3"/>
  <c r="Y29" i="1" s="1"/>
  <c r="W29" i="1"/>
  <c r="BK29" i="3"/>
  <c r="BK29" i="1" s="1"/>
  <c r="P389" i="4"/>
  <c r="AM169" i="3"/>
  <c r="AN379" i="3"/>
  <c r="P919" i="4"/>
  <c r="AM388" i="3"/>
  <c r="AN102" i="3"/>
  <c r="AN102" i="1" s="1"/>
  <c r="AN312" i="3"/>
  <c r="Y275" i="3"/>
  <c r="Y83" i="2" s="1"/>
  <c r="W83" i="2"/>
  <c r="P684" i="4"/>
  <c r="AM286" i="3"/>
  <c r="AM94" i="2" s="1"/>
  <c r="P43" i="4"/>
  <c r="AM25" i="3"/>
  <c r="AM25" i="1" s="1"/>
  <c r="Y282" i="3"/>
  <c r="Y90" i="2" s="1"/>
  <c r="W90" i="2"/>
  <c r="AN355" i="3"/>
  <c r="AN11" i="3"/>
  <c r="AN11" i="1" s="1"/>
  <c r="P692" i="4"/>
  <c r="AM289" i="3"/>
  <c r="AM97" i="2" s="1"/>
  <c r="P375" i="4"/>
  <c r="AM163" i="3"/>
  <c r="AN81" i="3"/>
  <c r="AN81" i="1" s="1"/>
  <c r="P143" i="4"/>
  <c r="AM69" i="3"/>
  <c r="AM69" i="1" s="1"/>
  <c r="P366" i="4"/>
  <c r="AM159" i="3"/>
  <c r="AN287" i="3"/>
  <c r="AN95" i="2" s="1"/>
  <c r="V97" i="1"/>
  <c r="W97" i="3"/>
  <c r="BK97" i="3" s="1"/>
  <c r="BK97" i="1" s="1"/>
  <c r="U56" i="1"/>
  <c r="W56" i="3"/>
  <c r="BK56" i="3"/>
  <c r="BK56" i="1" s="1"/>
  <c r="P832" i="4"/>
  <c r="AM350" i="3"/>
  <c r="P441" i="4"/>
  <c r="AM188" i="3"/>
  <c r="BK179" i="3"/>
  <c r="AN344" i="3"/>
  <c r="AN310" i="3"/>
  <c r="U33" i="2"/>
  <c r="W225" i="3"/>
  <c r="BK225" i="3"/>
  <c r="BK33" i="2" s="1"/>
  <c r="U40" i="1"/>
  <c r="W40" i="3"/>
  <c r="BK40" i="3"/>
  <c r="BK40" i="1" s="1"/>
  <c r="AN212" i="3"/>
  <c r="AN20" i="2" s="1"/>
  <c r="M476" i="4"/>
  <c r="I477" i="4"/>
  <c r="J477" i="4" s="1"/>
  <c r="BK149" i="3"/>
  <c r="U68" i="1"/>
  <c r="W68" i="3"/>
  <c r="BK68" i="3"/>
  <c r="BK68" i="1" s="1"/>
  <c r="P653" i="4"/>
  <c r="AM274" i="3"/>
  <c r="AM82" i="2" s="1"/>
  <c r="P698" i="4"/>
  <c r="AM291" i="3"/>
  <c r="AM99" i="2" s="1"/>
  <c r="P165" i="4"/>
  <c r="AM77" i="3"/>
  <c r="AM77" i="1" s="1"/>
  <c r="P682" i="4"/>
  <c r="AM285" i="3"/>
  <c r="AM93" i="2" s="1"/>
  <c r="AN49" i="3"/>
  <c r="AN49" i="1" s="1"/>
  <c r="BK160" i="3"/>
  <c r="AN97" i="3"/>
  <c r="AN97" i="1" s="1"/>
  <c r="BK158" i="3"/>
  <c r="AN372" i="3"/>
  <c r="P764" i="4"/>
  <c r="AM317" i="3"/>
  <c r="P805" i="4"/>
  <c r="AM337" i="3"/>
  <c r="AN114" i="3"/>
  <c r="U31" i="1"/>
  <c r="BK31" i="3"/>
  <c r="BK31" i="1" s="1"/>
  <c r="W31" i="3"/>
  <c r="AN273" i="3"/>
  <c r="AN81" i="2" s="1"/>
  <c r="P572" i="4"/>
  <c r="AM241" i="3"/>
  <c r="AM49" i="2" s="1"/>
  <c r="AN354" i="3"/>
  <c r="U83" i="1"/>
  <c r="W83" i="3"/>
  <c r="BK83" i="3"/>
  <c r="BK83" i="1" s="1"/>
  <c r="P558" i="4"/>
  <c r="AM235" i="3"/>
  <c r="AM43" i="2" s="1"/>
  <c r="P736" i="4"/>
  <c r="AM306" i="3"/>
  <c r="AN195" i="3"/>
  <c r="P121" i="4"/>
  <c r="AM58" i="3"/>
  <c r="AM58" i="1" s="1"/>
  <c r="AN311" i="3"/>
  <c r="W56" i="2"/>
  <c r="Y248" i="3"/>
  <c r="Y56" i="2" s="1"/>
  <c r="AN276" i="3"/>
  <c r="AN84" i="2" s="1"/>
  <c r="P57" i="4"/>
  <c r="AM32" i="3"/>
  <c r="AM32" i="1" s="1"/>
  <c r="P148" i="4"/>
  <c r="AM71" i="3"/>
  <c r="AM71" i="1" s="1"/>
  <c r="U75" i="2"/>
  <c r="W267" i="3"/>
  <c r="BK267" i="3"/>
  <c r="BK75" i="2" s="1"/>
  <c r="P875" i="4"/>
  <c r="AM368" i="3"/>
  <c r="P61" i="4"/>
  <c r="AM34" i="3"/>
  <c r="AM34" i="1" s="1"/>
  <c r="P907" i="4"/>
  <c r="AM382" i="3"/>
  <c r="P357" i="4"/>
  <c r="AM155" i="3"/>
  <c r="P739" i="4"/>
  <c r="AM307" i="3"/>
  <c r="AN295" i="3"/>
  <c r="AN103" i="2" s="1"/>
  <c r="P111" i="4"/>
  <c r="AM54" i="3"/>
  <c r="AM54" i="1" s="1"/>
  <c r="P103" i="4"/>
  <c r="AM51" i="3"/>
  <c r="AM51" i="1" s="1"/>
  <c r="P105" i="4"/>
  <c r="AM52" i="3"/>
  <c r="AM52" i="1" s="1"/>
  <c r="P141" i="4"/>
  <c r="AM68" i="3"/>
  <c r="AM68" i="1" s="1"/>
  <c r="Y43" i="3"/>
  <c r="Y43" i="1" s="1"/>
  <c r="W43" i="1"/>
  <c r="P901" i="4"/>
  <c r="AM380" i="3"/>
  <c r="P222" i="4"/>
  <c r="AM99" i="3"/>
  <c r="AM99" i="1" s="1"/>
  <c r="V26" i="2"/>
  <c r="W218" i="3"/>
  <c r="P382" i="4"/>
  <c r="AM166" i="3"/>
  <c r="U38" i="1"/>
  <c r="W38" i="3"/>
  <c r="BK38" i="3"/>
  <c r="BK38" i="1" s="1"/>
  <c r="AN351" i="3"/>
  <c r="P25" i="4"/>
  <c r="AM16" i="3"/>
  <c r="AM16" i="1" s="1"/>
  <c r="U59" i="2"/>
  <c r="W251" i="3"/>
  <c r="AN121" i="3"/>
  <c r="P355" i="4"/>
  <c r="AM154" i="3"/>
  <c r="AN289" i="3"/>
  <c r="AN97" i="2" s="1"/>
  <c r="P119" i="4"/>
  <c r="AM57" i="3"/>
  <c r="AM57" i="1" s="1"/>
  <c r="P487" i="4"/>
  <c r="AM205" i="3"/>
  <c r="AM13" i="2" s="1"/>
  <c r="P194" i="4"/>
  <c r="AM88" i="3"/>
  <c r="AM88" i="1" s="1"/>
  <c r="U96" i="1"/>
  <c r="W96" i="3"/>
  <c r="P55" i="4"/>
  <c r="AM31" i="3"/>
  <c r="AM31" i="1" s="1"/>
  <c r="U95" i="1"/>
  <c r="W95" i="3"/>
  <c r="BK95" i="3"/>
  <c r="BK95" i="1" s="1"/>
  <c r="P425" i="4"/>
  <c r="AM182" i="3"/>
  <c r="AN188" i="3"/>
  <c r="P820" i="4"/>
  <c r="AM344" i="3"/>
  <c r="P747" i="4"/>
  <c r="AM310" i="3"/>
  <c r="V36" i="1"/>
  <c r="W36" i="3"/>
  <c r="BK36" i="3"/>
  <c r="BK36" i="1" s="1"/>
  <c r="U100" i="2"/>
  <c r="W292" i="3"/>
  <c r="BK292" i="3"/>
  <c r="BK100" i="2" s="1"/>
  <c r="AN201" i="3"/>
  <c r="AN9" i="2" s="1"/>
  <c r="AN274" i="3"/>
  <c r="AN82" i="2" s="1"/>
  <c r="AN291" i="3"/>
  <c r="AN99" i="2" s="1"/>
  <c r="AN77" i="3"/>
  <c r="AN77" i="1" s="1"/>
  <c r="AN285" i="3"/>
  <c r="AN93" i="2" s="1"/>
  <c r="P351" i="4"/>
  <c r="AM152" i="3"/>
  <c r="AN317" i="3"/>
  <c r="AN337" i="3"/>
  <c r="BK373" i="3"/>
  <c r="AN219" i="3"/>
  <c r="AN27" i="2" s="1"/>
  <c r="P59" i="4"/>
  <c r="AM33" i="3"/>
  <c r="AM33" i="1" s="1"/>
  <c r="P650" i="4"/>
  <c r="AM273" i="3"/>
  <c r="AM81" i="2" s="1"/>
  <c r="P844" i="4"/>
  <c r="AM354" i="3"/>
  <c r="P780" i="4"/>
  <c r="AM324" i="3"/>
  <c r="U11" i="1"/>
  <c r="W11" i="3"/>
  <c r="BK11" i="3"/>
  <c r="BK11" i="1" s="1"/>
  <c r="AN235" i="3"/>
  <c r="AN43" i="2" s="1"/>
  <c r="P793" i="4"/>
  <c r="AM332" i="3"/>
  <c r="U64" i="1"/>
  <c r="W64" i="3"/>
  <c r="BK351" i="3"/>
  <c r="AN389" i="3"/>
  <c r="BK335" i="3"/>
  <c r="P750" i="4"/>
  <c r="AM311" i="3"/>
  <c r="P15" i="4"/>
  <c r="AM12" i="3"/>
  <c r="AM12" i="1" s="1"/>
  <c r="P567" i="4"/>
  <c r="AM239" i="3"/>
  <c r="AM47" i="2" s="1"/>
  <c r="BJ237" i="3"/>
  <c r="BJ45" i="2" s="1"/>
  <c r="P569" i="4"/>
  <c r="AM240" i="3"/>
  <c r="AM48" i="2" s="1"/>
  <c r="Y104" i="3"/>
  <c r="Y104" i="1" s="1"/>
  <c r="W104" i="1"/>
  <c r="V76" i="2"/>
  <c r="W268" i="3"/>
  <c r="P538" i="4"/>
  <c r="AM227" i="3"/>
  <c r="AM35" i="2" s="1"/>
  <c r="Y229" i="3"/>
  <c r="Y37" i="2" s="1"/>
  <c r="W37" i="2"/>
  <c r="P231" i="4"/>
  <c r="AM102" i="3"/>
  <c r="AM102" i="1" s="1"/>
  <c r="AN203" i="3"/>
  <c r="AN11" i="2" s="1"/>
  <c r="U54" i="2"/>
  <c r="W246" i="3"/>
  <c r="BK246" i="3" s="1"/>
  <c r="BK54" i="2" s="1"/>
  <c r="BK131" i="3"/>
  <c r="V54" i="1"/>
  <c r="W54" i="3"/>
  <c r="BK54" i="3" s="1"/>
  <c r="BK54" i="1" s="1"/>
  <c r="P446" i="4"/>
  <c r="AM190" i="3"/>
  <c r="Y215" i="3"/>
  <c r="Y23" i="2" s="1"/>
  <c r="W23" i="2"/>
  <c r="BK215" i="3"/>
  <c r="BK23" i="2" s="1"/>
  <c r="P68" i="4"/>
  <c r="AM37" i="3"/>
  <c r="AM37" i="1" s="1"/>
  <c r="AN20" i="3"/>
  <c r="AN20" i="1" s="1"/>
  <c r="P371" i="4"/>
  <c r="AM161" i="3"/>
  <c r="P753" i="4"/>
  <c r="AM312" i="3"/>
  <c r="P673" i="4"/>
  <c r="AM282" i="3"/>
  <c r="AM90" i="2" s="1"/>
  <c r="P642" i="4"/>
  <c r="AM270" i="3"/>
  <c r="AM78" i="2" s="1"/>
  <c r="Y45" i="3"/>
  <c r="Y45" i="1" s="1"/>
  <c r="W45" i="1"/>
  <c r="BJ259" i="3"/>
  <c r="BJ67" i="2" s="1"/>
  <c r="P704" i="4"/>
  <c r="AM293" i="3"/>
  <c r="AM101" i="2" s="1"/>
  <c r="P835" i="4"/>
  <c r="AM351" i="3"/>
  <c r="BJ290" i="3"/>
  <c r="BJ98" i="2" s="1"/>
  <c r="BJ207" i="3"/>
  <c r="BJ15" i="2" s="1"/>
  <c r="AN16" i="3"/>
  <c r="AN16" i="1" s="1"/>
  <c r="P861" i="4"/>
  <c r="AM360" i="3"/>
  <c r="AN282" i="3"/>
  <c r="AN90" i="2" s="1"/>
  <c r="P41" i="4"/>
  <c r="AM24" i="3"/>
  <c r="AM24" i="1" s="1"/>
  <c r="BJ96" i="3"/>
  <c r="BJ96" i="1" s="1"/>
  <c r="P278" i="4"/>
  <c r="AM121" i="3"/>
  <c r="BK365" i="3"/>
  <c r="V24" i="1"/>
  <c r="W24" i="3"/>
  <c r="BK24" i="3"/>
  <c r="BK24" i="1" s="1"/>
  <c r="AN283" i="3"/>
  <c r="AN91" i="2" s="1"/>
  <c r="P233" i="4"/>
  <c r="AM103" i="3"/>
  <c r="AM103" i="1" s="1"/>
  <c r="AN154" i="3"/>
  <c r="AN57" i="3"/>
  <c r="AN57" i="1" s="1"/>
  <c r="AN205" i="3"/>
  <c r="AN13" i="2" s="1"/>
  <c r="AN88" i="3"/>
  <c r="AN88" i="1" s="1"/>
  <c r="BK136" i="3"/>
  <c r="P320" i="4"/>
  <c r="AM139" i="3"/>
  <c r="BI96" i="3"/>
  <c r="BI96" i="1" s="1"/>
  <c r="P139" i="4"/>
  <c r="AM67" i="3"/>
  <c r="AM67" i="1" s="1"/>
  <c r="P47" i="4"/>
  <c r="AM27" i="3"/>
  <c r="AM27" i="1" s="1"/>
  <c r="Y52" i="3"/>
  <c r="Y52" i="1" s="1"/>
  <c r="W52" i="1"/>
  <c r="BK52" i="3"/>
  <c r="BK52" i="1" s="1"/>
  <c r="P786" i="4"/>
  <c r="AM329" i="3"/>
  <c r="BK106" i="3"/>
  <c r="P881" i="4"/>
  <c r="AM371" i="3"/>
  <c r="BI292" i="3"/>
  <c r="BI100" i="2" s="1"/>
  <c r="P476" i="4"/>
  <c r="AM201" i="3"/>
  <c r="AM9" i="2" s="1"/>
  <c r="AN152" i="3"/>
  <c r="AN138" i="3"/>
  <c r="P520" i="4"/>
  <c r="AM219" i="3"/>
  <c r="AM27" i="2" s="1"/>
  <c r="AN33" i="3"/>
  <c r="AN33" i="1" s="1"/>
  <c r="BK186" i="3"/>
  <c r="AN324" i="3"/>
  <c r="BK242" i="3"/>
  <c r="BK50" i="2" s="1"/>
  <c r="AN332" i="3"/>
  <c r="P186" i="4"/>
  <c r="AM85" i="3"/>
  <c r="AM85" i="1" s="1"/>
  <c r="P921" i="4"/>
  <c r="AM389" i="3"/>
  <c r="AN12" i="3"/>
  <c r="AN12" i="1" s="1"/>
  <c r="P849" i="4"/>
  <c r="AM356" i="3"/>
  <c r="P153" i="4"/>
  <c r="AM73" i="3"/>
  <c r="AM73" i="1" s="1"/>
  <c r="U68" i="2"/>
  <c r="W260" i="3"/>
  <c r="BK260" i="3" s="1"/>
  <c r="BK68" i="2" s="1"/>
  <c r="U47" i="2"/>
  <c r="BK239" i="3"/>
  <c r="BK47" i="2" s="1"/>
  <c r="W239" i="3"/>
  <c r="AN107" i="3"/>
  <c r="AN129" i="3"/>
  <c r="P782" i="4"/>
  <c r="AM325" i="3"/>
  <c r="BK354" i="3"/>
  <c r="BK112" i="3"/>
  <c r="BJ13" i="3"/>
  <c r="BJ13" i="1" s="1"/>
  <c r="P868" i="4"/>
  <c r="AM363" i="3"/>
  <c r="U24" i="2"/>
  <c r="BK216" i="3"/>
  <c r="BK24" i="2" s="1"/>
  <c r="W216" i="3"/>
  <c r="P808" i="4"/>
  <c r="AM338" i="3"/>
  <c r="P123" i="4"/>
  <c r="AM59" i="3"/>
  <c r="AM59" i="1" s="1"/>
  <c r="AN24" i="3"/>
  <c r="AN24" i="1" s="1"/>
  <c r="P70" i="4"/>
  <c r="AM38" i="3"/>
  <c r="AM38" i="1" s="1"/>
  <c r="P609" i="4"/>
  <c r="AM257" i="3"/>
  <c r="AM65" i="2" s="1"/>
  <c r="U31" i="2"/>
  <c r="BK223" i="3"/>
  <c r="BK31" i="2" s="1"/>
  <c r="W223" i="3"/>
  <c r="P615" i="4"/>
  <c r="AM260" i="3"/>
  <c r="AM68" i="2" s="1"/>
  <c r="P676" i="4"/>
  <c r="AM283" i="3"/>
  <c r="AM91" i="2" s="1"/>
  <c r="P241" i="4"/>
  <c r="AM106" i="3"/>
  <c r="AN103" i="3"/>
  <c r="AN103" i="1" s="1"/>
  <c r="V35" i="1"/>
  <c r="BK35" i="3"/>
  <c r="BK35" i="1" s="1"/>
  <c r="P893" i="4"/>
  <c r="AM376" i="3"/>
  <c r="P549" i="4"/>
  <c r="AM231" i="3"/>
  <c r="AM39" i="2" s="1"/>
  <c r="P858" i="4"/>
  <c r="AM359" i="3"/>
  <c r="AN139" i="3"/>
  <c r="V101" i="2"/>
  <c r="V106" i="2" s="1"/>
  <c r="BK293" i="3"/>
  <c r="BK101" i="2" s="1"/>
  <c r="Y236" i="3"/>
  <c r="Y44" i="2" s="1"/>
  <c r="W44" i="2"/>
  <c r="U53" i="2"/>
  <c r="W245" i="3"/>
  <c r="BK245" i="3" s="1"/>
  <c r="BK53" i="2" s="1"/>
  <c r="BI95" i="3"/>
  <c r="BI95" i="1" s="1"/>
  <c r="AN67" i="3"/>
  <c r="AN67" i="1" s="1"/>
  <c r="P604" i="4"/>
  <c r="AM255" i="3"/>
  <c r="AM63" i="2" s="1"/>
  <c r="U58" i="2"/>
  <c r="W250" i="3"/>
  <c r="BK250" i="3" s="1"/>
  <c r="BK58" i="2" s="1"/>
  <c r="P125" i="4"/>
  <c r="AM60" i="3"/>
  <c r="AM60" i="1" s="1"/>
  <c r="AN27" i="3"/>
  <c r="AN27" i="1" s="1"/>
  <c r="P274" i="4"/>
  <c r="AM119" i="3"/>
  <c r="P818" i="4"/>
  <c r="AM343" i="3"/>
  <c r="AN371" i="3"/>
  <c r="U81" i="2"/>
  <c r="W273" i="3"/>
  <c r="BK273" i="3"/>
  <c r="BK81" i="2" s="1"/>
  <c r="U70" i="1"/>
  <c r="W70" i="3"/>
  <c r="BK70" i="3" s="1"/>
  <c r="BK70" i="1" s="1"/>
  <c r="P679" i="4"/>
  <c r="AM284" i="3"/>
  <c r="AM92" i="2" s="1"/>
  <c r="P318" i="4"/>
  <c r="AM138" i="3"/>
  <c r="U102" i="2"/>
  <c r="W294" i="3"/>
  <c r="P387" i="4"/>
  <c r="AM168" i="3"/>
  <c r="BK340" i="3"/>
  <c r="P308" i="4"/>
  <c r="AM134" i="3"/>
  <c r="AN375" i="3"/>
  <c r="P334" i="4"/>
  <c r="AM145" i="3"/>
  <c r="AN85" i="3"/>
  <c r="AN85" i="1" s="1"/>
  <c r="U91" i="2"/>
  <c r="W283" i="3"/>
  <c r="BK283" i="3"/>
  <c r="BK91" i="2" s="1"/>
  <c r="P597" i="4"/>
  <c r="AM252" i="3"/>
  <c r="AM60" i="2" s="1"/>
  <c r="U12" i="1"/>
  <c r="W12" i="3"/>
  <c r="BK12" i="3" s="1"/>
  <c r="BK12" i="1" s="1"/>
  <c r="AN293" i="3"/>
  <c r="AN101" i="2" s="1"/>
  <c r="P454" i="4"/>
  <c r="AM193" i="3"/>
  <c r="P620" i="4"/>
  <c r="AM262" i="3"/>
  <c r="AM70" i="2" s="1"/>
  <c r="P174" i="4"/>
  <c r="AM80" i="3"/>
  <c r="AM80" i="1" s="1"/>
  <c r="AN257" i="3"/>
  <c r="AN65" i="2" s="1"/>
  <c r="P469" i="4"/>
  <c r="AM198" i="3"/>
  <c r="P35" i="4"/>
  <c r="AM21" i="3"/>
  <c r="AM21" i="1" s="1"/>
  <c r="AN376" i="3"/>
  <c r="P565" i="4"/>
  <c r="AM238" i="3"/>
  <c r="AM46" i="2" s="1"/>
  <c r="AN255" i="3"/>
  <c r="AN63" i="2" s="1"/>
  <c r="P639" i="4"/>
  <c r="AM269" i="3"/>
  <c r="AM77" i="2" s="1"/>
  <c r="Y85" i="3"/>
  <c r="Y85" i="1" s="1"/>
  <c r="W85" i="1"/>
  <c r="BK85" i="3"/>
  <c r="BK85" i="1" s="1"/>
  <c r="AN119" i="3"/>
  <c r="AN153" i="3"/>
  <c r="V88" i="1"/>
  <c r="BK88" i="3"/>
  <c r="BK88" i="1" s="1"/>
  <c r="W88" i="3"/>
  <c r="U74" i="2"/>
  <c r="W266" i="3"/>
  <c r="AN343" i="3"/>
  <c r="P591" i="4"/>
  <c r="AM249" i="3"/>
  <c r="AM57" i="2" s="1"/>
  <c r="AN320" i="3"/>
  <c r="P778" i="4"/>
  <c r="AM323" i="3"/>
  <c r="AN284" i="3"/>
  <c r="AN92" i="2" s="1"/>
  <c r="AN168" i="3"/>
  <c r="V60" i="1"/>
  <c r="BK60" i="3"/>
  <c r="BK60" i="1" s="1"/>
  <c r="W60" i="3"/>
  <c r="P108" i="4"/>
  <c r="AM53" i="3"/>
  <c r="AM53" i="1" s="1"/>
  <c r="AN341" i="3"/>
  <c r="Y16" i="3"/>
  <c r="Y16" i="1" s="1"/>
  <c r="W16" i="1"/>
  <c r="AN134" i="3"/>
  <c r="AN175" i="3"/>
  <c r="P891" i="4"/>
  <c r="AM375" i="3"/>
  <c r="AN145" i="3"/>
  <c r="P607" i="4"/>
  <c r="AM256" i="3"/>
  <c r="AM64" i="2" s="1"/>
  <c r="AN290" i="3"/>
  <c r="AN98" i="2" s="1"/>
  <c r="AN252" i="3"/>
  <c r="AN60" i="2" s="1"/>
  <c r="P618" i="4"/>
  <c r="AM261" i="3"/>
  <c r="AM69" i="2" s="1"/>
  <c r="P290" i="4"/>
  <c r="AM127" i="3"/>
  <c r="U17" i="2"/>
  <c r="W209" i="3"/>
  <c r="BK209" i="3"/>
  <c r="BK17" i="2" s="1"/>
  <c r="U32" i="1"/>
  <c r="BK32" i="3"/>
  <c r="BK32" i="1" s="1"/>
  <c r="W32" i="3"/>
  <c r="BI12" i="3"/>
  <c r="BI12" i="1" s="1"/>
  <c r="AN204" i="3"/>
  <c r="AN12" i="2" s="1"/>
  <c r="P409" i="4"/>
  <c r="AM176" i="3"/>
  <c r="P257" i="4"/>
  <c r="AM112" i="3"/>
  <c r="U98" i="2"/>
  <c r="W290" i="3"/>
  <c r="BK290" i="3"/>
  <c r="BK98" i="2" s="1"/>
  <c r="V39" i="2"/>
  <c r="Y293" i="3"/>
  <c r="Y101" i="2" s="1"/>
  <c r="W101" i="2"/>
  <c r="U92" i="1"/>
  <c r="W92" i="3"/>
  <c r="BK92" i="3" s="1"/>
  <c r="BK92" i="1" s="1"/>
  <c r="BK43" i="3"/>
  <c r="BK43" i="1" s="1"/>
  <c r="P666" i="4"/>
  <c r="AM279" i="3"/>
  <c r="AM87" i="2" s="1"/>
  <c r="AN193" i="3"/>
  <c r="P759" i="4"/>
  <c r="AM315" i="3"/>
  <c r="AN167" i="3"/>
  <c r="AN101" i="3"/>
  <c r="AN101" i="1" s="1"/>
  <c r="AN231" i="3"/>
  <c r="AN39" i="2" s="1"/>
  <c r="AN359" i="3"/>
  <c r="W285" i="3"/>
  <c r="P587" i="4"/>
  <c r="AM247" i="3"/>
  <c r="AM55" i="2" s="1"/>
  <c r="P313" i="4"/>
  <c r="AM136" i="3"/>
  <c r="AN110" i="3"/>
  <c r="AN206" i="3"/>
  <c r="AN14" i="2" s="1"/>
  <c r="P385" i="4"/>
  <c r="AM167" i="3"/>
  <c r="P734" i="4"/>
  <c r="AM305" i="3"/>
  <c r="AN80" i="3"/>
  <c r="AN80" i="1" s="1"/>
  <c r="Y220" i="3"/>
  <c r="Y28" i="2" s="1"/>
  <c r="W28" i="2"/>
  <c r="BK163" i="3"/>
  <c r="AN198" i="3"/>
  <c r="AN21" i="3"/>
  <c r="AN21" i="1" s="1"/>
  <c r="P228" i="4"/>
  <c r="AM101" i="3"/>
  <c r="AM101" i="1" s="1"/>
  <c r="BJ253" i="3"/>
  <c r="BJ61" i="2" s="1"/>
  <c r="U71" i="2"/>
  <c r="W263" i="3"/>
  <c r="AN247" i="3"/>
  <c r="AN55" i="2" s="1"/>
  <c r="AN189" i="3"/>
  <c r="P272" i="4"/>
  <c r="AM118" i="3"/>
  <c r="U55" i="1"/>
  <c r="W55" i="3"/>
  <c r="U18" i="2"/>
  <c r="BK210" i="3"/>
  <c r="BK18" i="2" s="1"/>
  <c r="W210" i="3"/>
  <c r="AN269" i="3"/>
  <c r="AN77" i="2" s="1"/>
  <c r="P553" i="4"/>
  <c r="AM233" i="3"/>
  <c r="AM41" i="2" s="1"/>
  <c r="P353" i="4"/>
  <c r="AM153" i="3"/>
  <c r="P656" i="4"/>
  <c r="AM275" i="3"/>
  <c r="AM83" i="2" s="1"/>
  <c r="P771" i="4"/>
  <c r="AM320" i="3"/>
  <c r="Y254" i="3"/>
  <c r="Y62" i="2" s="1"/>
  <c r="W62" i="2"/>
  <c r="AN89" i="3"/>
  <c r="AN89" i="1" s="1"/>
  <c r="AN323" i="3"/>
  <c r="W253" i="3"/>
  <c r="P524" i="4"/>
  <c r="AM221" i="3"/>
  <c r="AM29" i="2" s="1"/>
  <c r="W205" i="3"/>
  <c r="P768" i="4"/>
  <c r="AM319" i="3"/>
  <c r="U47" i="1"/>
  <c r="W47" i="3"/>
  <c r="BK47" i="3" s="1"/>
  <c r="BK47" i="1" s="1"/>
  <c r="BK349" i="3"/>
  <c r="BJ60" i="3"/>
  <c r="BJ60" i="1" s="1"/>
  <c r="AN53" i="3"/>
  <c r="AN53" i="1" s="1"/>
  <c r="P814" i="4"/>
  <c r="AM341" i="3"/>
  <c r="P211" i="4"/>
  <c r="AM95" i="3"/>
  <c r="AM95" i="1" s="1"/>
  <c r="P785" i="4"/>
  <c r="AM328" i="3"/>
  <c r="P407" i="4"/>
  <c r="AM175" i="3"/>
  <c r="Y34" i="3"/>
  <c r="Y34" i="1" s="1"/>
  <c r="W34" i="1"/>
  <c r="AN185" i="3"/>
  <c r="O106" i="2"/>
  <c r="AN256" i="3"/>
  <c r="AN64" i="2" s="1"/>
  <c r="P695" i="4"/>
  <c r="AM290" i="3"/>
  <c r="AM98" i="2" s="1"/>
  <c r="P742" i="4"/>
  <c r="AM308" i="3"/>
  <c r="AN63" i="3"/>
  <c r="AN63" i="1" s="1"/>
  <c r="AN261" i="3"/>
  <c r="AN69" i="2" s="1"/>
  <c r="P430" i="4"/>
  <c r="AM184" i="3"/>
  <c r="P581" i="4"/>
  <c r="AM244" i="3"/>
  <c r="AM52" i="2" s="1"/>
  <c r="P39" i="4"/>
  <c r="AM23" i="3"/>
  <c r="AM23" i="1" s="1"/>
  <c r="P246" i="4"/>
  <c r="AM108" i="3"/>
  <c r="P282" i="4"/>
  <c r="AM123" i="3"/>
  <c r="U26" i="1"/>
  <c r="W26" i="3"/>
  <c r="BK26" i="3"/>
  <c r="BK26" i="1" s="1"/>
  <c r="AN44" i="3"/>
  <c r="AN44" i="1" s="1"/>
  <c r="P484" i="4"/>
  <c r="AM204" i="3"/>
  <c r="AM12" i="2" s="1"/>
  <c r="P766" i="4"/>
  <c r="AM318" i="3"/>
  <c r="P369" i="4"/>
  <c r="AM160" i="3"/>
  <c r="U70" i="2"/>
  <c r="W262" i="3"/>
  <c r="BK262" i="3" s="1"/>
  <c r="BK70" i="2" s="1"/>
  <c r="P707" i="4"/>
  <c r="AM294" i="3"/>
  <c r="AM102" i="2" s="1"/>
  <c r="P295" i="4"/>
  <c r="AM129" i="3"/>
  <c r="P286" i="4"/>
  <c r="AM125" i="3"/>
  <c r="P343" i="4"/>
  <c r="AM148" i="3"/>
  <c r="P251" i="4"/>
  <c r="AM110" i="3"/>
  <c r="AN279" i="3"/>
  <c r="AN87" i="2" s="1"/>
  <c r="BI223" i="3"/>
  <c r="BI31" i="2" s="1"/>
  <c r="AN136" i="3"/>
  <c r="P18" i="4"/>
  <c r="AM13" i="3"/>
  <c r="AM13" i="1" s="1"/>
  <c r="P116" i="4"/>
  <c r="AM56" i="3"/>
  <c r="AM56" i="1" s="1"/>
  <c r="P489" i="4"/>
  <c r="AM206" i="3"/>
  <c r="AM14" i="2" s="1"/>
  <c r="P77" i="4"/>
  <c r="AM41" i="3"/>
  <c r="AM41" i="1" s="1"/>
  <c r="BK386" i="3"/>
  <c r="AN305" i="3"/>
  <c r="U13" i="1"/>
  <c r="W13" i="3"/>
  <c r="BK13" i="3"/>
  <c r="BK13" i="1" s="1"/>
  <c r="BJ242" i="3"/>
  <c r="BJ50" i="2" s="1"/>
  <c r="U61" i="1"/>
  <c r="W61" i="3"/>
  <c r="BK61" i="3" s="1"/>
  <c r="BK61" i="1" s="1"/>
  <c r="W296" i="3"/>
  <c r="U104" i="2"/>
  <c r="U50" i="1"/>
  <c r="W50" i="3"/>
  <c r="BK50" i="3"/>
  <c r="BK50" i="1" s="1"/>
  <c r="P562" i="4"/>
  <c r="AM237" i="3"/>
  <c r="AM45" i="2" s="1"/>
  <c r="P265" i="4"/>
  <c r="AM115" i="3"/>
  <c r="P444" i="4"/>
  <c r="AM189" i="3"/>
  <c r="P889" i="4"/>
  <c r="AM374" i="3"/>
  <c r="U25" i="2"/>
  <c r="W217" i="3"/>
  <c r="BK217" i="3" s="1"/>
  <c r="BK25" i="2" s="1"/>
  <c r="AN236" i="3"/>
  <c r="AN44" i="2" s="1"/>
  <c r="AN233" i="3"/>
  <c r="AN41" i="2" s="1"/>
  <c r="U91" i="1"/>
  <c r="W91" i="3"/>
  <c r="BK91" i="3"/>
  <c r="BK91" i="1" s="1"/>
  <c r="P510" i="4"/>
  <c r="AM214" i="3"/>
  <c r="AM22" i="2" s="1"/>
  <c r="AN275" i="3"/>
  <c r="AN83" i="2" s="1"/>
  <c r="V57" i="1"/>
  <c r="W57" i="3"/>
  <c r="BK57" i="3"/>
  <c r="BK57" i="1" s="1"/>
  <c r="U99" i="1"/>
  <c r="W99" i="3"/>
  <c r="P196" i="4"/>
  <c r="AM89" i="3"/>
  <c r="AM89" i="1" s="1"/>
  <c r="AN278" i="3"/>
  <c r="AN86" i="2" s="1"/>
  <c r="P179" i="4"/>
  <c r="AM82" i="3"/>
  <c r="AM82" i="1" s="1"/>
  <c r="P29" i="4"/>
  <c r="AM18" i="3"/>
  <c r="AM18" i="1" s="1"/>
  <c r="AN221" i="3"/>
  <c r="AN29" i="2" s="1"/>
  <c r="BK205" i="3"/>
  <c r="BK13" i="2" s="1"/>
  <c r="AN319" i="3"/>
  <c r="BI47" i="3"/>
  <c r="BI47" i="1" s="1"/>
  <c r="BK358" i="3"/>
  <c r="P292" i="4"/>
  <c r="AM128" i="3"/>
  <c r="Y22" i="3"/>
  <c r="Y22" i="1" s="1"/>
  <c r="W22" i="1"/>
  <c r="BK22" i="3"/>
  <c r="BK22" i="1" s="1"/>
  <c r="AN95" i="3"/>
  <c r="AN95" i="1" s="1"/>
  <c r="P432" i="4"/>
  <c r="AM185" i="3"/>
  <c r="U9" i="2"/>
  <c r="W201" i="3"/>
  <c r="BK201" i="3" s="1"/>
  <c r="BK9" i="2" s="1"/>
  <c r="P463" i="4"/>
  <c r="AM196" i="3"/>
  <c r="AN308" i="3"/>
  <c r="BK306" i="3"/>
  <c r="P131" i="4"/>
  <c r="AM63" i="3"/>
  <c r="AM63" i="1" s="1"/>
  <c r="AN184" i="3"/>
  <c r="Y269" i="3"/>
  <c r="Y77" i="2" s="1"/>
  <c r="W77" i="2"/>
  <c r="P133" i="4"/>
  <c r="AM64" i="3"/>
  <c r="AM64" i="1" s="1"/>
  <c r="P611" i="4"/>
  <c r="AM258" i="3"/>
  <c r="AM66" i="2" s="1"/>
  <c r="P589" i="4"/>
  <c r="AM248" i="3"/>
  <c r="AM56" i="2" s="1"/>
  <c r="AN374" i="3"/>
  <c r="U78" i="1"/>
  <c r="W78" i="3"/>
  <c r="BK78" i="3" s="1"/>
  <c r="BK78" i="1" s="1"/>
  <c r="AN215" i="3"/>
  <c r="AN23" i="2" s="1"/>
  <c r="P451" i="4"/>
  <c r="AM192" i="3"/>
  <c r="P663" i="4"/>
  <c r="AM278" i="3"/>
  <c r="AM86" i="2" s="1"/>
  <c r="Y44" i="3"/>
  <c r="Y44" i="1" s="1"/>
  <c r="W44" i="1"/>
  <c r="BK44" i="3"/>
  <c r="BK44" i="1" s="1"/>
  <c r="AN82" i="3"/>
  <c r="AN82" i="1" s="1"/>
  <c r="Y261" i="3"/>
  <c r="Y69" i="2" s="1"/>
  <c r="W69" i="2"/>
  <c r="Y89" i="3"/>
  <c r="Y89" i="1" s="1"/>
  <c r="W89" i="1"/>
  <c r="BK89" i="3"/>
  <c r="BK89" i="1" s="1"/>
  <c r="BK380" i="3"/>
  <c r="AN187" i="3"/>
  <c r="AN128" i="3"/>
  <c r="Y39" i="3"/>
  <c r="Y39" i="1" s="1"/>
  <c r="W39" i="1"/>
  <c r="P315" i="4"/>
  <c r="AM137" i="3"/>
  <c r="AN196" i="3"/>
  <c r="BK328" i="3"/>
  <c r="BK183" i="3"/>
  <c r="P53" i="4"/>
  <c r="AM30" i="3"/>
  <c r="AM30" i="1" s="1"/>
  <c r="P49" i="4"/>
  <c r="AM28" i="3"/>
  <c r="AM28" i="1" s="1"/>
  <c r="P23" i="4"/>
  <c r="AM15" i="3"/>
  <c r="AM15" i="1" s="1"/>
  <c r="P135" i="4"/>
  <c r="AM65" i="3"/>
  <c r="AM65" i="1" s="1"/>
  <c r="P508" i="4"/>
  <c r="AM213" i="3"/>
  <c r="AM21" i="2" s="1"/>
  <c r="P575" i="4"/>
  <c r="AM242" i="3"/>
  <c r="AM50" i="2" s="1"/>
  <c r="AN353" i="3"/>
  <c r="P556" i="4"/>
  <c r="AM234" i="3"/>
  <c r="AM42" i="2" s="1"/>
  <c r="P101" i="4"/>
  <c r="AM50" i="3"/>
  <c r="AM50" i="1" s="1"/>
  <c r="P647" i="4"/>
  <c r="AM272" i="3"/>
  <c r="AM80" i="2" s="1"/>
  <c r="V85" i="2"/>
  <c r="W277" i="3"/>
  <c r="AN303" i="3"/>
  <c r="AN267" i="3"/>
  <c r="AN75" i="2" s="1"/>
  <c r="P235" i="4"/>
  <c r="AM104" i="3"/>
  <c r="AM104" i="1" s="1"/>
  <c r="U27" i="1"/>
  <c r="W27" i="3"/>
  <c r="BK27" i="3"/>
  <c r="BK27" i="1" s="1"/>
  <c r="P668" i="4"/>
  <c r="AM280" i="3"/>
  <c r="AM88" i="2" s="1"/>
  <c r="P238" i="4"/>
  <c r="AM105" i="3"/>
  <c r="AN268" i="3"/>
  <c r="AN76" i="2" s="1"/>
  <c r="Y46" i="3"/>
  <c r="Y46" i="1" s="1"/>
  <c r="W46" i="1"/>
  <c r="AN65" i="3"/>
  <c r="AN65" i="1" s="1"/>
  <c r="P522" i="4"/>
  <c r="AM220" i="3"/>
  <c r="AM28" i="2" s="1"/>
  <c r="P340" i="4"/>
  <c r="AM147" i="3"/>
  <c r="P613" i="4"/>
  <c r="AM259" i="3"/>
  <c r="AM67" i="2" s="1"/>
  <c r="P72" i="4"/>
  <c r="AM39" i="3"/>
  <c r="AM39" i="1" s="1"/>
  <c r="P512" i="4"/>
  <c r="AM215" i="3"/>
  <c r="AM23" i="2" s="1"/>
  <c r="AN340" i="3"/>
  <c r="AN192" i="3"/>
  <c r="P757" i="4"/>
  <c r="AM314" i="3"/>
  <c r="P214" i="4"/>
  <c r="AM96" i="3"/>
  <c r="AM96" i="1" s="1"/>
  <c r="U15" i="1"/>
  <c r="W15" i="3"/>
  <c r="BK15" i="3"/>
  <c r="BK15" i="1" s="1"/>
  <c r="P852" i="4"/>
  <c r="AM357" i="3"/>
  <c r="P719" i="4"/>
  <c r="AM299" i="3"/>
  <c r="P438" i="4"/>
  <c r="AM187" i="3"/>
  <c r="P578" i="4"/>
  <c r="AM243" i="3"/>
  <c r="AM51" i="2" s="1"/>
  <c r="W242" i="3"/>
  <c r="P86" i="4"/>
  <c r="AM45" i="3"/>
  <c r="AM45" i="1" s="1"/>
  <c r="U87" i="1"/>
  <c r="BK87" i="3"/>
  <c r="BK87" i="1" s="1"/>
  <c r="W87" i="3"/>
  <c r="AN137" i="3"/>
  <c r="P306" i="4"/>
  <c r="AM133" i="3"/>
  <c r="P917" i="4"/>
  <c r="AM387" i="3"/>
  <c r="BK350" i="3"/>
  <c r="BK182" i="3"/>
  <c r="BK189" i="3"/>
  <c r="Y180" i="3"/>
  <c r="BK180" i="3"/>
  <c r="P798" i="4"/>
  <c r="AM334" i="3"/>
  <c r="AN41" i="3"/>
  <c r="AN41" i="1" s="1"/>
  <c r="U32" i="2"/>
  <c r="W224" i="3"/>
  <c r="BK224" i="3" s="1"/>
  <c r="BK32" i="2" s="1"/>
  <c r="Y19" i="3"/>
  <c r="Y19" i="1" s="1"/>
  <c r="W19" i="1"/>
  <c r="AN385" i="3"/>
  <c r="P95" i="4"/>
  <c r="AM48" i="3"/>
  <c r="AM48" i="1" s="1"/>
  <c r="P925" i="4"/>
  <c r="AM391" i="3"/>
  <c r="Y226" i="3"/>
  <c r="Y34" i="2" s="1"/>
  <c r="W34" i="2"/>
  <c r="BK226" i="3"/>
  <c r="BK34" i="2" s="1"/>
  <c r="P915" i="4"/>
  <c r="AM386" i="3"/>
  <c r="P913" i="4"/>
  <c r="AM385" i="3"/>
  <c r="AN213" i="3"/>
  <c r="AN21" i="2" s="1"/>
  <c r="AN48" i="3"/>
  <c r="AN48" i="1" s="1"/>
  <c r="AN50" i="3"/>
  <c r="AN50" i="1" s="1"/>
  <c r="P268" i="4"/>
  <c r="AM116" i="3"/>
  <c r="AN272" i="3"/>
  <c r="AN80" i="2" s="1"/>
  <c r="P729" i="4"/>
  <c r="AM303" i="3"/>
  <c r="P633" i="4"/>
  <c r="AM267" i="3"/>
  <c r="AM75" i="2" s="1"/>
  <c r="P904" i="4"/>
  <c r="AM381" i="3"/>
  <c r="P31" i="4"/>
  <c r="AM19" i="3"/>
  <c r="AM19" i="1" s="1"/>
  <c r="P830" i="4"/>
  <c r="AM349" i="3"/>
  <c r="P401" i="4"/>
  <c r="AM173" i="3"/>
  <c r="BJ288" i="3"/>
  <c r="BJ96" i="2" s="1"/>
  <c r="U10" i="1"/>
  <c r="W10" i="3"/>
  <c r="BI27" i="3"/>
  <c r="BI27" i="1" s="1"/>
  <c r="P373" i="4"/>
  <c r="AM162" i="3"/>
  <c r="P783" i="4"/>
  <c r="AM326" i="3"/>
  <c r="AN181" i="3"/>
  <c r="AN220" i="3"/>
  <c r="AN28" i="2" s="1"/>
  <c r="I10" i="4"/>
  <c r="J10" i="4" s="1"/>
  <c r="M9" i="4"/>
  <c r="P11" i="4"/>
  <c r="AM10" i="3"/>
  <c r="AM10" i="1" s="1"/>
  <c r="AN147" i="3"/>
  <c r="P156" i="4"/>
  <c r="AM74" i="3"/>
  <c r="AM74" i="1" s="1"/>
  <c r="P812" i="4"/>
  <c r="AM340" i="3"/>
  <c r="BJ40" i="3"/>
  <c r="BJ40" i="1" s="1"/>
  <c r="AN314" i="3"/>
  <c r="U64" i="2"/>
  <c r="W256" i="3"/>
  <c r="BK256" i="3" s="1"/>
  <c r="BK64" i="2" s="1"/>
  <c r="U90" i="1"/>
  <c r="W90" i="3"/>
  <c r="AN96" i="3"/>
  <c r="AN96" i="1" s="1"/>
  <c r="Y62" i="3"/>
  <c r="Y62" i="1" s="1"/>
  <c r="W62" i="1"/>
  <c r="BK62" i="3"/>
  <c r="BK62" i="1" s="1"/>
  <c r="AN357" i="3"/>
  <c r="Y279" i="3"/>
  <c r="Y87" i="2" s="1"/>
  <c r="W87" i="2"/>
  <c r="BK253" i="3"/>
  <c r="BK61" i="2" s="1"/>
  <c r="U42" i="1"/>
  <c r="W42" i="3"/>
  <c r="BK42" i="3" s="1"/>
  <c r="BK42" i="1" s="1"/>
  <c r="AN299" i="3"/>
  <c r="AN292" i="3"/>
  <c r="AN100" i="2" s="1"/>
  <c r="V99" i="2"/>
  <c r="W291" i="3"/>
  <c r="BK291" i="3" s="1"/>
  <c r="BK99" i="2" s="1"/>
  <c r="AN243" i="3"/>
  <c r="AN51" i="2" s="1"/>
  <c r="U88" i="2"/>
  <c r="W280" i="3"/>
  <c r="AN45" i="3"/>
  <c r="AN45" i="1" s="1"/>
  <c r="P129" i="4"/>
  <c r="AM62" i="3"/>
  <c r="AM62" i="1" s="1"/>
  <c r="P89" i="4"/>
  <c r="AM46" i="3"/>
  <c r="AM46" i="1" s="1"/>
  <c r="P876" i="4"/>
  <c r="AM369" i="3"/>
  <c r="AN133" i="3"/>
  <c r="AN387" i="3"/>
  <c r="P79" i="4"/>
  <c r="AM42" i="3"/>
  <c r="AM42" i="1" s="1"/>
  <c r="V41" i="2"/>
  <c r="BK233" i="3"/>
  <c r="BK41" i="2" s="1"/>
  <c r="W233" i="3"/>
  <c r="U77" i="1"/>
  <c r="BK77" i="3"/>
  <c r="BK77" i="1" s="1"/>
  <c r="W77" i="3"/>
  <c r="Y93" i="3"/>
  <c r="Y93" i="1" s="1"/>
  <c r="W93" i="1"/>
  <c r="P795" i="4"/>
  <c r="AM333" i="3"/>
  <c r="AN242" i="3"/>
  <c r="AN50" i="2" s="1"/>
  <c r="P841" i="4"/>
  <c r="AM353" i="3"/>
  <c r="AN381" i="3"/>
  <c r="AN173" i="3"/>
  <c r="P208" i="4"/>
  <c r="AM94" i="3"/>
  <c r="AM94" i="1" s="1"/>
  <c r="P331" i="4"/>
  <c r="AM144" i="3"/>
  <c r="P645" i="4"/>
  <c r="AM271" i="3"/>
  <c r="AM79" i="2" s="1"/>
  <c r="P422" i="4"/>
  <c r="AM181" i="3"/>
  <c r="P9" i="4"/>
  <c r="AM9" i="3"/>
  <c r="AM9" i="1" s="1"/>
  <c r="AN10" i="3"/>
  <c r="AN10" i="1" s="1"/>
  <c r="P473" i="4"/>
  <c r="AM200" i="3"/>
  <c r="V79" i="1"/>
  <c r="W79" i="3"/>
  <c r="BK79" i="3"/>
  <c r="BK79" i="1" s="1"/>
  <c r="AN265" i="3"/>
  <c r="AN73" i="2" s="1"/>
  <c r="P897" i="4"/>
  <c r="AM378" i="3"/>
  <c r="P530" i="4"/>
  <c r="AM224" i="3"/>
  <c r="AM32" i="2" s="1"/>
  <c r="Y222" i="3"/>
  <c r="Y30" i="2" s="1"/>
  <c r="W30" i="2"/>
  <c r="P878" i="4"/>
  <c r="AM370" i="3"/>
  <c r="U65" i="2"/>
  <c r="W257" i="3"/>
  <c r="P701" i="4"/>
  <c r="AM292" i="3"/>
  <c r="AM100" i="2" s="1"/>
  <c r="AN62" i="3"/>
  <c r="AN62" i="1" s="1"/>
  <c r="AN46" i="3"/>
  <c r="AN46" i="1" s="1"/>
  <c r="P298" i="4"/>
  <c r="AM130" i="3"/>
  <c r="AN369" i="3"/>
  <c r="AN42" i="3"/>
  <c r="AN42" i="1" s="1"/>
  <c r="P150" i="4"/>
  <c r="AM72" i="3"/>
  <c r="AM72" i="1" s="1"/>
  <c r="P544" i="4"/>
  <c r="AM229" i="3"/>
  <c r="AM37" i="2" s="1"/>
  <c r="AN352" i="3"/>
  <c r="P276" i="4"/>
  <c r="AM120" i="3"/>
  <c r="P203" i="4"/>
  <c r="AM92" i="3"/>
  <c r="AM92" i="1" s="1"/>
  <c r="AN99" i="3"/>
  <c r="AN99" i="1" s="1"/>
  <c r="U73" i="1"/>
  <c r="W73" i="3"/>
  <c r="BK73" i="3"/>
  <c r="BK73" i="1" s="1"/>
  <c r="U42" i="2"/>
  <c r="W234" i="3"/>
  <c r="Y208" i="3"/>
  <c r="Y16" i="2" s="1"/>
  <c r="W16" i="2"/>
  <c r="U76" i="1"/>
  <c r="BK76" i="3"/>
  <c r="BK76" i="1" s="1"/>
  <c r="W76" i="3"/>
  <c r="U59" i="1"/>
  <c r="W59" i="3"/>
  <c r="BK59" i="3"/>
  <c r="BK59" i="1" s="1"/>
  <c r="P546" i="4"/>
  <c r="AM230" i="3"/>
  <c r="AM38" i="2" s="1"/>
  <c r="P636" i="4"/>
  <c r="AM268" i="3"/>
  <c r="AM76" i="2" s="1"/>
  <c r="P560" i="4"/>
  <c r="AM236" i="3"/>
  <c r="AM44" i="2" s="1"/>
  <c r="U53" i="1"/>
  <c r="W53" i="3"/>
  <c r="BK53" i="3" s="1"/>
  <c r="BK53" i="1" s="1"/>
  <c r="P198" i="4"/>
  <c r="AM90" i="3"/>
  <c r="AM90" i="1" s="1"/>
  <c r="V72" i="1"/>
  <c r="W72" i="3"/>
  <c r="BK72" i="3"/>
  <c r="BK72" i="1" s="1"/>
  <c r="P146" i="4"/>
  <c r="AM70" i="3"/>
  <c r="AM70" i="1" s="1"/>
  <c r="P870" i="4"/>
  <c r="AM364" i="3"/>
  <c r="P345" i="4"/>
  <c r="AM149" i="3"/>
  <c r="P254" i="4"/>
  <c r="AM111" i="3"/>
  <c r="Y69" i="3"/>
  <c r="Y69" i="1" s="1"/>
  <c r="W69" i="1"/>
  <c r="AN364" i="3"/>
  <c r="U98" i="1"/>
  <c r="W98" i="3"/>
  <c r="BK98" i="3"/>
  <c r="BK98" i="1" s="1"/>
  <c r="BJ78" i="3"/>
  <c r="BJ78" i="1" s="1"/>
  <c r="P755" i="4"/>
  <c r="AM313" i="3"/>
  <c r="P457" i="4"/>
  <c r="AM194" i="3"/>
  <c r="P219" i="4"/>
  <c r="AM98" i="3"/>
  <c r="AM98" i="1" s="1"/>
  <c r="Y28" i="3"/>
  <c r="Y28" i="1" s="1"/>
  <c r="W28" i="1"/>
  <c r="P324" i="4"/>
  <c r="AM141" i="3"/>
  <c r="AN94" i="3"/>
  <c r="AN94" i="1" s="1"/>
  <c r="P65" i="4"/>
  <c r="AM36" i="3"/>
  <c r="AM36" i="1" s="1"/>
  <c r="BJ245" i="3"/>
  <c r="BJ53" i="2" s="1"/>
  <c r="AN144" i="3"/>
  <c r="P74" i="4"/>
  <c r="AM40" i="3"/>
  <c r="AM40" i="1" s="1"/>
  <c r="P911" i="4"/>
  <c r="AM384" i="3"/>
  <c r="AN9" i="3"/>
  <c r="AN9" i="1" s="1"/>
  <c r="U15" i="2"/>
  <c r="W207" i="3"/>
  <c r="W237" i="3"/>
  <c r="AN200" i="3"/>
  <c r="AN191" i="3"/>
  <c r="U40" i="2"/>
  <c r="W232" i="3"/>
  <c r="AN164" i="3"/>
  <c r="P627" i="4"/>
  <c r="AM265" i="3"/>
  <c r="AM73" i="2" s="1"/>
  <c r="P711" i="4"/>
  <c r="AM296" i="3"/>
  <c r="AM104" i="2" s="1"/>
  <c r="P183" i="4"/>
  <c r="AM84" i="3"/>
  <c r="AM84" i="1" s="1"/>
  <c r="AN224" i="3"/>
  <c r="AN32" i="2" s="1"/>
  <c r="BK383" i="3"/>
  <c r="P200" i="4"/>
  <c r="AM91" i="3"/>
  <c r="AM91" i="1" s="1"/>
  <c r="P280" i="4"/>
  <c r="AM122" i="3"/>
  <c r="U67" i="2"/>
  <c r="W259" i="3"/>
  <c r="BK259" i="3"/>
  <c r="BK67" i="2" s="1"/>
  <c r="P601" i="4"/>
  <c r="AM254" i="3"/>
  <c r="AM62" i="2" s="1"/>
  <c r="Y252" i="3"/>
  <c r="Y60" i="2" s="1"/>
  <c r="W60" i="2"/>
  <c r="BK252" i="3"/>
  <c r="BK60" i="2" s="1"/>
  <c r="P361" i="4"/>
  <c r="AM157" i="3"/>
  <c r="P270" i="4"/>
  <c r="AM117" i="3"/>
  <c r="P536" i="4"/>
  <c r="AM226" i="3"/>
  <c r="AM34" i="2" s="1"/>
  <c r="AN370" i="3"/>
  <c r="AN86" i="3"/>
  <c r="AN86" i="1" s="1"/>
  <c r="V51" i="1"/>
  <c r="V106" i="1" s="1"/>
  <c r="W51" i="3"/>
  <c r="BK51" i="3" s="1"/>
  <c r="BK51" i="1" s="1"/>
  <c r="W231" i="3"/>
  <c r="AN130" i="3"/>
  <c r="P816" i="4"/>
  <c r="AM342" i="3"/>
  <c r="U86" i="1"/>
  <c r="BK86" i="3"/>
  <c r="BK86" i="1" s="1"/>
  <c r="W86" i="3"/>
  <c r="P776" i="4"/>
  <c r="AM322" i="3"/>
  <c r="U46" i="2"/>
  <c r="W238" i="3"/>
  <c r="BK238" i="3" s="1"/>
  <c r="BK46" i="2" s="1"/>
  <c r="U23" i="1"/>
  <c r="W23" i="3"/>
  <c r="BK23" i="3" s="1"/>
  <c r="BK23" i="1" s="1"/>
  <c r="P479" i="4"/>
  <c r="AM202" i="3"/>
  <c r="AM10" i="2" s="1"/>
  <c r="P380" i="4"/>
  <c r="AM165" i="3"/>
  <c r="P92" i="4"/>
  <c r="AM47" i="3"/>
  <c r="AM47" i="1" s="1"/>
  <c r="P249" i="4"/>
  <c r="AM109" i="3"/>
  <c r="Y30" i="3"/>
  <c r="Y30" i="1" s="1"/>
  <c r="W30" i="1"/>
  <c r="Y230" i="3"/>
  <c r="Y38" i="2" s="1"/>
  <c r="W38" i="2"/>
  <c r="P284" i="4"/>
  <c r="AM124" i="3"/>
  <c r="U20" i="1"/>
  <c r="BK20" i="3"/>
  <c r="BK20" i="1" s="1"/>
  <c r="W20" i="3"/>
  <c r="AN13" i="3"/>
  <c r="AN13" i="1" s="1"/>
  <c r="O106" i="1"/>
  <c r="BI73" i="3"/>
  <c r="BI73" i="1" s="1"/>
  <c r="P585" i="4"/>
  <c r="AM246" i="3"/>
  <c r="AM54" i="2" s="1"/>
  <c r="AN162" i="3"/>
  <c r="P732" i="4"/>
  <c r="AM304" i="3"/>
  <c r="AN90" i="3"/>
  <c r="AN90" i="1" s="1"/>
  <c r="AN304" i="3"/>
  <c r="P322" i="4"/>
  <c r="AM140" i="3"/>
  <c r="P541" i="4"/>
  <c r="AM228" i="3"/>
  <c r="AM36" i="2" s="1"/>
  <c r="P303" i="4"/>
  <c r="AM132" i="3"/>
  <c r="U84" i="1"/>
  <c r="BK84" i="3"/>
  <c r="BK84" i="1" s="1"/>
  <c r="W84" i="3"/>
  <c r="AN316" i="3"/>
  <c r="P526" i="4"/>
  <c r="AM222" i="3"/>
  <c r="AM30" i="2" s="1"/>
  <c r="AN194" i="3"/>
  <c r="BK28" i="3"/>
  <c r="BK28" i="1" s="1"/>
  <c r="AN36" i="3"/>
  <c r="AN36" i="1" s="1"/>
  <c r="P630" i="4"/>
  <c r="AM266" i="3"/>
  <c r="AM74" i="2" s="1"/>
  <c r="U57" i="2"/>
  <c r="W249" i="3"/>
  <c r="BK249" i="3"/>
  <c r="BK57" i="2" s="1"/>
  <c r="AN40" i="3"/>
  <c r="AN40" i="1" s="1"/>
  <c r="P171" i="4"/>
  <c r="AM79" i="3"/>
  <c r="AM79" i="1" s="1"/>
  <c r="AN384" i="3"/>
  <c r="BJ256" i="3"/>
  <c r="BJ64" i="2" s="1"/>
  <c r="P714" i="4"/>
  <c r="AM297" i="3"/>
  <c r="BK237" i="3"/>
  <c r="BK45" i="2" s="1"/>
  <c r="P448" i="4"/>
  <c r="AM191" i="3"/>
  <c r="P377" i="4"/>
  <c r="AM164" i="3"/>
  <c r="BJ282" i="3"/>
  <c r="BJ90" i="2" s="1"/>
  <c r="AN296" i="3"/>
  <c r="AN104" i="2" s="1"/>
  <c r="AN84" i="3"/>
  <c r="AN84" i="1" s="1"/>
  <c r="P866" i="4"/>
  <c r="AM362" i="3"/>
  <c r="P909" i="4"/>
  <c r="AM383" i="3"/>
  <c r="AN122" i="3"/>
  <c r="AN254" i="3"/>
  <c r="AN62" i="2" s="1"/>
  <c r="AN218" i="3"/>
  <c r="AN26" i="2" s="1"/>
  <c r="AN157" i="3"/>
  <c r="AN226" i="3"/>
  <c r="AN34" i="2" s="1"/>
  <c r="P188" i="4"/>
  <c r="AM86" i="3"/>
  <c r="AM86" i="1" s="1"/>
  <c r="Y101" i="3"/>
  <c r="Y101" i="1" s="1"/>
  <c r="W101" i="1"/>
  <c r="AN207" i="3"/>
  <c r="AN15" i="2" s="1"/>
  <c r="P471" i="4"/>
  <c r="AM199" i="3"/>
  <c r="AN342" i="3"/>
  <c r="P21" i="4"/>
  <c r="AM14" i="3"/>
  <c r="AM14" i="1" s="1"/>
  <c r="AN322" i="3"/>
  <c r="Y35" i="3"/>
  <c r="Y35" i="1" s="1"/>
  <c r="W35" i="1"/>
  <c r="P528" i="4"/>
  <c r="AM223" i="3"/>
  <c r="AM31" i="2" s="1"/>
  <c r="AN228" i="3"/>
  <c r="AN36" i="2" s="1"/>
  <c r="P725" i="4"/>
  <c r="AM301" i="3"/>
  <c r="P727" i="4"/>
  <c r="AM302" i="3"/>
  <c r="P435" i="4"/>
  <c r="AM186" i="3"/>
  <c r="P761" i="4"/>
  <c r="AM316" i="3"/>
  <c r="AN222" i="3"/>
  <c r="AN30" i="2" s="1"/>
  <c r="P886" i="4"/>
  <c r="AM373" i="3"/>
  <c r="P45" i="4"/>
  <c r="AM26" i="3"/>
  <c r="AM26" i="1" s="1"/>
  <c r="P311" i="4"/>
  <c r="AM135" i="3"/>
  <c r="P260" i="4"/>
  <c r="AM113" i="3"/>
  <c r="P137" i="4"/>
  <c r="AM66" i="3"/>
  <c r="AM66" i="1" s="1"/>
  <c r="AN266" i="3"/>
  <c r="AN74" i="2" s="1"/>
  <c r="BJ284" i="3"/>
  <c r="BJ92" i="2" s="1"/>
  <c r="AN79" i="3"/>
  <c r="AN79" i="1" s="1"/>
  <c r="AN297" i="3"/>
  <c r="P789" i="4"/>
  <c r="AM330" i="3"/>
  <c r="P327" i="4"/>
  <c r="AM142" i="3"/>
  <c r="P127" i="4"/>
  <c r="AM61" i="3"/>
  <c r="AM61" i="1" s="1"/>
  <c r="P428" i="4"/>
  <c r="AM183" i="3"/>
  <c r="BK151" i="3"/>
  <c r="AN362" i="3"/>
  <c r="P300" i="4"/>
  <c r="AM131" i="3"/>
  <c r="P106" i="1"/>
  <c r="AN298" i="3"/>
  <c r="P518" i="4"/>
  <c r="AM218" i="3"/>
  <c r="AM26" i="2" s="1"/>
  <c r="P503" i="4"/>
  <c r="AM211" i="3"/>
  <c r="AM19" i="2" s="1"/>
  <c r="AN392" i="3"/>
  <c r="P822" i="4"/>
  <c r="AM345" i="3"/>
  <c r="P855" i="4"/>
  <c r="AM358" i="3"/>
  <c r="BK145" i="3"/>
  <c r="P599" i="4"/>
  <c r="AM253" i="3"/>
  <c r="AM61" i="2" s="1"/>
  <c r="V20" i="2"/>
  <c r="W212" i="3"/>
  <c r="P329" i="4"/>
  <c r="AM143" i="3"/>
  <c r="P492" i="4"/>
  <c r="AM207" i="3"/>
  <c r="AM15" i="2" s="1"/>
  <c r="P159" i="4"/>
  <c r="AM75" i="3"/>
  <c r="AM75" i="1" s="1"/>
  <c r="AN199" i="3"/>
  <c r="AN14" i="3"/>
  <c r="AN14" i="1" s="1"/>
  <c r="P500" i="4"/>
  <c r="AM210" i="3"/>
  <c r="AM18" i="2" s="1"/>
  <c r="P168" i="4"/>
  <c r="AM78" i="3"/>
  <c r="AM78" i="1" s="1"/>
  <c r="BK93" i="3"/>
  <c r="BK93" i="1" s="1"/>
  <c r="U27" i="2"/>
  <c r="W219" i="3"/>
  <c r="BK219" i="3"/>
  <c r="BK27" i="2" s="1"/>
  <c r="U18" i="1"/>
  <c r="BK18" i="3"/>
  <c r="BK18" i="1" s="1"/>
  <c r="W18" i="3"/>
  <c r="P37" i="4"/>
  <c r="AM22" i="3"/>
  <c r="AM22" i="1" s="1"/>
  <c r="Y41" i="3"/>
  <c r="Y41" i="1" s="1"/>
  <c r="W41" i="1"/>
  <c r="AN373" i="3"/>
  <c r="AN23" i="3"/>
  <c r="AN23" i="1" s="1"/>
  <c r="BJ233" i="3"/>
  <c r="BJ41" i="2" s="1"/>
  <c r="BI267" i="3"/>
  <c r="BI75" i="2" s="1"/>
  <c r="BJ92" i="3"/>
  <c r="BJ92" i="1" s="1"/>
  <c r="Y278" i="3"/>
  <c r="Y86" i="2" s="1"/>
  <c r="W86" i="2"/>
  <c r="AN131" i="3"/>
  <c r="AN73" i="3"/>
  <c r="AN73" i="1" s="1"/>
  <c r="BI17" i="3"/>
  <c r="BI17" i="1" s="1"/>
  <c r="BK269" i="3"/>
  <c r="BK77" i="2" s="1"/>
  <c r="P716" i="4"/>
  <c r="AM298" i="3"/>
  <c r="BK235" i="3"/>
  <c r="BK43" i="2" s="1"/>
  <c r="AN211" i="3"/>
  <c r="AN19" i="2" s="1"/>
  <c r="P395" i="4"/>
  <c r="AM171" i="3"/>
  <c r="P927" i="4"/>
  <c r="AM392" i="3"/>
  <c r="AN345" i="3"/>
  <c r="W288" i="3"/>
  <c r="BK288" i="3" s="1"/>
  <c r="BK96" i="2" s="1"/>
  <c r="AN358" i="3"/>
  <c r="P466" i="4"/>
  <c r="AM197" i="3"/>
  <c r="AN253" i="3"/>
  <c r="AN61" i="2" s="1"/>
  <c r="AN34" i="3"/>
  <c r="AN34" i="1" s="1"/>
  <c r="AN143" i="3"/>
  <c r="Y202" i="3"/>
  <c r="Y10" i="2" s="1"/>
  <c r="W10" i="2"/>
  <c r="P288" i="4"/>
  <c r="AM126" i="3"/>
  <c r="AN75" i="3"/>
  <c r="AN75" i="1" s="1"/>
  <c r="AN217" i="3"/>
  <c r="AN25" i="2" s="1"/>
  <c r="AN210" i="3"/>
  <c r="AN18" i="2" s="1"/>
  <c r="P398" i="4"/>
  <c r="AM172" i="3"/>
  <c r="BK34" i="3"/>
  <c r="BK34" i="1" s="1"/>
  <c r="Y292" i="3" l="1"/>
  <c r="Y100" i="2" s="1"/>
  <c r="W100" i="2"/>
  <c r="Y18" i="3"/>
  <c r="Y18" i="1" s="1"/>
  <c r="W18" i="1"/>
  <c r="Y59" i="3"/>
  <c r="Y59" i="1" s="1"/>
  <c r="W59" i="1"/>
  <c r="Y79" i="3"/>
  <c r="Y79" i="1" s="1"/>
  <c r="W79" i="1"/>
  <c r="U106" i="1"/>
  <c r="Y32" i="3"/>
  <c r="Y32" i="1" s="1"/>
  <c r="W32" i="1"/>
  <c r="Y223" i="3"/>
  <c r="Y31" i="2" s="1"/>
  <c r="W31" i="2"/>
  <c r="Y267" i="3"/>
  <c r="Y75" i="2" s="1"/>
  <c r="W75" i="2"/>
  <c r="Y56" i="3"/>
  <c r="Y56" i="1" s="1"/>
  <c r="W56" i="1"/>
  <c r="Y67" i="3"/>
  <c r="Y67" i="1" s="1"/>
  <c r="W67" i="1"/>
  <c r="Y70" i="3"/>
  <c r="Y70" i="1" s="1"/>
  <c r="W70" i="1"/>
  <c r="Y245" i="3"/>
  <c r="Y53" i="2" s="1"/>
  <c r="W53" i="2"/>
  <c r="Y36" i="3"/>
  <c r="Y36" i="1" s="1"/>
  <c r="W36" i="1"/>
  <c r="Y249" i="3"/>
  <c r="Y57" i="2" s="1"/>
  <c r="W57" i="2"/>
  <c r="Y76" i="3"/>
  <c r="Y76" i="1" s="1"/>
  <c r="W76" i="1"/>
  <c r="Y77" i="3"/>
  <c r="Y77" i="1" s="1"/>
  <c r="W77" i="1"/>
  <c r="Y13" i="3"/>
  <c r="Y13" i="1" s="1"/>
  <c r="W13" i="1"/>
  <c r="Y60" i="3"/>
  <c r="Y60" i="1" s="1"/>
  <c r="W60" i="1"/>
  <c r="Y239" i="3"/>
  <c r="Y47" i="2" s="1"/>
  <c r="W47" i="2"/>
  <c r="Y31" i="3"/>
  <c r="Y31" i="1" s="1"/>
  <c r="W31" i="1"/>
  <c r="Y68" i="3"/>
  <c r="Y68" i="1" s="1"/>
  <c r="W68" i="1"/>
  <c r="Y90" i="3"/>
  <c r="Y90" i="1" s="1"/>
  <c r="W90" i="1"/>
  <c r="Y217" i="3"/>
  <c r="Y25" i="2" s="1"/>
  <c r="W25" i="2"/>
  <c r="Y54" i="3"/>
  <c r="Y54" i="1" s="1"/>
  <c r="W54" i="1"/>
  <c r="Y97" i="3"/>
  <c r="Y97" i="1" s="1"/>
  <c r="W97" i="1"/>
  <c r="Y263" i="3"/>
  <c r="Y71" i="2" s="1"/>
  <c r="W71" i="2"/>
  <c r="Y296" i="3"/>
  <c r="Y104" i="2" s="1"/>
  <c r="W104" i="2"/>
  <c r="Y291" i="3"/>
  <c r="Y99" i="2" s="1"/>
  <c r="W99" i="2"/>
  <c r="Y219" i="3"/>
  <c r="Y27" i="2" s="1"/>
  <c r="W27" i="2"/>
  <c r="Y27" i="3"/>
  <c r="Y27" i="1" s="1"/>
  <c r="W27" i="1"/>
  <c r="Y209" i="3"/>
  <c r="Y17" i="2" s="1"/>
  <c r="W17" i="2"/>
  <c r="Y283" i="3"/>
  <c r="Y91" i="2" s="1"/>
  <c r="W91" i="2"/>
  <c r="Y273" i="3"/>
  <c r="Y81" i="2" s="1"/>
  <c r="W81" i="2"/>
  <c r="Y251" i="3"/>
  <c r="Y59" i="2" s="1"/>
  <c r="W59" i="2"/>
  <c r="Y287" i="3"/>
  <c r="Y95" i="2" s="1"/>
  <c r="W95" i="2"/>
  <c r="Y295" i="3"/>
  <c r="Y103" i="2" s="1"/>
  <c r="W103" i="2"/>
  <c r="Y11" i="3"/>
  <c r="Y11" i="1" s="1"/>
  <c r="W11" i="1"/>
  <c r="Y91" i="3"/>
  <c r="Y91" i="1" s="1"/>
  <c r="W91" i="1"/>
  <c r="Y23" i="3"/>
  <c r="Y23" i="1" s="1"/>
  <c r="W23" i="1"/>
  <c r="BK251" i="3"/>
  <c r="BK59" i="2" s="1"/>
  <c r="M477" i="4"/>
  <c r="I478" i="4"/>
  <c r="J478" i="4" s="1"/>
  <c r="Y81" i="3"/>
  <c r="Y81" i="1" s="1"/>
  <c r="W81" i="1"/>
  <c r="Y280" i="3"/>
  <c r="Y88" i="2" s="1"/>
  <c r="W88" i="2"/>
  <c r="Y256" i="3"/>
  <c r="Y64" i="2" s="1"/>
  <c r="W64" i="2"/>
  <c r="Y233" i="3"/>
  <c r="Y41" i="2" s="1"/>
  <c r="W41" i="2"/>
  <c r="Y87" i="3"/>
  <c r="Y87" i="1" s="1"/>
  <c r="W87" i="1"/>
  <c r="Y262" i="3"/>
  <c r="Y70" i="2" s="1"/>
  <c r="W70" i="2"/>
  <c r="Y260" i="3"/>
  <c r="Y68" i="2" s="1"/>
  <c r="W68" i="2"/>
  <c r="Y203" i="3"/>
  <c r="Y11" i="2" s="1"/>
  <c r="W11" i="2"/>
  <c r="Y285" i="3"/>
  <c r="Y93" i="2" s="1"/>
  <c r="W93" i="2"/>
  <c r="BK285" i="3"/>
  <c r="BK93" i="2" s="1"/>
  <c r="Y10" i="3"/>
  <c r="Y10" i="1" s="1"/>
  <c r="W10" i="1"/>
  <c r="Y75" i="3"/>
  <c r="Y75" i="1" s="1"/>
  <c r="W75" i="1"/>
  <c r="Y47" i="3"/>
  <c r="Y47" i="1" s="1"/>
  <c r="W47" i="1"/>
  <c r="Y210" i="3"/>
  <c r="Y18" i="2" s="1"/>
  <c r="W18" i="2"/>
  <c r="Y92" i="3"/>
  <c r="Y92" i="1" s="1"/>
  <c r="W92" i="1"/>
  <c r="Y246" i="3"/>
  <c r="Y54" i="2" s="1"/>
  <c r="W54" i="2"/>
  <c r="Y231" i="3"/>
  <c r="Y39" i="2" s="1"/>
  <c r="W39" i="2"/>
  <c r="Y61" i="3"/>
  <c r="Y61" i="1" s="1"/>
  <c r="W61" i="1"/>
  <c r="Y15" i="3"/>
  <c r="Y15" i="1" s="1"/>
  <c r="W15" i="1"/>
  <c r="Y37" i="3"/>
  <c r="Y37" i="1" s="1"/>
  <c r="W37" i="1"/>
  <c r="W20" i="1"/>
  <c r="Y20" i="3"/>
  <c r="Y20" i="1" s="1"/>
  <c r="Y257" i="3"/>
  <c r="Y65" i="2" s="1"/>
  <c r="W65" i="2"/>
  <c r="Y24" i="3"/>
  <c r="Y24" i="1" s="1"/>
  <c r="W24" i="1"/>
  <c r="Y95" i="3"/>
  <c r="Y95" i="1" s="1"/>
  <c r="W95" i="1"/>
  <c r="Y40" i="3"/>
  <c r="Y40" i="1" s="1"/>
  <c r="W40" i="1"/>
  <c r="Y272" i="3"/>
  <c r="Y80" i="2" s="1"/>
  <c r="W80" i="2"/>
  <c r="BK257" i="3"/>
  <c r="BK65" i="2" s="1"/>
  <c r="Y277" i="3"/>
  <c r="Y85" i="2" s="1"/>
  <c r="W85" i="2"/>
  <c r="Y201" i="3"/>
  <c r="Y9" i="2" s="1"/>
  <c r="W9" i="2"/>
  <c r="Y55" i="3"/>
  <c r="Y55" i="1" s="1"/>
  <c r="W55" i="1"/>
  <c r="Y51" i="3"/>
  <c r="Y51" i="1" s="1"/>
  <c r="W51" i="1"/>
  <c r="Y232" i="3"/>
  <c r="Y40" i="2" s="1"/>
  <c r="W40" i="2"/>
  <c r="Y99" i="3"/>
  <c r="Y99" i="1" s="1"/>
  <c r="W99" i="1"/>
  <c r="Y73" i="3"/>
  <c r="Y73" i="1" s="1"/>
  <c r="W73" i="1"/>
  <c r="Y242" i="3"/>
  <c r="Y50" i="2" s="1"/>
  <c r="W50" i="2"/>
  <c r="BK277" i="3"/>
  <c r="BK85" i="2" s="1"/>
  <c r="U106" i="2"/>
  <c r="BK99" i="3"/>
  <c r="BK99" i="1" s="1"/>
  <c r="Y205" i="3"/>
  <c r="Y13" i="2" s="1"/>
  <c r="W13" i="2"/>
  <c r="BK55" i="3"/>
  <c r="BK55" i="1" s="1"/>
  <c r="BK231" i="3"/>
  <c r="BK39" i="2" s="1"/>
  <c r="Y64" i="3"/>
  <c r="Y64" i="1" s="1"/>
  <c r="W64" i="1"/>
  <c r="Y38" i="3"/>
  <c r="Y38" i="1" s="1"/>
  <c r="W38" i="1"/>
  <c r="Y17" i="3"/>
  <c r="Y17" i="1" s="1"/>
  <c r="W17" i="1"/>
  <c r="Y268" i="3"/>
  <c r="Y76" i="2" s="1"/>
  <c r="W76" i="2"/>
  <c r="Y288" i="3"/>
  <c r="Y96" i="2" s="1"/>
  <c r="W96" i="2"/>
  <c r="Y234" i="3"/>
  <c r="Y42" i="2" s="1"/>
  <c r="W42" i="2"/>
  <c r="BK234" i="3"/>
  <c r="BK42" i="2" s="1"/>
  <c r="Y84" i="3"/>
  <c r="Y84" i="1" s="1"/>
  <c r="W84" i="1"/>
  <c r="Y86" i="3"/>
  <c r="Y86" i="1" s="1"/>
  <c r="W86" i="1"/>
  <c r="Y237" i="3"/>
  <c r="Y45" i="2" s="1"/>
  <c r="W45" i="2"/>
  <c r="M10" i="4"/>
  <c r="I11" i="4"/>
  <c r="J11" i="4" s="1"/>
  <c r="AP9" i="3"/>
  <c r="Y216" i="3"/>
  <c r="Y24" i="2" s="1"/>
  <c r="W24" i="2"/>
  <c r="BK64" i="3"/>
  <c r="BK64" i="1" s="1"/>
  <c r="Y225" i="3"/>
  <c r="Y33" i="2" s="1"/>
  <c r="W33" i="2"/>
  <c r="Y78" i="3"/>
  <c r="Y78" i="1" s="1"/>
  <c r="W78" i="1"/>
  <c r="Y266" i="3"/>
  <c r="Y74" i="2" s="1"/>
  <c r="W74" i="2"/>
  <c r="Y96" i="3"/>
  <c r="Y96" i="1" s="1"/>
  <c r="W96" i="1"/>
  <c r="BK263" i="3"/>
  <c r="BK71" i="2" s="1"/>
  <c r="BK280" i="3"/>
  <c r="BK88" i="2" s="1"/>
  <c r="BK10" i="3"/>
  <c r="BK10" i="1" s="1"/>
  <c r="Y42" i="3"/>
  <c r="Y42" i="1" s="1"/>
  <c r="W42" i="1"/>
  <c r="BK232" i="3"/>
  <c r="BK40" i="2" s="1"/>
  <c r="Y207" i="3"/>
  <c r="Y15" i="2" s="1"/>
  <c r="W15" i="2"/>
  <c r="Y224" i="3"/>
  <c r="Y32" i="2" s="1"/>
  <c r="W32" i="2"/>
  <c r="Y259" i="3"/>
  <c r="Y67" i="2" s="1"/>
  <c r="W67" i="2"/>
  <c r="BK207" i="3"/>
  <c r="BK15" i="2" s="1"/>
  <c r="Y57" i="3"/>
  <c r="Y57" i="1" s="1"/>
  <c r="W57" i="1"/>
  <c r="Y50" i="3"/>
  <c r="Y50" i="1" s="1"/>
  <c r="W50" i="1"/>
  <c r="Y253" i="3"/>
  <c r="Y61" i="2" s="1"/>
  <c r="W61" i="2"/>
  <c r="Y290" i="3"/>
  <c r="Y98" i="2" s="1"/>
  <c r="W98" i="2"/>
  <c r="BK266" i="3"/>
  <c r="BK74" i="2" s="1"/>
  <c r="BK96" i="3"/>
  <c r="BK96" i="1" s="1"/>
  <c r="Y103" i="3"/>
  <c r="Y103" i="1" s="1"/>
  <c r="W103" i="1"/>
  <c r="Y284" i="3"/>
  <c r="Y92" i="2" s="1"/>
  <c r="W92" i="2"/>
  <c r="Y12" i="3"/>
  <c r="Y12" i="1" s="1"/>
  <c r="W12" i="1"/>
  <c r="Y53" i="3"/>
  <c r="Y53" i="1" s="1"/>
  <c r="W53" i="1"/>
  <c r="Y294" i="3"/>
  <c r="Y102" i="2" s="1"/>
  <c r="W102" i="2"/>
  <c r="Y250" i="3"/>
  <c r="Y58" i="2" s="1"/>
  <c r="W58" i="2"/>
  <c r="Y218" i="3"/>
  <c r="Y26" i="2" s="1"/>
  <c r="W26" i="2"/>
  <c r="BK103" i="3"/>
  <c r="BK103" i="1" s="1"/>
  <c r="Y206" i="3"/>
  <c r="Y14" i="2" s="1"/>
  <c r="W14" i="2"/>
  <c r="Y83" i="3"/>
  <c r="Y83" i="1" s="1"/>
  <c r="W83" i="1"/>
  <c r="Y212" i="3"/>
  <c r="Y20" i="2" s="1"/>
  <c r="W20" i="2"/>
  <c r="BK212" i="3"/>
  <c r="BK20" i="2" s="1"/>
  <c r="BK90" i="3"/>
  <c r="BK90" i="1" s="1"/>
  <c r="Y238" i="3"/>
  <c r="Y46" i="2" s="1"/>
  <c r="W46" i="2"/>
  <c r="Y72" i="3"/>
  <c r="Y72" i="1" s="1"/>
  <c r="W72" i="1"/>
  <c r="Y98" i="3"/>
  <c r="Y98" i="1" s="1"/>
  <c r="W98" i="1"/>
  <c r="BK296" i="3"/>
  <c r="BK104" i="2" s="1"/>
  <c r="Y26" i="3"/>
  <c r="Y26" i="1" s="1"/>
  <c r="W26" i="1"/>
  <c r="Y88" i="3"/>
  <c r="Y88" i="1" s="1"/>
  <c r="W88" i="1"/>
  <c r="BK294" i="3"/>
  <c r="BK102" i="2" s="1"/>
  <c r="BK268" i="3"/>
  <c r="BK76" i="2" s="1"/>
  <c r="BK218" i="3"/>
  <c r="BK26" i="2" s="1"/>
  <c r="Y247" i="3"/>
  <c r="Y55" i="2" s="1"/>
  <c r="W55" i="2"/>
  <c r="M478" i="4" l="1"/>
  <c r="I479" i="4"/>
  <c r="J479" i="4" s="1"/>
  <c r="AP201" i="3"/>
  <c r="W106" i="1"/>
  <c r="I12" i="4"/>
  <c r="J12" i="4" s="1"/>
  <c r="M11" i="4"/>
  <c r="W106" i="2"/>
  <c r="AQ9" i="3"/>
  <c r="AQ9" i="1" s="1"/>
  <c r="AP9" i="1"/>
  <c r="M12" i="4" l="1"/>
  <c r="I13" i="4"/>
  <c r="J13" i="4" s="1"/>
  <c r="AP10" i="3"/>
  <c r="AQ201" i="3"/>
  <c r="AQ9" i="2" s="1"/>
  <c r="AP9" i="2"/>
  <c r="B112" i="1"/>
  <c r="B112" i="2"/>
  <c r="I480" i="4"/>
  <c r="J480" i="4" s="1"/>
  <c r="M479" i="4"/>
  <c r="I481" i="4" l="1"/>
  <c r="J481" i="4" s="1"/>
  <c r="M480" i="4"/>
  <c r="AP202" i="3"/>
  <c r="AQ10" i="3"/>
  <c r="AQ10" i="1" s="1"/>
  <c r="AP10" i="1"/>
  <c r="I14" i="4"/>
  <c r="J14" i="4" s="1"/>
  <c r="M13" i="4"/>
  <c r="I15" i="4" l="1"/>
  <c r="J15" i="4" s="1"/>
  <c r="M14" i="4"/>
  <c r="AP11" i="3"/>
  <c r="AQ202" i="3"/>
  <c r="AQ10" i="2" s="1"/>
  <c r="AP10" i="2"/>
  <c r="I482" i="4"/>
  <c r="J482" i="4" s="1"/>
  <c r="M481" i="4"/>
  <c r="I483" i="4" l="1"/>
  <c r="J483" i="4" s="1"/>
  <c r="M482" i="4"/>
  <c r="AQ11" i="3"/>
  <c r="AQ11" i="1" s="1"/>
  <c r="AP11" i="1"/>
  <c r="I16" i="4"/>
  <c r="J16" i="4" s="1"/>
  <c r="M15" i="4"/>
  <c r="I17" i="4" l="1"/>
  <c r="J17" i="4" s="1"/>
  <c r="M16" i="4"/>
  <c r="I484" i="4"/>
  <c r="J484" i="4" s="1"/>
  <c r="M483" i="4"/>
  <c r="AP203" i="3"/>
  <c r="AQ203" i="3" l="1"/>
  <c r="AQ11" i="2" s="1"/>
  <c r="AP11" i="2"/>
  <c r="M484" i="4"/>
  <c r="I485" i="4"/>
  <c r="J485" i="4" s="1"/>
  <c r="M17" i="4"/>
  <c r="I18" i="4"/>
  <c r="J18" i="4" s="1"/>
  <c r="AP12" i="3"/>
  <c r="AQ12" i="3" l="1"/>
  <c r="AQ12" i="1" s="1"/>
  <c r="AP12" i="1"/>
  <c r="I19" i="4"/>
  <c r="J19" i="4" s="1"/>
  <c r="M18" i="4"/>
  <c r="I486" i="4"/>
  <c r="J486" i="4" s="1"/>
  <c r="M485" i="4"/>
  <c r="I487" i="4" l="1"/>
  <c r="J487" i="4" s="1"/>
  <c r="M486" i="4"/>
  <c r="AP204" i="3"/>
  <c r="M19" i="4"/>
  <c r="I20" i="4"/>
  <c r="J20" i="4" s="1"/>
  <c r="I21" i="4" l="1"/>
  <c r="J21" i="4" s="1"/>
  <c r="M20" i="4"/>
  <c r="AP13" i="3"/>
  <c r="AQ204" i="3"/>
  <c r="AQ12" i="2" s="1"/>
  <c r="AP12" i="2"/>
  <c r="M487" i="4"/>
  <c r="I488" i="4"/>
  <c r="J488" i="4" s="1"/>
  <c r="I489" i="4" l="1"/>
  <c r="J489" i="4" s="1"/>
  <c r="M488" i="4"/>
  <c r="AP205" i="3"/>
  <c r="AP13" i="1"/>
  <c r="AQ13" i="3"/>
  <c r="AQ13" i="1" s="1"/>
  <c r="M21" i="4"/>
  <c r="I22" i="4"/>
  <c r="J22" i="4" s="1"/>
  <c r="I23" i="4" l="1"/>
  <c r="J23" i="4" s="1"/>
  <c r="M22" i="4"/>
  <c r="AP14" i="3"/>
  <c r="AQ205" i="3"/>
  <c r="AQ13" i="2" s="1"/>
  <c r="AP13" i="2"/>
  <c r="M489" i="4"/>
  <c r="I490" i="4"/>
  <c r="J490" i="4" s="1"/>
  <c r="I491" i="4" l="1"/>
  <c r="J491" i="4" s="1"/>
  <c r="M490" i="4"/>
  <c r="AQ14" i="3"/>
  <c r="AQ14" i="1" s="1"/>
  <c r="AP14" i="1"/>
  <c r="M23" i="4"/>
  <c r="I24" i="4"/>
  <c r="J24" i="4" s="1"/>
  <c r="M491" i="4" l="1"/>
  <c r="I492" i="4"/>
  <c r="J492" i="4" s="1"/>
  <c r="AP206" i="3"/>
  <c r="I25" i="4"/>
  <c r="J25" i="4" s="1"/>
  <c r="M24" i="4"/>
  <c r="AP15" i="3"/>
  <c r="I26" i="4" l="1"/>
  <c r="J26" i="4" s="1"/>
  <c r="M25" i="4"/>
  <c r="AQ15" i="3"/>
  <c r="AQ15" i="1" s="1"/>
  <c r="AP15" i="1"/>
  <c r="AQ206" i="3"/>
  <c r="AQ14" i="2" s="1"/>
  <c r="AP14" i="2"/>
  <c r="I493" i="4"/>
  <c r="J493" i="4" s="1"/>
  <c r="M492" i="4"/>
  <c r="I494" i="4" l="1"/>
  <c r="J494" i="4" s="1"/>
  <c r="M493" i="4"/>
  <c r="I27" i="4"/>
  <c r="J27" i="4" s="1"/>
  <c r="M26" i="4"/>
  <c r="AP16" i="3"/>
  <c r="AQ16" i="3" l="1"/>
  <c r="AQ16" i="1" s="1"/>
  <c r="AP16" i="1"/>
  <c r="I28" i="4"/>
  <c r="J28" i="4" s="1"/>
  <c r="M27" i="4"/>
  <c r="M494" i="4"/>
  <c r="I495" i="4"/>
  <c r="J495" i="4" s="1"/>
  <c r="AP207" i="3"/>
  <c r="AQ207" i="3" l="1"/>
  <c r="AQ15" i="2" s="1"/>
  <c r="AP15" i="2"/>
  <c r="M495" i="4"/>
  <c r="I496" i="4"/>
  <c r="J496" i="4" s="1"/>
  <c r="M28" i="4"/>
  <c r="I29" i="4"/>
  <c r="J29" i="4" s="1"/>
  <c r="AP17" i="3"/>
  <c r="AQ17" i="3" l="1"/>
  <c r="AQ17" i="1" s="1"/>
  <c r="AP17" i="1"/>
  <c r="I30" i="4"/>
  <c r="J30" i="4" s="1"/>
  <c r="M29" i="4"/>
  <c r="I497" i="4"/>
  <c r="J497" i="4" s="1"/>
  <c r="M496" i="4"/>
  <c r="M30" i="4" l="1"/>
  <c r="I31" i="4"/>
  <c r="J31" i="4" s="1"/>
  <c r="AP18" i="3"/>
  <c r="I498" i="4"/>
  <c r="J498" i="4" s="1"/>
  <c r="M497" i="4"/>
  <c r="AP208" i="3"/>
  <c r="AQ18" i="3" l="1"/>
  <c r="AQ18" i="1" s="1"/>
  <c r="AP18" i="1"/>
  <c r="AQ208" i="3"/>
  <c r="AQ16" i="2" s="1"/>
  <c r="AP16" i="2"/>
  <c r="M498" i="4"/>
  <c r="I499" i="4"/>
  <c r="J499" i="4" s="1"/>
  <c r="I32" i="4"/>
  <c r="J32" i="4" s="1"/>
  <c r="M31" i="4"/>
  <c r="M32" i="4" l="1"/>
  <c r="I33" i="4"/>
  <c r="J33" i="4" s="1"/>
  <c r="AP19" i="3"/>
  <c r="I500" i="4"/>
  <c r="J500" i="4" s="1"/>
  <c r="M499" i="4"/>
  <c r="AP209" i="3"/>
  <c r="AQ209" i="3" l="1"/>
  <c r="AQ17" i="2" s="1"/>
  <c r="AP17" i="2"/>
  <c r="M500" i="4"/>
  <c r="I501" i="4"/>
  <c r="J501" i="4" s="1"/>
  <c r="AQ19" i="3"/>
  <c r="AQ19" i="1" s="1"/>
  <c r="AP19" i="1"/>
  <c r="I34" i="4"/>
  <c r="J34" i="4" s="1"/>
  <c r="M33" i="4"/>
  <c r="M34" i="4" l="1"/>
  <c r="I35" i="4"/>
  <c r="J35" i="4" s="1"/>
  <c r="AP20" i="3"/>
  <c r="I502" i="4"/>
  <c r="J502" i="4" s="1"/>
  <c r="M501" i="4"/>
  <c r="M502" i="4" l="1"/>
  <c r="I503" i="4"/>
  <c r="J503" i="4" s="1"/>
  <c r="AP210" i="3"/>
  <c r="AQ20" i="3"/>
  <c r="AQ20" i="1" s="1"/>
  <c r="AP20" i="1"/>
  <c r="I36" i="4"/>
  <c r="J36" i="4" s="1"/>
  <c r="M35" i="4"/>
  <c r="I37" i="4" l="1"/>
  <c r="J37" i="4" s="1"/>
  <c r="M36" i="4"/>
  <c r="AP21" i="3"/>
  <c r="AQ210" i="3"/>
  <c r="AQ18" i="2" s="1"/>
  <c r="AP18" i="2"/>
  <c r="I504" i="4"/>
  <c r="J504" i="4" s="1"/>
  <c r="M503" i="4"/>
  <c r="M504" i="4" l="1"/>
  <c r="I505" i="4"/>
  <c r="J505" i="4" s="1"/>
  <c r="AQ21" i="3"/>
  <c r="AQ21" i="1" s="1"/>
  <c r="AP21" i="1"/>
  <c r="I38" i="4"/>
  <c r="J38" i="4" s="1"/>
  <c r="M37" i="4"/>
  <c r="I39" i="4" l="1"/>
  <c r="J39" i="4" s="1"/>
  <c r="M38" i="4"/>
  <c r="AP22" i="3"/>
  <c r="M505" i="4"/>
  <c r="I506" i="4"/>
  <c r="J506" i="4" s="1"/>
  <c r="AP211" i="3"/>
  <c r="AQ211" i="3" l="1"/>
  <c r="AQ19" i="2" s="1"/>
  <c r="AP19" i="2"/>
  <c r="I507" i="4"/>
  <c r="J507" i="4" s="1"/>
  <c r="M506" i="4"/>
  <c r="AQ22" i="3"/>
  <c r="AQ22" i="1" s="1"/>
  <c r="AP22" i="1"/>
  <c r="M39" i="4"/>
  <c r="I40" i="4"/>
  <c r="J40" i="4" s="1"/>
  <c r="I41" i="4" l="1"/>
  <c r="J41" i="4" s="1"/>
  <c r="M40" i="4"/>
  <c r="AP23" i="3"/>
  <c r="I508" i="4"/>
  <c r="J508" i="4" s="1"/>
  <c r="M507" i="4"/>
  <c r="AP212" i="3"/>
  <c r="I509" i="4" l="1"/>
  <c r="J509" i="4" s="1"/>
  <c r="M508" i="4"/>
  <c r="AQ212" i="3"/>
  <c r="AQ20" i="2" s="1"/>
  <c r="AP20" i="2"/>
  <c r="AQ23" i="3"/>
  <c r="AQ23" i="1" s="1"/>
  <c r="AP23" i="1"/>
  <c r="M41" i="4"/>
  <c r="I42" i="4"/>
  <c r="J42" i="4" s="1"/>
  <c r="I43" i="4" l="1"/>
  <c r="J43" i="4" s="1"/>
  <c r="M42" i="4"/>
  <c r="AP24" i="3"/>
  <c r="M509" i="4"/>
  <c r="I510" i="4"/>
  <c r="J510" i="4" s="1"/>
  <c r="AP213" i="3"/>
  <c r="AQ213" i="3" l="1"/>
  <c r="AQ21" i="2" s="1"/>
  <c r="AP21" i="2"/>
  <c r="I511" i="4"/>
  <c r="J511" i="4" s="1"/>
  <c r="M510" i="4"/>
  <c r="AQ24" i="3"/>
  <c r="AQ24" i="1" s="1"/>
  <c r="AP24" i="1"/>
  <c r="I44" i="4"/>
  <c r="J44" i="4" s="1"/>
  <c r="M43" i="4"/>
  <c r="I512" i="4" l="1"/>
  <c r="J512" i="4" s="1"/>
  <c r="M511" i="4"/>
  <c r="AP214" i="3"/>
  <c r="I45" i="4"/>
  <c r="J45" i="4" s="1"/>
  <c r="M44" i="4"/>
  <c r="AP25" i="3"/>
  <c r="I46" i="4" l="1"/>
  <c r="J46" i="4" s="1"/>
  <c r="M45" i="4"/>
  <c r="AQ25" i="3"/>
  <c r="AQ25" i="1" s="1"/>
  <c r="AP25" i="1"/>
  <c r="AQ214" i="3"/>
  <c r="AQ22" i="2" s="1"/>
  <c r="AP22" i="2"/>
  <c r="I513" i="4"/>
  <c r="J513" i="4" s="1"/>
  <c r="M512" i="4"/>
  <c r="M513" i="4" l="1"/>
  <c r="I514" i="4"/>
  <c r="J514" i="4" s="1"/>
  <c r="AP215" i="3"/>
  <c r="M46" i="4"/>
  <c r="I47" i="4"/>
  <c r="J47" i="4" s="1"/>
  <c r="AP26" i="3"/>
  <c r="AQ26" i="3" l="1"/>
  <c r="AQ26" i="1" s="1"/>
  <c r="AP26" i="1"/>
  <c r="I48" i="4"/>
  <c r="J48" i="4" s="1"/>
  <c r="M47" i="4"/>
  <c r="AQ215" i="3"/>
  <c r="AQ23" i="2" s="1"/>
  <c r="AP23" i="2"/>
  <c r="M514" i="4"/>
  <c r="I515" i="4"/>
  <c r="J515" i="4" s="1"/>
  <c r="M515" i="4" l="1"/>
  <c r="I516" i="4"/>
  <c r="J516" i="4" s="1"/>
  <c r="AP216" i="3"/>
  <c r="M48" i="4"/>
  <c r="I49" i="4"/>
  <c r="J49" i="4" s="1"/>
  <c r="AP27" i="3"/>
  <c r="AQ216" i="3" l="1"/>
  <c r="AQ24" i="2" s="1"/>
  <c r="AP24" i="2"/>
  <c r="I50" i="4"/>
  <c r="J50" i="4" s="1"/>
  <c r="M49" i="4"/>
  <c r="AQ27" i="3"/>
  <c r="AQ27" i="1" s="1"/>
  <c r="AP27" i="1"/>
  <c r="I517" i="4"/>
  <c r="J517" i="4" s="1"/>
  <c r="M516" i="4"/>
  <c r="I518" i="4" l="1"/>
  <c r="J518" i="4" s="1"/>
  <c r="M517" i="4"/>
  <c r="AP217" i="3"/>
  <c r="I51" i="4"/>
  <c r="J51" i="4" s="1"/>
  <c r="M50" i="4"/>
  <c r="AP28" i="3"/>
  <c r="M51" i="4" l="1"/>
  <c r="I52" i="4"/>
  <c r="J52" i="4" s="1"/>
  <c r="AQ28" i="3"/>
  <c r="AQ28" i="1" s="1"/>
  <c r="AP28" i="1"/>
  <c r="AQ217" i="3"/>
  <c r="AQ25" i="2" s="1"/>
  <c r="AP25" i="2"/>
  <c r="M518" i="4"/>
  <c r="I519" i="4"/>
  <c r="J519" i="4" s="1"/>
  <c r="I520" i="4" l="1"/>
  <c r="J520" i="4" s="1"/>
  <c r="M519" i="4"/>
  <c r="AP218" i="3"/>
  <c r="I53" i="4"/>
  <c r="J53" i="4" s="1"/>
  <c r="M52" i="4"/>
  <c r="AP29" i="3"/>
  <c r="AQ29" i="3" l="1"/>
  <c r="AQ29" i="1" s="1"/>
  <c r="AP29" i="1"/>
  <c r="M53" i="4"/>
  <c r="I54" i="4"/>
  <c r="J54" i="4" s="1"/>
  <c r="AQ218" i="3"/>
  <c r="AQ26" i="2" s="1"/>
  <c r="AP26" i="2"/>
  <c r="M520" i="4"/>
  <c r="I521" i="4"/>
  <c r="J521" i="4" s="1"/>
  <c r="I522" i="4" l="1"/>
  <c r="J522" i="4" s="1"/>
  <c r="M521" i="4"/>
  <c r="AP219" i="3"/>
  <c r="I55" i="4"/>
  <c r="J55" i="4" s="1"/>
  <c r="M54" i="4"/>
  <c r="AP30" i="3"/>
  <c r="AQ30" i="3" l="1"/>
  <c r="AQ30" i="1" s="1"/>
  <c r="AP30" i="1"/>
  <c r="AQ219" i="3"/>
  <c r="AQ27" i="2" s="1"/>
  <c r="AP27" i="2"/>
  <c r="I56" i="4"/>
  <c r="J56" i="4" s="1"/>
  <c r="M55" i="4"/>
  <c r="I523" i="4"/>
  <c r="J523" i="4" s="1"/>
  <c r="M522" i="4"/>
  <c r="M523" i="4" l="1"/>
  <c r="I524" i="4"/>
  <c r="J524" i="4" s="1"/>
  <c r="AP220" i="3"/>
  <c r="I57" i="4"/>
  <c r="J57" i="4" s="1"/>
  <c r="M56" i="4"/>
  <c r="AP31" i="3"/>
  <c r="AQ220" i="3" l="1"/>
  <c r="AQ28" i="2" s="1"/>
  <c r="AP28" i="2"/>
  <c r="AQ31" i="3"/>
  <c r="AQ31" i="1" s="1"/>
  <c r="AP31" i="1"/>
  <c r="I58" i="4"/>
  <c r="J58" i="4" s="1"/>
  <c r="M57" i="4"/>
  <c r="M524" i="4"/>
  <c r="I525" i="4"/>
  <c r="J525" i="4" s="1"/>
  <c r="I59" i="4" l="1"/>
  <c r="J59" i="4" s="1"/>
  <c r="M58" i="4"/>
  <c r="AP32" i="3"/>
  <c r="I526" i="4"/>
  <c r="J526" i="4" s="1"/>
  <c r="M525" i="4"/>
  <c r="AP221" i="3"/>
  <c r="AQ221" i="3" l="1"/>
  <c r="AQ29" i="2" s="1"/>
  <c r="AP29" i="2"/>
  <c r="I527" i="4"/>
  <c r="J527" i="4" s="1"/>
  <c r="M526" i="4"/>
  <c r="AQ32" i="3"/>
  <c r="AQ32" i="1" s="1"/>
  <c r="AP32" i="1"/>
  <c r="M59" i="4"/>
  <c r="I60" i="4"/>
  <c r="J60" i="4" s="1"/>
  <c r="M60" i="4" l="1"/>
  <c r="I61" i="4"/>
  <c r="J61" i="4" s="1"/>
  <c r="AP33" i="3"/>
  <c r="I528" i="4"/>
  <c r="J528" i="4" s="1"/>
  <c r="M527" i="4"/>
  <c r="AP222" i="3"/>
  <c r="I62" i="4" l="1"/>
  <c r="J62" i="4" s="1"/>
  <c r="M61" i="4"/>
  <c r="AQ222" i="3"/>
  <c r="AQ30" i="2" s="1"/>
  <c r="AP30" i="2"/>
  <c r="M528" i="4"/>
  <c r="I529" i="4"/>
  <c r="J529" i="4" s="1"/>
  <c r="AQ33" i="3"/>
  <c r="AQ33" i="1" s="1"/>
  <c r="AP33" i="1"/>
  <c r="I530" i="4" l="1"/>
  <c r="J530" i="4" s="1"/>
  <c r="M529" i="4"/>
  <c r="AP223" i="3"/>
  <c r="M62" i="4"/>
  <c r="I63" i="4"/>
  <c r="J63" i="4" s="1"/>
  <c r="AP34" i="3"/>
  <c r="AQ34" i="3" l="1"/>
  <c r="AQ34" i="1" s="1"/>
  <c r="AP34" i="1"/>
  <c r="M63" i="4"/>
  <c r="I64" i="4"/>
  <c r="J64" i="4" s="1"/>
  <c r="AQ223" i="3"/>
  <c r="AQ31" i="2" s="1"/>
  <c r="AP31" i="2"/>
  <c r="I531" i="4"/>
  <c r="J531" i="4" s="1"/>
  <c r="M530" i="4"/>
  <c r="M64" i="4" l="1"/>
  <c r="I65" i="4"/>
  <c r="J65" i="4" s="1"/>
  <c r="AP35" i="3"/>
  <c r="M531" i="4"/>
  <c r="I532" i="4"/>
  <c r="J532" i="4" s="1"/>
  <c r="AQ35" i="3" l="1"/>
  <c r="AQ35" i="1" s="1"/>
  <c r="AP35" i="1"/>
  <c r="I533" i="4"/>
  <c r="J533" i="4" s="1"/>
  <c r="M532" i="4"/>
  <c r="AP224" i="3"/>
  <c r="I66" i="4"/>
  <c r="J66" i="4" s="1"/>
  <c r="M65" i="4"/>
  <c r="I67" i="4" l="1"/>
  <c r="J67" i="4" s="1"/>
  <c r="M66" i="4"/>
  <c r="AQ224" i="3"/>
  <c r="AQ32" i="2" s="1"/>
  <c r="AP32" i="2"/>
  <c r="I534" i="4"/>
  <c r="J534" i="4" s="1"/>
  <c r="M533" i="4"/>
  <c r="I535" i="4" l="1"/>
  <c r="J535" i="4" s="1"/>
  <c r="M534" i="4"/>
  <c r="I68" i="4"/>
  <c r="J68" i="4" s="1"/>
  <c r="M67" i="4"/>
  <c r="AP36" i="3"/>
  <c r="AQ36" i="3" l="1"/>
  <c r="AQ36" i="1" s="1"/>
  <c r="AP36" i="1"/>
  <c r="I69" i="4"/>
  <c r="J69" i="4" s="1"/>
  <c r="M68" i="4"/>
  <c r="I536" i="4"/>
  <c r="J536" i="4" s="1"/>
  <c r="M535" i="4"/>
  <c r="AP225" i="3"/>
  <c r="AQ225" i="3" l="1"/>
  <c r="AQ33" i="2" s="1"/>
  <c r="AP33" i="2"/>
  <c r="I537" i="4"/>
  <c r="J537" i="4" s="1"/>
  <c r="M536" i="4"/>
  <c r="I70" i="4"/>
  <c r="J70" i="4" s="1"/>
  <c r="M69" i="4"/>
  <c r="AP37" i="3"/>
  <c r="AQ37" i="3" l="1"/>
  <c r="AQ37" i="1" s="1"/>
  <c r="AP37" i="1"/>
  <c r="I71" i="4"/>
  <c r="J71" i="4" s="1"/>
  <c r="M70" i="4"/>
  <c r="I538" i="4"/>
  <c r="J538" i="4" s="1"/>
  <c r="M537" i="4"/>
  <c r="AP226" i="3"/>
  <c r="AQ226" i="3" l="1"/>
  <c r="AQ34" i="2" s="1"/>
  <c r="AP34" i="2"/>
  <c r="M538" i="4"/>
  <c r="I539" i="4"/>
  <c r="J539" i="4" s="1"/>
  <c r="M71" i="4"/>
  <c r="I72" i="4"/>
  <c r="J72" i="4" s="1"/>
  <c r="AP38" i="3"/>
  <c r="AQ38" i="3" l="1"/>
  <c r="AQ38" i="1" s="1"/>
  <c r="AP38" i="1"/>
  <c r="M539" i="4"/>
  <c r="I540" i="4"/>
  <c r="J540" i="4" s="1"/>
  <c r="I73" i="4"/>
  <c r="J73" i="4" s="1"/>
  <c r="M72" i="4"/>
  <c r="M73" i="4" l="1"/>
  <c r="I74" i="4"/>
  <c r="J74" i="4" s="1"/>
  <c r="AP39" i="3"/>
  <c r="M540" i="4"/>
  <c r="I541" i="4"/>
  <c r="J541" i="4" s="1"/>
  <c r="AP227" i="3"/>
  <c r="I542" i="4" l="1"/>
  <c r="J542" i="4" s="1"/>
  <c r="M541" i="4"/>
  <c r="I75" i="4"/>
  <c r="J75" i="4" s="1"/>
  <c r="M74" i="4"/>
  <c r="AQ227" i="3"/>
  <c r="AQ35" i="2" s="1"/>
  <c r="AP35" i="2"/>
  <c r="AQ39" i="3"/>
  <c r="AQ39" i="1" s="1"/>
  <c r="AP39" i="1"/>
  <c r="M75" i="4" l="1"/>
  <c r="I76" i="4"/>
  <c r="J76" i="4" s="1"/>
  <c r="M542" i="4"/>
  <c r="I543" i="4"/>
  <c r="J543" i="4" s="1"/>
  <c r="I544" i="4" l="1"/>
  <c r="J544" i="4" s="1"/>
  <c r="M543" i="4"/>
  <c r="AP228" i="3"/>
  <c r="I77" i="4"/>
  <c r="J77" i="4" s="1"/>
  <c r="M76" i="4"/>
  <c r="AP40" i="3"/>
  <c r="I78" i="4" l="1"/>
  <c r="J78" i="4" s="1"/>
  <c r="M77" i="4"/>
  <c r="AQ40" i="3"/>
  <c r="AQ40" i="1" s="1"/>
  <c r="AP40" i="1"/>
  <c r="AQ228" i="3"/>
  <c r="AQ36" i="2" s="1"/>
  <c r="AP36" i="2"/>
  <c r="I545" i="4"/>
  <c r="J545" i="4" s="1"/>
  <c r="M544" i="4"/>
  <c r="M545" i="4" l="1"/>
  <c r="I546" i="4"/>
  <c r="J546" i="4" s="1"/>
  <c r="AP229" i="3"/>
  <c r="I79" i="4"/>
  <c r="J79" i="4" s="1"/>
  <c r="M78" i="4"/>
  <c r="AP41" i="3"/>
  <c r="AQ229" i="3" l="1"/>
  <c r="AQ37" i="2" s="1"/>
  <c r="AP37" i="2"/>
  <c r="AQ41" i="3"/>
  <c r="AQ41" i="1" s="1"/>
  <c r="AP41" i="1"/>
  <c r="I80" i="4"/>
  <c r="J80" i="4" s="1"/>
  <c r="M79" i="4"/>
  <c r="I547" i="4"/>
  <c r="J547" i="4" s="1"/>
  <c r="M546" i="4"/>
  <c r="I548" i="4" l="1"/>
  <c r="J548" i="4" s="1"/>
  <c r="M547" i="4"/>
  <c r="I81" i="4"/>
  <c r="J81" i="4" s="1"/>
  <c r="M80" i="4"/>
  <c r="AP42" i="3"/>
  <c r="AQ42" i="3" l="1"/>
  <c r="AQ42" i="1" s="1"/>
  <c r="AP42" i="1"/>
  <c r="I82" i="4"/>
  <c r="J82" i="4" s="1"/>
  <c r="M81" i="4"/>
  <c r="M548" i="4"/>
  <c r="I549" i="4"/>
  <c r="J549" i="4" s="1"/>
  <c r="AP230" i="3"/>
  <c r="M82" i="4" l="1"/>
  <c r="I83" i="4"/>
  <c r="J83" i="4" s="1"/>
  <c r="AP43" i="3"/>
  <c r="AQ230" i="3"/>
  <c r="AQ38" i="2" s="1"/>
  <c r="AP38" i="2"/>
  <c r="I550" i="4"/>
  <c r="J550" i="4" s="1"/>
  <c r="M549" i="4"/>
  <c r="M550" i="4" l="1"/>
  <c r="I551" i="4"/>
  <c r="J551" i="4" s="1"/>
  <c r="AP231" i="3"/>
  <c r="AQ43" i="3"/>
  <c r="AQ43" i="1" s="1"/>
  <c r="AP43" i="1"/>
  <c r="I84" i="4"/>
  <c r="J84" i="4" s="1"/>
  <c r="M83" i="4"/>
  <c r="M84" i="4" l="1"/>
  <c r="I85" i="4"/>
  <c r="J85" i="4" s="1"/>
  <c r="AQ231" i="3"/>
  <c r="AQ39" i="2" s="1"/>
  <c r="AP39" i="2"/>
  <c r="M551" i="4"/>
  <c r="I552" i="4"/>
  <c r="J552" i="4" s="1"/>
  <c r="I553" i="4" l="1"/>
  <c r="J553" i="4" s="1"/>
  <c r="M552" i="4"/>
  <c r="AP232" i="3"/>
  <c r="I86" i="4"/>
  <c r="J86" i="4" s="1"/>
  <c r="M85" i="4"/>
  <c r="AP44" i="3"/>
  <c r="M86" i="4" l="1"/>
  <c r="I87" i="4"/>
  <c r="J87" i="4" s="1"/>
  <c r="AQ44" i="3"/>
  <c r="AQ44" i="1" s="1"/>
  <c r="AP44" i="1"/>
  <c r="AQ232" i="3"/>
  <c r="AQ40" i="2" s="1"/>
  <c r="AP40" i="2"/>
  <c r="I554" i="4"/>
  <c r="J554" i="4" s="1"/>
  <c r="M553" i="4"/>
  <c r="M554" i="4" l="1"/>
  <c r="I555" i="4"/>
  <c r="J555" i="4" s="1"/>
  <c r="I88" i="4"/>
  <c r="J88" i="4" s="1"/>
  <c r="M87" i="4"/>
  <c r="I89" i="4" l="1"/>
  <c r="J89" i="4" s="1"/>
  <c r="M88" i="4"/>
  <c r="AP45" i="3"/>
  <c r="I556" i="4"/>
  <c r="J556" i="4" s="1"/>
  <c r="M555" i="4"/>
  <c r="AP233" i="3"/>
  <c r="I557" i="4" l="1"/>
  <c r="J557" i="4" s="1"/>
  <c r="M556" i="4"/>
  <c r="AQ233" i="3"/>
  <c r="AQ41" i="2" s="1"/>
  <c r="AP41" i="2"/>
  <c r="AQ45" i="3"/>
  <c r="AQ45" i="1" s="1"/>
  <c r="AP45" i="1"/>
  <c r="I90" i="4"/>
  <c r="J90" i="4" s="1"/>
  <c r="M89" i="4"/>
  <c r="I91" i="4" l="1"/>
  <c r="J91" i="4" s="1"/>
  <c r="M90" i="4"/>
  <c r="M557" i="4"/>
  <c r="I558" i="4"/>
  <c r="J558" i="4" s="1"/>
  <c r="AP234" i="3"/>
  <c r="AQ234" i="3" l="1"/>
  <c r="AQ42" i="2" s="1"/>
  <c r="AP42" i="2"/>
  <c r="I559" i="4"/>
  <c r="J559" i="4" s="1"/>
  <c r="M558" i="4"/>
  <c r="M91" i="4"/>
  <c r="I92" i="4"/>
  <c r="J92" i="4" s="1"/>
  <c r="AP46" i="3"/>
  <c r="AQ46" i="3" l="1"/>
  <c r="AQ46" i="1" s="1"/>
  <c r="AP46" i="1"/>
  <c r="M92" i="4"/>
  <c r="I93" i="4"/>
  <c r="J93" i="4" s="1"/>
  <c r="I560" i="4"/>
  <c r="J560" i="4" s="1"/>
  <c r="M559" i="4"/>
  <c r="AP235" i="3"/>
  <c r="AQ235" i="3" l="1"/>
  <c r="AQ43" i="2" s="1"/>
  <c r="AP43" i="2"/>
  <c r="I561" i="4"/>
  <c r="J561" i="4" s="1"/>
  <c r="M560" i="4"/>
  <c r="M93" i="4"/>
  <c r="I94" i="4"/>
  <c r="J94" i="4" s="1"/>
  <c r="I95" i="4" l="1"/>
  <c r="J95" i="4" s="1"/>
  <c r="M94" i="4"/>
  <c r="AP47" i="3"/>
  <c r="M561" i="4"/>
  <c r="I562" i="4"/>
  <c r="J562" i="4" s="1"/>
  <c r="AP236" i="3"/>
  <c r="AQ236" i="3" l="1"/>
  <c r="AQ44" i="2" s="1"/>
  <c r="AP44" i="2"/>
  <c r="I563" i="4"/>
  <c r="J563" i="4" s="1"/>
  <c r="M562" i="4"/>
  <c r="AQ47" i="3"/>
  <c r="AQ47" i="1" s="1"/>
  <c r="AP47" i="1"/>
  <c r="M95" i="4"/>
  <c r="I96" i="4"/>
  <c r="J96" i="4" s="1"/>
  <c r="I97" i="4" l="1"/>
  <c r="J97" i="4" s="1"/>
  <c r="M96" i="4"/>
  <c r="M563" i="4"/>
  <c r="I564" i="4"/>
  <c r="J564" i="4" s="1"/>
  <c r="I565" i="4" l="1"/>
  <c r="J565" i="4" s="1"/>
  <c r="M564" i="4"/>
  <c r="AP237" i="3"/>
  <c r="I98" i="4"/>
  <c r="J98" i="4" s="1"/>
  <c r="M97" i="4"/>
  <c r="AP48" i="3"/>
  <c r="AQ48" i="3" l="1"/>
  <c r="AQ48" i="1" s="1"/>
  <c r="AP48" i="1"/>
  <c r="M98" i="4"/>
  <c r="I99" i="4"/>
  <c r="J99" i="4" s="1"/>
  <c r="AQ237" i="3"/>
  <c r="AQ45" i="2" s="1"/>
  <c r="AP45" i="2"/>
  <c r="I566" i="4"/>
  <c r="J566" i="4" s="1"/>
  <c r="M565" i="4"/>
  <c r="I100" i="4" l="1"/>
  <c r="J100" i="4" s="1"/>
  <c r="M99" i="4"/>
  <c r="M566" i="4"/>
  <c r="I567" i="4"/>
  <c r="J567" i="4" s="1"/>
  <c r="AP238" i="3"/>
  <c r="AQ238" i="3" l="1"/>
  <c r="AQ46" i="2" s="1"/>
  <c r="AP46" i="2"/>
  <c r="I568" i="4"/>
  <c r="J568" i="4" s="1"/>
  <c r="M567" i="4"/>
  <c r="M100" i="4"/>
  <c r="I101" i="4"/>
  <c r="J101" i="4" s="1"/>
  <c r="AP49" i="3"/>
  <c r="AQ49" i="3" l="1"/>
  <c r="AQ49" i="1" s="1"/>
  <c r="AP49" i="1"/>
  <c r="I102" i="4"/>
  <c r="J102" i="4" s="1"/>
  <c r="M101" i="4"/>
  <c r="I569" i="4"/>
  <c r="J569" i="4" s="1"/>
  <c r="M568" i="4"/>
  <c r="AP239" i="3"/>
  <c r="AQ239" i="3" l="1"/>
  <c r="AQ47" i="2" s="1"/>
  <c r="AP47" i="2"/>
  <c r="I570" i="4"/>
  <c r="J570" i="4" s="1"/>
  <c r="M569" i="4"/>
  <c r="I103" i="4"/>
  <c r="J103" i="4" s="1"/>
  <c r="M102" i="4"/>
  <c r="AP50" i="3"/>
  <c r="AQ50" i="3" l="1"/>
  <c r="AQ50" i="1" s="1"/>
  <c r="AP50" i="1"/>
  <c r="I104" i="4"/>
  <c r="J104" i="4" s="1"/>
  <c r="M103" i="4"/>
  <c r="I571" i="4"/>
  <c r="J571" i="4" s="1"/>
  <c r="M570" i="4"/>
  <c r="I572" i="4" l="1"/>
  <c r="J572" i="4" s="1"/>
  <c r="M571" i="4"/>
  <c r="AP240" i="3"/>
  <c r="I105" i="4"/>
  <c r="J105" i="4" s="1"/>
  <c r="M104" i="4"/>
  <c r="AP51" i="3"/>
  <c r="I106" i="4" l="1"/>
  <c r="J106" i="4" s="1"/>
  <c r="M105" i="4"/>
  <c r="AQ51" i="3"/>
  <c r="AQ51" i="1" s="1"/>
  <c r="AP51" i="1"/>
  <c r="AQ240" i="3"/>
  <c r="AQ48" i="2" s="1"/>
  <c r="AP48" i="2"/>
  <c r="M572" i="4"/>
  <c r="I573" i="4"/>
  <c r="J573" i="4" s="1"/>
  <c r="M573" i="4" l="1"/>
  <c r="I574" i="4"/>
  <c r="J574" i="4" s="1"/>
  <c r="I107" i="4"/>
  <c r="J107" i="4" s="1"/>
  <c r="M106" i="4"/>
  <c r="M107" i="4" l="1"/>
  <c r="I108" i="4"/>
  <c r="J108" i="4" s="1"/>
  <c r="AP52" i="3"/>
  <c r="I575" i="4"/>
  <c r="J575" i="4" s="1"/>
  <c r="M574" i="4"/>
  <c r="AP241" i="3"/>
  <c r="AQ241" i="3" l="1"/>
  <c r="AQ49" i="2" s="1"/>
  <c r="AP49" i="2"/>
  <c r="I576" i="4"/>
  <c r="J576" i="4" s="1"/>
  <c r="M575" i="4"/>
  <c r="AQ52" i="3"/>
  <c r="AQ52" i="1" s="1"/>
  <c r="AP52" i="1"/>
  <c r="I109" i="4"/>
  <c r="J109" i="4" s="1"/>
  <c r="M108" i="4"/>
  <c r="M109" i="4" l="1"/>
  <c r="I110" i="4"/>
  <c r="J110" i="4" s="1"/>
  <c r="I577" i="4"/>
  <c r="J577" i="4" s="1"/>
  <c r="M576" i="4"/>
  <c r="I111" i="4" l="1"/>
  <c r="J111" i="4" s="1"/>
  <c r="M110" i="4"/>
  <c r="AP53" i="3"/>
  <c r="I578" i="4"/>
  <c r="J578" i="4" s="1"/>
  <c r="M577" i="4"/>
  <c r="AP242" i="3"/>
  <c r="M578" i="4" l="1"/>
  <c r="I579" i="4"/>
  <c r="J579" i="4" s="1"/>
  <c r="AQ53" i="3"/>
  <c r="AQ53" i="1" s="1"/>
  <c r="AP53" i="1"/>
  <c r="AQ242" i="3"/>
  <c r="AQ50" i="2" s="1"/>
  <c r="AP50" i="2"/>
  <c r="I112" i="4"/>
  <c r="J112" i="4" s="1"/>
  <c r="M111" i="4"/>
  <c r="I113" i="4" l="1"/>
  <c r="J113" i="4" s="1"/>
  <c r="M112" i="4"/>
  <c r="AP54" i="3"/>
  <c r="I580" i="4"/>
  <c r="J580" i="4" s="1"/>
  <c r="M579" i="4"/>
  <c r="I581" i="4" l="1"/>
  <c r="J581" i="4" s="1"/>
  <c r="M580" i="4"/>
  <c r="AP243" i="3"/>
  <c r="AQ54" i="3"/>
  <c r="AQ54" i="1" s="1"/>
  <c r="AP54" i="1"/>
  <c r="I114" i="4"/>
  <c r="J114" i="4" s="1"/>
  <c r="M113" i="4"/>
  <c r="M114" i="4" l="1"/>
  <c r="I115" i="4"/>
  <c r="J115" i="4" s="1"/>
  <c r="AQ243" i="3"/>
  <c r="AQ51" i="2" s="1"/>
  <c r="AP51" i="2"/>
  <c r="M581" i="4"/>
  <c r="I582" i="4"/>
  <c r="J582" i="4" s="1"/>
  <c r="I583" i="4" l="1"/>
  <c r="J583" i="4" s="1"/>
  <c r="M582" i="4"/>
  <c r="AP244" i="3"/>
  <c r="I116" i="4"/>
  <c r="J116" i="4" s="1"/>
  <c r="M115" i="4"/>
  <c r="AP55" i="3"/>
  <c r="AQ55" i="3" l="1"/>
  <c r="AQ55" i="1" s="1"/>
  <c r="AP55" i="1"/>
  <c r="M116" i="4"/>
  <c r="I117" i="4"/>
  <c r="J117" i="4" s="1"/>
  <c r="AQ244" i="3"/>
  <c r="AQ52" i="2" s="1"/>
  <c r="AP52" i="2"/>
  <c r="M583" i="4"/>
  <c r="I584" i="4"/>
  <c r="J584" i="4" s="1"/>
  <c r="I585" i="4" l="1"/>
  <c r="J585" i="4" s="1"/>
  <c r="M584" i="4"/>
  <c r="AP245" i="3"/>
  <c r="I118" i="4"/>
  <c r="J118" i="4" s="1"/>
  <c r="M117" i="4"/>
  <c r="AQ245" i="3" l="1"/>
  <c r="AQ53" i="2" s="1"/>
  <c r="AP53" i="2"/>
  <c r="I119" i="4"/>
  <c r="J119" i="4" s="1"/>
  <c r="M118" i="4"/>
  <c r="AP56" i="3"/>
  <c r="I586" i="4"/>
  <c r="J586" i="4" s="1"/>
  <c r="M585" i="4"/>
  <c r="AQ56" i="3" l="1"/>
  <c r="AQ56" i="1" s="1"/>
  <c r="AP56" i="1"/>
  <c r="I587" i="4"/>
  <c r="J587" i="4" s="1"/>
  <c r="M586" i="4"/>
  <c r="AP246" i="3"/>
  <c r="I120" i="4"/>
  <c r="J120" i="4" s="1"/>
  <c r="M119" i="4"/>
  <c r="I588" i="4" l="1"/>
  <c r="J588" i="4" s="1"/>
  <c r="M587" i="4"/>
  <c r="I121" i="4"/>
  <c r="J121" i="4" s="1"/>
  <c r="M120" i="4"/>
  <c r="AP57" i="3"/>
  <c r="AQ246" i="3"/>
  <c r="AQ54" i="2" s="1"/>
  <c r="AP54" i="2"/>
  <c r="AQ57" i="3" l="1"/>
  <c r="AQ57" i="1" s="1"/>
  <c r="AP57" i="1"/>
  <c r="M121" i="4"/>
  <c r="I122" i="4"/>
  <c r="J122" i="4" s="1"/>
  <c r="I589" i="4"/>
  <c r="J589" i="4" s="1"/>
  <c r="M588" i="4"/>
  <c r="AP247" i="3"/>
  <c r="AQ247" i="3" l="1"/>
  <c r="AQ55" i="2" s="1"/>
  <c r="AP55" i="2"/>
  <c r="M589" i="4"/>
  <c r="I590" i="4"/>
  <c r="J590" i="4" s="1"/>
  <c r="M122" i="4"/>
  <c r="I123" i="4"/>
  <c r="J123" i="4" s="1"/>
  <c r="AP58" i="3"/>
  <c r="AQ58" i="3" l="1"/>
  <c r="AQ58" i="1" s="1"/>
  <c r="AP58" i="1"/>
  <c r="M590" i="4"/>
  <c r="I591" i="4"/>
  <c r="J591" i="4" s="1"/>
  <c r="AP248" i="3"/>
  <c r="I124" i="4"/>
  <c r="J124" i="4" s="1"/>
  <c r="M123" i="4"/>
  <c r="AQ248" i="3" l="1"/>
  <c r="AQ56" i="2" s="1"/>
  <c r="AP56" i="2"/>
  <c r="I125" i="4"/>
  <c r="J125" i="4" s="1"/>
  <c r="M124" i="4"/>
  <c r="AP59" i="3"/>
  <c r="I592" i="4"/>
  <c r="J592" i="4" s="1"/>
  <c r="M591" i="4"/>
  <c r="I126" i="4" l="1"/>
  <c r="J126" i="4" s="1"/>
  <c r="M125" i="4"/>
  <c r="I593" i="4"/>
  <c r="J593" i="4" s="1"/>
  <c r="M592" i="4"/>
  <c r="AP249" i="3"/>
  <c r="AQ59" i="3"/>
  <c r="AQ59" i="1" s="1"/>
  <c r="AP59" i="1"/>
  <c r="AQ249" i="3" l="1"/>
  <c r="AQ57" i="2" s="1"/>
  <c r="AP57" i="2"/>
  <c r="I594" i="4"/>
  <c r="J594" i="4" s="1"/>
  <c r="M593" i="4"/>
  <c r="M126" i="4"/>
  <c r="I127" i="4"/>
  <c r="J127" i="4" s="1"/>
  <c r="AP60" i="3"/>
  <c r="AQ60" i="3" l="1"/>
  <c r="AQ60" i="1" s="1"/>
  <c r="AP60" i="1"/>
  <c r="M594" i="4"/>
  <c r="I595" i="4"/>
  <c r="J595" i="4" s="1"/>
  <c r="AP250" i="3"/>
  <c r="M127" i="4"/>
  <c r="I128" i="4"/>
  <c r="J128" i="4" s="1"/>
  <c r="AQ250" i="3" l="1"/>
  <c r="AQ58" i="2" s="1"/>
  <c r="AP58" i="2"/>
  <c r="M128" i="4"/>
  <c r="I129" i="4"/>
  <c r="J129" i="4" s="1"/>
  <c r="AP61" i="3"/>
  <c r="I596" i="4"/>
  <c r="J596" i="4" s="1"/>
  <c r="M595" i="4"/>
  <c r="I130" i="4" l="1"/>
  <c r="J130" i="4" s="1"/>
  <c r="M129" i="4"/>
  <c r="I597" i="4"/>
  <c r="J597" i="4" s="1"/>
  <c r="M596" i="4"/>
  <c r="AP251" i="3"/>
  <c r="AQ61" i="3"/>
  <c r="AQ61" i="1" s="1"/>
  <c r="AP61" i="1"/>
  <c r="AQ251" i="3" l="1"/>
  <c r="AQ59" i="2" s="1"/>
  <c r="AP59" i="2"/>
  <c r="I598" i="4"/>
  <c r="J598" i="4" s="1"/>
  <c r="M597" i="4"/>
  <c r="I131" i="4"/>
  <c r="J131" i="4" s="1"/>
  <c r="M130" i="4"/>
  <c r="AP62" i="3"/>
  <c r="M598" i="4" l="1"/>
  <c r="I599" i="4"/>
  <c r="J599" i="4" s="1"/>
  <c r="AP252" i="3"/>
  <c r="M131" i="4"/>
  <c r="I132" i="4"/>
  <c r="J132" i="4" s="1"/>
  <c r="AQ62" i="3"/>
  <c r="AQ62" i="1" s="1"/>
  <c r="AP62" i="1"/>
  <c r="I133" i="4" l="1"/>
  <c r="J133" i="4" s="1"/>
  <c r="M132" i="4"/>
  <c r="AP63" i="3"/>
  <c r="AQ252" i="3"/>
  <c r="AQ60" i="2" s="1"/>
  <c r="AP60" i="2"/>
  <c r="I600" i="4"/>
  <c r="J600" i="4" s="1"/>
  <c r="M599" i="4"/>
  <c r="M600" i="4" l="1"/>
  <c r="I601" i="4"/>
  <c r="J601" i="4" s="1"/>
  <c r="AP253" i="3"/>
  <c r="AQ63" i="3"/>
  <c r="AQ63" i="1" s="1"/>
  <c r="AP63" i="1"/>
  <c r="M133" i="4"/>
  <c r="I134" i="4"/>
  <c r="J134" i="4" s="1"/>
  <c r="I602" i="4" l="1"/>
  <c r="J602" i="4" s="1"/>
  <c r="M601" i="4"/>
  <c r="I135" i="4"/>
  <c r="J135" i="4" s="1"/>
  <c r="M134" i="4"/>
  <c r="AP64" i="3"/>
  <c r="AQ253" i="3"/>
  <c r="AQ61" i="2" s="1"/>
  <c r="AP61" i="2"/>
  <c r="M135" i="4" l="1"/>
  <c r="I136" i="4"/>
  <c r="J136" i="4" s="1"/>
  <c r="AQ64" i="3"/>
  <c r="AQ64" i="1" s="1"/>
  <c r="AP64" i="1"/>
  <c r="I603" i="4"/>
  <c r="J603" i="4" s="1"/>
  <c r="M602" i="4"/>
  <c r="I604" i="4" l="1"/>
  <c r="J604" i="4" s="1"/>
  <c r="M603" i="4"/>
  <c r="AP254" i="3"/>
  <c r="M136" i="4"/>
  <c r="I137" i="4"/>
  <c r="J137" i="4" s="1"/>
  <c r="AP65" i="3"/>
  <c r="AQ65" i="3" l="1"/>
  <c r="AQ65" i="1" s="1"/>
  <c r="AP65" i="1"/>
  <c r="I138" i="4"/>
  <c r="J138" i="4" s="1"/>
  <c r="M137" i="4"/>
  <c r="AQ254" i="3"/>
  <c r="AQ62" i="2" s="1"/>
  <c r="AP62" i="2"/>
  <c r="I605" i="4"/>
  <c r="J605" i="4" s="1"/>
  <c r="M604" i="4"/>
  <c r="M605" i="4" l="1"/>
  <c r="I606" i="4"/>
  <c r="J606" i="4" s="1"/>
  <c r="I139" i="4"/>
  <c r="J139" i="4" s="1"/>
  <c r="M138" i="4"/>
  <c r="AP66" i="3"/>
  <c r="I140" i="4" l="1"/>
  <c r="J140" i="4" s="1"/>
  <c r="M139" i="4"/>
  <c r="AQ66" i="3"/>
  <c r="AQ66" i="1" s="1"/>
  <c r="AP66" i="1"/>
  <c r="I607" i="4"/>
  <c r="J607" i="4" s="1"/>
  <c r="M606" i="4"/>
  <c r="AP255" i="3"/>
  <c r="I608" i="4" l="1"/>
  <c r="J608" i="4" s="1"/>
  <c r="M607" i="4"/>
  <c r="AQ255" i="3"/>
  <c r="AQ63" i="2" s="1"/>
  <c r="AP63" i="2"/>
  <c r="I141" i="4"/>
  <c r="J141" i="4" s="1"/>
  <c r="M140" i="4"/>
  <c r="AP67" i="3"/>
  <c r="AQ67" i="3" l="1"/>
  <c r="AQ67" i="1" s="1"/>
  <c r="AP67" i="1"/>
  <c r="I142" i="4"/>
  <c r="J142" i="4" s="1"/>
  <c r="M141" i="4"/>
  <c r="I609" i="4"/>
  <c r="J609" i="4" s="1"/>
  <c r="M608" i="4"/>
  <c r="AP256" i="3"/>
  <c r="AQ256" i="3" l="1"/>
  <c r="AQ64" i="2" s="1"/>
  <c r="AP64" i="2"/>
  <c r="I143" i="4"/>
  <c r="J143" i="4" s="1"/>
  <c r="M142" i="4"/>
  <c r="AP68" i="3"/>
  <c r="I610" i="4"/>
  <c r="J610" i="4" s="1"/>
  <c r="M609" i="4"/>
  <c r="M610" i="4" l="1"/>
  <c r="I611" i="4"/>
  <c r="J611" i="4" s="1"/>
  <c r="AP257" i="3"/>
  <c r="AQ68" i="3"/>
  <c r="AQ68" i="1" s="1"/>
  <c r="AP68" i="1"/>
  <c r="I144" i="4"/>
  <c r="J144" i="4" s="1"/>
  <c r="M143" i="4"/>
  <c r="M144" i="4" l="1"/>
  <c r="I145" i="4"/>
  <c r="J145" i="4" s="1"/>
  <c r="AQ257" i="3"/>
  <c r="AQ65" i="2" s="1"/>
  <c r="AP65" i="2"/>
  <c r="M611" i="4"/>
  <c r="I612" i="4"/>
  <c r="J612" i="4" s="1"/>
  <c r="I613" i="4" l="1"/>
  <c r="J613" i="4" s="1"/>
  <c r="M612" i="4"/>
  <c r="AP258" i="3"/>
  <c r="I146" i="4"/>
  <c r="J146" i="4" s="1"/>
  <c r="M145" i="4"/>
  <c r="AP69" i="3"/>
  <c r="M146" i="4" l="1"/>
  <c r="I147" i="4"/>
  <c r="J147" i="4" s="1"/>
  <c r="AQ69" i="3"/>
  <c r="AQ69" i="1" s="1"/>
  <c r="AP69" i="1"/>
  <c r="AQ258" i="3"/>
  <c r="AQ66" i="2" s="1"/>
  <c r="AP66" i="2"/>
  <c r="I614" i="4"/>
  <c r="J614" i="4" s="1"/>
  <c r="M613" i="4"/>
  <c r="I615" i="4" l="1"/>
  <c r="J615" i="4" s="1"/>
  <c r="M614" i="4"/>
  <c r="AP259" i="3"/>
  <c r="I148" i="4"/>
  <c r="J148" i="4" s="1"/>
  <c r="M147" i="4"/>
  <c r="AP70" i="3"/>
  <c r="I149" i="4" l="1"/>
  <c r="J149" i="4" s="1"/>
  <c r="M148" i="4"/>
  <c r="AQ70" i="3"/>
  <c r="AQ70" i="1" s="1"/>
  <c r="AP70" i="1"/>
  <c r="AQ259" i="3"/>
  <c r="AQ67" i="2" s="1"/>
  <c r="AP67" i="2"/>
  <c r="M615" i="4"/>
  <c r="I616" i="4"/>
  <c r="J616" i="4" s="1"/>
  <c r="M616" i="4" l="1"/>
  <c r="I617" i="4"/>
  <c r="J617" i="4" s="1"/>
  <c r="M149" i="4"/>
  <c r="I150" i="4"/>
  <c r="J150" i="4" s="1"/>
  <c r="AP71" i="3"/>
  <c r="AQ71" i="3" l="1"/>
  <c r="AQ71" i="1" s="1"/>
  <c r="AP71" i="1"/>
  <c r="I151" i="4"/>
  <c r="J151" i="4" s="1"/>
  <c r="M150" i="4"/>
  <c r="M617" i="4"/>
  <c r="I618" i="4"/>
  <c r="J618" i="4" s="1"/>
  <c r="AP260" i="3"/>
  <c r="M618" i="4" l="1"/>
  <c r="I619" i="4"/>
  <c r="J619" i="4" s="1"/>
  <c r="AQ260" i="3"/>
  <c r="AQ68" i="2" s="1"/>
  <c r="AP68" i="2"/>
  <c r="I152" i="4"/>
  <c r="J152" i="4" s="1"/>
  <c r="M151" i="4"/>
  <c r="I620" i="4" l="1"/>
  <c r="J620" i="4" s="1"/>
  <c r="M619" i="4"/>
  <c r="AP261" i="3"/>
  <c r="I153" i="4"/>
  <c r="J153" i="4" s="1"/>
  <c r="M152" i="4"/>
  <c r="AP72" i="3"/>
  <c r="AQ72" i="3" l="1"/>
  <c r="AQ72" i="1" s="1"/>
  <c r="AP72" i="1"/>
  <c r="M153" i="4"/>
  <c r="I154" i="4"/>
  <c r="J154" i="4" s="1"/>
  <c r="AQ261" i="3"/>
  <c r="AQ69" i="2" s="1"/>
  <c r="AP69" i="2"/>
  <c r="M620" i="4"/>
  <c r="I621" i="4"/>
  <c r="J621" i="4" s="1"/>
  <c r="I622" i="4" l="1"/>
  <c r="J622" i="4" s="1"/>
  <c r="M621" i="4"/>
  <c r="M154" i="4"/>
  <c r="I155" i="4"/>
  <c r="J155" i="4" s="1"/>
  <c r="M155" i="4" l="1"/>
  <c r="I156" i="4"/>
  <c r="J156" i="4" s="1"/>
  <c r="AP73" i="3"/>
  <c r="M622" i="4"/>
  <c r="I623" i="4"/>
  <c r="J623" i="4" s="1"/>
  <c r="AP262" i="3"/>
  <c r="AQ262" i="3" l="1"/>
  <c r="AQ70" i="2" s="1"/>
  <c r="AP70" i="2"/>
  <c r="I624" i="4"/>
  <c r="J624" i="4" s="1"/>
  <c r="M623" i="4"/>
  <c r="AQ73" i="3"/>
  <c r="AQ73" i="1" s="1"/>
  <c r="AP73" i="1"/>
  <c r="I157" i="4"/>
  <c r="J157" i="4" s="1"/>
  <c r="M156" i="4"/>
  <c r="I158" i="4" l="1"/>
  <c r="J158" i="4" s="1"/>
  <c r="M157" i="4"/>
  <c r="I625" i="4"/>
  <c r="J625" i="4" s="1"/>
  <c r="M624" i="4"/>
  <c r="AP263" i="3"/>
  <c r="AQ263" i="3" l="1"/>
  <c r="AQ71" i="2" s="1"/>
  <c r="AP71" i="2"/>
  <c r="I626" i="4"/>
  <c r="J626" i="4" s="1"/>
  <c r="M625" i="4"/>
  <c r="M158" i="4"/>
  <c r="I159" i="4"/>
  <c r="J159" i="4" s="1"/>
  <c r="AP74" i="3"/>
  <c r="AQ74" i="3" l="1"/>
  <c r="AQ74" i="1" s="1"/>
  <c r="AP74" i="1"/>
  <c r="M626" i="4"/>
  <c r="I627" i="4"/>
  <c r="J627" i="4" s="1"/>
  <c r="AP264" i="3"/>
  <c r="I160" i="4"/>
  <c r="J160" i="4" s="1"/>
  <c r="M159" i="4"/>
  <c r="M627" i="4" l="1"/>
  <c r="I628" i="4"/>
  <c r="J628" i="4" s="1"/>
  <c r="I161" i="4"/>
  <c r="J161" i="4" s="1"/>
  <c r="M160" i="4"/>
  <c r="AQ264" i="3"/>
  <c r="AQ72" i="2" s="1"/>
  <c r="AP72" i="2"/>
  <c r="I162" i="4" l="1"/>
  <c r="J162" i="4" s="1"/>
  <c r="M161" i="4"/>
  <c r="AP75" i="3"/>
  <c r="M628" i="4"/>
  <c r="I629" i="4"/>
  <c r="J629" i="4" s="1"/>
  <c r="I630" i="4" l="1"/>
  <c r="J630" i="4" s="1"/>
  <c r="M629" i="4"/>
  <c r="AP265" i="3"/>
  <c r="AQ75" i="3"/>
  <c r="AQ75" i="1" s="1"/>
  <c r="AP75" i="1"/>
  <c r="I163" i="4"/>
  <c r="J163" i="4" s="1"/>
  <c r="M162" i="4"/>
  <c r="I164" i="4" l="1"/>
  <c r="J164" i="4" s="1"/>
  <c r="M163" i="4"/>
  <c r="AQ265" i="3"/>
  <c r="AQ73" i="2" s="1"/>
  <c r="AP73" i="2"/>
  <c r="I631" i="4"/>
  <c r="J631" i="4" s="1"/>
  <c r="M630" i="4"/>
  <c r="I632" i="4" l="1"/>
  <c r="J632" i="4" s="1"/>
  <c r="M631" i="4"/>
  <c r="M164" i="4"/>
  <c r="I165" i="4"/>
  <c r="J165" i="4" s="1"/>
  <c r="AP76" i="3"/>
  <c r="AQ76" i="3" l="1"/>
  <c r="AQ76" i="1" s="1"/>
  <c r="AP76" i="1"/>
  <c r="I166" i="4"/>
  <c r="J166" i="4" s="1"/>
  <c r="M165" i="4"/>
  <c r="I633" i="4"/>
  <c r="J633" i="4" s="1"/>
  <c r="M632" i="4"/>
  <c r="AP266" i="3"/>
  <c r="AQ266" i="3" l="1"/>
  <c r="AQ74" i="2" s="1"/>
  <c r="AP74" i="2"/>
  <c r="M633" i="4"/>
  <c r="I634" i="4"/>
  <c r="J634" i="4" s="1"/>
  <c r="M166" i="4"/>
  <c r="I167" i="4"/>
  <c r="J167" i="4" s="1"/>
  <c r="I168" i="4" l="1"/>
  <c r="J168" i="4" s="1"/>
  <c r="M167" i="4"/>
  <c r="AP77" i="3"/>
  <c r="I635" i="4"/>
  <c r="J635" i="4" s="1"/>
  <c r="M634" i="4"/>
  <c r="I636" i="4" l="1"/>
  <c r="J636" i="4" s="1"/>
  <c r="M635" i="4"/>
  <c r="AP267" i="3"/>
  <c r="AQ77" i="3"/>
  <c r="AQ77" i="1" s="1"/>
  <c r="AP77" i="1"/>
  <c r="I169" i="4"/>
  <c r="J169" i="4" s="1"/>
  <c r="M168" i="4"/>
  <c r="I170" i="4" l="1"/>
  <c r="J170" i="4" s="1"/>
  <c r="M169" i="4"/>
  <c r="AQ267" i="3"/>
  <c r="AQ75" i="2" s="1"/>
  <c r="AP75" i="2"/>
  <c r="I637" i="4"/>
  <c r="J637" i="4" s="1"/>
  <c r="M636" i="4"/>
  <c r="M637" i="4" l="1"/>
  <c r="I638" i="4"/>
  <c r="J638" i="4" s="1"/>
  <c r="M170" i="4"/>
  <c r="I171" i="4"/>
  <c r="J171" i="4" s="1"/>
  <c r="AP78" i="3"/>
  <c r="AQ78" i="3" l="1"/>
  <c r="AQ78" i="1" s="1"/>
  <c r="AP78" i="1"/>
  <c r="I172" i="4"/>
  <c r="J172" i="4" s="1"/>
  <c r="M171" i="4"/>
  <c r="M638" i="4"/>
  <c r="I639" i="4"/>
  <c r="J639" i="4" s="1"/>
  <c r="AP268" i="3"/>
  <c r="AQ268" i="3" l="1"/>
  <c r="AQ76" i="2" s="1"/>
  <c r="AP76" i="2"/>
  <c r="I640" i="4"/>
  <c r="J640" i="4" s="1"/>
  <c r="M639" i="4"/>
  <c r="M172" i="4"/>
  <c r="I173" i="4"/>
  <c r="J173" i="4" s="1"/>
  <c r="I174" i="4" l="1"/>
  <c r="J174" i="4" s="1"/>
  <c r="M173" i="4"/>
  <c r="AP79" i="3"/>
  <c r="I641" i="4"/>
  <c r="J641" i="4" s="1"/>
  <c r="M640" i="4"/>
  <c r="I642" i="4" l="1"/>
  <c r="J642" i="4" s="1"/>
  <c r="M641" i="4"/>
  <c r="AP269" i="3"/>
  <c r="AQ79" i="3"/>
  <c r="AQ79" i="1" s="1"/>
  <c r="AP79" i="1"/>
  <c r="I175" i="4"/>
  <c r="J175" i="4" s="1"/>
  <c r="M174" i="4"/>
  <c r="I176" i="4" l="1"/>
  <c r="J176" i="4" s="1"/>
  <c r="M175" i="4"/>
  <c r="AP80" i="3"/>
  <c r="AQ269" i="3"/>
  <c r="AQ77" i="2" s="1"/>
  <c r="AP77" i="2"/>
  <c r="M642" i="4"/>
  <c r="I643" i="4"/>
  <c r="J643" i="4" s="1"/>
  <c r="M643" i="4" l="1"/>
  <c r="I644" i="4"/>
  <c r="J644" i="4" s="1"/>
  <c r="AQ80" i="3"/>
  <c r="AQ80" i="1" s="1"/>
  <c r="AP80" i="1"/>
  <c r="I177" i="4"/>
  <c r="J177" i="4" s="1"/>
  <c r="M176" i="4"/>
  <c r="I645" i="4" l="1"/>
  <c r="J645" i="4" s="1"/>
  <c r="M644" i="4"/>
  <c r="AP270" i="3"/>
  <c r="M177" i="4"/>
  <c r="I178" i="4"/>
  <c r="J178" i="4" s="1"/>
  <c r="I179" i="4" l="1"/>
  <c r="J179" i="4" s="1"/>
  <c r="M178" i="4"/>
  <c r="AP81" i="3"/>
  <c r="AQ270" i="3"/>
  <c r="AQ78" i="2" s="1"/>
  <c r="AP78" i="2"/>
  <c r="M645" i="4"/>
  <c r="I646" i="4"/>
  <c r="J646" i="4" s="1"/>
  <c r="M646" i="4" l="1"/>
  <c r="I647" i="4"/>
  <c r="J647" i="4" s="1"/>
  <c r="AP271" i="3"/>
  <c r="AQ81" i="3"/>
  <c r="AQ81" i="1" s="1"/>
  <c r="AP81" i="1"/>
  <c r="M179" i="4"/>
  <c r="I180" i="4"/>
  <c r="J180" i="4" s="1"/>
  <c r="I648" i="4" l="1"/>
  <c r="J648" i="4" s="1"/>
  <c r="M647" i="4"/>
  <c r="I181" i="4"/>
  <c r="J181" i="4" s="1"/>
  <c r="M180" i="4"/>
  <c r="AP82" i="3"/>
  <c r="AQ271" i="3"/>
  <c r="AQ79" i="2" s="1"/>
  <c r="AP79" i="2"/>
  <c r="I182" i="4" l="1"/>
  <c r="J182" i="4" s="1"/>
  <c r="M181" i="4"/>
  <c r="AQ82" i="3"/>
  <c r="AQ82" i="1" s="1"/>
  <c r="AP82" i="1"/>
  <c r="I649" i="4"/>
  <c r="J649" i="4" s="1"/>
  <c r="M648" i="4"/>
  <c r="I650" i="4" l="1"/>
  <c r="J650" i="4" s="1"/>
  <c r="M649" i="4"/>
  <c r="AP272" i="3"/>
  <c r="I183" i="4"/>
  <c r="J183" i="4" s="1"/>
  <c r="M182" i="4"/>
  <c r="AP83" i="3"/>
  <c r="AQ83" i="3" l="1"/>
  <c r="AQ83" i="1" s="1"/>
  <c r="AP83" i="1"/>
  <c r="I184" i="4"/>
  <c r="J184" i="4" s="1"/>
  <c r="M183" i="4"/>
  <c r="AQ272" i="3"/>
  <c r="AQ80" i="2" s="1"/>
  <c r="AP80" i="2"/>
  <c r="M650" i="4"/>
  <c r="I651" i="4"/>
  <c r="J651" i="4" s="1"/>
  <c r="I652" i="4" l="1"/>
  <c r="J652" i="4" s="1"/>
  <c r="M651" i="4"/>
  <c r="M184" i="4"/>
  <c r="I185" i="4"/>
  <c r="J185" i="4" s="1"/>
  <c r="I186" i="4" l="1"/>
  <c r="J186" i="4" s="1"/>
  <c r="M185" i="4"/>
  <c r="AP84" i="3"/>
  <c r="I653" i="4"/>
  <c r="J653" i="4" s="1"/>
  <c r="M652" i="4"/>
  <c r="AP273" i="3"/>
  <c r="AQ273" i="3" l="1"/>
  <c r="AQ81" i="2" s="1"/>
  <c r="AP81" i="2"/>
  <c r="AQ84" i="3"/>
  <c r="AQ84" i="1" s="1"/>
  <c r="AP84" i="1"/>
  <c r="I187" i="4"/>
  <c r="J187" i="4" s="1"/>
  <c r="M186" i="4"/>
  <c r="I654" i="4"/>
  <c r="J654" i="4" s="1"/>
  <c r="M653" i="4"/>
  <c r="I188" i="4" l="1"/>
  <c r="J188" i="4" s="1"/>
  <c r="M187" i="4"/>
  <c r="AP85" i="3"/>
  <c r="M654" i="4"/>
  <c r="I655" i="4"/>
  <c r="J655" i="4" s="1"/>
  <c r="AQ85" i="3" l="1"/>
  <c r="AQ85" i="1" s="1"/>
  <c r="AP85" i="1"/>
  <c r="M655" i="4"/>
  <c r="I656" i="4"/>
  <c r="J656" i="4" s="1"/>
  <c r="AP274" i="3"/>
  <c r="M188" i="4"/>
  <c r="I189" i="4"/>
  <c r="J189" i="4" s="1"/>
  <c r="M189" i="4" l="1"/>
  <c r="I190" i="4"/>
  <c r="J190" i="4" s="1"/>
  <c r="AQ274" i="3"/>
  <c r="AQ82" i="2" s="1"/>
  <c r="AP82" i="2"/>
  <c r="M656" i="4"/>
  <c r="I657" i="4"/>
  <c r="J657" i="4" s="1"/>
  <c r="M190" i="4" l="1"/>
  <c r="I191" i="4"/>
  <c r="J191" i="4" s="1"/>
  <c r="AP86" i="3"/>
  <c r="M657" i="4"/>
  <c r="I658" i="4"/>
  <c r="J658" i="4" s="1"/>
  <c r="AP275" i="3"/>
  <c r="AQ275" i="3" l="1"/>
  <c r="AQ83" i="2" s="1"/>
  <c r="AP83" i="2"/>
  <c r="AQ86" i="3"/>
  <c r="AQ86" i="1" s="1"/>
  <c r="AP86" i="1"/>
  <c r="I659" i="4"/>
  <c r="J659" i="4" s="1"/>
  <c r="M658" i="4"/>
  <c r="M191" i="4"/>
  <c r="I192" i="4"/>
  <c r="J192" i="4" s="1"/>
  <c r="I660" i="4" l="1"/>
  <c r="J660" i="4" s="1"/>
  <c r="M659" i="4"/>
  <c r="AP276" i="3"/>
  <c r="I193" i="4"/>
  <c r="J193" i="4" s="1"/>
  <c r="M192" i="4"/>
  <c r="I194" i="4" l="1"/>
  <c r="J194" i="4" s="1"/>
  <c r="M193" i="4"/>
  <c r="AP87" i="3"/>
  <c r="AQ276" i="3"/>
  <c r="AQ84" i="2" s="1"/>
  <c r="AP84" i="2"/>
  <c r="I661" i="4"/>
  <c r="J661" i="4" s="1"/>
  <c r="M660" i="4"/>
  <c r="M661" i="4" l="1"/>
  <c r="I662" i="4"/>
  <c r="J662" i="4" s="1"/>
  <c r="AP87" i="1"/>
  <c r="AQ87" i="3"/>
  <c r="AQ87" i="1" s="1"/>
  <c r="I195" i="4"/>
  <c r="J195" i="4" s="1"/>
  <c r="M194" i="4"/>
  <c r="I196" i="4" l="1"/>
  <c r="J196" i="4" s="1"/>
  <c r="M195" i="4"/>
  <c r="AP88" i="3"/>
  <c r="I663" i="4"/>
  <c r="J663" i="4" s="1"/>
  <c r="M662" i="4"/>
  <c r="AP277" i="3"/>
  <c r="I664" i="4" l="1"/>
  <c r="J664" i="4" s="1"/>
  <c r="M663" i="4"/>
  <c r="AQ88" i="3"/>
  <c r="AQ88" i="1" s="1"/>
  <c r="AP88" i="1"/>
  <c r="AQ277" i="3"/>
  <c r="AQ85" i="2" s="1"/>
  <c r="AP85" i="2"/>
  <c r="I197" i="4"/>
  <c r="J197" i="4" s="1"/>
  <c r="M196" i="4"/>
  <c r="M197" i="4" l="1"/>
  <c r="I198" i="4"/>
  <c r="J198" i="4" s="1"/>
  <c r="AP89" i="3"/>
  <c r="I665" i="4"/>
  <c r="J665" i="4" s="1"/>
  <c r="M664" i="4"/>
  <c r="M665" i="4" l="1"/>
  <c r="I666" i="4"/>
  <c r="J666" i="4" s="1"/>
  <c r="AP278" i="3"/>
  <c r="I199" i="4"/>
  <c r="J199" i="4" s="1"/>
  <c r="M198" i="4"/>
  <c r="AQ89" i="3"/>
  <c r="AQ89" i="1" s="1"/>
  <c r="AP89" i="1"/>
  <c r="M199" i="4" l="1"/>
  <c r="I200" i="4"/>
  <c r="J200" i="4" s="1"/>
  <c r="AP90" i="3"/>
  <c r="M666" i="4"/>
  <c r="I667" i="4"/>
  <c r="J667" i="4" s="1"/>
  <c r="AQ278" i="3"/>
  <c r="AQ86" i="2" s="1"/>
  <c r="AP86" i="2"/>
  <c r="AQ90" i="3" l="1"/>
  <c r="AQ90" i="1" s="1"/>
  <c r="AP90" i="1"/>
  <c r="M667" i="4"/>
  <c r="I668" i="4"/>
  <c r="J668" i="4" s="1"/>
  <c r="AP279" i="3"/>
  <c r="I201" i="4"/>
  <c r="J201" i="4" s="1"/>
  <c r="M200" i="4"/>
  <c r="I669" i="4" l="1"/>
  <c r="J669" i="4" s="1"/>
  <c r="M668" i="4"/>
  <c r="AQ279" i="3"/>
  <c r="AQ87" i="2" s="1"/>
  <c r="AP87" i="2"/>
  <c r="M201" i="4"/>
  <c r="I202" i="4"/>
  <c r="J202" i="4" s="1"/>
  <c r="I203" i="4" l="1"/>
  <c r="J203" i="4" s="1"/>
  <c r="M202" i="4"/>
  <c r="AP91" i="3"/>
  <c r="I670" i="4"/>
  <c r="J670" i="4" s="1"/>
  <c r="M669" i="4"/>
  <c r="AP280" i="3"/>
  <c r="M203" i="4" l="1"/>
  <c r="I204" i="4"/>
  <c r="J204" i="4" s="1"/>
  <c r="I671" i="4"/>
  <c r="J671" i="4" s="1"/>
  <c r="M670" i="4"/>
  <c r="AQ280" i="3"/>
  <c r="AQ88" i="2" s="1"/>
  <c r="AP88" i="2"/>
  <c r="AQ91" i="3"/>
  <c r="AQ91" i="1" s="1"/>
  <c r="AP91" i="1"/>
  <c r="M671" i="4" l="1"/>
  <c r="I672" i="4"/>
  <c r="J672" i="4" s="1"/>
  <c r="I205" i="4"/>
  <c r="J205" i="4" s="1"/>
  <c r="M204" i="4"/>
  <c r="I206" i="4" l="1"/>
  <c r="J206" i="4" s="1"/>
  <c r="M205" i="4"/>
  <c r="AP92" i="3"/>
  <c r="I673" i="4"/>
  <c r="J673" i="4" s="1"/>
  <c r="M672" i="4"/>
  <c r="AP281" i="3"/>
  <c r="AQ281" i="3" l="1"/>
  <c r="AQ89" i="2" s="1"/>
  <c r="AP89" i="2"/>
  <c r="I674" i="4"/>
  <c r="J674" i="4" s="1"/>
  <c r="M673" i="4"/>
  <c r="AQ92" i="3"/>
  <c r="AQ92" i="1" s="1"/>
  <c r="AP92" i="1"/>
  <c r="M206" i="4"/>
  <c r="I207" i="4"/>
  <c r="J207" i="4" s="1"/>
  <c r="I208" i="4" l="1"/>
  <c r="J208" i="4" s="1"/>
  <c r="M207" i="4"/>
  <c r="AP93" i="3"/>
  <c r="I675" i="4"/>
  <c r="J675" i="4" s="1"/>
  <c r="M674" i="4"/>
  <c r="AQ93" i="3" l="1"/>
  <c r="AQ93" i="1" s="1"/>
  <c r="AP93" i="1"/>
  <c r="I676" i="4"/>
  <c r="J676" i="4" s="1"/>
  <c r="M675" i="4"/>
  <c r="AP282" i="3"/>
  <c r="I209" i="4"/>
  <c r="J209" i="4" s="1"/>
  <c r="M208" i="4"/>
  <c r="I210" i="4" l="1"/>
  <c r="J210" i="4" s="1"/>
  <c r="M209" i="4"/>
  <c r="AQ282" i="3"/>
  <c r="AQ90" i="2" s="1"/>
  <c r="AP90" i="2"/>
  <c r="M676" i="4"/>
  <c r="I677" i="4"/>
  <c r="J677" i="4" s="1"/>
  <c r="I678" i="4" l="1"/>
  <c r="J678" i="4" s="1"/>
  <c r="M677" i="4"/>
  <c r="M210" i="4"/>
  <c r="I211" i="4"/>
  <c r="J211" i="4" s="1"/>
  <c r="AP94" i="3"/>
  <c r="AQ94" i="3" l="1"/>
  <c r="AQ94" i="1" s="1"/>
  <c r="AP94" i="1"/>
  <c r="M211" i="4"/>
  <c r="I212" i="4"/>
  <c r="J212" i="4" s="1"/>
  <c r="I679" i="4"/>
  <c r="J679" i="4" s="1"/>
  <c r="M678" i="4"/>
  <c r="AP283" i="3"/>
  <c r="AQ283" i="3" l="1"/>
  <c r="AQ91" i="2" s="1"/>
  <c r="AP91" i="2"/>
  <c r="I680" i="4"/>
  <c r="J680" i="4" s="1"/>
  <c r="M679" i="4"/>
  <c r="I213" i="4"/>
  <c r="J213" i="4" s="1"/>
  <c r="M212" i="4"/>
  <c r="I214" i="4" l="1"/>
  <c r="J214" i="4" s="1"/>
  <c r="M213" i="4"/>
  <c r="AP95" i="3"/>
  <c r="M680" i="4"/>
  <c r="I681" i="4"/>
  <c r="J681" i="4" s="1"/>
  <c r="I682" i="4" l="1"/>
  <c r="J682" i="4" s="1"/>
  <c r="M681" i="4"/>
  <c r="AP284" i="3"/>
  <c r="AQ95" i="3"/>
  <c r="AQ95" i="1" s="1"/>
  <c r="AP95" i="1"/>
  <c r="M214" i="4"/>
  <c r="I215" i="4"/>
  <c r="J215" i="4" s="1"/>
  <c r="I216" i="4" l="1"/>
  <c r="J216" i="4" s="1"/>
  <c r="M215" i="4"/>
  <c r="AQ284" i="3"/>
  <c r="AQ92" i="2" s="1"/>
  <c r="AP92" i="2"/>
  <c r="I683" i="4"/>
  <c r="J683" i="4" s="1"/>
  <c r="M682" i="4"/>
  <c r="I684" i="4" l="1"/>
  <c r="J684" i="4" s="1"/>
  <c r="M683" i="4"/>
  <c r="AP285" i="3"/>
  <c r="I217" i="4"/>
  <c r="J217" i="4" s="1"/>
  <c r="M216" i="4"/>
  <c r="AP96" i="3"/>
  <c r="AQ96" i="3" l="1"/>
  <c r="AQ96" i="1" s="1"/>
  <c r="AP96" i="1"/>
  <c r="AQ285" i="3"/>
  <c r="AQ93" i="2" s="1"/>
  <c r="AP93" i="2"/>
  <c r="I218" i="4"/>
  <c r="J218" i="4" s="1"/>
  <c r="M217" i="4"/>
  <c r="I685" i="4"/>
  <c r="J685" i="4" s="1"/>
  <c r="M684" i="4"/>
  <c r="I219" i="4" l="1"/>
  <c r="J219" i="4" s="1"/>
  <c r="M218" i="4"/>
  <c r="AP97" i="3"/>
  <c r="I686" i="4"/>
  <c r="J686" i="4" s="1"/>
  <c r="M685" i="4"/>
  <c r="AP286" i="3"/>
  <c r="AQ97" i="3" l="1"/>
  <c r="AQ97" i="1" s="1"/>
  <c r="AP97" i="1"/>
  <c r="AQ286" i="3"/>
  <c r="AQ94" i="2" s="1"/>
  <c r="AP94" i="2"/>
  <c r="M686" i="4"/>
  <c r="I687" i="4"/>
  <c r="J687" i="4" s="1"/>
  <c r="M219" i="4"/>
  <c r="I220" i="4"/>
  <c r="J220" i="4" s="1"/>
  <c r="I221" i="4" l="1"/>
  <c r="J221" i="4" s="1"/>
  <c r="M220" i="4"/>
  <c r="I688" i="4"/>
  <c r="J688" i="4" s="1"/>
  <c r="M687" i="4"/>
  <c r="M688" i="4" l="1"/>
  <c r="I689" i="4"/>
  <c r="J689" i="4" s="1"/>
  <c r="AP287" i="3"/>
  <c r="M221" i="4"/>
  <c r="I222" i="4"/>
  <c r="J222" i="4" s="1"/>
  <c r="AP98" i="3"/>
  <c r="AQ98" i="3" l="1"/>
  <c r="AQ98" i="1" s="1"/>
  <c r="AP98" i="1"/>
  <c r="AQ287" i="3"/>
  <c r="AQ95" i="2" s="1"/>
  <c r="AP95" i="2"/>
  <c r="M222" i="4"/>
  <c r="I223" i="4"/>
  <c r="J223" i="4" s="1"/>
  <c r="M689" i="4"/>
  <c r="I690" i="4"/>
  <c r="J690" i="4" s="1"/>
  <c r="I224" i="4" l="1"/>
  <c r="J224" i="4" s="1"/>
  <c r="M223" i="4"/>
  <c r="M690" i="4"/>
  <c r="I691" i="4"/>
  <c r="J691" i="4" s="1"/>
  <c r="M691" i="4" l="1"/>
  <c r="I692" i="4"/>
  <c r="J692" i="4" s="1"/>
  <c r="AP288" i="3"/>
  <c r="I225" i="4"/>
  <c r="J225" i="4" s="1"/>
  <c r="M224" i="4"/>
  <c r="AP99" i="3"/>
  <c r="AQ99" i="3" l="1"/>
  <c r="AQ99" i="1" s="1"/>
  <c r="AP99" i="1"/>
  <c r="AQ288" i="3"/>
  <c r="AQ96" i="2" s="1"/>
  <c r="AP96" i="2"/>
  <c r="M225" i="4"/>
  <c r="I226" i="4"/>
  <c r="J226" i="4" s="1"/>
  <c r="M692" i="4"/>
  <c r="I693" i="4"/>
  <c r="J693" i="4" s="1"/>
  <c r="I694" i="4" l="1"/>
  <c r="J694" i="4" s="1"/>
  <c r="M693" i="4"/>
  <c r="M226" i="4"/>
  <c r="I227" i="4"/>
  <c r="J227" i="4" s="1"/>
  <c r="I228" i="4" l="1"/>
  <c r="J228" i="4" s="1"/>
  <c r="M227" i="4"/>
  <c r="AP100" i="3"/>
  <c r="M694" i="4"/>
  <c r="I695" i="4"/>
  <c r="J695" i="4" s="1"/>
  <c r="AP289" i="3"/>
  <c r="AQ289" i="3" l="1"/>
  <c r="AQ97" i="2" s="1"/>
  <c r="AP97" i="2"/>
  <c r="M695" i="4"/>
  <c r="I696" i="4"/>
  <c r="J696" i="4" s="1"/>
  <c r="AQ100" i="3"/>
  <c r="AQ100" i="1" s="1"/>
  <c r="AP100" i="1"/>
  <c r="M228" i="4"/>
  <c r="I229" i="4"/>
  <c r="J229" i="4" s="1"/>
  <c r="I230" i="4" l="1"/>
  <c r="J230" i="4" s="1"/>
  <c r="M229" i="4"/>
  <c r="I697" i="4"/>
  <c r="J697" i="4" s="1"/>
  <c r="M696" i="4"/>
  <c r="I698" i="4" l="1"/>
  <c r="J698" i="4" s="1"/>
  <c r="M697" i="4"/>
  <c r="AP290" i="3"/>
  <c r="M230" i="4"/>
  <c r="I231" i="4"/>
  <c r="J231" i="4" s="1"/>
  <c r="AP101" i="3"/>
  <c r="I232" i="4" l="1"/>
  <c r="J232" i="4" s="1"/>
  <c r="M231" i="4"/>
  <c r="AQ101" i="3"/>
  <c r="AQ101" i="1" s="1"/>
  <c r="AP101" i="1"/>
  <c r="AQ290" i="3"/>
  <c r="AQ98" i="2" s="1"/>
  <c r="AP98" i="2"/>
  <c r="I699" i="4"/>
  <c r="J699" i="4" s="1"/>
  <c r="M698" i="4"/>
  <c r="I700" i="4" l="1"/>
  <c r="J700" i="4" s="1"/>
  <c r="M699" i="4"/>
  <c r="M232" i="4"/>
  <c r="I233" i="4"/>
  <c r="J233" i="4" s="1"/>
  <c r="AP102" i="3"/>
  <c r="I234" i="4" l="1"/>
  <c r="J234" i="4" s="1"/>
  <c r="M233" i="4"/>
  <c r="AQ102" i="3"/>
  <c r="AQ102" i="1" s="1"/>
  <c r="AP102" i="1"/>
  <c r="I701" i="4"/>
  <c r="J701" i="4" s="1"/>
  <c r="M700" i="4"/>
  <c r="AP291" i="3"/>
  <c r="AQ291" i="3" l="1"/>
  <c r="AQ99" i="2" s="1"/>
  <c r="AP99" i="2"/>
  <c r="M701" i="4"/>
  <c r="I702" i="4"/>
  <c r="J702" i="4" s="1"/>
  <c r="I235" i="4"/>
  <c r="J235" i="4" s="1"/>
  <c r="M234" i="4"/>
  <c r="AP103" i="3"/>
  <c r="I236" i="4" l="1"/>
  <c r="J236" i="4" s="1"/>
  <c r="M235" i="4"/>
  <c r="AQ103" i="3"/>
  <c r="AQ103" i="1" s="1"/>
  <c r="AP103" i="1"/>
  <c r="M702" i="4"/>
  <c r="I703" i="4"/>
  <c r="J703" i="4" s="1"/>
  <c r="M703" i="4" l="1"/>
  <c r="I704" i="4"/>
  <c r="J704" i="4" s="1"/>
  <c r="AP292" i="3"/>
  <c r="M236" i="4"/>
  <c r="I237" i="4"/>
  <c r="J237" i="4" s="1"/>
  <c r="I705" i="4" l="1"/>
  <c r="J705" i="4" s="1"/>
  <c r="M704" i="4"/>
  <c r="I238" i="4"/>
  <c r="J238" i="4" s="1"/>
  <c r="M237" i="4"/>
  <c r="AP104" i="3"/>
  <c r="AQ292" i="3"/>
  <c r="AQ100" i="2" s="1"/>
  <c r="AP100" i="2"/>
  <c r="AQ104" i="3" l="1"/>
  <c r="AQ104" i="1" s="1"/>
  <c r="AP104" i="1"/>
  <c r="I239" i="4"/>
  <c r="J239" i="4" s="1"/>
  <c r="M238" i="4"/>
  <c r="I706" i="4"/>
  <c r="J706" i="4" s="1"/>
  <c r="M705" i="4"/>
  <c r="M239" i="4" l="1"/>
  <c r="I240" i="4"/>
  <c r="J240" i="4" s="1"/>
  <c r="I707" i="4"/>
  <c r="J707" i="4" s="1"/>
  <c r="M706" i="4"/>
  <c r="AP293" i="3"/>
  <c r="M707" i="4" l="1"/>
  <c r="I708" i="4"/>
  <c r="J708" i="4" s="1"/>
  <c r="AQ293" i="3"/>
  <c r="AQ101" i="2" s="1"/>
  <c r="AP101" i="2"/>
  <c r="I241" i="4"/>
  <c r="J241" i="4" s="1"/>
  <c r="M240" i="4"/>
  <c r="AP105" i="3"/>
  <c r="AQ105" i="3" s="1"/>
  <c r="M241" i="4" l="1"/>
  <c r="I242" i="4"/>
  <c r="J242" i="4" s="1"/>
  <c r="M708" i="4"/>
  <c r="I709" i="4"/>
  <c r="J709" i="4" s="1"/>
  <c r="AP294" i="3"/>
  <c r="AQ294" i="3" l="1"/>
  <c r="AQ102" i="2" s="1"/>
  <c r="AP102" i="2"/>
  <c r="M242" i="4"/>
  <c r="I243" i="4"/>
  <c r="J243" i="4" s="1"/>
  <c r="AP106" i="3"/>
  <c r="AQ106" i="3" s="1"/>
  <c r="I710" i="4"/>
  <c r="J710" i="4" s="1"/>
  <c r="M709" i="4"/>
  <c r="I711" i="4" l="1"/>
  <c r="J711" i="4" s="1"/>
  <c r="M710" i="4"/>
  <c r="AP295" i="3"/>
  <c r="M243" i="4"/>
  <c r="I244" i="4"/>
  <c r="J244" i="4" s="1"/>
  <c r="I245" i="4" l="1"/>
  <c r="J245" i="4" s="1"/>
  <c r="M244" i="4"/>
  <c r="AQ295" i="3"/>
  <c r="AQ103" i="2" s="1"/>
  <c r="AP103" i="2"/>
  <c r="I712" i="4"/>
  <c r="J712" i="4" s="1"/>
  <c r="M711" i="4"/>
  <c r="M712" i="4" l="1"/>
  <c r="I713" i="4"/>
  <c r="J713" i="4" s="1"/>
  <c r="I246" i="4"/>
  <c r="J246" i="4" s="1"/>
  <c r="M245" i="4"/>
  <c r="AP107" i="3"/>
  <c r="AQ107" i="3" s="1"/>
  <c r="I247" i="4" l="1"/>
  <c r="J247" i="4" s="1"/>
  <c r="M246" i="4"/>
  <c r="M713" i="4"/>
  <c r="I714" i="4"/>
  <c r="J714" i="4" s="1"/>
  <c r="AP296" i="3"/>
  <c r="AQ296" i="3" l="1"/>
  <c r="AQ104" i="2" s="1"/>
  <c r="AP104" i="2"/>
  <c r="M714" i="4"/>
  <c r="I715" i="4"/>
  <c r="J715" i="4" s="1"/>
  <c r="I248" i="4"/>
  <c r="J248" i="4" s="1"/>
  <c r="M247" i="4"/>
  <c r="I249" i="4" l="1"/>
  <c r="J249" i="4" s="1"/>
  <c r="M248" i="4"/>
  <c r="AP108" i="3"/>
  <c r="AQ108" i="3" s="1"/>
  <c r="M715" i="4"/>
  <c r="I716" i="4"/>
  <c r="J716" i="4" s="1"/>
  <c r="AP297" i="3"/>
  <c r="AQ297" i="3" s="1"/>
  <c r="I717" i="4" l="1"/>
  <c r="J717" i="4" s="1"/>
  <c r="M716" i="4"/>
  <c r="I250" i="4"/>
  <c r="J250" i="4" s="1"/>
  <c r="M249" i="4"/>
  <c r="I251" i="4" l="1"/>
  <c r="J251" i="4" s="1"/>
  <c r="M250" i="4"/>
  <c r="AP109" i="3"/>
  <c r="AQ109" i="3" s="1"/>
  <c r="I718" i="4"/>
  <c r="J718" i="4" s="1"/>
  <c r="M717" i="4"/>
  <c r="M718" i="4" l="1"/>
  <c r="I719" i="4"/>
  <c r="J719" i="4" s="1"/>
  <c r="AP298" i="3"/>
  <c r="AQ298" i="3" s="1"/>
  <c r="I252" i="4"/>
  <c r="J252" i="4" s="1"/>
  <c r="M251" i="4"/>
  <c r="M252" i="4" l="1"/>
  <c r="I253" i="4"/>
  <c r="J253" i="4" s="1"/>
  <c r="I720" i="4"/>
  <c r="J720" i="4" s="1"/>
  <c r="M719" i="4"/>
  <c r="I721" i="4" l="1"/>
  <c r="J721" i="4" s="1"/>
  <c r="M720" i="4"/>
  <c r="M253" i="4"/>
  <c r="I254" i="4"/>
  <c r="J254" i="4" s="1"/>
  <c r="AP110" i="3"/>
  <c r="AQ110" i="3" s="1"/>
  <c r="M254" i="4" l="1"/>
  <c r="I255" i="4"/>
  <c r="J255" i="4" s="1"/>
  <c r="I722" i="4"/>
  <c r="J722" i="4" s="1"/>
  <c r="M721" i="4"/>
  <c r="AP299" i="3"/>
  <c r="AQ299" i="3" s="1"/>
  <c r="I723" i="4" l="1"/>
  <c r="J723" i="4" s="1"/>
  <c r="M722" i="4"/>
  <c r="I256" i="4"/>
  <c r="J256" i="4" s="1"/>
  <c r="M255" i="4"/>
  <c r="M256" i="4" l="1"/>
  <c r="I257" i="4"/>
  <c r="J257" i="4" s="1"/>
  <c r="AP111" i="3"/>
  <c r="AQ111" i="3" s="1"/>
  <c r="M723" i="4"/>
  <c r="I724" i="4"/>
  <c r="J724" i="4" s="1"/>
  <c r="M724" i="4" l="1"/>
  <c r="I725" i="4"/>
  <c r="J725" i="4" s="1"/>
  <c r="AP300" i="3"/>
  <c r="AQ300" i="3" s="1"/>
  <c r="I258" i="4"/>
  <c r="J258" i="4" s="1"/>
  <c r="M257" i="4"/>
  <c r="I259" i="4" l="1"/>
  <c r="J259" i="4" s="1"/>
  <c r="M258" i="4"/>
  <c r="M725" i="4"/>
  <c r="I726" i="4"/>
  <c r="J726" i="4" s="1"/>
  <c r="I727" i="4" l="1"/>
  <c r="J727" i="4" s="1"/>
  <c r="M726" i="4"/>
  <c r="AP301" i="3"/>
  <c r="AQ301" i="3" s="1"/>
  <c r="M259" i="4"/>
  <c r="I260" i="4"/>
  <c r="J260" i="4" s="1"/>
  <c r="AP112" i="3"/>
  <c r="AQ112" i="3" s="1"/>
  <c r="I261" i="4" l="1"/>
  <c r="J261" i="4" s="1"/>
  <c r="M260" i="4"/>
  <c r="M727" i="4"/>
  <c r="I728" i="4"/>
  <c r="J728" i="4" s="1"/>
  <c r="I729" i="4" l="1"/>
  <c r="J729" i="4" s="1"/>
  <c r="M728" i="4"/>
  <c r="AP302" i="3"/>
  <c r="AQ302" i="3" s="1"/>
  <c r="I262" i="4"/>
  <c r="J262" i="4" s="1"/>
  <c r="M261" i="4"/>
  <c r="AP113" i="3"/>
  <c r="AQ113" i="3" s="1"/>
  <c r="I263" i="4" l="1"/>
  <c r="J263" i="4" s="1"/>
  <c r="M262" i="4"/>
  <c r="M729" i="4"/>
  <c r="I730" i="4"/>
  <c r="J730" i="4" s="1"/>
  <c r="M730" i="4" l="1"/>
  <c r="I731" i="4"/>
  <c r="J731" i="4" s="1"/>
  <c r="M263" i="4"/>
  <c r="I264" i="4"/>
  <c r="J264" i="4" s="1"/>
  <c r="I732" i="4" l="1"/>
  <c r="J732" i="4" s="1"/>
  <c r="M731" i="4"/>
  <c r="AP303" i="3"/>
  <c r="AQ303" i="3" s="1"/>
  <c r="I265" i="4"/>
  <c r="J265" i="4" s="1"/>
  <c r="M264" i="4"/>
  <c r="AP114" i="3"/>
  <c r="AQ114" i="3" s="1"/>
  <c r="M265" i="4" l="1"/>
  <c r="I266" i="4"/>
  <c r="J266" i="4" s="1"/>
  <c r="I733" i="4"/>
  <c r="J733" i="4" s="1"/>
  <c r="M732" i="4"/>
  <c r="I734" i="4" l="1"/>
  <c r="J734" i="4" s="1"/>
  <c r="M733" i="4"/>
  <c r="AP304" i="3"/>
  <c r="AQ304" i="3" s="1"/>
  <c r="I267" i="4"/>
  <c r="J267" i="4" s="1"/>
  <c r="M266" i="4"/>
  <c r="M267" i="4" l="1"/>
  <c r="I268" i="4"/>
  <c r="J268" i="4" s="1"/>
  <c r="AP115" i="3"/>
  <c r="AQ115" i="3" s="1"/>
  <c r="M734" i="4"/>
  <c r="I735" i="4"/>
  <c r="J735" i="4" s="1"/>
  <c r="M268" i="4" l="1"/>
  <c r="I269" i="4"/>
  <c r="J269" i="4" s="1"/>
  <c r="I736" i="4"/>
  <c r="J736" i="4" s="1"/>
  <c r="M735" i="4"/>
  <c r="AP305" i="3"/>
  <c r="AQ305" i="3" s="1"/>
  <c r="M736" i="4" l="1"/>
  <c r="I737" i="4"/>
  <c r="J737" i="4" s="1"/>
  <c r="I270" i="4"/>
  <c r="J270" i="4" s="1"/>
  <c r="M269" i="4"/>
  <c r="AP116" i="3"/>
  <c r="AQ116" i="3" s="1"/>
  <c r="M270" i="4" l="1"/>
  <c r="I271" i="4"/>
  <c r="J271" i="4" s="1"/>
  <c r="M737" i="4"/>
  <c r="I738" i="4"/>
  <c r="J738" i="4" s="1"/>
  <c r="I272" i="4" l="1"/>
  <c r="J272" i="4" s="1"/>
  <c r="M271" i="4"/>
  <c r="AP117" i="3"/>
  <c r="AQ117" i="3" s="1"/>
  <c r="M738" i="4"/>
  <c r="I739" i="4"/>
  <c r="J739" i="4" s="1"/>
  <c r="AP306" i="3"/>
  <c r="AQ306" i="3" s="1"/>
  <c r="I740" i="4" l="1"/>
  <c r="J740" i="4" s="1"/>
  <c r="M739" i="4"/>
  <c r="M272" i="4"/>
  <c r="I273" i="4"/>
  <c r="J273" i="4" s="1"/>
  <c r="I274" i="4" l="1"/>
  <c r="J274" i="4" s="1"/>
  <c r="M273" i="4"/>
  <c r="AP118" i="3"/>
  <c r="AQ118" i="3" s="1"/>
  <c r="I741" i="4"/>
  <c r="J741" i="4" s="1"/>
  <c r="M740" i="4"/>
  <c r="M741" i="4" l="1"/>
  <c r="I742" i="4"/>
  <c r="J742" i="4" s="1"/>
  <c r="AP307" i="3"/>
  <c r="AQ307" i="3" s="1"/>
  <c r="M274" i="4"/>
  <c r="I275" i="4"/>
  <c r="J275" i="4" s="1"/>
  <c r="I276" i="4" l="1"/>
  <c r="J276" i="4" s="1"/>
  <c r="M275" i="4"/>
  <c r="AP119" i="3"/>
  <c r="AQ119" i="3" s="1"/>
  <c r="I743" i="4"/>
  <c r="J743" i="4" s="1"/>
  <c r="M742" i="4"/>
  <c r="I744" i="4" l="1"/>
  <c r="J744" i="4" s="1"/>
  <c r="M743" i="4"/>
  <c r="M276" i="4"/>
  <c r="I277" i="4"/>
  <c r="J277" i="4" s="1"/>
  <c r="I278" i="4" l="1"/>
  <c r="J278" i="4" s="1"/>
  <c r="M277" i="4"/>
  <c r="AP120" i="3"/>
  <c r="AQ120" i="3" s="1"/>
  <c r="M744" i="4"/>
  <c r="I745" i="4"/>
  <c r="J745" i="4" s="1"/>
  <c r="AP308" i="3"/>
  <c r="AQ308" i="3" s="1"/>
  <c r="I746" i="4" l="1"/>
  <c r="J746" i="4" s="1"/>
  <c r="M745" i="4"/>
  <c r="M278" i="4"/>
  <c r="I279" i="4"/>
  <c r="J279" i="4" s="1"/>
  <c r="M279" i="4" l="1"/>
  <c r="I280" i="4"/>
  <c r="J280" i="4" s="1"/>
  <c r="AP121" i="3"/>
  <c r="AQ121" i="3" s="1"/>
  <c r="I747" i="4"/>
  <c r="J747" i="4" s="1"/>
  <c r="M746" i="4"/>
  <c r="AP309" i="3"/>
  <c r="AQ309" i="3" s="1"/>
  <c r="M747" i="4" l="1"/>
  <c r="I748" i="4"/>
  <c r="J748" i="4" s="1"/>
  <c r="I281" i="4"/>
  <c r="J281" i="4" s="1"/>
  <c r="M280" i="4"/>
  <c r="I749" i="4" l="1"/>
  <c r="J749" i="4" s="1"/>
  <c r="M748" i="4"/>
  <c r="M281" i="4"/>
  <c r="I282" i="4"/>
  <c r="J282" i="4" s="1"/>
  <c r="AP122" i="3"/>
  <c r="AQ122" i="3" s="1"/>
  <c r="I283" i="4" l="1"/>
  <c r="J283" i="4" s="1"/>
  <c r="M282" i="4"/>
  <c r="I750" i="4"/>
  <c r="J750" i="4" s="1"/>
  <c r="M749" i="4"/>
  <c r="AP310" i="3"/>
  <c r="AQ310" i="3" s="1"/>
  <c r="M750" i="4" l="1"/>
  <c r="I751" i="4"/>
  <c r="J751" i="4" s="1"/>
  <c r="I284" i="4"/>
  <c r="J284" i="4" s="1"/>
  <c r="M283" i="4"/>
  <c r="AP123" i="3"/>
  <c r="AQ123" i="3" s="1"/>
  <c r="I752" i="4" l="1"/>
  <c r="J752" i="4" s="1"/>
  <c r="M751" i="4"/>
  <c r="I285" i="4"/>
  <c r="J285" i="4" s="1"/>
  <c r="M284" i="4"/>
  <c r="M285" i="4" l="1"/>
  <c r="I286" i="4"/>
  <c r="J286" i="4" s="1"/>
  <c r="AP124" i="3"/>
  <c r="AQ124" i="3" s="1"/>
  <c r="I753" i="4"/>
  <c r="J753" i="4" s="1"/>
  <c r="M752" i="4"/>
  <c r="AP311" i="3"/>
  <c r="AQ311" i="3" s="1"/>
  <c r="I754" i="4" l="1"/>
  <c r="J754" i="4" s="1"/>
  <c r="M753" i="4"/>
  <c r="I287" i="4"/>
  <c r="J287" i="4" s="1"/>
  <c r="M286" i="4"/>
  <c r="I288" i="4" l="1"/>
  <c r="J288" i="4" s="1"/>
  <c r="M287" i="4"/>
  <c r="AP125" i="3"/>
  <c r="AQ125" i="3" s="1"/>
  <c r="M754" i="4"/>
  <c r="I755" i="4"/>
  <c r="J755" i="4" s="1"/>
  <c r="AP312" i="3"/>
  <c r="AQ312" i="3" s="1"/>
  <c r="M755" i="4" l="1"/>
  <c r="I756" i="4"/>
  <c r="J756" i="4" s="1"/>
  <c r="M288" i="4"/>
  <c r="I289" i="4"/>
  <c r="J289" i="4" s="1"/>
  <c r="I757" i="4" l="1"/>
  <c r="J757" i="4" s="1"/>
  <c r="M756" i="4"/>
  <c r="AP313" i="3"/>
  <c r="AQ313" i="3" s="1"/>
  <c r="I290" i="4"/>
  <c r="J290" i="4" s="1"/>
  <c r="M289" i="4"/>
  <c r="AP126" i="3"/>
  <c r="AQ126" i="3" s="1"/>
  <c r="I291" i="4" l="1"/>
  <c r="J291" i="4" s="1"/>
  <c r="M290" i="4"/>
  <c r="I758" i="4"/>
  <c r="J758" i="4" s="1"/>
  <c r="M757" i="4"/>
  <c r="I759" i="4" l="1"/>
  <c r="J759" i="4" s="1"/>
  <c r="M758" i="4"/>
  <c r="AP314" i="3"/>
  <c r="AQ314" i="3" s="1"/>
  <c r="I292" i="4"/>
  <c r="J292" i="4" s="1"/>
  <c r="M291" i="4"/>
  <c r="AP127" i="3"/>
  <c r="AQ127" i="3" s="1"/>
  <c r="I293" i="4" l="1"/>
  <c r="J293" i="4" s="1"/>
  <c r="M292" i="4"/>
  <c r="I760" i="4"/>
  <c r="J760" i="4" s="1"/>
  <c r="M759" i="4"/>
  <c r="I761" i="4" l="1"/>
  <c r="J761" i="4" s="1"/>
  <c r="M760" i="4"/>
  <c r="AP315" i="3"/>
  <c r="AQ315" i="3" s="1"/>
  <c r="M293" i="4"/>
  <c r="I294" i="4"/>
  <c r="J294" i="4" s="1"/>
  <c r="M294" i="4" l="1"/>
  <c r="I295" i="4"/>
  <c r="J295" i="4" s="1"/>
  <c r="AP128" i="3"/>
  <c r="AQ128" i="3" s="1"/>
  <c r="M761" i="4"/>
  <c r="I762" i="4"/>
  <c r="J762" i="4" s="1"/>
  <c r="I763" i="4" l="1"/>
  <c r="J763" i="4" s="1"/>
  <c r="M762" i="4"/>
  <c r="I296" i="4"/>
  <c r="J296" i="4" s="1"/>
  <c r="M295" i="4"/>
  <c r="I297" i="4" l="1"/>
  <c r="J297" i="4" s="1"/>
  <c r="M296" i="4"/>
  <c r="I764" i="4"/>
  <c r="J764" i="4" s="1"/>
  <c r="M763" i="4"/>
  <c r="AP316" i="3"/>
  <c r="AQ316" i="3" s="1"/>
  <c r="I765" i="4" l="1"/>
  <c r="J765" i="4" s="1"/>
  <c r="M764" i="4"/>
  <c r="M297" i="4"/>
  <c r="I298" i="4"/>
  <c r="J298" i="4" s="1"/>
  <c r="AP129" i="3"/>
  <c r="AQ129" i="3" s="1"/>
  <c r="I299" i="4" l="1"/>
  <c r="J299" i="4" s="1"/>
  <c r="M298" i="4"/>
  <c r="M765" i="4"/>
  <c r="I766" i="4"/>
  <c r="J766" i="4" s="1"/>
  <c r="AP317" i="3"/>
  <c r="AQ317" i="3" s="1"/>
  <c r="M766" i="4" l="1"/>
  <c r="I767" i="4"/>
  <c r="J767" i="4" s="1"/>
  <c r="I300" i="4"/>
  <c r="J300" i="4" s="1"/>
  <c r="M299" i="4"/>
  <c r="AP130" i="3"/>
  <c r="AQ130" i="3" s="1"/>
  <c r="I301" i="4" l="1"/>
  <c r="J301" i="4" s="1"/>
  <c r="M300" i="4"/>
  <c r="I768" i="4"/>
  <c r="J768" i="4" s="1"/>
  <c r="M767" i="4"/>
  <c r="AP318" i="3"/>
  <c r="AQ318" i="3" s="1"/>
  <c r="M768" i="4" l="1"/>
  <c r="I769" i="4"/>
  <c r="J769" i="4" s="1"/>
  <c r="I302" i="4"/>
  <c r="J302" i="4" s="1"/>
  <c r="M301" i="4"/>
  <c r="I770" i="4" l="1"/>
  <c r="J770" i="4" s="1"/>
  <c r="M769" i="4"/>
  <c r="M302" i="4"/>
  <c r="I303" i="4"/>
  <c r="J303" i="4" s="1"/>
  <c r="AP131" i="3"/>
  <c r="AQ131" i="3" s="1"/>
  <c r="M303" i="4" l="1"/>
  <c r="I304" i="4"/>
  <c r="J304" i="4" s="1"/>
  <c r="M770" i="4"/>
  <c r="I771" i="4"/>
  <c r="J771" i="4" s="1"/>
  <c r="AP319" i="3"/>
  <c r="AQ319" i="3" s="1"/>
  <c r="I772" i="4" l="1"/>
  <c r="J772" i="4" s="1"/>
  <c r="M771" i="4"/>
  <c r="M304" i="4"/>
  <c r="I305" i="4"/>
  <c r="J305" i="4" s="1"/>
  <c r="M305" i="4" l="1"/>
  <c r="I306" i="4"/>
  <c r="J306" i="4" s="1"/>
  <c r="AP132" i="3"/>
  <c r="AQ132" i="3" s="1"/>
  <c r="M772" i="4"/>
  <c r="I773" i="4"/>
  <c r="J773" i="4" s="1"/>
  <c r="I774" i="4" l="1"/>
  <c r="J774" i="4" s="1"/>
  <c r="M773" i="4"/>
  <c r="AP320" i="3"/>
  <c r="AQ320" i="3" s="1"/>
  <c r="M306" i="4"/>
  <c r="I307" i="4"/>
  <c r="J307" i="4" s="1"/>
  <c r="I308" i="4" l="1"/>
  <c r="J308" i="4" s="1"/>
  <c r="M307" i="4"/>
  <c r="AP133" i="3"/>
  <c r="AQ133" i="3" s="1"/>
  <c r="I775" i="4"/>
  <c r="J775" i="4" s="1"/>
  <c r="M774" i="4"/>
  <c r="M775" i="4" l="1"/>
  <c r="I776" i="4"/>
  <c r="J776" i="4" s="1"/>
  <c r="AP321" i="3"/>
  <c r="AQ321" i="3" s="1"/>
  <c r="I309" i="4"/>
  <c r="J309" i="4" s="1"/>
  <c r="M308" i="4"/>
  <c r="I310" i="4" l="1"/>
  <c r="J310" i="4" s="1"/>
  <c r="M309" i="4"/>
  <c r="I777" i="4"/>
  <c r="J777" i="4" s="1"/>
  <c r="M776" i="4"/>
  <c r="M777" i="4" l="1"/>
  <c r="I778" i="4"/>
  <c r="J778" i="4" s="1"/>
  <c r="AP322" i="3"/>
  <c r="AQ322" i="3" s="1"/>
  <c r="M310" i="4"/>
  <c r="I311" i="4"/>
  <c r="J311" i="4" s="1"/>
  <c r="AP134" i="3"/>
  <c r="AQ134" i="3" s="1"/>
  <c r="I312" i="4" l="1"/>
  <c r="J312" i="4" s="1"/>
  <c r="M311" i="4"/>
  <c r="M778" i="4"/>
  <c r="I779" i="4"/>
  <c r="J779" i="4" s="1"/>
  <c r="I780" i="4" l="1"/>
  <c r="J780" i="4" s="1"/>
  <c r="M779" i="4"/>
  <c r="AP323" i="3"/>
  <c r="AQ323" i="3" s="1"/>
  <c r="I313" i="4"/>
  <c r="J313" i="4" s="1"/>
  <c r="M312" i="4"/>
  <c r="AP135" i="3"/>
  <c r="AQ135" i="3" s="1"/>
  <c r="M313" i="4" l="1"/>
  <c r="I314" i="4"/>
  <c r="J314" i="4" s="1"/>
  <c r="I781" i="4"/>
  <c r="J781" i="4" s="1"/>
  <c r="M780" i="4"/>
  <c r="I315" i="4" l="1"/>
  <c r="J315" i="4" s="1"/>
  <c r="M314" i="4"/>
  <c r="AP136" i="3"/>
  <c r="AQ136" i="3" s="1"/>
  <c r="I782" i="4"/>
  <c r="J782" i="4" s="1"/>
  <c r="M781" i="4"/>
  <c r="AP324" i="3"/>
  <c r="AQ324" i="3" s="1"/>
  <c r="M782" i="4" l="1"/>
  <c r="I783" i="4"/>
  <c r="J783" i="4" s="1"/>
  <c r="AP325" i="3"/>
  <c r="AQ325" i="3" s="1"/>
  <c r="M315" i="4"/>
  <c r="I316" i="4"/>
  <c r="J316" i="4" s="1"/>
  <c r="I317" i="4" l="1"/>
  <c r="J317" i="4" s="1"/>
  <c r="M316" i="4"/>
  <c r="I784" i="4"/>
  <c r="J784" i="4" s="1"/>
  <c r="M783" i="4"/>
  <c r="AP326" i="3"/>
  <c r="AQ326" i="3" s="1"/>
  <c r="M784" i="4" l="1"/>
  <c r="I785" i="4"/>
  <c r="J785" i="4" s="1"/>
  <c r="AP327" i="3"/>
  <c r="AQ327" i="3" s="1"/>
  <c r="I318" i="4"/>
  <c r="J318" i="4" s="1"/>
  <c r="M317" i="4"/>
  <c r="AP137" i="3"/>
  <c r="AQ137" i="3" s="1"/>
  <c r="M318" i="4" l="1"/>
  <c r="I319" i="4"/>
  <c r="J319" i="4" s="1"/>
  <c r="I786" i="4"/>
  <c r="J786" i="4" s="1"/>
  <c r="M785" i="4"/>
  <c r="AP328" i="3"/>
  <c r="AQ328" i="3" s="1"/>
  <c r="I787" i="4" l="1"/>
  <c r="J787" i="4" s="1"/>
  <c r="M786" i="4"/>
  <c r="M319" i="4"/>
  <c r="I320" i="4"/>
  <c r="J320" i="4" s="1"/>
  <c r="AP138" i="3"/>
  <c r="AQ138" i="3" s="1"/>
  <c r="M320" i="4" l="1"/>
  <c r="I321" i="4"/>
  <c r="J321" i="4" s="1"/>
  <c r="I788" i="4"/>
  <c r="J788" i="4" s="1"/>
  <c r="M787" i="4"/>
  <c r="M788" i="4" l="1"/>
  <c r="I789" i="4"/>
  <c r="J789" i="4" s="1"/>
  <c r="AP329" i="3"/>
  <c r="AQ329" i="3" s="1"/>
  <c r="I322" i="4"/>
  <c r="J322" i="4" s="1"/>
  <c r="M321" i="4"/>
  <c r="AP139" i="3"/>
  <c r="AQ139" i="3" s="1"/>
  <c r="I323" i="4" l="1"/>
  <c r="J323" i="4" s="1"/>
  <c r="M322" i="4"/>
  <c r="M789" i="4"/>
  <c r="I790" i="4"/>
  <c r="J790" i="4" s="1"/>
  <c r="I791" i="4" l="1"/>
  <c r="J791" i="4" s="1"/>
  <c r="M790" i="4"/>
  <c r="AP330" i="3"/>
  <c r="AQ330" i="3" s="1"/>
  <c r="I324" i="4"/>
  <c r="J324" i="4" s="1"/>
  <c r="M323" i="4"/>
  <c r="AP140" i="3"/>
  <c r="AQ140" i="3" s="1"/>
  <c r="I325" i="4" l="1"/>
  <c r="J325" i="4" s="1"/>
  <c r="M324" i="4"/>
  <c r="M791" i="4"/>
  <c r="I792" i="4"/>
  <c r="J792" i="4" s="1"/>
  <c r="M792" i="4" l="1"/>
  <c r="I793" i="4"/>
  <c r="J793" i="4" s="1"/>
  <c r="AP331" i="3"/>
  <c r="AQ331" i="3" s="1"/>
  <c r="I326" i="4"/>
  <c r="J326" i="4" s="1"/>
  <c r="M325" i="4"/>
  <c r="M326" i="4" l="1"/>
  <c r="I327" i="4"/>
  <c r="J327" i="4" s="1"/>
  <c r="AP141" i="3"/>
  <c r="AQ141" i="3" s="1"/>
  <c r="I794" i="4"/>
  <c r="J794" i="4" s="1"/>
  <c r="M793" i="4"/>
  <c r="I795" i="4" l="1"/>
  <c r="J795" i="4" s="1"/>
  <c r="M794" i="4"/>
  <c r="AP332" i="3"/>
  <c r="AQ332" i="3" s="1"/>
  <c r="I328" i="4"/>
  <c r="J328" i="4" s="1"/>
  <c r="M327" i="4"/>
  <c r="M328" i="4" l="1"/>
  <c r="I329" i="4"/>
  <c r="J329" i="4" s="1"/>
  <c r="AP142" i="3"/>
  <c r="AQ142" i="3" s="1"/>
  <c r="I796" i="4"/>
  <c r="J796" i="4" s="1"/>
  <c r="M795" i="4"/>
  <c r="I797" i="4" l="1"/>
  <c r="J797" i="4" s="1"/>
  <c r="M796" i="4"/>
  <c r="I330" i="4"/>
  <c r="J330" i="4" s="1"/>
  <c r="M329" i="4"/>
  <c r="M330" i="4" l="1"/>
  <c r="I331" i="4"/>
  <c r="J331" i="4" s="1"/>
  <c r="AP143" i="3"/>
  <c r="AQ143" i="3" s="1"/>
  <c r="I798" i="4"/>
  <c r="J798" i="4" s="1"/>
  <c r="M797" i="4"/>
  <c r="AP333" i="3"/>
  <c r="AQ333" i="3" s="1"/>
  <c r="M331" i="4" l="1"/>
  <c r="I332" i="4"/>
  <c r="J332" i="4" s="1"/>
  <c r="M798" i="4"/>
  <c r="I799" i="4"/>
  <c r="J799" i="4" s="1"/>
  <c r="I333" i="4" l="1"/>
  <c r="J333" i="4" s="1"/>
  <c r="M332" i="4"/>
  <c r="M799" i="4"/>
  <c r="I800" i="4"/>
  <c r="J800" i="4" s="1"/>
  <c r="AP334" i="3"/>
  <c r="AQ334" i="3" s="1"/>
  <c r="M800" i="4" l="1"/>
  <c r="I801" i="4"/>
  <c r="J801" i="4" s="1"/>
  <c r="I334" i="4"/>
  <c r="J334" i="4" s="1"/>
  <c r="M333" i="4"/>
  <c r="AP144" i="3"/>
  <c r="AQ144" i="3" s="1"/>
  <c r="I335" i="4" l="1"/>
  <c r="J335" i="4" s="1"/>
  <c r="M334" i="4"/>
  <c r="I802" i="4"/>
  <c r="J802" i="4" s="1"/>
  <c r="M801" i="4"/>
  <c r="AP335" i="3"/>
  <c r="AQ335" i="3" s="1"/>
  <c r="I803" i="4" l="1"/>
  <c r="J803" i="4" s="1"/>
  <c r="M802" i="4"/>
  <c r="M335" i="4"/>
  <c r="I336" i="4"/>
  <c r="J336" i="4" s="1"/>
  <c r="I337" i="4" l="1"/>
  <c r="J337" i="4" s="1"/>
  <c r="M336" i="4"/>
  <c r="AP145" i="3"/>
  <c r="AQ145" i="3" s="1"/>
  <c r="M803" i="4"/>
  <c r="I804" i="4"/>
  <c r="J804" i="4" s="1"/>
  <c r="I805" i="4" l="1"/>
  <c r="J805" i="4" s="1"/>
  <c r="M804" i="4"/>
  <c r="AP336" i="3"/>
  <c r="AQ336" i="3" s="1"/>
  <c r="M337" i="4"/>
  <c r="I338" i="4"/>
  <c r="J338" i="4" s="1"/>
  <c r="I339" i="4" l="1"/>
  <c r="J339" i="4" s="1"/>
  <c r="M338" i="4"/>
  <c r="I806" i="4"/>
  <c r="J806" i="4" s="1"/>
  <c r="M805" i="4"/>
  <c r="M806" i="4" l="1"/>
  <c r="I807" i="4"/>
  <c r="J807" i="4" s="1"/>
  <c r="I340" i="4"/>
  <c r="J340" i="4" s="1"/>
  <c r="M339" i="4"/>
  <c r="AP146" i="3"/>
  <c r="AQ146" i="3" s="1"/>
  <c r="I341" i="4" l="1"/>
  <c r="J341" i="4" s="1"/>
  <c r="M340" i="4"/>
  <c r="I808" i="4"/>
  <c r="J808" i="4" s="1"/>
  <c r="M807" i="4"/>
  <c r="AP337" i="3"/>
  <c r="AQ337" i="3" s="1"/>
  <c r="I809" i="4" l="1"/>
  <c r="J809" i="4" s="1"/>
  <c r="M808" i="4"/>
  <c r="I342" i="4"/>
  <c r="J342" i="4" s="1"/>
  <c r="M341" i="4"/>
  <c r="M342" i="4" l="1"/>
  <c r="I343" i="4"/>
  <c r="J343" i="4" s="1"/>
  <c r="AP147" i="3"/>
  <c r="AQ147" i="3" s="1"/>
  <c r="I810" i="4"/>
  <c r="J810" i="4" s="1"/>
  <c r="M809" i="4"/>
  <c r="AP338" i="3"/>
  <c r="AQ338" i="3" s="1"/>
  <c r="M810" i="4" l="1"/>
  <c r="I811" i="4"/>
  <c r="J811" i="4" s="1"/>
  <c r="I344" i="4"/>
  <c r="J344" i="4" s="1"/>
  <c r="M343" i="4"/>
  <c r="I345" i="4" l="1"/>
  <c r="J345" i="4" s="1"/>
  <c r="M344" i="4"/>
  <c r="AP148" i="3"/>
  <c r="AQ148" i="3" s="1"/>
  <c r="I812" i="4"/>
  <c r="J812" i="4" s="1"/>
  <c r="M811" i="4"/>
  <c r="AP339" i="3"/>
  <c r="AQ339" i="3" s="1"/>
  <c r="I813" i="4" l="1"/>
  <c r="J813" i="4" s="1"/>
  <c r="M812" i="4"/>
  <c r="I346" i="4"/>
  <c r="J346" i="4" s="1"/>
  <c r="M345" i="4"/>
  <c r="M346" i="4" l="1"/>
  <c r="I347" i="4"/>
  <c r="J347" i="4" s="1"/>
  <c r="AP149" i="3"/>
  <c r="AQ149" i="3" s="1"/>
  <c r="I814" i="4"/>
  <c r="J814" i="4" s="1"/>
  <c r="M813" i="4"/>
  <c r="AP340" i="3"/>
  <c r="AQ340" i="3" s="1"/>
  <c r="M814" i="4" l="1"/>
  <c r="I815" i="4"/>
  <c r="J815" i="4" s="1"/>
  <c r="I348" i="4"/>
  <c r="J348" i="4" s="1"/>
  <c r="M347" i="4"/>
  <c r="I816" i="4" l="1"/>
  <c r="J816" i="4" s="1"/>
  <c r="M815" i="4"/>
  <c r="AP341" i="3"/>
  <c r="AQ341" i="3" s="1"/>
  <c r="M348" i="4"/>
  <c r="I349" i="4"/>
  <c r="J349" i="4" s="1"/>
  <c r="AP150" i="3"/>
  <c r="AQ150" i="3" s="1"/>
  <c r="I350" i="4" l="1"/>
  <c r="J350" i="4" s="1"/>
  <c r="M349" i="4"/>
  <c r="I817" i="4"/>
  <c r="J817" i="4" s="1"/>
  <c r="M816" i="4"/>
  <c r="I818" i="4" l="1"/>
  <c r="J818" i="4" s="1"/>
  <c r="M817" i="4"/>
  <c r="AP342" i="3"/>
  <c r="AQ342" i="3" s="1"/>
  <c r="I351" i="4"/>
  <c r="J351" i="4" s="1"/>
  <c r="M350" i="4"/>
  <c r="AP151" i="3"/>
  <c r="AQ151" i="3" s="1"/>
  <c r="M351" i="4" l="1"/>
  <c r="I352" i="4"/>
  <c r="J352" i="4" s="1"/>
  <c r="I819" i="4"/>
  <c r="J819" i="4" s="1"/>
  <c r="M818" i="4"/>
  <c r="I820" i="4" l="1"/>
  <c r="J820" i="4" s="1"/>
  <c r="M819" i="4"/>
  <c r="AP343" i="3"/>
  <c r="AQ343" i="3" s="1"/>
  <c r="I353" i="4"/>
  <c r="J353" i="4" s="1"/>
  <c r="M352" i="4"/>
  <c r="AP152" i="3"/>
  <c r="AQ152" i="3" s="1"/>
  <c r="M353" i="4" l="1"/>
  <c r="I354" i="4"/>
  <c r="J354" i="4" s="1"/>
  <c r="I821" i="4"/>
  <c r="J821" i="4" s="1"/>
  <c r="M820" i="4"/>
  <c r="M354" i="4" l="1"/>
  <c r="I355" i="4"/>
  <c r="J355" i="4" s="1"/>
  <c r="AP153" i="3"/>
  <c r="AQ153" i="3" s="1"/>
  <c r="M821" i="4"/>
  <c r="I822" i="4"/>
  <c r="J822" i="4" s="1"/>
  <c r="AP344" i="3"/>
  <c r="AQ344" i="3" s="1"/>
  <c r="I823" i="4" l="1"/>
  <c r="J823" i="4" s="1"/>
  <c r="M822" i="4"/>
  <c r="I356" i="4"/>
  <c r="J356" i="4" s="1"/>
  <c r="M355" i="4"/>
  <c r="I357" i="4" l="1"/>
  <c r="J357" i="4" s="1"/>
  <c r="M356" i="4"/>
  <c r="AP154" i="3"/>
  <c r="AQ154" i="3" s="1"/>
  <c r="M823" i="4"/>
  <c r="I824" i="4"/>
  <c r="J824" i="4" s="1"/>
  <c r="AP345" i="3"/>
  <c r="AQ345" i="3" s="1"/>
  <c r="I825" i="4" l="1"/>
  <c r="J825" i="4" s="1"/>
  <c r="M824" i="4"/>
  <c r="I358" i="4"/>
  <c r="J358" i="4" s="1"/>
  <c r="M357" i="4"/>
  <c r="I826" i="4" l="1"/>
  <c r="J826" i="4" s="1"/>
  <c r="M825" i="4"/>
  <c r="AP346" i="3"/>
  <c r="AQ346" i="3" s="1"/>
  <c r="I359" i="4"/>
  <c r="J359" i="4" s="1"/>
  <c r="M358" i="4"/>
  <c r="AP155" i="3"/>
  <c r="AQ155" i="3" s="1"/>
  <c r="M359" i="4" l="1"/>
  <c r="I360" i="4"/>
  <c r="J360" i="4" s="1"/>
  <c r="M826" i="4"/>
  <c r="I827" i="4"/>
  <c r="J827" i="4" s="1"/>
  <c r="I828" i="4" l="1"/>
  <c r="J828" i="4" s="1"/>
  <c r="M827" i="4"/>
  <c r="AP347" i="3"/>
  <c r="AQ347" i="3" s="1"/>
  <c r="I361" i="4"/>
  <c r="J361" i="4" s="1"/>
  <c r="M360" i="4"/>
  <c r="AP156" i="3"/>
  <c r="AQ156" i="3" s="1"/>
  <c r="I362" i="4" l="1"/>
  <c r="J362" i="4" s="1"/>
  <c r="M361" i="4"/>
  <c r="M828" i="4"/>
  <c r="I829" i="4"/>
  <c r="J829" i="4" s="1"/>
  <c r="I830" i="4" l="1"/>
  <c r="J830" i="4" s="1"/>
  <c r="M829" i="4"/>
  <c r="AP348" i="3"/>
  <c r="AQ348" i="3" s="1"/>
  <c r="M362" i="4"/>
  <c r="I363" i="4"/>
  <c r="J363" i="4" s="1"/>
  <c r="AP157" i="3"/>
  <c r="AQ157" i="3" s="1"/>
  <c r="I364" i="4" l="1"/>
  <c r="J364" i="4" s="1"/>
  <c r="M363" i="4"/>
  <c r="M830" i="4"/>
  <c r="I831" i="4"/>
  <c r="J831" i="4" s="1"/>
  <c r="I832" i="4" l="1"/>
  <c r="J832" i="4" s="1"/>
  <c r="M831" i="4"/>
  <c r="AP349" i="3"/>
  <c r="AQ349" i="3" s="1"/>
  <c r="M364" i="4"/>
  <c r="I365" i="4"/>
  <c r="J365" i="4" s="1"/>
  <c r="M365" i="4" l="1"/>
  <c r="I366" i="4"/>
  <c r="J366" i="4" s="1"/>
  <c r="AP158" i="3"/>
  <c r="AQ158" i="3" s="1"/>
  <c r="M832" i="4"/>
  <c r="I833" i="4"/>
  <c r="J833" i="4" s="1"/>
  <c r="I367" i="4" l="1"/>
  <c r="J367" i="4" s="1"/>
  <c r="M366" i="4"/>
  <c r="M833" i="4"/>
  <c r="I834" i="4"/>
  <c r="J834" i="4" s="1"/>
  <c r="I835" i="4" l="1"/>
  <c r="J835" i="4" s="1"/>
  <c r="M834" i="4"/>
  <c r="AP350" i="3"/>
  <c r="AQ350" i="3" s="1"/>
  <c r="I368" i="4"/>
  <c r="J368" i="4" s="1"/>
  <c r="M367" i="4"/>
  <c r="I369" i="4" l="1"/>
  <c r="J369" i="4" s="1"/>
  <c r="M368" i="4"/>
  <c r="AP159" i="3"/>
  <c r="AQ159" i="3" s="1"/>
  <c r="I836" i="4"/>
  <c r="J836" i="4" s="1"/>
  <c r="M835" i="4"/>
  <c r="I837" i="4" l="1"/>
  <c r="J837" i="4" s="1"/>
  <c r="M836" i="4"/>
  <c r="I370" i="4"/>
  <c r="J370" i="4" s="1"/>
  <c r="M369" i="4"/>
  <c r="M370" i="4" l="1"/>
  <c r="I371" i="4"/>
  <c r="J371" i="4" s="1"/>
  <c r="AP160" i="3"/>
  <c r="AQ160" i="3" s="1"/>
  <c r="M837" i="4"/>
  <c r="I838" i="4"/>
  <c r="J838" i="4" s="1"/>
  <c r="AP351" i="3"/>
  <c r="AQ351" i="3" s="1"/>
  <c r="I839" i="4" l="1"/>
  <c r="J839" i="4" s="1"/>
  <c r="M838" i="4"/>
  <c r="M371" i="4"/>
  <c r="I372" i="4"/>
  <c r="J372" i="4" s="1"/>
  <c r="I373" i="4" l="1"/>
  <c r="J373" i="4" s="1"/>
  <c r="M372" i="4"/>
  <c r="AP161" i="3"/>
  <c r="AQ161" i="3" s="1"/>
  <c r="I840" i="4"/>
  <c r="J840" i="4" s="1"/>
  <c r="M839" i="4"/>
  <c r="I841" i="4" l="1"/>
  <c r="J841" i="4" s="1"/>
  <c r="M840" i="4"/>
  <c r="AP352" i="3"/>
  <c r="AQ352" i="3" s="1"/>
  <c r="M373" i="4"/>
  <c r="I374" i="4"/>
  <c r="J374" i="4" s="1"/>
  <c r="M374" i="4" l="1"/>
  <c r="I375" i="4"/>
  <c r="J375" i="4" s="1"/>
  <c r="AP162" i="3"/>
  <c r="AQ162" i="3" s="1"/>
  <c r="I842" i="4"/>
  <c r="J842" i="4" s="1"/>
  <c r="M841" i="4"/>
  <c r="M842" i="4" l="1"/>
  <c r="I843" i="4"/>
  <c r="J843" i="4" s="1"/>
  <c r="M375" i="4"/>
  <c r="I376" i="4"/>
  <c r="J376" i="4" s="1"/>
  <c r="M843" i="4" l="1"/>
  <c r="I844" i="4"/>
  <c r="J844" i="4" s="1"/>
  <c r="AP353" i="3"/>
  <c r="AQ353" i="3" s="1"/>
  <c r="I377" i="4"/>
  <c r="J377" i="4" s="1"/>
  <c r="M376" i="4"/>
  <c r="AP163" i="3"/>
  <c r="AQ163" i="3" s="1"/>
  <c r="I378" i="4" l="1"/>
  <c r="J378" i="4" s="1"/>
  <c r="M377" i="4"/>
  <c r="M844" i="4"/>
  <c r="I845" i="4"/>
  <c r="J845" i="4" s="1"/>
  <c r="M845" i="4" l="1"/>
  <c r="I846" i="4"/>
  <c r="J846" i="4" s="1"/>
  <c r="AP354" i="3"/>
  <c r="AQ354" i="3" s="1"/>
  <c r="I379" i="4"/>
  <c r="J379" i="4" s="1"/>
  <c r="M378" i="4"/>
  <c r="I380" i="4" l="1"/>
  <c r="J380" i="4" s="1"/>
  <c r="M379" i="4"/>
  <c r="AP164" i="3"/>
  <c r="AQ164" i="3" s="1"/>
  <c r="I847" i="4"/>
  <c r="J847" i="4" s="1"/>
  <c r="M846" i="4"/>
  <c r="I848" i="4" l="1"/>
  <c r="J848" i="4" s="1"/>
  <c r="M847" i="4"/>
  <c r="I381" i="4"/>
  <c r="J381" i="4" s="1"/>
  <c r="M380" i="4"/>
  <c r="M381" i="4" l="1"/>
  <c r="I382" i="4"/>
  <c r="J382" i="4" s="1"/>
  <c r="AP165" i="3"/>
  <c r="AQ165" i="3" s="1"/>
  <c r="I849" i="4"/>
  <c r="J849" i="4" s="1"/>
  <c r="M848" i="4"/>
  <c r="AP355" i="3"/>
  <c r="AQ355" i="3" s="1"/>
  <c r="I850" i="4" l="1"/>
  <c r="J850" i="4" s="1"/>
  <c r="M849" i="4"/>
  <c r="I383" i="4"/>
  <c r="J383" i="4" s="1"/>
  <c r="M382" i="4"/>
  <c r="I384" i="4" l="1"/>
  <c r="J384" i="4" s="1"/>
  <c r="M383" i="4"/>
  <c r="I851" i="4"/>
  <c r="J851" i="4" s="1"/>
  <c r="M850" i="4"/>
  <c r="I852" i="4" l="1"/>
  <c r="J852" i="4" s="1"/>
  <c r="M851" i="4"/>
  <c r="AP356" i="3"/>
  <c r="AQ356" i="3" s="1"/>
  <c r="M384" i="4"/>
  <c r="I385" i="4"/>
  <c r="J385" i="4" s="1"/>
  <c r="AP166" i="3"/>
  <c r="AQ166" i="3" s="1"/>
  <c r="I386" i="4" l="1"/>
  <c r="J386" i="4" s="1"/>
  <c r="M385" i="4"/>
  <c r="M852" i="4"/>
  <c r="I853" i="4"/>
  <c r="J853" i="4" s="1"/>
  <c r="M853" i="4" l="1"/>
  <c r="I854" i="4"/>
  <c r="J854" i="4" s="1"/>
  <c r="M386" i="4"/>
  <c r="I387" i="4"/>
  <c r="J387" i="4" s="1"/>
  <c r="AP167" i="3"/>
  <c r="AQ167" i="3" s="1"/>
  <c r="M387" i="4" l="1"/>
  <c r="I388" i="4"/>
  <c r="J388" i="4" s="1"/>
  <c r="M854" i="4"/>
  <c r="I855" i="4"/>
  <c r="J855" i="4" s="1"/>
  <c r="AP357" i="3"/>
  <c r="AQ357" i="3" s="1"/>
  <c r="I389" i="4" l="1"/>
  <c r="J389" i="4" s="1"/>
  <c r="M388" i="4"/>
  <c r="AP168" i="3"/>
  <c r="AQ168" i="3" s="1"/>
  <c r="I856" i="4"/>
  <c r="J856" i="4" s="1"/>
  <c r="M855" i="4"/>
  <c r="M856" i="4" l="1"/>
  <c r="I857" i="4"/>
  <c r="J857" i="4" s="1"/>
  <c r="I390" i="4"/>
  <c r="J390" i="4" s="1"/>
  <c r="M389" i="4"/>
  <c r="I391" i="4" l="1"/>
  <c r="J391" i="4" s="1"/>
  <c r="M390" i="4"/>
  <c r="I858" i="4"/>
  <c r="J858" i="4" s="1"/>
  <c r="M857" i="4"/>
  <c r="AP358" i="3"/>
  <c r="AQ358" i="3" s="1"/>
  <c r="M858" i="4" l="1"/>
  <c r="I859" i="4"/>
  <c r="J859" i="4" s="1"/>
  <c r="I392" i="4"/>
  <c r="J392" i="4" s="1"/>
  <c r="M391" i="4"/>
  <c r="AP169" i="3"/>
  <c r="AQ169" i="3" s="1"/>
  <c r="M859" i="4" l="1"/>
  <c r="I860" i="4"/>
  <c r="J860" i="4" s="1"/>
  <c r="M392" i="4"/>
  <c r="I393" i="4"/>
  <c r="J393" i="4" s="1"/>
  <c r="I394" i="4" l="1"/>
  <c r="J394" i="4" s="1"/>
  <c r="M393" i="4"/>
  <c r="M860" i="4"/>
  <c r="I861" i="4"/>
  <c r="J861" i="4" s="1"/>
  <c r="AP359" i="3"/>
  <c r="AQ359" i="3" s="1"/>
  <c r="M861" i="4" l="1"/>
  <c r="I862" i="4"/>
  <c r="J862" i="4" s="1"/>
  <c r="I395" i="4"/>
  <c r="J395" i="4" s="1"/>
  <c r="M394" i="4"/>
  <c r="AP170" i="3"/>
  <c r="AQ170" i="3" s="1"/>
  <c r="I396" i="4" l="1"/>
  <c r="J396" i="4" s="1"/>
  <c r="M395" i="4"/>
  <c r="I863" i="4"/>
  <c r="J863" i="4" s="1"/>
  <c r="M862" i="4"/>
  <c r="AP360" i="3"/>
  <c r="AQ360" i="3" s="1"/>
  <c r="I864" i="4" l="1"/>
  <c r="J864" i="4" s="1"/>
  <c r="M863" i="4"/>
  <c r="I397" i="4"/>
  <c r="J397" i="4" s="1"/>
  <c r="M396" i="4"/>
  <c r="M397" i="4" l="1"/>
  <c r="I398" i="4"/>
  <c r="J398" i="4" s="1"/>
  <c r="AP171" i="3"/>
  <c r="AQ171" i="3" s="1"/>
  <c r="I865" i="4"/>
  <c r="J865" i="4" s="1"/>
  <c r="M864" i="4"/>
  <c r="M865" i="4" l="1"/>
  <c r="I866" i="4"/>
  <c r="J866" i="4" s="1"/>
  <c r="AP361" i="3"/>
  <c r="AQ361" i="3" s="1"/>
  <c r="I399" i="4"/>
  <c r="J399" i="4" s="1"/>
  <c r="M398" i="4"/>
  <c r="M399" i="4" l="1"/>
  <c r="I400" i="4"/>
  <c r="J400" i="4" s="1"/>
  <c r="I867" i="4"/>
  <c r="J867" i="4" s="1"/>
  <c r="M866" i="4"/>
  <c r="I401" i="4" l="1"/>
  <c r="J401" i="4" s="1"/>
  <c r="M400" i="4"/>
  <c r="AP172" i="3"/>
  <c r="AQ172" i="3" s="1"/>
  <c r="M867" i="4"/>
  <c r="I868" i="4"/>
  <c r="J868" i="4" s="1"/>
  <c r="AP362" i="3"/>
  <c r="AQ362" i="3" s="1"/>
  <c r="M868" i="4" l="1"/>
  <c r="I869" i="4"/>
  <c r="J869" i="4" s="1"/>
  <c r="M401" i="4"/>
  <c r="I402" i="4"/>
  <c r="J402" i="4" s="1"/>
  <c r="I870" i="4" l="1"/>
  <c r="J870" i="4" s="1"/>
  <c r="M869" i="4"/>
  <c r="AP363" i="3"/>
  <c r="AQ363" i="3" s="1"/>
  <c r="I403" i="4"/>
  <c r="J403" i="4" s="1"/>
  <c r="M402" i="4"/>
  <c r="M403" i="4" l="1"/>
  <c r="I404" i="4"/>
  <c r="J404" i="4" s="1"/>
  <c r="AP173" i="3"/>
  <c r="AQ173" i="3" s="1"/>
  <c r="M870" i="4"/>
  <c r="I871" i="4"/>
  <c r="J871" i="4" s="1"/>
  <c r="I872" i="4" l="1"/>
  <c r="J872" i="4" s="1"/>
  <c r="M871" i="4"/>
  <c r="AP364" i="3"/>
  <c r="AQ364" i="3" s="1"/>
  <c r="I405" i="4"/>
  <c r="J405" i="4" s="1"/>
  <c r="M404" i="4"/>
  <c r="I406" i="4" l="1"/>
  <c r="J406" i="4" s="1"/>
  <c r="M405" i="4"/>
  <c r="I873" i="4"/>
  <c r="J873" i="4" s="1"/>
  <c r="M872" i="4"/>
  <c r="AP365" i="3"/>
  <c r="AQ365" i="3" s="1"/>
  <c r="I874" i="4" l="1"/>
  <c r="J874" i="4" s="1"/>
  <c r="M873" i="4"/>
  <c r="AP366" i="3"/>
  <c r="AQ366" i="3" s="1"/>
  <c r="I407" i="4"/>
  <c r="J407" i="4" s="1"/>
  <c r="M406" i="4"/>
  <c r="AP174" i="3"/>
  <c r="AQ174" i="3" s="1"/>
  <c r="I408" i="4" l="1"/>
  <c r="J408" i="4" s="1"/>
  <c r="M407" i="4"/>
  <c r="M874" i="4"/>
  <c r="I875" i="4"/>
  <c r="J875" i="4" s="1"/>
  <c r="AP367" i="3"/>
  <c r="AQ367" i="3" s="1"/>
  <c r="M875" i="4" l="1"/>
  <c r="I876" i="4"/>
  <c r="J876" i="4" s="1"/>
  <c r="AP368" i="3"/>
  <c r="AQ368" i="3" s="1"/>
  <c r="M408" i="4"/>
  <c r="I409" i="4"/>
  <c r="J409" i="4" s="1"/>
  <c r="AP175" i="3"/>
  <c r="AQ175" i="3" s="1"/>
  <c r="M876" i="4" l="1"/>
  <c r="I877" i="4"/>
  <c r="J877" i="4" s="1"/>
  <c r="M409" i="4"/>
  <c r="I410" i="4"/>
  <c r="J410" i="4" s="1"/>
  <c r="M410" i="4" l="1"/>
  <c r="I411" i="4"/>
  <c r="J411" i="4" s="1"/>
  <c r="I878" i="4"/>
  <c r="J878" i="4" s="1"/>
  <c r="M877" i="4"/>
  <c r="AP369" i="3"/>
  <c r="AQ369" i="3" s="1"/>
  <c r="I879" i="4" l="1"/>
  <c r="J879" i="4" s="1"/>
  <c r="M878" i="4"/>
  <c r="I412" i="4"/>
  <c r="J412" i="4" s="1"/>
  <c r="M411" i="4"/>
  <c r="AP176" i="3"/>
  <c r="AQ176" i="3" s="1"/>
  <c r="I413" i="4" l="1"/>
  <c r="J413" i="4" s="1"/>
  <c r="M412" i="4"/>
  <c r="M879" i="4"/>
  <c r="I880" i="4"/>
  <c r="J880" i="4" s="1"/>
  <c r="I881" i="4" l="1"/>
  <c r="J881" i="4" s="1"/>
  <c r="M880" i="4"/>
  <c r="AP370" i="3"/>
  <c r="AQ370" i="3" s="1"/>
  <c r="I414" i="4"/>
  <c r="J414" i="4" s="1"/>
  <c r="M413" i="4"/>
  <c r="M414" i="4" l="1"/>
  <c r="I415" i="4"/>
  <c r="J415" i="4" s="1"/>
  <c r="AP177" i="3"/>
  <c r="AQ177" i="3" s="1"/>
  <c r="M881" i="4"/>
  <c r="I882" i="4"/>
  <c r="J882" i="4" s="1"/>
  <c r="I883" i="4" l="1"/>
  <c r="J883" i="4" s="1"/>
  <c r="M882" i="4"/>
  <c r="I416" i="4"/>
  <c r="J416" i="4" s="1"/>
  <c r="M415" i="4"/>
  <c r="I417" i="4" l="1"/>
  <c r="J417" i="4" s="1"/>
  <c r="M416" i="4"/>
  <c r="M883" i="4"/>
  <c r="I884" i="4"/>
  <c r="J884" i="4" s="1"/>
  <c r="AP371" i="3"/>
  <c r="AQ371" i="3" s="1"/>
  <c r="I885" i="4" l="1"/>
  <c r="J885" i="4" s="1"/>
  <c r="M884" i="4"/>
  <c r="I418" i="4"/>
  <c r="J418" i="4" s="1"/>
  <c r="M417" i="4"/>
  <c r="AP178" i="3"/>
  <c r="AQ178" i="3" s="1"/>
  <c r="I419" i="4" l="1"/>
  <c r="J419" i="4" s="1"/>
  <c r="M418" i="4"/>
  <c r="I886" i="4"/>
  <c r="J886" i="4" s="1"/>
  <c r="M885" i="4"/>
  <c r="AP372" i="3"/>
  <c r="AQ372" i="3" s="1"/>
  <c r="M886" i="4" l="1"/>
  <c r="I887" i="4"/>
  <c r="J887" i="4" s="1"/>
  <c r="M419" i="4"/>
  <c r="I420" i="4"/>
  <c r="J420" i="4" s="1"/>
  <c r="AP179" i="3"/>
  <c r="AQ179" i="3" s="1"/>
  <c r="M420" i="4" l="1"/>
  <c r="I421" i="4"/>
  <c r="J421" i="4" s="1"/>
  <c r="M887" i="4"/>
  <c r="I888" i="4"/>
  <c r="J888" i="4" s="1"/>
  <c r="I889" i="4" l="1"/>
  <c r="J889" i="4" s="1"/>
  <c r="M888" i="4"/>
  <c r="AP373" i="3"/>
  <c r="AQ373" i="3" s="1"/>
  <c r="M421" i="4"/>
  <c r="I422" i="4"/>
  <c r="J422" i="4" s="1"/>
  <c r="AP180" i="3"/>
  <c r="AQ180" i="3" s="1"/>
  <c r="I423" i="4" l="1"/>
  <c r="J423" i="4" s="1"/>
  <c r="M422" i="4"/>
  <c r="M889" i="4"/>
  <c r="I890" i="4"/>
  <c r="J890" i="4" s="1"/>
  <c r="M890" i="4" l="1"/>
  <c r="I891" i="4"/>
  <c r="J891" i="4" s="1"/>
  <c r="AP374" i="3"/>
  <c r="AQ374" i="3" s="1"/>
  <c r="I424" i="4"/>
  <c r="J424" i="4" s="1"/>
  <c r="M423" i="4"/>
  <c r="I425" i="4" l="1"/>
  <c r="J425" i="4" s="1"/>
  <c r="M424" i="4"/>
  <c r="AP181" i="3"/>
  <c r="AQ181" i="3" s="1"/>
  <c r="I892" i="4"/>
  <c r="J892" i="4" s="1"/>
  <c r="M891" i="4"/>
  <c r="I893" i="4" l="1"/>
  <c r="J893" i="4" s="1"/>
  <c r="M892" i="4"/>
  <c r="AP375" i="3"/>
  <c r="AQ375" i="3" s="1"/>
  <c r="M425" i="4"/>
  <c r="I426" i="4"/>
  <c r="J426" i="4" s="1"/>
  <c r="I427" i="4" l="1"/>
  <c r="J427" i="4" s="1"/>
  <c r="M426" i="4"/>
  <c r="I894" i="4"/>
  <c r="J894" i="4" s="1"/>
  <c r="M893" i="4"/>
  <c r="I895" i="4" l="1"/>
  <c r="J895" i="4" s="1"/>
  <c r="M894" i="4"/>
  <c r="AP376" i="3"/>
  <c r="AQ376" i="3" s="1"/>
  <c r="I428" i="4"/>
  <c r="J428" i="4" s="1"/>
  <c r="M427" i="4"/>
  <c r="AP182" i="3"/>
  <c r="AQ182" i="3" s="1"/>
  <c r="I429" i="4" l="1"/>
  <c r="J429" i="4" s="1"/>
  <c r="M428" i="4"/>
  <c r="I896" i="4"/>
  <c r="J896" i="4" s="1"/>
  <c r="M895" i="4"/>
  <c r="I897" i="4" l="1"/>
  <c r="J897" i="4" s="1"/>
  <c r="M896" i="4"/>
  <c r="AP377" i="3"/>
  <c r="AQ377" i="3" s="1"/>
  <c r="I430" i="4"/>
  <c r="J430" i="4" s="1"/>
  <c r="M429" i="4"/>
  <c r="AP183" i="3"/>
  <c r="AQ183" i="3" s="1"/>
  <c r="M430" i="4" l="1"/>
  <c r="I431" i="4"/>
  <c r="J431" i="4" s="1"/>
  <c r="M897" i="4"/>
  <c r="I898" i="4"/>
  <c r="J898" i="4" s="1"/>
  <c r="M898" i="4" l="1"/>
  <c r="I899" i="4"/>
  <c r="J899" i="4" s="1"/>
  <c r="AP378" i="3"/>
  <c r="AQ378" i="3" s="1"/>
  <c r="I432" i="4"/>
  <c r="J432" i="4" s="1"/>
  <c r="M431" i="4"/>
  <c r="AP184" i="3"/>
  <c r="AQ184" i="3" s="1"/>
  <c r="M432" i="4" l="1"/>
  <c r="I433" i="4"/>
  <c r="J433" i="4" s="1"/>
  <c r="M899" i="4"/>
  <c r="I900" i="4"/>
  <c r="J900" i="4" s="1"/>
  <c r="I901" i="4" l="1"/>
  <c r="J901" i="4" s="1"/>
  <c r="M900" i="4"/>
  <c r="AP379" i="3"/>
  <c r="AQ379" i="3" s="1"/>
  <c r="I434" i="4"/>
  <c r="J434" i="4" s="1"/>
  <c r="M433" i="4"/>
  <c r="I435" i="4" l="1"/>
  <c r="J435" i="4" s="1"/>
  <c r="M434" i="4"/>
  <c r="AP185" i="3"/>
  <c r="AQ185" i="3" s="1"/>
  <c r="M901" i="4"/>
  <c r="I902" i="4"/>
  <c r="J902" i="4" s="1"/>
  <c r="M902" i="4" l="1"/>
  <c r="I903" i="4"/>
  <c r="J903" i="4" s="1"/>
  <c r="I436" i="4"/>
  <c r="J436" i="4" s="1"/>
  <c r="M435" i="4"/>
  <c r="I904" i="4" l="1"/>
  <c r="J904" i="4" s="1"/>
  <c r="M903" i="4"/>
  <c r="AP380" i="3"/>
  <c r="AQ380" i="3" s="1"/>
  <c r="M436" i="4"/>
  <c r="I437" i="4"/>
  <c r="J437" i="4" s="1"/>
  <c r="I438" i="4" l="1"/>
  <c r="J438" i="4" s="1"/>
  <c r="M437" i="4"/>
  <c r="AP186" i="3"/>
  <c r="AQ186" i="3" s="1"/>
  <c r="M904" i="4"/>
  <c r="I905" i="4"/>
  <c r="J905" i="4" s="1"/>
  <c r="M905" i="4" l="1"/>
  <c r="I906" i="4"/>
  <c r="J906" i="4" s="1"/>
  <c r="I439" i="4"/>
  <c r="J439" i="4" s="1"/>
  <c r="M438" i="4"/>
  <c r="M439" i="4" l="1"/>
  <c r="I440" i="4"/>
  <c r="J440" i="4" s="1"/>
  <c r="I907" i="4"/>
  <c r="J907" i="4" s="1"/>
  <c r="M906" i="4"/>
  <c r="AP381" i="3"/>
  <c r="AQ381" i="3" s="1"/>
  <c r="I908" i="4" l="1"/>
  <c r="J908" i="4" s="1"/>
  <c r="M907" i="4"/>
  <c r="M440" i="4"/>
  <c r="I441" i="4"/>
  <c r="J441" i="4" s="1"/>
  <c r="AP187" i="3"/>
  <c r="AQ187" i="3" s="1"/>
  <c r="I442" i="4" l="1"/>
  <c r="J442" i="4" s="1"/>
  <c r="M441" i="4"/>
  <c r="M908" i="4"/>
  <c r="I909" i="4"/>
  <c r="J909" i="4" s="1"/>
  <c r="AP382" i="3"/>
  <c r="AQ382" i="3" s="1"/>
  <c r="M909" i="4" l="1"/>
  <c r="I910" i="4"/>
  <c r="J910" i="4" s="1"/>
  <c r="I443" i="4"/>
  <c r="J443" i="4" s="1"/>
  <c r="M442" i="4"/>
  <c r="I444" i="4" l="1"/>
  <c r="J444" i="4" s="1"/>
  <c r="M443" i="4"/>
  <c r="AP188" i="3"/>
  <c r="AQ188" i="3" s="1"/>
  <c r="I911" i="4"/>
  <c r="J911" i="4" s="1"/>
  <c r="M910" i="4"/>
  <c r="AP383" i="3"/>
  <c r="AQ383" i="3" s="1"/>
  <c r="I912" i="4" l="1"/>
  <c r="J912" i="4" s="1"/>
  <c r="M911" i="4"/>
  <c r="M444" i="4"/>
  <c r="I445" i="4"/>
  <c r="J445" i="4" s="1"/>
  <c r="I446" i="4" l="1"/>
  <c r="J446" i="4" s="1"/>
  <c r="M445" i="4"/>
  <c r="AP189" i="3"/>
  <c r="AQ189" i="3" s="1"/>
  <c r="I913" i="4"/>
  <c r="J913" i="4" s="1"/>
  <c r="M912" i="4"/>
  <c r="AP384" i="3"/>
  <c r="AQ384" i="3" s="1"/>
  <c r="M913" i="4" l="1"/>
  <c r="I914" i="4"/>
  <c r="J914" i="4" s="1"/>
  <c r="M446" i="4"/>
  <c r="I447" i="4"/>
  <c r="J447" i="4" s="1"/>
  <c r="I448" i="4" l="1"/>
  <c r="J448" i="4" s="1"/>
  <c r="M447" i="4"/>
  <c r="AP190" i="3"/>
  <c r="AQ190" i="3" s="1"/>
  <c r="M914" i="4"/>
  <c r="I915" i="4"/>
  <c r="J915" i="4" s="1"/>
  <c r="AP385" i="3"/>
  <c r="AQ385" i="3" s="1"/>
  <c r="I916" i="4" l="1"/>
  <c r="J916" i="4" s="1"/>
  <c r="M915" i="4"/>
  <c r="I449" i="4"/>
  <c r="J449" i="4" s="1"/>
  <c r="M448" i="4"/>
  <c r="I450" i="4" l="1"/>
  <c r="J450" i="4" s="1"/>
  <c r="M449" i="4"/>
  <c r="M916" i="4"/>
  <c r="I917" i="4"/>
  <c r="J917" i="4" s="1"/>
  <c r="AP386" i="3"/>
  <c r="AQ386" i="3" s="1"/>
  <c r="I918" i="4" l="1"/>
  <c r="J918" i="4" s="1"/>
  <c r="M917" i="4"/>
  <c r="I451" i="4"/>
  <c r="J451" i="4" s="1"/>
  <c r="M450" i="4"/>
  <c r="AP191" i="3"/>
  <c r="AQ191" i="3" s="1"/>
  <c r="M451" i="4" l="1"/>
  <c r="I452" i="4"/>
  <c r="J452" i="4" s="1"/>
  <c r="I919" i="4"/>
  <c r="J919" i="4" s="1"/>
  <c r="M918" i="4"/>
  <c r="AP387" i="3"/>
  <c r="AQ387" i="3" s="1"/>
  <c r="I920" i="4" l="1"/>
  <c r="J920" i="4" s="1"/>
  <c r="M919" i="4"/>
  <c r="M452" i="4"/>
  <c r="I453" i="4"/>
  <c r="J453" i="4" s="1"/>
  <c r="I454" i="4" l="1"/>
  <c r="J454" i="4" s="1"/>
  <c r="M453" i="4"/>
  <c r="AP192" i="3"/>
  <c r="AQ192" i="3" s="1"/>
  <c r="M920" i="4"/>
  <c r="I921" i="4"/>
  <c r="J921" i="4" s="1"/>
  <c r="AP388" i="3"/>
  <c r="AQ388" i="3" s="1"/>
  <c r="I922" i="4" l="1"/>
  <c r="J922" i="4" s="1"/>
  <c r="M921" i="4"/>
  <c r="I455" i="4"/>
  <c r="J455" i="4" s="1"/>
  <c r="M454" i="4"/>
  <c r="I456" i="4" l="1"/>
  <c r="J456" i="4" s="1"/>
  <c r="M455" i="4"/>
  <c r="I923" i="4"/>
  <c r="J923" i="4" s="1"/>
  <c r="M922" i="4"/>
  <c r="AP389" i="3"/>
  <c r="AQ389" i="3" s="1"/>
  <c r="I924" i="4" l="1"/>
  <c r="J924" i="4" s="1"/>
  <c r="M923" i="4"/>
  <c r="M456" i="4"/>
  <c r="I457" i="4"/>
  <c r="J457" i="4" s="1"/>
  <c r="AP193" i="3"/>
  <c r="AQ193" i="3" s="1"/>
  <c r="I458" i="4" l="1"/>
  <c r="J458" i="4" s="1"/>
  <c r="M457" i="4"/>
  <c r="I925" i="4"/>
  <c r="J925" i="4" s="1"/>
  <c r="M924" i="4"/>
  <c r="AP390" i="3"/>
  <c r="AQ390" i="3" s="1"/>
  <c r="I926" i="4" l="1"/>
  <c r="J926" i="4" s="1"/>
  <c r="M925" i="4"/>
  <c r="M458" i="4"/>
  <c r="I459" i="4"/>
  <c r="J459" i="4" s="1"/>
  <c r="I460" i="4" l="1"/>
  <c r="J460" i="4" s="1"/>
  <c r="M459" i="4"/>
  <c r="AP194" i="3"/>
  <c r="AQ194" i="3" s="1"/>
  <c r="I927" i="4"/>
  <c r="J927" i="4" s="1"/>
  <c r="M926" i="4"/>
  <c r="AP391" i="3"/>
  <c r="AQ391" i="3" s="1"/>
  <c r="I928" i="4" l="1"/>
  <c r="J928" i="4" s="1"/>
  <c r="M927" i="4"/>
  <c r="I461" i="4"/>
  <c r="J461" i="4" s="1"/>
  <c r="M460" i="4"/>
  <c r="M461" i="4" l="1"/>
  <c r="I462" i="4"/>
  <c r="J462" i="4" s="1"/>
  <c r="I929" i="4"/>
  <c r="J929" i="4" s="1"/>
  <c r="M928" i="4"/>
  <c r="M929" i="4" l="1"/>
  <c r="AP392" i="3"/>
  <c r="AQ392" i="3" s="1"/>
  <c r="M462" i="4"/>
  <c r="I463" i="4"/>
  <c r="J463" i="4" s="1"/>
  <c r="AP195" i="3"/>
  <c r="AQ195" i="3" s="1"/>
  <c r="M463" i="4" l="1"/>
  <c r="I464" i="4"/>
  <c r="J464" i="4" s="1"/>
  <c r="I465" i="4" l="1"/>
  <c r="J465" i="4" s="1"/>
  <c r="M464" i="4"/>
  <c r="I466" i="4" l="1"/>
  <c r="J466" i="4" s="1"/>
  <c r="M465" i="4"/>
  <c r="AP196" i="3"/>
  <c r="AQ196" i="3" s="1"/>
  <c r="I467" i="4" l="1"/>
  <c r="J467" i="4" s="1"/>
  <c r="M466" i="4"/>
  <c r="I468" i="4" l="1"/>
  <c r="J468" i="4" s="1"/>
  <c r="M467" i="4"/>
  <c r="M468" i="4" l="1"/>
  <c r="I469" i="4"/>
  <c r="J469" i="4" s="1"/>
  <c r="AP197" i="3"/>
  <c r="AQ197" i="3" s="1"/>
  <c r="I470" i="4" l="1"/>
  <c r="J470" i="4" s="1"/>
  <c r="M469" i="4"/>
  <c r="I471" i="4" l="1"/>
  <c r="J471" i="4" s="1"/>
  <c r="M470" i="4"/>
  <c r="AP198" i="3"/>
  <c r="AQ198" i="3" s="1"/>
  <c r="I472" i="4" l="1"/>
  <c r="J472" i="4" s="1"/>
  <c r="M471" i="4"/>
  <c r="I473" i="4" l="1"/>
  <c r="J473" i="4" s="1"/>
  <c r="M472" i="4"/>
  <c r="AP199" i="3"/>
  <c r="AQ199" i="3" s="1"/>
  <c r="M473" i="4" l="1"/>
  <c r="I474" i="4"/>
  <c r="J474" i="4" s="1"/>
  <c r="I475" i="4" l="1"/>
  <c r="J475" i="4" s="1"/>
  <c r="M474" i="4"/>
  <c r="M475" i="4" l="1"/>
  <c r="AP200" i="3"/>
  <c r="AQ200" i="3" s="1"/>
</calcChain>
</file>

<file path=xl/sharedStrings.xml><?xml version="1.0" encoding="utf-8"?>
<sst xmlns="http://schemas.openxmlformats.org/spreadsheetml/2006/main" count="13857" uniqueCount="1351">
  <si>
    <t>2026-08-01 MILP审计</t>
  </si>
  <si>
    <t>100MW/200MWh，月度份额版。订单由7月31日冻结，8月1日正式执行。</t>
  </si>
  <si>
    <t>A列为15分钟，B—H价格，I—P状态与选择，Q—W现金，BE—BK为带取值的计算过程。</t>
  </si>
  <si>
    <t>时间
Bucharest</t>
  </si>
  <si>
    <t>DA价格
EUR/MWh</t>
  </si>
  <si>
    <t>FCR容量价
EUR/(MW·h)</t>
  </si>
  <si>
    <t>aFRR上容量价
EUR/(MW·h)</t>
  </si>
  <si>
    <t>aFRR下容量价
EUR/(MW·h)</t>
  </si>
  <si>
    <t>aFRR上激活价
EUR/MWh</t>
  </si>
  <si>
    <t>aFRR下激活价
EUR/MWh</t>
  </si>
  <si>
    <t>FCR激活
未纳入模型</t>
  </si>
  <si>
    <t>起SOC
MWh</t>
  </si>
  <si>
    <t>末SOC
MWh</t>
  </si>
  <si>
    <t>DA净申报
MW</t>
  </si>
  <si>
    <t>FCR中标预留
MW</t>
  </si>
  <si>
    <t>aFRR上中标
MW</t>
  </si>
  <si>
    <t>aFRR下中标
MW</t>
  </si>
  <si>
    <t>上调激活
MWh</t>
  </si>
  <si>
    <t>下调激活
MWh</t>
  </si>
  <si>
    <t>DA现金
EUR</t>
  </si>
  <si>
    <t>FCR容量现金
EUR</t>
  </si>
  <si>
    <t>aFRR上容量现金
EUR</t>
  </si>
  <si>
    <t>aFRR下容量现金
EUR</t>
  </si>
  <si>
    <t>aFRR上激活现金
EUR</t>
  </si>
  <si>
    <t>aFRR下激活现金
EUR</t>
  </si>
  <si>
    <t>总现金
EUR</t>
  </si>
  <si>
    <t>原账本总现金
EUR</t>
  </si>
  <si>
    <t>现金差异
EUR</t>
  </si>
  <si>
    <t>执行或计划</t>
  </si>
  <si>
    <t>aFRR小时有效
1/0</t>
  </si>
  <si>
    <t>FCR小时有效
1/0</t>
  </si>
  <si>
    <t>时长h</t>
  </si>
  <si>
    <t>FCR月份额</t>
  </si>
  <si>
    <t>aFRR月份额</t>
  </si>
  <si>
    <t>有效α上</t>
  </si>
  <si>
    <t>有效α下</t>
  </si>
  <si>
    <t>系统上采购
MW</t>
  </si>
  <si>
    <t>系统下采购
MW</t>
  </si>
  <si>
    <t>系统上激活
MWh</t>
  </si>
  <si>
    <t>系统下激活
MWh</t>
  </si>
  <si>
    <t>系统FCR采购
MW</t>
  </si>
  <si>
    <t>EFC复算</t>
  </si>
  <si>
    <t>AC充电
MWh</t>
  </si>
  <si>
    <t>AC放电
MWh</t>
  </si>
  <si>
    <t>相位复算末SOC
MWh</t>
  </si>
  <si>
    <t>SOC差异
MWh</t>
  </si>
  <si>
    <t>汇率
RON/EUR</t>
  </si>
  <si>
    <t>汇率来源日</t>
  </si>
  <si>
    <t>UTC起点</t>
  </si>
  <si>
    <t>DA原生订单ID</t>
  </si>
  <si>
    <t>DA原生分钟</t>
  </si>
  <si>
    <t>aFRR门禁原因</t>
  </si>
  <si>
    <t>FCR需求
MW</t>
  </si>
  <si>
    <t>aFRR上需求
MW</t>
  </si>
  <si>
    <t>aFRR下需求
MW</t>
  </si>
  <si>
    <t>FCR最终容量上限
MW</t>
  </si>
  <si>
    <t>aFRR上最终上限
MW</t>
  </si>
  <si>
    <t>aFRR下最终上限
MW</t>
  </si>
  <si>
    <t>求解窗口起日</t>
  </si>
  <si>
    <t>DA现金计算过程</t>
  </si>
  <si>
    <t>FCR容量现金计算过程</t>
  </si>
  <si>
    <t>aFRR上容量现金计算过程</t>
  </si>
  <si>
    <t>aFRR下容量现金计算过程</t>
  </si>
  <si>
    <t>aFRR上激活现金计算过程</t>
  </si>
  <si>
    <t>aFRR下激活现金计算过程</t>
  </si>
  <si>
    <t>总现金计算过程</t>
  </si>
  <si>
    <t>当日现金及电量合计</t>
  </si>
  <si>
    <t>承接前日末SOC MWh</t>
  </si>
  <si>
    <t>当日期末SOC MWh</t>
  </si>
  <si>
    <t>两天正式现金合计 EUR</t>
  </si>
  <si>
    <t>容量现金=中标预留MW×价格×时长；月份额只限制MW，不再次乘现金。</t>
  </si>
  <si>
    <t>FCR对称容量只计一次；激活电量已为MWh，不再乘0.25小时。</t>
  </si>
  <si>
    <t>逐行现金公式在Q—W，含取值的过程在BE—BK；显示精度不改变底层数值。</t>
  </si>
  <si>
    <t>2026-08-02 MILP审计</t>
  </si>
  <si>
    <t>100MW/200MWh，月度份额版。订单由8月1日冻结，8月2日正式执行。</t>
  </si>
  <si>
    <t>两次MILP求解的价格、决策与现金</t>
  </si>
  <si>
    <t>首192行：8月1日求解，8月1日执行及8月2日冻结计划；后192行：8月2日求解及8月3日计划。</t>
  </si>
  <si>
    <t>六类现金在本表通过Excel公式计算，日审计表链接执行部分。8月3日不计入两天现金。</t>
  </si>
  <si>
    <t>两次规划的相位SOC与循环复算</t>
  </si>
  <si>
    <t>每个窗口独立承接其前日末SOC。上调、下调、无激活相位来自冻结订单的确定性轨迹。</t>
  </si>
  <si>
    <t>净功率、充放电、SOC及EFC均用Excel公式复算。相位细分时间为模型展开时刻。</t>
  </si>
  <si>
    <t>相位起点
Bucharest</t>
  </si>
  <si>
    <t>相位终点
Bucharest</t>
  </si>
  <si>
    <t>所属15分钟起点</t>
  </si>
  <si>
    <t>相位 d/u/0</t>
  </si>
  <si>
    <t>相位时长h</t>
  </si>
  <si>
    <t>净功率MW</t>
  </si>
  <si>
    <t>充电MW</t>
  </si>
  <si>
    <t>放电MW</t>
  </si>
  <si>
    <t>复算起SOC MWh</t>
  </si>
  <si>
    <t>复算末SOC MWh</t>
  </si>
  <si>
    <t>原记录起SOC</t>
  </si>
  <si>
    <t>原记录末SOC</t>
  </si>
  <si>
    <t>SOC差异MWh</t>
  </si>
  <si>
    <t>复算EFC</t>
  </si>
  <si>
    <t>原记录EFC</t>
  </si>
  <si>
    <t>EFC差异</t>
  </si>
  <si>
    <t>AC充电MWh</t>
  </si>
  <si>
    <t>AC放电MWh</t>
  </si>
  <si>
    <t>规划QH序号</t>
  </si>
  <si>
    <t>窗口起日</t>
  </si>
  <si>
    <t>u</t>
  </si>
  <si>
    <t>0</t>
  </si>
  <si>
    <t>d</t>
  </si>
  <si>
    <t>NO_AFRR_OBLIGATION</t>
  </si>
  <si>
    <t>求解窗口、订单来源与容量上限</t>
  </si>
  <si>
    <t>订单变量为模型选择的中标预留量，不是完整报价曲线。时刻为研究时表，不声称已核定实际招标时间。</t>
  </si>
  <si>
    <t>8月1日订单承接7月31日冻结，8月2日订单由8月1日冻结。残值仅用于规划目标。</t>
  </si>
  <si>
    <t>事务序号</t>
  </si>
  <si>
    <t>起SOC MWh</t>
  </si>
  <si>
    <t>当日期末SOC</t>
  </si>
  <si>
    <t>两日期末SOC</t>
  </si>
  <si>
    <t>两日计划现金EUR</t>
  </si>
  <si>
    <t>窗口残值EUR</t>
  </si>
  <si>
    <t>目标复算EUR</t>
  </si>
  <si>
    <t>原目标EUR</t>
  </si>
  <si>
    <t>目标差异EUR</t>
  </si>
  <si>
    <t>变量数</t>
  </si>
  <si>
    <t>整数数</t>
  </si>
  <si>
    <t>二元数</t>
  </si>
  <si>
    <t>约束数</t>
  </si>
  <si>
    <t>Gap</t>
  </si>
  <si>
    <t>状态</t>
  </si>
  <si>
    <t>PASS</t>
  </si>
  <si>
    <t>产品</t>
  </si>
  <si>
    <t>交付起点
Bucharest</t>
  </si>
  <si>
    <t>交付终点
Bucharest</t>
  </si>
  <si>
    <t>订单来源</t>
  </si>
  <si>
    <t>中标预留MW</t>
  </si>
  <si>
    <t>最终上限MW</t>
  </si>
  <si>
    <t>月份额</t>
  </si>
  <si>
    <t>系统需求MW</t>
  </si>
  <si>
    <t>份额形成上限MW</t>
  </si>
  <si>
    <t>关闸
Bucharest</t>
  </si>
  <si>
    <t>结果时刻
Bucharest</t>
  </si>
  <si>
    <t>门禁原因</t>
  </si>
  <si>
    <t>份额来源状态</t>
  </si>
  <si>
    <t>参考月份</t>
  </si>
  <si>
    <t>订单ID</t>
  </si>
  <si>
    <t>原承诺状态</t>
  </si>
  <si>
    <t>交付起点UTC</t>
  </si>
  <si>
    <t>FCR单元分配MW</t>
  </si>
  <si>
    <t>事务SHA256</t>
  </si>
  <si>
    <t>DA</t>
  </si>
  <si>
    <t>前窗已冻结</t>
  </si>
  <si>
    <t>VALID</t>
  </si>
  <si>
    <t>DA|2026-07-31_93</t>
  </si>
  <si>
    <t>NEW</t>
  </si>
  <si>
    <t>10b325e0140f46889e96a19ebb3faf17875960cdcb01af867bba8c23ff3ddf32</t>
  </si>
  <si>
    <t>F</t>
  </si>
  <si>
    <t>calibrated_PETROM_full_month_P90</t>
  </si>
  <si>
    <t>2026-08</t>
  </si>
  <si>
    <t>F|2026-07-31T21:00:00Z</t>
  </si>
  <si>
    <t>20, 20, 0, 0, 0</t>
  </si>
  <si>
    <t>calibrated_directional_minimum_full_month</t>
  </si>
  <si>
    <t>d|2026-07-31T21:00:00Z</t>
  </si>
  <si>
    <t>u|2026-07-31T21:00:00Z</t>
  </si>
  <si>
    <t>DA|2026-07-31_94</t>
  </si>
  <si>
    <t>DA|2026-07-31_95</t>
  </si>
  <si>
    <t>DA|2026-07-31_96</t>
  </si>
  <si>
    <t>DA|2026-08-01_1</t>
  </si>
  <si>
    <t>F|2026-07-31T22:00:00Z</t>
  </si>
  <si>
    <t>d|2026-07-31T22:00:00Z</t>
  </si>
  <si>
    <t>u|2026-07-31T22:00:00Z</t>
  </si>
  <si>
    <t>DA|2026-08-01_2</t>
  </si>
  <si>
    <t>DA|2026-08-01_3</t>
  </si>
  <si>
    <t>DA|2026-08-01_4</t>
  </si>
  <si>
    <t>DA|2026-08-01_5</t>
  </si>
  <si>
    <t>F|2026-07-31T23:00:00Z</t>
  </si>
  <si>
    <t>d|2026-07-31T23:00:00Z</t>
  </si>
  <si>
    <t>u|2026-07-31T23:00:00Z</t>
  </si>
  <si>
    <t>DA|2026-08-01_6</t>
  </si>
  <si>
    <t>DA|2026-08-01_7</t>
  </si>
  <si>
    <t>DA|2026-08-01_8</t>
  </si>
  <si>
    <t>DA|2026-08-01_9</t>
  </si>
  <si>
    <t>F|2026-08-01T00:00:00Z</t>
  </si>
  <si>
    <t>d|2026-08-01T00:00:00Z</t>
  </si>
  <si>
    <t>u|2026-08-01T00:00:00Z</t>
  </si>
  <si>
    <t>DA|2026-08-01_10</t>
  </si>
  <si>
    <t>DA|2026-08-01_11</t>
  </si>
  <si>
    <t>DA|2026-08-01_12</t>
  </si>
  <si>
    <t>DA|2026-08-01_13</t>
  </si>
  <si>
    <t>F|2026-08-01T01:00:00Z</t>
  </si>
  <si>
    <t>d|2026-08-01T01:00:00Z</t>
  </si>
  <si>
    <t>u|2026-08-01T01:00:00Z</t>
  </si>
  <si>
    <t>DA|2026-08-01_14</t>
  </si>
  <si>
    <t>DA|2026-08-01_15</t>
  </si>
  <si>
    <t>DA|2026-08-01_16</t>
  </si>
  <si>
    <t>DA|2026-08-01_17</t>
  </si>
  <si>
    <t>F|2026-08-01T02:00:00Z</t>
  </si>
  <si>
    <t>d|2026-08-01T02:00:00Z</t>
  </si>
  <si>
    <t>u|2026-08-01T02:00:00Z</t>
  </si>
  <si>
    <t>DA|2026-08-01_18</t>
  </si>
  <si>
    <t>DA|2026-08-01_19</t>
  </si>
  <si>
    <t>DA|2026-08-01_20</t>
  </si>
  <si>
    <t>DA|2026-08-01_21</t>
  </si>
  <si>
    <t>F|2026-08-01T03:00:00Z</t>
  </si>
  <si>
    <t>d|2026-08-01T03:00:00Z</t>
  </si>
  <si>
    <t>u|2026-08-01T03:00:00Z</t>
  </si>
  <si>
    <t>DA|2026-08-01_22</t>
  </si>
  <si>
    <t>DA|2026-08-01_23</t>
  </si>
  <si>
    <t>DA|2026-08-01_24</t>
  </si>
  <si>
    <t>DA|2026-08-01_25</t>
  </si>
  <si>
    <t>F|2026-08-01T04:00:00Z</t>
  </si>
  <si>
    <t>d|2026-08-01T04:00:00Z</t>
  </si>
  <si>
    <t>u|2026-08-01T04:00:00Z</t>
  </si>
  <si>
    <t>DA|2026-08-01_26</t>
  </si>
  <si>
    <t>DA|2026-08-01_27</t>
  </si>
  <si>
    <t>DA|2026-08-01_28</t>
  </si>
  <si>
    <t>DA|2026-08-01_29</t>
  </si>
  <si>
    <t>F|2026-08-01T05:00:00Z</t>
  </si>
  <si>
    <t>d|2026-08-01T05:00:00Z</t>
  </si>
  <si>
    <t>u|2026-08-01T05:00:00Z</t>
  </si>
  <si>
    <t>DA|2026-08-01_30</t>
  </si>
  <si>
    <t>DA|2026-08-01_31</t>
  </si>
  <si>
    <t>DA|2026-08-01_32</t>
  </si>
  <si>
    <t>DA|2026-08-01_33</t>
  </si>
  <si>
    <t>F|2026-08-01T06:00:00Z</t>
  </si>
  <si>
    <t>d|2026-08-01T06:00:00Z</t>
  </si>
  <si>
    <t>u|2026-08-01T06:00:00Z</t>
  </si>
  <si>
    <t>DA|2026-08-01_34</t>
  </si>
  <si>
    <t>DA|2026-08-01_35</t>
  </si>
  <si>
    <t>DA|2026-08-01_36</t>
  </si>
  <si>
    <t>DA|2026-08-01_37</t>
  </si>
  <si>
    <t>F|2026-08-01T07:00:00Z</t>
  </si>
  <si>
    <t>d|2026-08-01T07:00:00Z</t>
  </si>
  <si>
    <t>u|2026-08-01T07:00:00Z</t>
  </si>
  <si>
    <t>DA|2026-08-01_38</t>
  </si>
  <si>
    <t>DA|2026-08-01_39</t>
  </si>
  <si>
    <t>DA|2026-08-01_40</t>
  </si>
  <si>
    <t>DA|2026-08-01_41</t>
  </si>
  <si>
    <t>F|2026-08-01T08:00:00Z</t>
  </si>
  <si>
    <t>d|2026-08-01T08:00:00Z</t>
  </si>
  <si>
    <t>u|2026-08-01T08:00:00Z</t>
  </si>
  <si>
    <t>DA|2026-08-01_42</t>
  </si>
  <si>
    <t>DA|2026-08-01_43</t>
  </si>
  <si>
    <t>DA|2026-08-01_44</t>
  </si>
  <si>
    <t>DA|2026-08-01_45</t>
  </si>
  <si>
    <t>F|2026-08-01T09:00:00Z</t>
  </si>
  <si>
    <t>d|2026-08-01T09:00:00Z</t>
  </si>
  <si>
    <t>u|2026-08-01T09:00:00Z</t>
  </si>
  <si>
    <t>DA|2026-08-01_46</t>
  </si>
  <si>
    <t>DA|2026-08-01_47</t>
  </si>
  <si>
    <t>DA|2026-08-01_48</t>
  </si>
  <si>
    <t>DA|2026-08-01_49</t>
  </si>
  <si>
    <t>F|2026-08-01T10:00:00Z</t>
  </si>
  <si>
    <t>d|2026-08-01T10:00:00Z</t>
  </si>
  <si>
    <t>u|2026-08-01T10:00:00Z</t>
  </si>
  <si>
    <t>DA|2026-08-01_50</t>
  </si>
  <si>
    <t>DA|2026-08-01_51</t>
  </si>
  <si>
    <t>DA|2026-08-01_52</t>
  </si>
  <si>
    <t>DA|2026-08-01_53</t>
  </si>
  <si>
    <t>F|2026-08-01T11:00:00Z</t>
  </si>
  <si>
    <t>d|2026-08-01T11:00:00Z</t>
  </si>
  <si>
    <t>u|2026-08-01T11:00:00Z</t>
  </si>
  <si>
    <t>DA|2026-08-01_54</t>
  </si>
  <si>
    <t>DA|2026-08-01_55</t>
  </si>
  <si>
    <t>DA|2026-08-01_56</t>
  </si>
  <si>
    <t>DA|2026-08-01_57</t>
  </si>
  <si>
    <t>F|2026-08-01T12:00:00Z</t>
  </si>
  <si>
    <t>d|2026-08-01T12:00:00Z</t>
  </si>
  <si>
    <t>u|2026-08-01T12:00:00Z</t>
  </si>
  <si>
    <t>DA|2026-08-01_58</t>
  </si>
  <si>
    <t>DA|2026-08-01_59</t>
  </si>
  <si>
    <t>DA|2026-08-01_60</t>
  </si>
  <si>
    <t>DA|2026-08-01_61</t>
  </si>
  <si>
    <t>F|2026-08-01T13:00:00Z</t>
  </si>
  <si>
    <t>d|2026-08-01T13:00:00Z</t>
  </si>
  <si>
    <t>u|2026-08-01T13:00:00Z</t>
  </si>
  <si>
    <t>DA|2026-08-01_62</t>
  </si>
  <si>
    <t>DA|2026-08-01_63</t>
  </si>
  <si>
    <t>DA|2026-08-01_64</t>
  </si>
  <si>
    <t>DA|2026-08-01_65</t>
  </si>
  <si>
    <t>F|2026-08-01T14:00:00Z</t>
  </si>
  <si>
    <t>d|2026-08-01T14:00:00Z</t>
  </si>
  <si>
    <t>u|2026-08-01T14:00:00Z</t>
  </si>
  <si>
    <t>DA|2026-08-01_66</t>
  </si>
  <si>
    <t>DA|2026-08-01_67</t>
  </si>
  <si>
    <t>DA|2026-08-01_68</t>
  </si>
  <si>
    <t>DA|2026-08-01_69</t>
  </si>
  <si>
    <t>F|2026-08-01T15:00:00Z</t>
  </si>
  <si>
    <t>d|2026-08-01T15:00:00Z</t>
  </si>
  <si>
    <t>u|2026-08-01T15:00:00Z</t>
  </si>
  <si>
    <t>DA|2026-08-01_70</t>
  </si>
  <si>
    <t>DA|2026-08-01_71</t>
  </si>
  <si>
    <t>DA|2026-08-01_72</t>
  </si>
  <si>
    <t>DA|2026-08-01_73</t>
  </si>
  <si>
    <t>F|2026-08-01T16:00:00Z</t>
  </si>
  <si>
    <t>d|2026-08-01T16:00:00Z</t>
  </si>
  <si>
    <t>u|2026-08-01T16:00:00Z</t>
  </si>
  <si>
    <t>DA|2026-08-01_74</t>
  </si>
  <si>
    <t>DA|2026-08-01_75</t>
  </si>
  <si>
    <t>DA|2026-08-01_76</t>
  </si>
  <si>
    <t>DA|2026-08-01_77</t>
  </si>
  <si>
    <t>F|2026-08-01T17:00:00Z</t>
  </si>
  <si>
    <t>d|2026-08-01T17:00:00Z</t>
  </si>
  <si>
    <t>u|2026-08-01T17:00:00Z</t>
  </si>
  <si>
    <t>DA|2026-08-01_78</t>
  </si>
  <si>
    <t>DA|2026-08-01_79</t>
  </si>
  <si>
    <t>DA|2026-08-01_80</t>
  </si>
  <si>
    <t>DA|2026-08-01_81</t>
  </si>
  <si>
    <t>F|2026-08-01T18:00:00Z</t>
  </si>
  <si>
    <t>d|2026-08-01T18:00:00Z</t>
  </si>
  <si>
    <t>u|2026-08-01T18:00:00Z</t>
  </si>
  <si>
    <t>DA|2026-08-01_82</t>
  </si>
  <si>
    <t>DA|2026-08-01_83</t>
  </si>
  <si>
    <t>DA|2026-08-01_84</t>
  </si>
  <si>
    <t>DA|2026-08-01_85</t>
  </si>
  <si>
    <t>F|2026-08-01T19:00:00Z</t>
  </si>
  <si>
    <t>d|2026-08-01T19:00:00Z</t>
  </si>
  <si>
    <t>u|2026-08-01T19:00:00Z</t>
  </si>
  <si>
    <t>DA|2026-08-01_86</t>
  </si>
  <si>
    <t>DA|2026-08-01_87</t>
  </si>
  <si>
    <t>DA|2026-08-01_88</t>
  </si>
  <si>
    <t>DA|2026-08-01_89</t>
  </si>
  <si>
    <t>F|2026-08-01T20:00:00Z</t>
  </si>
  <si>
    <t>d|2026-08-01T20:00:00Z</t>
  </si>
  <si>
    <t>u|2026-08-01T20:00:00Z</t>
  </si>
  <si>
    <t>DA|2026-08-01_90</t>
  </si>
  <si>
    <t>DA|2026-08-01_91</t>
  </si>
  <si>
    <t>DA|2026-08-01_92</t>
  </si>
  <si>
    <t>本窗新增并冻结</t>
  </si>
  <si>
    <t>DA|2026-08-01_93</t>
  </si>
  <si>
    <t>F|2026-08-01T21:00:00Z</t>
  </si>
  <si>
    <t>d|2026-08-01T21:00:00Z</t>
  </si>
  <si>
    <t>u|2026-08-01T21:00:00Z</t>
  </si>
  <si>
    <t>DA|2026-08-01_94</t>
  </si>
  <si>
    <t>DA|2026-08-01_95</t>
  </si>
  <si>
    <t>DA|2026-08-01_96</t>
  </si>
  <si>
    <t>DA|2026-08-02_1</t>
  </si>
  <si>
    <t>F|2026-08-01T22:00:00Z</t>
  </si>
  <si>
    <t>d|2026-08-01T22:00:00Z</t>
  </si>
  <si>
    <t>u|2026-08-01T22:00:00Z</t>
  </si>
  <si>
    <t>DA|2026-08-02_2</t>
  </si>
  <si>
    <t>DA|2026-08-02_3</t>
  </si>
  <si>
    <t>DA|2026-08-02_4</t>
  </si>
  <si>
    <t>DA|2026-08-02_5</t>
  </si>
  <si>
    <t>F|2026-08-01T23:00:00Z</t>
  </si>
  <si>
    <t>d|2026-08-01T23:00:00Z</t>
  </si>
  <si>
    <t>u|2026-08-01T23:00:00Z</t>
  </si>
  <si>
    <t>DA|2026-08-02_6</t>
  </si>
  <si>
    <t>DA|2026-08-02_7</t>
  </si>
  <si>
    <t>DA|2026-08-02_8</t>
  </si>
  <si>
    <t>DA|2026-08-02_9</t>
  </si>
  <si>
    <t>F|2026-08-02T00:00:00Z</t>
  </si>
  <si>
    <t>d|2026-08-02T00:00:00Z</t>
  </si>
  <si>
    <t>u|2026-08-02T00:00:00Z</t>
  </si>
  <si>
    <t>DA|2026-08-02_10</t>
  </si>
  <si>
    <t>DA|2026-08-02_11</t>
  </si>
  <si>
    <t>DA|2026-08-02_12</t>
  </si>
  <si>
    <t>DA|2026-08-02_13</t>
  </si>
  <si>
    <t>F|2026-08-02T01:00:00Z</t>
  </si>
  <si>
    <t>d|2026-08-02T01:00:00Z</t>
  </si>
  <si>
    <t>u|2026-08-02T01:00:00Z</t>
  </si>
  <si>
    <t>DA|2026-08-02_14</t>
  </si>
  <si>
    <t>DA|2026-08-02_15</t>
  </si>
  <si>
    <t>DA|2026-08-02_16</t>
  </si>
  <si>
    <t>DA|2026-08-02_17</t>
  </si>
  <si>
    <t>F|2026-08-02T02:00:00Z</t>
  </si>
  <si>
    <t>d|2026-08-02T02:00:00Z</t>
  </si>
  <si>
    <t>u|2026-08-02T02:00:00Z</t>
  </si>
  <si>
    <t>DA|2026-08-02_18</t>
  </si>
  <si>
    <t>DA|2026-08-02_19</t>
  </si>
  <si>
    <t>DA|2026-08-02_20</t>
  </si>
  <si>
    <t>DA|2026-08-02_21</t>
  </si>
  <si>
    <t>F|2026-08-02T03:00:00Z</t>
  </si>
  <si>
    <t>d|2026-08-02T03:00:00Z</t>
  </si>
  <si>
    <t>u|2026-08-02T03:00:00Z</t>
  </si>
  <si>
    <t>DA|2026-08-02_22</t>
  </si>
  <si>
    <t>DA|2026-08-02_23</t>
  </si>
  <si>
    <t>DA|2026-08-02_24</t>
  </si>
  <si>
    <t>DA|2026-08-02_25</t>
  </si>
  <si>
    <t>F|2026-08-02T04:00:00Z</t>
  </si>
  <si>
    <t>d|2026-08-02T04:00:00Z</t>
  </si>
  <si>
    <t>u|2026-08-02T04:00:00Z</t>
  </si>
  <si>
    <t>DA|2026-08-02_26</t>
  </si>
  <si>
    <t>DA|2026-08-02_27</t>
  </si>
  <si>
    <t>DA|2026-08-02_28</t>
  </si>
  <si>
    <t>DA|2026-08-02_29</t>
  </si>
  <si>
    <t>F|2026-08-02T05:00:00Z</t>
  </si>
  <si>
    <t>d|2026-08-02T05:00:00Z</t>
  </si>
  <si>
    <t>u|2026-08-02T05:00:00Z</t>
  </si>
  <si>
    <t>DA|2026-08-02_30</t>
  </si>
  <si>
    <t>DA|2026-08-02_31</t>
  </si>
  <si>
    <t>DA|2026-08-02_32</t>
  </si>
  <si>
    <t>DA|2026-08-02_33</t>
  </si>
  <si>
    <t>F|2026-08-02T06:00:00Z</t>
  </si>
  <si>
    <t>d|2026-08-02T06:00:00Z</t>
  </si>
  <si>
    <t>u|2026-08-02T06:00:00Z</t>
  </si>
  <si>
    <t>DA|2026-08-02_34</t>
  </si>
  <si>
    <t>DA|2026-08-02_35</t>
  </si>
  <si>
    <t>DA|2026-08-02_36</t>
  </si>
  <si>
    <t>DA|2026-08-02_37</t>
  </si>
  <si>
    <t>F|2026-08-02T07:00:00Z</t>
  </si>
  <si>
    <t>d|2026-08-02T07:00:00Z</t>
  </si>
  <si>
    <t>u|2026-08-02T07:00:00Z</t>
  </si>
  <si>
    <t>DA|2026-08-02_38</t>
  </si>
  <si>
    <t>DA|2026-08-02_39</t>
  </si>
  <si>
    <t>DA|2026-08-02_40</t>
  </si>
  <si>
    <t>DA|2026-08-02_41</t>
  </si>
  <si>
    <t>F|2026-08-02T08:00:00Z</t>
  </si>
  <si>
    <t>d|2026-08-02T08:00:00Z</t>
  </si>
  <si>
    <t>u|2026-08-02T08:00:00Z</t>
  </si>
  <si>
    <t>DA|2026-08-02_42</t>
  </si>
  <si>
    <t>DA|2026-08-02_43</t>
  </si>
  <si>
    <t>DA|2026-08-02_44</t>
  </si>
  <si>
    <t>DA|2026-08-02_45</t>
  </si>
  <si>
    <t>F|2026-08-02T09:00:00Z</t>
  </si>
  <si>
    <t>d|2026-08-02T09:00:00Z</t>
  </si>
  <si>
    <t>u|2026-08-02T09:00:00Z</t>
  </si>
  <si>
    <t>DA|2026-08-02_46</t>
  </si>
  <si>
    <t>DA|2026-08-02_47</t>
  </si>
  <si>
    <t>DA|2026-08-02_48</t>
  </si>
  <si>
    <t>DA|2026-08-02_49</t>
  </si>
  <si>
    <t>F|2026-08-02T10:00:00Z</t>
  </si>
  <si>
    <t>d|2026-08-02T10:00:00Z</t>
  </si>
  <si>
    <t>u|2026-08-02T10:00:00Z</t>
  </si>
  <si>
    <t>DA|2026-08-02_50</t>
  </si>
  <si>
    <t>DA|2026-08-02_51</t>
  </si>
  <si>
    <t>DA|2026-08-02_52</t>
  </si>
  <si>
    <t>DA|2026-08-02_53</t>
  </si>
  <si>
    <t>F|2026-08-02T11:00:00Z</t>
  </si>
  <si>
    <t>d|2026-08-02T11:00:00Z</t>
  </si>
  <si>
    <t>u|2026-08-02T11:00:00Z</t>
  </si>
  <si>
    <t>DA|2026-08-02_54</t>
  </si>
  <si>
    <t>DA|2026-08-02_55</t>
  </si>
  <si>
    <t>DA|2026-08-02_56</t>
  </si>
  <si>
    <t>DA|2026-08-02_57</t>
  </si>
  <si>
    <t>F|2026-08-02T12:00:00Z</t>
  </si>
  <si>
    <t>d|2026-08-02T12:00:00Z</t>
  </si>
  <si>
    <t>u|2026-08-02T12:00:00Z</t>
  </si>
  <si>
    <t>DA|2026-08-02_58</t>
  </si>
  <si>
    <t>DA|2026-08-02_59</t>
  </si>
  <si>
    <t>DA|2026-08-02_60</t>
  </si>
  <si>
    <t>DA|2026-08-02_61</t>
  </si>
  <si>
    <t>F|2026-08-02T13:00:00Z</t>
  </si>
  <si>
    <t>d|2026-08-02T13:00:00Z</t>
  </si>
  <si>
    <t>u|2026-08-02T13:00:00Z</t>
  </si>
  <si>
    <t>DA|2026-08-02_62</t>
  </si>
  <si>
    <t>DA|2026-08-02_63</t>
  </si>
  <si>
    <t>DA|2026-08-02_64</t>
  </si>
  <si>
    <t>DA|2026-08-02_65</t>
  </si>
  <si>
    <t>F|2026-08-02T14:00:00Z</t>
  </si>
  <si>
    <t>d|2026-08-02T14:00:00Z</t>
  </si>
  <si>
    <t>u|2026-08-02T14:00:00Z</t>
  </si>
  <si>
    <t>DA|2026-08-02_66</t>
  </si>
  <si>
    <t>DA|2026-08-02_67</t>
  </si>
  <si>
    <t>DA|2026-08-02_68</t>
  </si>
  <si>
    <t>DA|2026-08-02_69</t>
  </si>
  <si>
    <t>F|2026-08-02T15:00:00Z</t>
  </si>
  <si>
    <t>d|2026-08-02T15:00:00Z</t>
  </si>
  <si>
    <t>u|2026-08-02T15:00:00Z</t>
  </si>
  <si>
    <t>DA|2026-08-02_70</t>
  </si>
  <si>
    <t>DA|2026-08-02_71</t>
  </si>
  <si>
    <t>DA|2026-08-02_72</t>
  </si>
  <si>
    <t>DA|2026-08-02_73</t>
  </si>
  <si>
    <t>F|2026-08-02T16:00:00Z</t>
  </si>
  <si>
    <t>d|2026-08-02T16:00:00Z</t>
  </si>
  <si>
    <t>u|2026-08-02T16:00:00Z</t>
  </si>
  <si>
    <t>DA|2026-08-02_74</t>
  </si>
  <si>
    <t>DA|2026-08-02_75</t>
  </si>
  <si>
    <t>DA|2026-08-02_76</t>
  </si>
  <si>
    <t>DA|2026-08-02_77</t>
  </si>
  <si>
    <t>F|2026-08-02T17:00:00Z</t>
  </si>
  <si>
    <t>d|2026-08-02T17:00:00Z</t>
  </si>
  <si>
    <t>u|2026-08-02T17:00:00Z</t>
  </si>
  <si>
    <t>DA|2026-08-02_78</t>
  </si>
  <si>
    <t>DA|2026-08-02_79</t>
  </si>
  <si>
    <t>DA|2026-08-02_80</t>
  </si>
  <si>
    <t>DA|2026-08-02_81</t>
  </si>
  <si>
    <t>F|2026-08-02T18:00:00Z</t>
  </si>
  <si>
    <t>d|2026-08-02T18:00:00Z</t>
  </si>
  <si>
    <t>u|2026-08-02T18:00:00Z</t>
  </si>
  <si>
    <t>DA|2026-08-02_82</t>
  </si>
  <si>
    <t>DA|2026-08-02_83</t>
  </si>
  <si>
    <t>DA|2026-08-02_84</t>
  </si>
  <si>
    <t>DA|2026-08-02_85</t>
  </si>
  <si>
    <t>F|2026-08-02T19:00:00Z</t>
  </si>
  <si>
    <t>d|2026-08-02T19:00:00Z</t>
  </si>
  <si>
    <t>u|2026-08-02T19:00:00Z</t>
  </si>
  <si>
    <t>DA|2026-08-02_86</t>
  </si>
  <si>
    <t>DA|2026-08-02_87</t>
  </si>
  <si>
    <t>DA|2026-08-02_88</t>
  </si>
  <si>
    <t>DA|2026-08-02_89</t>
  </si>
  <si>
    <t>F|2026-08-02T20:00:00Z</t>
  </si>
  <si>
    <t>d|2026-08-02T20:00:00Z</t>
  </si>
  <si>
    <t>u|2026-08-02T20:00:00Z</t>
  </si>
  <si>
    <t>DA|2026-08-02_90</t>
  </si>
  <si>
    <t>DA|2026-08-02_91</t>
  </si>
  <si>
    <t>DA|2026-08-02_92</t>
  </si>
  <si>
    <t>fbaa19b220a0f10502327a30ffdded45f5f90e234af69c20c4532f00e3a8e1c1</t>
  </si>
  <si>
    <t>DA|2026-08-02_93</t>
  </si>
  <si>
    <t>F|2026-08-02T21:00:00Z</t>
  </si>
  <si>
    <t>20, 18, 0, 0, 0</t>
  </si>
  <si>
    <t>d|2026-08-02T21:00:00Z</t>
  </si>
  <si>
    <t>u|2026-08-02T21:00:00Z</t>
  </si>
  <si>
    <t>DA|2026-08-02_94</t>
  </si>
  <si>
    <t>DA|2026-08-02_95</t>
  </si>
  <si>
    <t>DA|2026-08-02_96</t>
  </si>
  <si>
    <t>DA|2026-08-03_1</t>
  </si>
  <si>
    <t>F|2026-08-02T22:00:00Z</t>
  </si>
  <si>
    <t>d|2026-08-02T22:00:00Z</t>
  </si>
  <si>
    <t>u|2026-08-02T22:00:00Z</t>
  </si>
  <si>
    <t>DA|2026-08-03_2</t>
  </si>
  <si>
    <t>DA|2026-08-03_3</t>
  </si>
  <si>
    <t>DA|2026-08-03_4</t>
  </si>
  <si>
    <t>DA|2026-08-03_5</t>
  </si>
  <si>
    <t>F|2026-08-02T23:00:00Z</t>
  </si>
  <si>
    <t>d|2026-08-02T23:00:00Z</t>
  </si>
  <si>
    <t>u|2026-08-02T23:00:00Z</t>
  </si>
  <si>
    <t>DA|2026-08-03_6</t>
  </si>
  <si>
    <t>DA|2026-08-03_7</t>
  </si>
  <si>
    <t>DA|2026-08-03_8</t>
  </si>
  <si>
    <t>DA|2026-08-03_9</t>
  </si>
  <si>
    <t>F|2026-08-03T00:00:00Z</t>
  </si>
  <si>
    <t>d|2026-08-03T00:00:00Z</t>
  </si>
  <si>
    <t>u|2026-08-03T00:00:00Z</t>
  </si>
  <si>
    <t>DA|2026-08-03_10</t>
  </si>
  <si>
    <t>DA|2026-08-03_11</t>
  </si>
  <si>
    <t>DA|2026-08-03_12</t>
  </si>
  <si>
    <t>DA|2026-08-03_13</t>
  </si>
  <si>
    <t>F|2026-08-03T01:00:00Z</t>
  </si>
  <si>
    <t>d|2026-08-03T01:00:00Z</t>
  </si>
  <si>
    <t>u|2026-08-03T01:00:00Z</t>
  </si>
  <si>
    <t>DA|2026-08-03_14</t>
  </si>
  <si>
    <t>DA|2026-08-03_15</t>
  </si>
  <si>
    <t>DA|2026-08-03_16</t>
  </si>
  <si>
    <t>DA|2026-08-03_17</t>
  </si>
  <si>
    <t>F|2026-08-03T02:00:00Z</t>
  </si>
  <si>
    <t>d|2026-08-03T02:00:00Z</t>
  </si>
  <si>
    <t>u|2026-08-03T02:00:00Z</t>
  </si>
  <si>
    <t>DA|2026-08-03_18</t>
  </si>
  <si>
    <t>DA|2026-08-03_19</t>
  </si>
  <si>
    <t>DA|2026-08-03_20</t>
  </si>
  <si>
    <t>DA|2026-08-03_21</t>
  </si>
  <si>
    <t>F|2026-08-03T03:00:00Z</t>
  </si>
  <si>
    <t>d|2026-08-03T03:00:00Z</t>
  </si>
  <si>
    <t>u|2026-08-03T03:00:00Z</t>
  </si>
  <si>
    <t>DA|2026-08-03_22</t>
  </si>
  <si>
    <t>DA|2026-08-03_23</t>
  </si>
  <si>
    <t>DA|2026-08-03_24</t>
  </si>
  <si>
    <t>DA|2026-08-03_25</t>
  </si>
  <si>
    <t>F|2026-08-03T04:00:00Z</t>
  </si>
  <si>
    <t>DATA_INVALID</t>
  </si>
  <si>
    <t>d|2026-08-03T04:00:00Z</t>
  </si>
  <si>
    <t>u|2026-08-03T04:00:00Z</t>
  </si>
  <si>
    <t>DA|2026-08-03_26</t>
  </si>
  <si>
    <t>DA|2026-08-03_27</t>
  </si>
  <si>
    <t>DA|2026-08-03_28</t>
  </si>
  <si>
    <t>DA|2026-08-03_29</t>
  </si>
  <si>
    <t>F|2026-08-03T05:00:00Z</t>
  </si>
  <si>
    <t>d|2026-08-03T05:00:00Z</t>
  </si>
  <si>
    <t>u|2026-08-03T05:00:00Z</t>
  </si>
  <si>
    <t>DA|2026-08-03_30</t>
  </si>
  <si>
    <t>DA|2026-08-03_31</t>
  </si>
  <si>
    <t>DA|2026-08-03_32</t>
  </si>
  <si>
    <t>DA|2026-08-03_33</t>
  </si>
  <si>
    <t>F|2026-08-03T06:00:00Z</t>
  </si>
  <si>
    <t>d|2026-08-03T06:00:00Z</t>
  </si>
  <si>
    <t>u|2026-08-03T06:00:00Z</t>
  </si>
  <si>
    <t>DA|2026-08-03_34</t>
  </si>
  <si>
    <t>DA|2026-08-03_35</t>
  </si>
  <si>
    <t>DA|2026-08-03_36</t>
  </si>
  <si>
    <t>DA|2026-08-03_37</t>
  </si>
  <si>
    <t>F|2026-08-03T07:00:00Z</t>
  </si>
  <si>
    <t>d|2026-08-03T07:00:00Z</t>
  </si>
  <si>
    <t>u|2026-08-03T07:00:00Z</t>
  </si>
  <si>
    <t>DA|2026-08-03_38</t>
  </si>
  <si>
    <t>DA|2026-08-03_39</t>
  </si>
  <si>
    <t>DA|2026-08-03_40</t>
  </si>
  <si>
    <t>DA|2026-08-03_41</t>
  </si>
  <si>
    <t>F|2026-08-03T08:00:00Z</t>
  </si>
  <si>
    <t>d|2026-08-03T08:00:00Z</t>
  </si>
  <si>
    <t>u|2026-08-03T08:00:00Z</t>
  </si>
  <si>
    <t>DA|2026-08-03_42</t>
  </si>
  <si>
    <t>DA|2026-08-03_43</t>
  </si>
  <si>
    <t>DA|2026-08-03_44</t>
  </si>
  <si>
    <t>DA|2026-08-03_45</t>
  </si>
  <si>
    <t>F|2026-08-03T09:00:00Z</t>
  </si>
  <si>
    <t>d|2026-08-03T09:00:00Z</t>
  </si>
  <si>
    <t>u|2026-08-03T09:00:00Z</t>
  </si>
  <si>
    <t>DA|2026-08-03_46</t>
  </si>
  <si>
    <t>DA|2026-08-03_47</t>
  </si>
  <si>
    <t>DA|2026-08-03_48</t>
  </si>
  <si>
    <t>DA|2026-08-03_49</t>
  </si>
  <si>
    <t>F|2026-08-03T10:00:00Z</t>
  </si>
  <si>
    <t>d|2026-08-03T10:00:00Z</t>
  </si>
  <si>
    <t>u|2026-08-03T10:00:00Z</t>
  </si>
  <si>
    <t>DA|2026-08-03_50</t>
  </si>
  <si>
    <t>DA|2026-08-03_51</t>
  </si>
  <si>
    <t>DA|2026-08-03_52</t>
  </si>
  <si>
    <t>DA|2026-08-03_53</t>
  </si>
  <si>
    <t>F|2026-08-03T11:00:00Z</t>
  </si>
  <si>
    <t>d|2026-08-03T11:00:00Z</t>
  </si>
  <si>
    <t>u|2026-08-03T11:00:00Z</t>
  </si>
  <si>
    <t>DA|2026-08-03_54</t>
  </si>
  <si>
    <t>DA|2026-08-03_55</t>
  </si>
  <si>
    <t>DA|2026-08-03_56</t>
  </si>
  <si>
    <t>DA|2026-08-03_57</t>
  </si>
  <si>
    <t>F|2026-08-03T12:00:00Z</t>
  </si>
  <si>
    <t>d|2026-08-03T12:00:00Z</t>
  </si>
  <si>
    <t>u|2026-08-03T12:00:00Z</t>
  </si>
  <si>
    <t>DA|2026-08-03_58</t>
  </si>
  <si>
    <t>DA|2026-08-03_59</t>
  </si>
  <si>
    <t>DA|2026-08-03_60</t>
  </si>
  <si>
    <t>DA|2026-08-03_61</t>
  </si>
  <si>
    <t>F|2026-08-03T13:00:00Z</t>
  </si>
  <si>
    <t>d|2026-08-03T13:00:00Z</t>
  </si>
  <si>
    <t>u|2026-08-03T13:00:00Z</t>
  </si>
  <si>
    <t>DA|2026-08-03_62</t>
  </si>
  <si>
    <t>DA|2026-08-03_63</t>
  </si>
  <si>
    <t>DA|2026-08-03_64</t>
  </si>
  <si>
    <t>DA|2026-08-03_65</t>
  </si>
  <si>
    <t>F|2026-08-03T14:00:00Z</t>
  </si>
  <si>
    <t>d|2026-08-03T14:00:00Z</t>
  </si>
  <si>
    <t>u|2026-08-03T14:00:00Z</t>
  </si>
  <si>
    <t>DA|2026-08-03_66</t>
  </si>
  <si>
    <t>DA|2026-08-03_67</t>
  </si>
  <si>
    <t>DA|2026-08-03_68</t>
  </si>
  <si>
    <t>DA|2026-08-03_69</t>
  </si>
  <si>
    <t>F|2026-08-03T15:00:00Z</t>
  </si>
  <si>
    <t>d|2026-08-03T15:00:00Z</t>
  </si>
  <si>
    <t>u|2026-08-03T15:00:00Z</t>
  </si>
  <si>
    <t>DA|2026-08-03_70</t>
  </si>
  <si>
    <t>DA|2026-08-03_71</t>
  </si>
  <si>
    <t>DA|2026-08-03_72</t>
  </si>
  <si>
    <t>DA|2026-08-03_73</t>
  </si>
  <si>
    <t>F|2026-08-03T16:00:00Z</t>
  </si>
  <si>
    <t>d|2026-08-03T16:00:00Z</t>
  </si>
  <si>
    <t>u|2026-08-03T16:00:00Z</t>
  </si>
  <si>
    <t>DA|2026-08-03_74</t>
  </si>
  <si>
    <t>DA|2026-08-03_75</t>
  </si>
  <si>
    <t>DA|2026-08-03_76</t>
  </si>
  <si>
    <t>DA|2026-08-03_77</t>
  </si>
  <si>
    <t>F|2026-08-03T17:00:00Z</t>
  </si>
  <si>
    <t>0, 0, 0, 0, 0</t>
  </si>
  <si>
    <t>d|2026-08-03T17:00:00Z</t>
  </si>
  <si>
    <t>u|2026-08-03T17:00:00Z</t>
  </si>
  <si>
    <t>DA|2026-08-03_78</t>
  </si>
  <si>
    <t>DA|2026-08-03_79</t>
  </si>
  <si>
    <t>DA|2026-08-03_80</t>
  </si>
  <si>
    <t>DA|2026-08-03_81</t>
  </si>
  <si>
    <t>F|2026-08-03T18:00:00Z</t>
  </si>
  <si>
    <t>d|2026-08-03T18:00:00Z</t>
  </si>
  <si>
    <t>u|2026-08-03T18:00:00Z</t>
  </si>
  <si>
    <t>DA|2026-08-03_82</t>
  </si>
  <si>
    <t>DA|2026-08-03_83</t>
  </si>
  <si>
    <t>DA|2026-08-03_84</t>
  </si>
  <si>
    <t>DA|2026-08-03_85</t>
  </si>
  <si>
    <t>F|2026-08-03T19:00:00Z</t>
  </si>
  <si>
    <t>d|2026-08-03T19:00:00Z</t>
  </si>
  <si>
    <t>u|2026-08-03T19:00:00Z</t>
  </si>
  <si>
    <t>DA|2026-08-03_86</t>
  </si>
  <si>
    <t>DA|2026-08-03_87</t>
  </si>
  <si>
    <t>DA|2026-08-03_88</t>
  </si>
  <si>
    <t>DA|2026-08-03_89</t>
  </si>
  <si>
    <t>F|2026-08-03T20:00:00Z</t>
  </si>
  <si>
    <t>d|2026-08-03T20:00:00Z</t>
  </si>
  <si>
    <t>u|2026-08-03T20:00:00Z</t>
  </si>
  <si>
    <t>DA|2026-08-03_90</t>
  </si>
  <si>
    <t>DA|2026-08-03_91</t>
  </si>
  <si>
    <t>DA|2026-08-03_92</t>
  </si>
  <si>
    <t>原始价格输入、执行记录与计算口径</t>
  </si>
  <si>
    <t>原始价格为EUR，容量价为平均接受报价代理；本表保留缺失和合法零价。</t>
  </si>
  <si>
    <t>7月31日末SOC MWh</t>
  </si>
  <si>
    <t>额定功率MW</t>
  </si>
  <si>
    <t>单向效率</t>
  </si>
  <si>
    <t>名义能量MWh</t>
  </si>
  <si>
    <t>季度时长h</t>
  </si>
  <si>
    <t>EFC分母MWh</t>
  </si>
  <si>
    <t>SOC下限MWh</t>
  </si>
  <si>
    <t>SOC上限MWh</t>
  </si>
  <si>
    <t>容量现金旧系数</t>
  </si>
  <si>
    <t>已删除</t>
  </si>
  <si>
    <t>时区</t>
  </si>
  <si>
    <t>Europe/Bucharest</t>
  </si>
  <si>
    <t>delivery_start_utc</t>
  </si>
  <si>
    <t>delivery_end_utc</t>
  </si>
  <si>
    <t>local_time</t>
  </si>
  <si>
    <t>local_date</t>
  </si>
  <si>
    <t>duration_hours</t>
  </si>
  <si>
    <t>period_role</t>
  </si>
  <si>
    <t>capacity_hour_start_utc</t>
  </si>
  <si>
    <t>da_price_eur_per_mwh</t>
  </si>
  <si>
    <t>da_contract_id</t>
  </si>
  <si>
    <t>da_native_resolution_minutes</t>
  </si>
  <si>
    <t>da_source_key</t>
  </si>
  <si>
    <t>fx_fixing_date</t>
  </si>
  <si>
    <t>fx_ron_per_eur</t>
  </si>
  <si>
    <t>fx_source_key</t>
  </si>
  <si>
    <t>fcr_accepted_capacity_mw</t>
  </si>
  <si>
    <t>fcr_capacity_order_id</t>
  </si>
  <si>
    <t>fcr_capacity_source_key</t>
  </si>
  <si>
    <t>fcr_capacity_price_eur_per_mw_h_proxy</t>
  </si>
  <si>
    <t>fcr_capacity_status</t>
  </si>
  <si>
    <t>afrr_up_accepted_capacity_mw</t>
  </si>
  <si>
    <t>afrr_up_capacity_order_id</t>
  </si>
  <si>
    <t>afrr_up_capacity_source_key</t>
  </si>
  <si>
    <t>afrr_up_capacity_price_eur_per_mw_h_proxy</t>
  </si>
  <si>
    <t>afrr_up_capacity_status</t>
  </si>
  <si>
    <t>afrr_down_accepted_capacity_mw</t>
  </si>
  <si>
    <t>afrr_down_capacity_order_id</t>
  </si>
  <si>
    <t>afrr_down_capacity_source_key</t>
  </si>
  <si>
    <t>afrr_down_capacity_price_eur_per_mw_h_proxy</t>
  </si>
  <si>
    <t>afrr_down_capacity_status</t>
  </si>
  <si>
    <t>fcr_activation_price_eur_per_mwh_proxy</t>
  </si>
  <si>
    <t>fcr_activation_price_status</t>
  </si>
  <si>
    <t>fcr_system_activation_energy_mwh</t>
  </si>
  <si>
    <t>afrr_up_activation_price_eur_per_mwh_proxy</t>
  </si>
  <si>
    <t>afrr_up_activation_price_status</t>
  </si>
  <si>
    <t>afrr_up_system_activation_energy_mwh</t>
  </si>
  <si>
    <t>afrr_down_activation_price_eur_per_mwh_proxy</t>
  </si>
  <si>
    <t>afrr_down_activation_price_status</t>
  </si>
  <si>
    <t>afrr_down_system_activation_energy_mwh</t>
  </si>
  <si>
    <t>activation_price_source_key</t>
  </si>
  <si>
    <t>activation_energy_source_key</t>
  </si>
  <si>
    <t>da_price_status</t>
  </si>
  <si>
    <t>alpha_up_raw</t>
  </si>
  <si>
    <t>alpha_down_raw</t>
  </si>
  <si>
    <t>alpha_sum_raw</t>
  </si>
  <si>
    <t>alpha_computable</t>
  </si>
  <si>
    <t>alpha_strict_valid</t>
  </si>
  <si>
    <t>afrr_price_inputs_valid</t>
  </si>
  <si>
    <t>afrr_qh_data_valid</t>
  </si>
  <si>
    <t>afrr_hour_data_valid</t>
  </si>
  <si>
    <t>fcr_qh_data_valid</t>
  </si>
  <si>
    <t>fcr_hour_data_valid</t>
  </si>
  <si>
    <t>da_contract_data_valid</t>
  </si>
  <si>
    <t>afrr_qh_failure_reason</t>
  </si>
  <si>
    <t>afrr_order_gate_reason</t>
  </si>
  <si>
    <t>price_currency</t>
  </si>
  <si>
    <t>ledger_afrr_down_activation_eur</t>
  </si>
  <si>
    <t>ledger_afrr_down_activation_mwh</t>
  </si>
  <si>
    <t>ledger_afrr_down_capacity_eur</t>
  </si>
  <si>
    <t>ledger_afrr_down_capacity_share_coefficient</t>
  </si>
  <si>
    <t>ledger_afrr_down_capacity_share_status</t>
  </si>
  <si>
    <t>ledger_afrr_down_demand_mw</t>
  </si>
  <si>
    <t>ledger_afrr_down_mw</t>
  </si>
  <si>
    <t>ledger_afrr_down_share_limit_mw</t>
  </si>
  <si>
    <t>ledger_afrr_down_upper</t>
  </si>
  <si>
    <t>ledger_afrr_hour_data_valid</t>
  </si>
  <si>
    <t>ledger_afrr_up_activation_eur</t>
  </si>
  <si>
    <t>ledger_afrr_up_activation_mwh</t>
  </si>
  <si>
    <t>ledger_afrr_up_capacity_eur</t>
  </si>
  <si>
    <t>ledger_afrr_up_capacity_share_coefficient</t>
  </si>
  <si>
    <t>ledger_afrr_up_capacity_share_status</t>
  </si>
  <si>
    <t>ledger_afrr_up_demand_mw</t>
  </si>
  <si>
    <t>ledger_afrr_up_mw</t>
  </si>
  <si>
    <t>ledger_afrr_up_share_limit_mw</t>
  </si>
  <si>
    <t>ledger_afrr_up_upper</t>
  </si>
  <si>
    <t>ledger_da_contract_id</t>
  </si>
  <si>
    <t>ledger_da_data_valid</t>
  </si>
  <si>
    <t>ledger_da_eur</t>
  </si>
  <si>
    <t>ledger_da_mw</t>
  </si>
  <si>
    <t>ledger_delivery_end_utc</t>
  </si>
  <si>
    <t>ledger_delivery_start_utc</t>
  </si>
  <si>
    <t>ledger_efc</t>
  </si>
  <si>
    <t>ledger_ein_mwh</t>
  </si>
  <si>
    <t>ledger_eout_mwh</t>
  </si>
  <si>
    <t>ledger_fcr_capacity_eur</t>
  </si>
  <si>
    <t>ledger_fcr_capacity_share_coefficient</t>
  </si>
  <si>
    <t>ledger_fcr_capacity_share_status</t>
  </si>
  <si>
    <t>ledger_fcr_demand_mw</t>
  </si>
  <si>
    <t>ledger_fcr_hour_data_valid</t>
  </si>
  <si>
    <t>ledger_fcr_mw</t>
  </si>
  <si>
    <t>ledger_fcr_share_limit_mw</t>
  </si>
  <si>
    <t>ledger_fcr_upper</t>
  </si>
  <si>
    <t>ledger_initial_no_prior_commitment</t>
  </si>
  <si>
    <t>ledger_local_date</t>
  </si>
  <si>
    <t>ledger_total_eur</t>
  </si>
  <si>
    <t>FORMAL</t>
  </si>
  <si>
    <t>2026-07-31_93</t>
  </si>
  <si>
    <t>DA_2026-07-31@0049cc5f7b4d</t>
  </si>
  <si>
    <t>BNR_FX_2026@9bb4cfc29e8f</t>
  </si>
  <si>
    <t>FCR_2026-07-31T21:00:00Z</t>
  </si>
  <si>
    <t>tenderStatistics_2026-08@d7daa9807303</t>
  </si>
  <si>
    <t>PUBLISHED_PROXY</t>
  </si>
  <si>
    <t>aFRRUp_2026-07-31T21:00:00Z</t>
  </si>
  <si>
    <t>aFRRDown_2026-07-31T21:00:00Z</t>
  </si>
  <si>
    <t>SOURCE_NULL_NOT_MODELED</t>
  </si>
  <si>
    <t>marginalPricesOverview_2026-08@4f1f9f7e4d34</t>
  </si>
  <si>
    <t>activatedBalancingEnergyOverview_2026-08@914407f42f6a</t>
  </si>
  <si>
    <t>PUBLISHED_NATIVE</t>
  </si>
  <si>
    <t>OK</t>
  </si>
  <si>
    <t>EUR</t>
  </si>
  <si>
    <t>2026-08-01</t>
  </si>
  <si>
    <t>2026-07-31_94</t>
  </si>
  <si>
    <t>2026-07-31_95</t>
  </si>
  <si>
    <t>2026-07-31_96</t>
  </si>
  <si>
    <t>2026-08-01_1</t>
  </si>
  <si>
    <t>DA_2026-08-01@5135e8067e27</t>
  </si>
  <si>
    <t>FCR_2026-07-31T22:00:00Z</t>
  </si>
  <si>
    <t>aFRRUp_2026-07-31T22:00:00Z</t>
  </si>
  <si>
    <t>aFRRDown_2026-07-31T22:00:00Z</t>
  </si>
  <si>
    <t>2026-08-01_2</t>
  </si>
  <si>
    <t>2026-08-01_3</t>
  </si>
  <si>
    <t>2026-08-01_4</t>
  </si>
  <si>
    <t>2026-08-01_5</t>
  </si>
  <si>
    <t>FCR_2026-07-31T23:00:00Z</t>
  </si>
  <si>
    <t>aFRRUp_2026-07-31T23:00:00Z</t>
  </si>
  <si>
    <t>aFRRDown_2026-07-31T23:00:00Z</t>
  </si>
  <si>
    <t>2026-08-01_6</t>
  </si>
  <si>
    <t>2026-08-01_7</t>
  </si>
  <si>
    <t>2026-08-01_8</t>
  </si>
  <si>
    <t>2026-08-01_9</t>
  </si>
  <si>
    <t>FCR_2026-08-01T00:00:00Z</t>
  </si>
  <si>
    <t>aFRRUp_2026-08-01T00:00:00Z</t>
  </si>
  <si>
    <t>aFRRDown_2026-08-01T00:00:00Z</t>
  </si>
  <si>
    <t>2026-08-01_10</t>
  </si>
  <si>
    <t>2026-08-01_11</t>
  </si>
  <si>
    <t>2026-08-01_12</t>
  </si>
  <si>
    <t>2026-08-01_13</t>
  </si>
  <si>
    <t>FCR_2026-08-01T01:00:00Z</t>
  </si>
  <si>
    <t>aFRRUp_2026-08-01T01:00:00Z</t>
  </si>
  <si>
    <t>aFRRDown_2026-08-01T01:00:00Z</t>
  </si>
  <si>
    <t>2026-08-01_14</t>
  </si>
  <si>
    <t>2026-08-01_15</t>
  </si>
  <si>
    <t>2026-08-01_16</t>
  </si>
  <si>
    <t>2026-08-01_17</t>
  </si>
  <si>
    <t>FCR_2026-08-01T02:00:00Z</t>
  </si>
  <si>
    <t>aFRRUp_2026-08-01T02:00:00Z</t>
  </si>
  <si>
    <t>aFRRDown_2026-08-01T02:00:00Z</t>
  </si>
  <si>
    <t>2026-08-01_18</t>
  </si>
  <si>
    <t>2026-08-01_19</t>
  </si>
  <si>
    <t>2026-08-01_20</t>
  </si>
  <si>
    <t>2026-08-01_21</t>
  </si>
  <si>
    <t>FCR_2026-08-01T03:00:00Z</t>
  </si>
  <si>
    <t>aFRRUp_2026-08-01T03:00:00Z</t>
  </si>
  <si>
    <t>aFRRDown_2026-08-01T03:00:00Z</t>
  </si>
  <si>
    <t>2026-08-01_22</t>
  </si>
  <si>
    <t>2026-08-01_23</t>
  </si>
  <si>
    <t>2026-08-01_24</t>
  </si>
  <si>
    <t>2026-08-01_25</t>
  </si>
  <si>
    <t>FCR_2026-08-01T04:00:00Z</t>
  </si>
  <si>
    <t>aFRRUp_2026-08-01T04:00:00Z</t>
  </si>
  <si>
    <t>aFRRDown_2026-08-01T04:00:00Z</t>
  </si>
  <si>
    <t>2026-08-01_26</t>
  </si>
  <si>
    <t>2026-08-01_27</t>
  </si>
  <si>
    <t>2026-08-01_28</t>
  </si>
  <si>
    <t>2026-08-01_29</t>
  </si>
  <si>
    <t>FCR_2026-08-01T05:00:00Z</t>
  </si>
  <si>
    <t>aFRRUp_2026-08-01T05:00:00Z</t>
  </si>
  <si>
    <t>aFRRDown_2026-08-01T05:00:00Z</t>
  </si>
  <si>
    <t>2026-08-01_30</t>
  </si>
  <si>
    <t>2026-08-01_31</t>
  </si>
  <si>
    <t>2026-08-01_32</t>
  </si>
  <si>
    <t>2026-08-01_33</t>
  </si>
  <si>
    <t>FCR_2026-08-01T06:00:00Z</t>
  </si>
  <si>
    <t>aFRRUp_2026-08-01T06:00:00Z</t>
  </si>
  <si>
    <t>aFRRDown_2026-08-01T06:00:00Z</t>
  </si>
  <si>
    <t>2026-08-01_34</t>
  </si>
  <si>
    <t>2026-08-01_35</t>
  </si>
  <si>
    <t>2026-08-01_36</t>
  </si>
  <si>
    <t>2026-08-01_37</t>
  </si>
  <si>
    <t>FCR_2026-08-01T07:00:00Z</t>
  </si>
  <si>
    <t>aFRRUp_2026-08-01T07:00:00Z</t>
  </si>
  <si>
    <t>aFRRDown_2026-08-01T07:00:00Z</t>
  </si>
  <si>
    <t>2026-08-01_38</t>
  </si>
  <si>
    <t>2026-08-01_39</t>
  </si>
  <si>
    <t>2026-08-01_40</t>
  </si>
  <si>
    <t>2026-08-01_41</t>
  </si>
  <si>
    <t>FCR_2026-08-01T08:00:00Z</t>
  </si>
  <si>
    <t>aFRRUp_2026-08-01T08:00:00Z</t>
  </si>
  <si>
    <t>aFRRDown_2026-08-01T08:00:00Z</t>
  </si>
  <si>
    <t>2026-08-01_42</t>
  </si>
  <si>
    <t>2026-08-01_43</t>
  </si>
  <si>
    <t>2026-08-01_44</t>
  </si>
  <si>
    <t>2026-08-01_45</t>
  </si>
  <si>
    <t>FCR_2026-08-01T09:00:00Z</t>
  </si>
  <si>
    <t>aFRRUp_2026-08-01T09:00:00Z</t>
  </si>
  <si>
    <t>aFRRDown_2026-08-01T09:00:00Z</t>
  </si>
  <si>
    <t>2026-08-01_46</t>
  </si>
  <si>
    <t>2026-08-01_47</t>
  </si>
  <si>
    <t>2026-08-01_48</t>
  </si>
  <si>
    <t>2026-08-01_49</t>
  </si>
  <si>
    <t>FCR_2026-08-01T10:00:00Z</t>
  </si>
  <si>
    <t>aFRRUp_2026-08-01T10:00:00Z</t>
  </si>
  <si>
    <t>aFRRDown_2026-08-01T10:00:00Z</t>
  </si>
  <si>
    <t>2026-08-01_50</t>
  </si>
  <si>
    <t>2026-08-01_51</t>
  </si>
  <si>
    <t>2026-08-01_52</t>
  </si>
  <si>
    <t>2026-08-01_53</t>
  </si>
  <si>
    <t>FCR_2026-08-01T11:00:00Z</t>
  </si>
  <si>
    <t>aFRRUp_2026-08-01T11:00:00Z</t>
  </si>
  <si>
    <t>aFRRDown_2026-08-01T11:00:00Z</t>
  </si>
  <si>
    <t>2026-08-01_54</t>
  </si>
  <si>
    <t>2026-08-01_55</t>
  </si>
  <si>
    <t>2026-08-01_56</t>
  </si>
  <si>
    <t>2026-08-01_57</t>
  </si>
  <si>
    <t>FCR_2026-08-01T12:00:00Z</t>
  </si>
  <si>
    <t>aFRRUp_2026-08-01T12:00:00Z</t>
  </si>
  <si>
    <t>aFRRDown_2026-08-01T12:00:00Z</t>
  </si>
  <si>
    <t>2026-08-01_58</t>
  </si>
  <si>
    <t>2026-08-01_59</t>
  </si>
  <si>
    <t>2026-08-01_60</t>
  </si>
  <si>
    <t>2026-08-01_61</t>
  </si>
  <si>
    <t>FCR_2026-08-01T13:00:00Z</t>
  </si>
  <si>
    <t>aFRRUp_2026-08-01T13:00:00Z</t>
  </si>
  <si>
    <t>aFRRDown_2026-08-01T13:00:00Z</t>
  </si>
  <si>
    <t>2026-08-01_62</t>
  </si>
  <si>
    <t>2026-08-01_63</t>
  </si>
  <si>
    <t>2026-08-01_64</t>
  </si>
  <si>
    <t>2026-08-01_65</t>
  </si>
  <si>
    <t>FCR_2026-08-01T14:00:00Z</t>
  </si>
  <si>
    <t>aFRRUp_2026-08-01T14:00:00Z</t>
  </si>
  <si>
    <t>aFRRDown_2026-08-01T14:00:00Z</t>
  </si>
  <si>
    <t>2026-08-01_66</t>
  </si>
  <si>
    <t>2026-08-01_67</t>
  </si>
  <si>
    <t>2026-08-01_68</t>
  </si>
  <si>
    <t>2026-08-01_69</t>
  </si>
  <si>
    <t>FCR_2026-08-01T15:00:00Z</t>
  </si>
  <si>
    <t>aFRRUp_2026-08-01T15:00:00Z</t>
  </si>
  <si>
    <t>aFRRDown_2026-08-01T15:00:00Z</t>
  </si>
  <si>
    <t>2026-08-01_70</t>
  </si>
  <si>
    <t>2026-08-01_71</t>
  </si>
  <si>
    <t>2026-08-01_72</t>
  </si>
  <si>
    <t>2026-08-01_73</t>
  </si>
  <si>
    <t>FCR_2026-08-01T16:00:00Z</t>
  </si>
  <si>
    <t>aFRRUp_2026-08-01T16:00:00Z</t>
  </si>
  <si>
    <t>aFRRDown_2026-08-01T16:00:00Z</t>
  </si>
  <si>
    <t>2026-08-01_74</t>
  </si>
  <si>
    <t>2026-08-01_75</t>
  </si>
  <si>
    <t>2026-08-01_76</t>
  </si>
  <si>
    <t>2026-08-01_77</t>
  </si>
  <si>
    <t>FCR_2026-08-01T17:00:00Z</t>
  </si>
  <si>
    <t>aFRRUp_2026-08-01T17:00:00Z</t>
  </si>
  <si>
    <t>aFRRDown_2026-08-01T17:00:00Z</t>
  </si>
  <si>
    <t>2026-08-01_78</t>
  </si>
  <si>
    <t>2026-08-01_79</t>
  </si>
  <si>
    <t>2026-08-01_80</t>
  </si>
  <si>
    <t>2026-08-01_81</t>
  </si>
  <si>
    <t>FCR_2026-08-01T18:00:00Z</t>
  </si>
  <si>
    <t>aFRRUp_2026-08-01T18:00:00Z</t>
  </si>
  <si>
    <t>aFRRDown_2026-08-01T18:00:00Z</t>
  </si>
  <si>
    <t>2026-08-01_82</t>
  </si>
  <si>
    <t>2026-08-01_83</t>
  </si>
  <si>
    <t>2026-08-01_84</t>
  </si>
  <si>
    <t>2026-08-01_85</t>
  </si>
  <si>
    <t>FCR_2026-08-01T19:00:00Z</t>
  </si>
  <si>
    <t>aFRRUp_2026-08-01T19:00:00Z</t>
  </si>
  <si>
    <t>aFRRDown_2026-08-01T19:00:00Z</t>
  </si>
  <si>
    <t>2026-08-01_86</t>
  </si>
  <si>
    <t>2026-08-01_87</t>
  </si>
  <si>
    <t>2026-08-01_88</t>
  </si>
  <si>
    <t>2026-08-01_89</t>
  </si>
  <si>
    <t>FCR_2026-08-01T20:00:00Z</t>
  </si>
  <si>
    <t>aFRRUp_2026-08-01T20:00:00Z</t>
  </si>
  <si>
    <t>aFRRDown_2026-08-01T20:00:00Z</t>
  </si>
  <si>
    <t>2026-08-01_90</t>
  </si>
  <si>
    <t>2026-08-01_91</t>
  </si>
  <si>
    <t>2026-08-01_92</t>
  </si>
  <si>
    <t>2026-08-01_93</t>
  </si>
  <si>
    <t>FCR_2026-08-01T21:00:00Z</t>
  </si>
  <si>
    <t>aFRRUp_2026-08-01T21:00:00Z</t>
  </si>
  <si>
    <t>aFRRDown_2026-08-01T21:00:00Z</t>
  </si>
  <si>
    <t>2026-08-02</t>
  </si>
  <si>
    <t>2026-08-01_94</t>
  </si>
  <si>
    <t>2026-08-01_95</t>
  </si>
  <si>
    <t>2026-08-01_96</t>
  </si>
  <si>
    <t>2026-08-02_1</t>
  </si>
  <si>
    <t>DA_2026-08-02@dd15ca7d2c57</t>
  </si>
  <si>
    <t>FCR_2026-08-01T22:00:00Z</t>
  </si>
  <si>
    <t>aFRRUp_2026-08-01T22:00:00Z</t>
  </si>
  <si>
    <t>aFRRDown_2026-08-01T22:00:00Z</t>
  </si>
  <si>
    <t>2026-08-02_2</t>
  </si>
  <si>
    <t>2026-08-02_3</t>
  </si>
  <si>
    <t>2026-08-02_4</t>
  </si>
  <si>
    <t>2026-08-02_5</t>
  </si>
  <si>
    <t>FCR_2026-08-01T23:00:00Z</t>
  </si>
  <si>
    <t>aFRRUp_2026-08-01T23:00:00Z</t>
  </si>
  <si>
    <t>aFRRDown_2026-08-01T23:00:00Z</t>
  </si>
  <si>
    <t>2026-08-02_6</t>
  </si>
  <si>
    <t>2026-08-02_7</t>
  </si>
  <si>
    <t>2026-08-02_8</t>
  </si>
  <si>
    <t>2026-08-02_9</t>
  </si>
  <si>
    <t>FCR_2026-08-02T00:00:00Z</t>
  </si>
  <si>
    <t>aFRRUp_2026-08-02T00:00:00Z</t>
  </si>
  <si>
    <t>aFRRDown_2026-08-02T00:00:00Z</t>
  </si>
  <si>
    <t>2026-08-02_10</t>
  </si>
  <si>
    <t>2026-08-02_11</t>
  </si>
  <si>
    <t>2026-08-02_12</t>
  </si>
  <si>
    <t>2026-08-02_13</t>
  </si>
  <si>
    <t>FCR_2026-08-02T01:00:00Z</t>
  </si>
  <si>
    <t>aFRRUp_2026-08-02T01:00:00Z</t>
  </si>
  <si>
    <t>aFRRDown_2026-08-02T01:00:00Z</t>
  </si>
  <si>
    <t>2026-08-02_14</t>
  </si>
  <si>
    <t>2026-08-02_15</t>
  </si>
  <si>
    <t>2026-08-02_16</t>
  </si>
  <si>
    <t>2026-08-02_17</t>
  </si>
  <si>
    <t>FCR_2026-08-02T02:00:00Z</t>
  </si>
  <si>
    <t>aFRRUp_2026-08-02T02:00:00Z</t>
  </si>
  <si>
    <t>aFRRDown_2026-08-02T02:00:00Z</t>
  </si>
  <si>
    <t>2026-08-02_18</t>
  </si>
  <si>
    <t>2026-08-02_19</t>
  </si>
  <si>
    <t>2026-08-02_20</t>
  </si>
  <si>
    <t>2026-08-02_21</t>
  </si>
  <si>
    <t>FCR_2026-08-02T03:00:00Z</t>
  </si>
  <si>
    <t>aFRRUp_2026-08-02T03:00:00Z</t>
  </si>
  <si>
    <t>aFRRDown_2026-08-02T03:00:00Z</t>
  </si>
  <si>
    <t>2026-08-02_22</t>
  </si>
  <si>
    <t>2026-08-02_23</t>
  </si>
  <si>
    <t>2026-08-02_24</t>
  </si>
  <si>
    <t>2026-08-02_25</t>
  </si>
  <si>
    <t>FCR_2026-08-02T04:00:00Z</t>
  </si>
  <si>
    <t>aFRRUp_2026-08-02T04:00:00Z</t>
  </si>
  <si>
    <t>aFRRDown_2026-08-02T04:00:00Z</t>
  </si>
  <si>
    <t>2026-08-02_26</t>
  </si>
  <si>
    <t>2026-08-02_27</t>
  </si>
  <si>
    <t>2026-08-02_28</t>
  </si>
  <si>
    <t>2026-08-02_29</t>
  </si>
  <si>
    <t>FCR_2026-08-02T05:00:00Z</t>
  </si>
  <si>
    <t>aFRRUp_2026-08-02T05:00:00Z</t>
  </si>
  <si>
    <t>aFRRDown_2026-08-02T05:00:00Z</t>
  </si>
  <si>
    <t>2026-08-02_30</t>
  </si>
  <si>
    <t>2026-08-02_31</t>
  </si>
  <si>
    <t>2026-08-02_32</t>
  </si>
  <si>
    <t>2026-08-02_33</t>
  </si>
  <si>
    <t>FCR_2026-08-02T06:00:00Z</t>
  </si>
  <si>
    <t>aFRRUp_2026-08-02T06:00:00Z</t>
  </si>
  <si>
    <t>aFRRDown_2026-08-02T06:00:00Z</t>
  </si>
  <si>
    <t>2026-08-02_34</t>
  </si>
  <si>
    <t>2026-08-02_35</t>
  </si>
  <si>
    <t>2026-08-02_36</t>
  </si>
  <si>
    <t>2026-08-02_37</t>
  </si>
  <si>
    <t>FCR_2026-08-02T07:00:00Z</t>
  </si>
  <si>
    <t>aFRRUp_2026-08-02T07:00:00Z</t>
  </si>
  <si>
    <t>aFRRDown_2026-08-02T07:00:00Z</t>
  </si>
  <si>
    <t>2026-08-02_38</t>
  </si>
  <si>
    <t>2026-08-02_39</t>
  </si>
  <si>
    <t>2026-08-02_40</t>
  </si>
  <si>
    <t>2026-08-02_41</t>
  </si>
  <si>
    <t>FCR_2026-08-02T08:00:00Z</t>
  </si>
  <si>
    <t>aFRRUp_2026-08-02T08:00:00Z</t>
  </si>
  <si>
    <t>aFRRDown_2026-08-02T08:00:00Z</t>
  </si>
  <si>
    <t>2026-08-02_42</t>
  </si>
  <si>
    <t>2026-08-02_43</t>
  </si>
  <si>
    <t>2026-08-02_44</t>
  </si>
  <si>
    <t>2026-08-02_45</t>
  </si>
  <si>
    <t>FCR_2026-08-02T09:00:00Z</t>
  </si>
  <si>
    <t>aFRRUp_2026-08-02T09:00:00Z</t>
  </si>
  <si>
    <t>aFRRDown_2026-08-02T09:00:00Z</t>
  </si>
  <si>
    <t>2026-08-02_46</t>
  </si>
  <si>
    <t>2026-08-02_47</t>
  </si>
  <si>
    <t>2026-08-02_48</t>
  </si>
  <si>
    <t>2026-08-02_49</t>
  </si>
  <si>
    <t>FCR_2026-08-02T10:00:00Z</t>
  </si>
  <si>
    <t>aFRRUp_2026-08-02T10:00:00Z</t>
  </si>
  <si>
    <t>aFRRDown_2026-08-02T10:00:00Z</t>
  </si>
  <si>
    <t>2026-08-02_50</t>
  </si>
  <si>
    <t>2026-08-02_51</t>
  </si>
  <si>
    <t>2026-08-02_52</t>
  </si>
  <si>
    <t>2026-08-02_53</t>
  </si>
  <si>
    <t>FCR_2026-08-02T11:00:00Z</t>
  </si>
  <si>
    <t>aFRRUp_2026-08-02T11:00:00Z</t>
  </si>
  <si>
    <t>aFRRDown_2026-08-02T11:00:00Z</t>
  </si>
  <si>
    <t>2026-08-02_54</t>
  </si>
  <si>
    <t>2026-08-02_55</t>
  </si>
  <si>
    <t>2026-08-02_56</t>
  </si>
  <si>
    <t>2026-08-02_57</t>
  </si>
  <si>
    <t>FCR_2026-08-02T12:00:00Z</t>
  </si>
  <si>
    <t>aFRRUp_2026-08-02T12:00:00Z</t>
  </si>
  <si>
    <t>aFRRDown_2026-08-02T12:00:00Z</t>
  </si>
  <si>
    <t>2026-08-02_58</t>
  </si>
  <si>
    <t>2026-08-02_59</t>
  </si>
  <si>
    <t>2026-08-02_60</t>
  </si>
  <si>
    <t>2026-08-02_61</t>
  </si>
  <si>
    <t>FCR_2026-08-02T13:00:00Z</t>
  </si>
  <si>
    <t>aFRRUp_2026-08-02T13:00:00Z</t>
  </si>
  <si>
    <t>aFRRDown_2026-08-02T13:00:00Z</t>
  </si>
  <si>
    <t>2026-08-02_62</t>
  </si>
  <si>
    <t>2026-08-02_63</t>
  </si>
  <si>
    <t>2026-08-02_64</t>
  </si>
  <si>
    <t>2026-08-02_65</t>
  </si>
  <si>
    <t>FCR_2026-08-02T14:00:00Z</t>
  </si>
  <si>
    <t>aFRRUp_2026-08-02T14:00:00Z</t>
  </si>
  <si>
    <t>aFRRDown_2026-08-02T14:00:00Z</t>
  </si>
  <si>
    <t>2026-08-02_66</t>
  </si>
  <si>
    <t>2026-08-02_67</t>
  </si>
  <si>
    <t>2026-08-02_68</t>
  </si>
  <si>
    <t>2026-08-02_69</t>
  </si>
  <si>
    <t>FCR_2026-08-02T15:00:00Z</t>
  </si>
  <si>
    <t>aFRRUp_2026-08-02T15:00:00Z</t>
  </si>
  <si>
    <t>aFRRDown_2026-08-02T15:00:00Z</t>
  </si>
  <si>
    <t>2026-08-02_70</t>
  </si>
  <si>
    <t>2026-08-02_71</t>
  </si>
  <si>
    <t>2026-08-02_72</t>
  </si>
  <si>
    <t>2026-08-02_73</t>
  </si>
  <si>
    <t>FCR_2026-08-02T16:00:00Z</t>
  </si>
  <si>
    <t>aFRRUp_2026-08-02T16:00:00Z</t>
  </si>
  <si>
    <t>aFRRDown_2026-08-02T16:00:00Z</t>
  </si>
  <si>
    <t>2026-08-02_74</t>
  </si>
  <si>
    <t>2026-08-02_75</t>
  </si>
  <si>
    <t>2026-08-02_76</t>
  </si>
  <si>
    <t>2026-08-02_77</t>
  </si>
  <si>
    <t>FCR_2026-08-02T17:00:00Z</t>
  </si>
  <si>
    <t>aFRRUp_2026-08-02T17:00:00Z</t>
  </si>
  <si>
    <t>aFRRDown_2026-08-02T17:00:00Z</t>
  </si>
  <si>
    <t>2026-08-02_78</t>
  </si>
  <si>
    <t>2026-08-02_79</t>
  </si>
  <si>
    <t>2026-08-02_80</t>
  </si>
  <si>
    <t>2026-08-02_81</t>
  </si>
  <si>
    <t>FCR_2026-08-02T18:00:00Z</t>
  </si>
  <si>
    <t>aFRRUp_2026-08-02T18:00:00Z</t>
  </si>
  <si>
    <t>aFRRDown_2026-08-02T18:00:00Z</t>
  </si>
  <si>
    <t>2026-08-02_82</t>
  </si>
  <si>
    <t>2026-08-02_83</t>
  </si>
  <si>
    <t>2026-08-02_84</t>
  </si>
  <si>
    <t>2026-08-02_85</t>
  </si>
  <si>
    <t>FCR_2026-08-02T19:00:00Z</t>
  </si>
  <si>
    <t>aFRRUp_2026-08-02T19:00:00Z</t>
  </si>
  <si>
    <t>aFRRDown_2026-08-02T19:00:00Z</t>
  </si>
  <si>
    <t>2026-08-02_86</t>
  </si>
  <si>
    <t>2026-08-02_87</t>
  </si>
  <si>
    <t>2026-08-02_88</t>
  </si>
  <si>
    <t>2026-08-02_89</t>
  </si>
  <si>
    <t>FCR_2026-08-02T20:00:00Z</t>
  </si>
  <si>
    <t>aFRRUp_2026-08-02T20:00:00Z</t>
  </si>
  <si>
    <t>aFRRDown_2026-08-02T20:00:00Z</t>
  </si>
  <si>
    <t>2026-08-02_90</t>
  </si>
  <si>
    <t>2026-08-02_91</t>
  </si>
  <si>
    <t>2026-08-02_92</t>
  </si>
  <si>
    <t>2026-08-02_93</t>
  </si>
  <si>
    <t>FCR_2026-08-02T21:00:00Z</t>
  </si>
  <si>
    <t>aFRRUp_2026-08-02T21:00:00Z</t>
  </si>
  <si>
    <t>aFRRDown_2026-08-02T21:00:00Z</t>
  </si>
  <si>
    <t>2026-08-03</t>
  </si>
  <si>
    <t>2026-08-02_94</t>
  </si>
  <si>
    <t>2026-08-02_95</t>
  </si>
  <si>
    <t>2026-08-02_96</t>
  </si>
  <si>
    <t>2026-08-03_1</t>
  </si>
  <si>
    <t>DA_2026-08-03@565fd6053c85</t>
  </si>
  <si>
    <t>FCR_2026-08-02T22:00:00Z</t>
  </si>
  <si>
    <t>aFRRUp_2026-08-02T22:00:00Z</t>
  </si>
  <si>
    <t>aFRRDown_2026-08-02T22:00:00Z</t>
  </si>
  <si>
    <t>2026-08-03_2</t>
  </si>
  <si>
    <t>2026-08-03_3</t>
  </si>
  <si>
    <t>2026-08-03_4</t>
  </si>
  <si>
    <t>2026-08-03_5</t>
  </si>
  <si>
    <t>FCR_2026-08-02T23:00:00Z</t>
  </si>
  <si>
    <t>aFRRUp_2026-08-02T23:00:00Z</t>
  </si>
  <si>
    <t>aFRRDown_2026-08-02T23:00:00Z</t>
  </si>
  <si>
    <t>2026-08-03_6</t>
  </si>
  <si>
    <t>2026-08-03_7</t>
  </si>
  <si>
    <t>2026-08-03_8</t>
  </si>
  <si>
    <t>2026-08-03_9</t>
  </si>
  <si>
    <t>FCR_2026-08-03T00:00:00Z</t>
  </si>
  <si>
    <t>aFRRUp_2026-08-03T00:00:00Z</t>
  </si>
  <si>
    <t>aFRRDown_2026-08-03T00:00:00Z</t>
  </si>
  <si>
    <t>2026-08-03_10</t>
  </si>
  <si>
    <t>2026-08-03_11</t>
  </si>
  <si>
    <t>2026-08-03_12</t>
  </si>
  <si>
    <t>2026-08-03_13</t>
  </si>
  <si>
    <t>FCR_2026-08-03T01:00:00Z</t>
  </si>
  <si>
    <t>aFRRUp_2026-08-03T01:00:00Z</t>
  </si>
  <si>
    <t>aFRRDown_2026-08-03T01:00:00Z</t>
  </si>
  <si>
    <t>2026-08-03_14</t>
  </si>
  <si>
    <t>2026-08-03_15</t>
  </si>
  <si>
    <t>2026-08-03_16</t>
  </si>
  <si>
    <t>2026-08-03_17</t>
  </si>
  <si>
    <t>FCR_2026-08-03T02:00:00Z</t>
  </si>
  <si>
    <t>aFRRUp_2026-08-03T02:00:00Z</t>
  </si>
  <si>
    <t>aFRRDown_2026-08-03T02:00:00Z</t>
  </si>
  <si>
    <t>2026-08-03_18</t>
  </si>
  <si>
    <t>2026-08-03_19</t>
  </si>
  <si>
    <t>2026-08-03_20</t>
  </si>
  <si>
    <t>2026-08-03_21</t>
  </si>
  <si>
    <t>FCR_2026-08-03T03:00:00Z</t>
  </si>
  <si>
    <t>aFRRUp_2026-08-03T03:00:00Z</t>
  </si>
  <si>
    <t>aFRRDown_2026-08-03T03:00:00Z</t>
  </si>
  <si>
    <t>2026-08-03_22</t>
  </si>
  <si>
    <t>2026-08-03_23</t>
  </si>
  <si>
    <t>2026-08-03_24</t>
  </si>
  <si>
    <t>2026-08-03_25</t>
  </si>
  <si>
    <t>FCR_2026-08-03T04:00:00Z</t>
  </si>
  <si>
    <t>aFRRUp_2026-08-03T04:00:00Z</t>
  </si>
  <si>
    <t>aFRRDown_2026-08-03T04:00:00Z</t>
  </si>
  <si>
    <t>ALPHA_OUTSIDE_SIMPLEX</t>
  </si>
  <si>
    <t>2026-08-03_26</t>
  </si>
  <si>
    <t>2026-08-03_27</t>
  </si>
  <si>
    <t>OTHER_QH_IN_SAME_HOUR_INVALID</t>
  </si>
  <si>
    <t>2026-08-03_28</t>
  </si>
  <si>
    <t>2026-08-03_29</t>
  </si>
  <si>
    <t>FCR_2026-08-03T05:00:00Z</t>
  </si>
  <si>
    <t>aFRRUp_2026-08-03T05:00:00Z</t>
  </si>
  <si>
    <t>aFRRDown_2026-08-03T05:00:00Z</t>
  </si>
  <si>
    <t>2026-08-03_30</t>
  </si>
  <si>
    <t>2026-08-03_31</t>
  </si>
  <si>
    <t>2026-08-03_32</t>
  </si>
  <si>
    <t>2026-08-03_33</t>
  </si>
  <si>
    <t>FCR_2026-08-03T06:00:00Z</t>
  </si>
  <si>
    <t>aFRRUp_2026-08-03T06:00:00Z</t>
  </si>
  <si>
    <t>aFRRDown_2026-08-03T06:00:00Z</t>
  </si>
  <si>
    <t>2026-08-03_34</t>
  </si>
  <si>
    <t>2026-08-03_35</t>
  </si>
  <si>
    <t>2026-08-03_36</t>
  </si>
  <si>
    <t>2026-08-03_37</t>
  </si>
  <si>
    <t>FCR_2026-08-03T07:00:00Z</t>
  </si>
  <si>
    <t>aFRRUp_2026-08-03T07:00:00Z</t>
  </si>
  <si>
    <t>aFRRDown_2026-08-03T07:00:00Z</t>
  </si>
  <si>
    <t>2026-08-03_38</t>
  </si>
  <si>
    <t>2026-08-03_39</t>
  </si>
  <si>
    <t>2026-08-03_40</t>
  </si>
  <si>
    <t>2026-08-03_41</t>
  </si>
  <si>
    <t>FCR_2026-08-03T08:00:00Z</t>
  </si>
  <si>
    <t>aFRRUp_2026-08-03T08:00:00Z</t>
  </si>
  <si>
    <t>aFRRDown_2026-08-03T08:00:00Z</t>
  </si>
  <si>
    <t>2026-08-03_42</t>
  </si>
  <si>
    <t>2026-08-03_43</t>
  </si>
  <si>
    <t>2026-08-03_44</t>
  </si>
  <si>
    <t>2026-08-03_45</t>
  </si>
  <si>
    <t>FCR_2026-08-03T09:00:00Z</t>
  </si>
  <si>
    <t>aFRRUp_2026-08-03T09:00:00Z</t>
  </si>
  <si>
    <t>aFRRDown_2026-08-03T09:00:00Z</t>
  </si>
  <si>
    <t>2026-08-03_46</t>
  </si>
  <si>
    <t>2026-08-03_47</t>
  </si>
  <si>
    <t>2026-08-03_48</t>
  </si>
  <si>
    <t>2026-08-03_49</t>
  </si>
  <si>
    <t>FCR_2026-08-03T10:00:00Z</t>
  </si>
  <si>
    <t>aFRRUp_2026-08-03T10:00:00Z</t>
  </si>
  <si>
    <t>aFRRDown_2026-08-03T10:00:00Z</t>
  </si>
  <si>
    <t>2026-08-03_50</t>
  </si>
  <si>
    <t>2026-08-03_51</t>
  </si>
  <si>
    <t>2026-08-03_52</t>
  </si>
  <si>
    <t>2026-08-03_53</t>
  </si>
  <si>
    <t>FCR_2026-08-03T11:00:00Z</t>
  </si>
  <si>
    <t>aFRRUp_2026-08-03T11:00:00Z</t>
  </si>
  <si>
    <t>aFRRDown_2026-08-03T11:00:00Z</t>
  </si>
  <si>
    <t>2026-08-03_54</t>
  </si>
  <si>
    <t>2026-08-03_55</t>
  </si>
  <si>
    <t>2026-08-03_56</t>
  </si>
  <si>
    <t>2026-08-03_57</t>
  </si>
  <si>
    <t>FCR_2026-08-03T12:00:00Z</t>
  </si>
  <si>
    <t>aFRRUp_2026-08-03T12:00:00Z</t>
  </si>
  <si>
    <t>aFRRDown_2026-08-03T12:00:00Z</t>
  </si>
  <si>
    <t>2026-08-03_58</t>
  </si>
  <si>
    <t>2026-08-03_59</t>
  </si>
  <si>
    <t>2026-08-03_60</t>
  </si>
  <si>
    <t>2026-08-03_61</t>
  </si>
  <si>
    <t>FCR_2026-08-03T13:00:00Z</t>
  </si>
  <si>
    <t>aFRRUp_2026-08-03T13:00:00Z</t>
  </si>
  <si>
    <t>aFRRDown_2026-08-03T13:00:00Z</t>
  </si>
  <si>
    <t>2026-08-03_62</t>
  </si>
  <si>
    <t>2026-08-03_63</t>
  </si>
  <si>
    <t>2026-08-03_64</t>
  </si>
  <si>
    <t>2026-08-03_65</t>
  </si>
  <si>
    <t>FCR_2026-08-03T14:00:00Z</t>
  </si>
  <si>
    <t>aFRRUp_2026-08-03T14:00:00Z</t>
  </si>
  <si>
    <t>aFRRDown_2026-08-03T14:00:00Z</t>
  </si>
  <si>
    <t>2026-08-03_66</t>
  </si>
  <si>
    <t>2026-08-03_67</t>
  </si>
  <si>
    <t>2026-08-03_68</t>
  </si>
  <si>
    <t>2026-08-03_69</t>
  </si>
  <si>
    <t>FCR_2026-08-03T15:00:00Z</t>
  </si>
  <si>
    <t>aFRRUp_2026-08-03T15:00:00Z</t>
  </si>
  <si>
    <t>aFRRDown_2026-08-03T15:00:00Z</t>
  </si>
  <si>
    <t>2026-08-03_70</t>
  </si>
  <si>
    <t>2026-08-03_71</t>
  </si>
  <si>
    <t>2026-08-03_72</t>
  </si>
  <si>
    <t>2026-08-03_73</t>
  </si>
  <si>
    <t>FCR_2026-08-03T16:00:00Z</t>
  </si>
  <si>
    <t>aFRRUp_2026-08-03T16:00:00Z</t>
  </si>
  <si>
    <t>aFRRDown_2026-08-03T16:00:00Z</t>
  </si>
  <si>
    <t>2026-08-03_74</t>
  </si>
  <si>
    <t>2026-08-03_75</t>
  </si>
  <si>
    <t>2026-08-03_76</t>
  </si>
  <si>
    <t>2026-08-03_77</t>
  </si>
  <si>
    <t>FCR_2026-08-03T17:00:00Z</t>
  </si>
  <si>
    <t>aFRRUp_2026-08-03T17:00:00Z</t>
  </si>
  <si>
    <t>aFRRDown_2026-08-03T17:00:00Z</t>
  </si>
  <si>
    <t>2026-08-03_78</t>
  </si>
  <si>
    <t>2026-08-03_79</t>
  </si>
  <si>
    <t>2026-08-03_80</t>
  </si>
  <si>
    <t>2026-08-03_81</t>
  </si>
  <si>
    <t>FCR_2026-08-03T18:00:00Z</t>
  </si>
  <si>
    <t>aFRRUp_2026-08-03T18:00:00Z</t>
  </si>
  <si>
    <t>aFRRDown_2026-08-03T18:00:00Z</t>
  </si>
  <si>
    <t>2026-08-03_82</t>
  </si>
  <si>
    <t>2026-08-03_83</t>
  </si>
  <si>
    <t>2026-08-03_84</t>
  </si>
  <si>
    <t>2026-08-03_85</t>
  </si>
  <si>
    <t>FCR_2026-08-03T19:00:00Z</t>
  </si>
  <si>
    <t>aFRRUp_2026-08-03T19:00:00Z</t>
  </si>
  <si>
    <t>aFRRDown_2026-08-03T19:00:00Z</t>
  </si>
  <si>
    <t>2026-08-03_86</t>
  </si>
  <si>
    <t>2026-08-03_87</t>
  </si>
  <si>
    <t>2026-08-03_88</t>
  </si>
  <si>
    <t>2026-08-03_89</t>
  </si>
  <si>
    <t>FCR_2026-08-03T20:00:00Z</t>
  </si>
  <si>
    <t>aFRRUp_2026-08-03T20:00:00Z</t>
  </si>
  <si>
    <t>aFRRDown_2026-08-03T20:00:00Z</t>
  </si>
  <si>
    <t>2026-08-03_90</t>
  </si>
  <si>
    <t>2026-08-03_91</t>
  </si>
  <si>
    <t>2026-08-03_92</t>
  </si>
  <si>
    <t>版本</t>
  </si>
  <si>
    <t>2026-10-04月度份额版，100MW/200MWh，全EUR，无旧100%/80%/60%现金系数。</t>
  </si>
  <si>
    <t>价格</t>
  </si>
  <si>
    <t>DA及激活EUR/MWh，容量EUR/(MW·h)。FCR/aFRR容量均来自DAMAS averageAcceptedPrice，并非本站报价。</t>
  </si>
  <si>
    <t>汇率</t>
  </si>
  <si>
    <t>按Bucharest交付日，取严格早于交付日的最近BNR参考日。原数据已换汇，本表不再次换汇。</t>
  </si>
  <si>
    <t>现金</t>
  </si>
  <si>
    <t>六类市场毛现金，不是实际发票、到账款或净利润。窗口残值不计入每日现金。</t>
  </si>
  <si>
    <t>下调符号</t>
  </si>
  <si>
    <t>下调激活现金=−激活MWh×原下调价格。负价格形成正现金。</t>
  </si>
  <si>
    <t>激活比例</t>
  </si>
  <si>
    <t>系统激活MWh÷(系统已采购MW×0.25h)。本站激活=中标MW×有效比例×0.25h。</t>
  </si>
  <si>
    <t>门禁</t>
  </si>
  <si>
    <t>aFRR任一季度必要数据异常则完整小时禁用；有效比例0仅表示模型无aFRR义务，不替换原数据。</t>
  </si>
  <si>
    <t>FCR</t>
  </si>
  <si>
    <t>仅容量机会价值。已预留双向功率和30分钟能量缓冲，未计频率激活、恢复损耗及额外循环。</t>
  </si>
  <si>
    <t>信息</t>
  </si>
  <si>
    <t>两日历史价格、激活比例及整月份额是事后完美信息输入，不表示当时已可获得。</t>
  </si>
  <si>
    <t>三相</t>
  </si>
  <si>
    <t>下调、上调、无激活顺序为模型假设。相位时间由比例展开，不是实际AGC时间。</t>
  </si>
  <si>
    <t>计划复原</t>
  </si>
  <si>
    <t>每日事务只存当日执行相位。次日轨迹由本窗冻结订单及下一日执行记录确定性复原，已核对订单、SOC连续及两日目标。</t>
  </si>
  <si>
    <t>来源</t>
  </si>
  <si>
    <t>价格由OPCOM、Transelectrica/DAMAS提供，汇率由BNR提供。逐件来源键、URL和哈希如下。</t>
  </si>
  <si>
    <t>模型代码SHA256</t>
  </si>
  <si>
    <t>fcc1efda3bd2458daafba581b0894741497405235d98ec79e9bf6f7fa20aca5b</t>
  </si>
  <si>
    <t>价格输入SHA256</t>
  </si>
  <si>
    <t>0529c9ce3aaaa9024c91e32ef4290d66945b20407c3d301c3602c5e48d8a375a</t>
  </si>
  <si>
    <t>容量需求SHA256</t>
  </si>
  <si>
    <t>3b4d48ccba337c041647bbd6029140063fcfea11b89362c660bab660da75029e</t>
  </si>
  <si>
    <t>运行manifest SHA256</t>
  </si>
  <si>
    <t>df609d3577b19605678950ce704142fa58a24a94609538569162dbfb05464782</t>
  </si>
  <si>
    <t>来源键</t>
  </si>
  <si>
    <t>机构</t>
  </si>
  <si>
    <t>官方URL</t>
  </si>
  <si>
    <t>原件SHA256</t>
  </si>
  <si>
    <t>获取UTC</t>
  </si>
  <si>
    <t>OPCOM</t>
  </si>
  <si>
    <t>https://www.opcom.ro/rapoarte-pzu-raportPIP-export-csv/31/07/2026/en?resolution=15</t>
  </si>
  <si>
    <t>0049cc5f7b4dd15de913024fc124dedd6a53c27ecfd34f702714ceb42a39c5f9</t>
  </si>
  <si>
    <t>https://www.opcom.ro/rapoarte-pzu-raportPIP-export-csv/01/08/2026/en?resolution=15</t>
  </si>
  <si>
    <t>5135e8067e27feee68aecefe95277d8657682fabef0c42affbd9a91d6e5afd74</t>
  </si>
  <si>
    <t>https://www.opcom.ro/rapoarte-pzu-raportPIP-export-csv/02/08/2026/en?resolution=15</t>
  </si>
  <si>
    <t>dd15ca7d2c5789b1ab126c8863b6b51abaa1efff65e0c6a89817dd55560b0e98</t>
  </si>
  <si>
    <t>https://www.opcom.ro/rapoarte-pzu-raportPIP-export-csv/03/08/2026/en?resolution=15</t>
  </si>
  <si>
    <t>565fd6053c850f21e8b8eafd3ddf9f99f1d169fb582f836b93885f106cf42f60</t>
  </si>
  <si>
    <t>Transelectrica / DAMAS II</t>
  </si>
  <si>
    <t>https://newmarkets.transelectrica.ro/usy-durom-publicreportg01/00121002500000000000000000000100/publicReport/tenderStatistics?timeInterval.from=2026-07-31T21%3A00%3A00Z&amp;timeInterval.to=2026-08-31T21%3A00%3A00Z&amp;pageInfo.pageSize=3000&amp;pageInfo.pageIndex=0</t>
  </si>
  <si>
    <t>d7daa98073034c0a1b0396b5b155c4d3d6959e22e361a7cf4d7c36c63d3b742f</t>
  </si>
  <si>
    <t>Transelectrica</t>
  </si>
  <si>
    <t>https://newmarkets.transelectrica.ro/usy-durom-publicreportg01/00121002500000000000000000000100/publicReport/marginalPricesOverview?timeInterval.from=2026-07-31T21%3A00%3A00Z&amp;timeInterval.to=2026-08-31T21%3A00%3A00Z&amp;pageInfo.pageSize=3000&amp;pageInfo.pageIndex=0</t>
  </si>
  <si>
    <t>4f1f9f7e4d3434821bef6b55bbf93aafc040753c1efcdbf1cf123561be8ceab4</t>
  </si>
  <si>
    <t>https://newmarkets.transelectrica.ro/usy-durom-publicreportg01/00121002500000000000000000000100/publicReport/activatedBalancingEnergyOverview?timeInterval.from=2026-07-31T21%3A00%3A00Z&amp;timeInterval.to=2026-08-31T21%3A00%3A00Z&amp;pageInfo.pageSize=3000&amp;pageInfo.pageIndex=0</t>
  </si>
  <si>
    <t>914407f42f6a0bbd5293f06ac3b9a81b9413b576c7643fa9f58a6267336d4b2b</t>
  </si>
  <si>
    <t>BNR</t>
  </si>
  <si>
    <t>https://curs.bnr.ro/files/xml/years/nbrfxrates2026.xml</t>
  </si>
  <si>
    <t>9bb4cfc29e8fd348249cc05cf0493159f870bd55a150b3b80b122a8998974276</t>
  </si>
  <si>
    <t>1hr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</si>
</sst>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%"/>
    <numFmt numFmtId="177" formatCode="#,##0.000000;[Red]\(#,##0.000000\);0.000000"/>
    <numFmt numFmtId="178" formatCode="yyyy\-mm\-dd\ hh:mm:ss"/>
    <numFmt numFmtId="179" formatCode="yyyy\-mm\-dd"/>
    <numFmt numFmtId="180" formatCode="yyyy\-mm\-dd\ hh:mm"/>
    <numFmt numFmtId="181" formatCode="[&gt;=0.000005]0.000000;[&lt;=-0.000005]\(0.000000\);&quot;0.000000&quot;"/>
    <numFmt numFmtId="182" formatCode="yyyy\-mm\-dd\ hh:mm:ss.000"/>
    <numFmt numFmtId="183" formatCode="0.000000%"/>
  </numFmts>
  <fonts count="11" x14ac:knownFonts="1">
    <font>
      <sz val="11"/>
      <name val="Carlito"/>
    </font>
    <font>
      <sz val="10"/>
      <color rgb="FF202B3A"/>
      <name val="Arial"/>
    </font>
    <font>
      <b/>
      <sz val="14"/>
      <color rgb="FF202B3A"/>
      <name val="Arial"/>
    </font>
    <font>
      <i/>
      <sz val="10"/>
      <color rgb="FF566374"/>
      <name val="Arial"/>
    </font>
    <font>
      <sz val="10"/>
      <color rgb="FF2459A6"/>
      <name val="Arial"/>
    </font>
    <font>
      <b/>
      <sz val="10"/>
      <color rgb="FFFFFFFF"/>
      <name val="Arial"/>
    </font>
    <font>
      <b/>
      <sz val="10"/>
      <color rgb="FF202B3A"/>
      <name val="Arial"/>
    </font>
    <font>
      <b/>
      <i/>
      <sz val="10"/>
      <color rgb="FFFFFFFF"/>
      <name val="Arial"/>
    </font>
    <font>
      <sz val="11"/>
      <name val="Carlito"/>
    </font>
    <font>
      <sz val="9"/>
      <name val="宋体"/>
      <family val="3"/>
      <charset val="134"/>
    </font>
    <font>
      <sz val="10"/>
      <color rgb="FF202B3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3B59"/>
      </patternFill>
    </fill>
    <fill>
      <patternFill patternType="solid">
        <fgColor rgb="FFEEF3FA"/>
      </patternFill>
    </fill>
    <fill>
      <patternFill patternType="solid">
        <fgColor rgb="FFF3F5F7"/>
      </patternFill>
    </fill>
    <fill>
      <patternFill patternType="solid">
        <fgColor rgb="FFEDF4ED"/>
      </patternFill>
    </fill>
  </fills>
  <borders count="2">
    <border>
      <left/>
      <right/>
      <top/>
      <bottom/>
      <diagonal/>
    </border>
    <border>
      <left/>
      <right/>
      <top style="medium">
        <color rgb="FF213B59"/>
      </top>
      <bottom/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176" fontId="4" fillId="0" borderId="0" xfId="1" applyNumberFormat="1" applyFont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177" fontId="4" fillId="0" borderId="0" xfId="1" applyNumberFormat="1" applyFont="1" applyAlignment="1">
      <alignment vertical="center"/>
    </xf>
    <xf numFmtId="177" fontId="4" fillId="0" borderId="0" xfId="1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8" fontId="4" fillId="0" borderId="0" xfId="1" applyNumberFormat="1" applyFont="1" applyAlignment="1">
      <alignment vertical="center"/>
    </xf>
    <xf numFmtId="179" fontId="4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177" fontId="1" fillId="0" borderId="0" xfId="1" applyNumberFormat="1" applyFont="1" applyAlignment="1">
      <alignment vertical="center"/>
    </xf>
    <xf numFmtId="180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vertical="center"/>
    </xf>
    <xf numFmtId="177" fontId="1" fillId="3" borderId="0" xfId="1" applyNumberFormat="1" applyFont="1" applyFill="1" applyAlignment="1">
      <alignment vertical="center"/>
    </xf>
    <xf numFmtId="177" fontId="1" fillId="4" borderId="0" xfId="1" applyNumberFormat="1" applyFont="1" applyFill="1" applyAlignment="1">
      <alignment vertical="center"/>
    </xf>
    <xf numFmtId="177" fontId="1" fillId="5" borderId="0" xfId="1" applyNumberFormat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81" fontId="1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177" fontId="6" fillId="0" borderId="0" xfId="1" applyNumberFormat="1" applyFont="1" applyAlignment="1">
      <alignment vertical="center"/>
    </xf>
    <xf numFmtId="180" fontId="1" fillId="0" borderId="1" xfId="1" applyNumberFormat="1" applyFont="1" applyBorder="1" applyAlignment="1">
      <alignment vertical="center"/>
    </xf>
    <xf numFmtId="177" fontId="1" fillId="3" borderId="1" xfId="1" applyNumberFormat="1" applyFont="1" applyFill="1" applyBorder="1" applyAlignment="1">
      <alignment vertical="center"/>
    </xf>
    <xf numFmtId="177" fontId="1" fillId="4" borderId="1" xfId="1" applyNumberFormat="1" applyFont="1" applyFill="1" applyBorder="1" applyAlignment="1">
      <alignment vertical="center"/>
    </xf>
    <xf numFmtId="177" fontId="1" fillId="5" borderId="1" xfId="1" applyNumberFormat="1" applyFont="1" applyFill="1" applyBorder="1" applyAlignment="1">
      <alignment vertical="center"/>
    </xf>
    <xf numFmtId="177" fontId="1" fillId="0" borderId="1" xfId="1" applyNumberFormat="1" applyFont="1" applyBorder="1" applyAlignment="1">
      <alignment vertical="center"/>
    </xf>
    <xf numFmtId="181" fontId="1" fillId="0" borderId="1" xfId="1" applyNumberFormat="1" applyFont="1" applyBorder="1" applyAlignment="1">
      <alignment vertical="center"/>
    </xf>
    <xf numFmtId="176" fontId="1" fillId="0" borderId="1" xfId="1" applyNumberFormat="1" applyFont="1" applyBorder="1" applyAlignment="1">
      <alignment vertical="center"/>
    </xf>
    <xf numFmtId="179" fontId="1" fillId="0" borderId="1" xfId="1" applyNumberFormat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182" fontId="1" fillId="0" borderId="0" xfId="1" applyNumberFormat="1" applyFont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183" fontId="1" fillId="0" borderId="0" xfId="1" applyNumberFormat="1" applyFont="1" applyAlignment="1">
      <alignment vertical="center"/>
    </xf>
    <xf numFmtId="0" fontId="10" fillId="0" borderId="0" xfId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15"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ill>
        <patternFill patternType="solid">
          <bgColor rgb="FFFBE3E3"/>
        </patternFill>
      </fill>
    </dxf>
    <dxf>
      <fill>
        <patternFill patternType="solid">
          <bgColor rgb="FFFBE3E3"/>
        </patternFill>
      </fill>
    </dxf>
    <dxf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  <dxf>
      <font>
        <color rgb="FFA52828"/>
      </font>
      <fill>
        <patternFill patternType="solid">
          <bgColor rgb="FFFBE3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3B59"/>
  </sheetPr>
  <dimension ref="A1:BK12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7" sqref="A5:XFD7"/>
    </sheetView>
  </sheetViews>
  <sheetFormatPr defaultRowHeight="14.25" x14ac:dyDescent="0.45"/>
  <cols>
    <col min="1" max="1" width="27" customWidth="1"/>
    <col min="2" max="25" width="19" customWidth="1"/>
    <col min="26" max="26" width="25" customWidth="1"/>
    <col min="27" max="45" width="19" customWidth="1"/>
    <col min="46" max="46" width="27" customWidth="1"/>
    <col min="47" max="47" width="28" customWidth="1"/>
    <col min="48" max="48" width="19" customWidth="1"/>
    <col min="49" max="49" width="36" customWidth="1"/>
    <col min="50" max="56" width="19" customWidth="1"/>
    <col min="57" max="62" width="66" customWidth="1"/>
    <col min="63" max="63" width="104" customWidth="1"/>
  </cols>
  <sheetData>
    <row r="1" spans="1:63" ht="21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21" customHeight="1" x14ac:dyDescent="0.4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ht="21" customHeight="1" x14ac:dyDescent="0.4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21" customHeight="1" x14ac:dyDescent="0.45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21" hidden="1" customHeight="1" x14ac:dyDescent="0.4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21" hidden="1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21" hidden="1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55.05" customHeight="1" x14ac:dyDescent="0.45">
      <c r="A8" s="6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6" t="s">
        <v>12</v>
      </c>
      <c r="K8" s="6" t="s">
        <v>13</v>
      </c>
      <c r="L8" s="6" t="s">
        <v>14</v>
      </c>
      <c r="M8" s="6" t="s">
        <v>15</v>
      </c>
      <c r="N8" s="6" t="s">
        <v>16</v>
      </c>
      <c r="O8" s="6" t="s">
        <v>17</v>
      </c>
      <c r="P8" s="6" t="s">
        <v>18</v>
      </c>
      <c r="Q8" s="6" t="s">
        <v>19</v>
      </c>
      <c r="R8" s="6" t="s">
        <v>20</v>
      </c>
      <c r="S8" s="6" t="s">
        <v>21</v>
      </c>
      <c r="T8" s="6" t="s">
        <v>22</v>
      </c>
      <c r="U8" s="6" t="s">
        <v>23</v>
      </c>
      <c r="V8" s="6" t="s">
        <v>24</v>
      </c>
      <c r="W8" s="6" t="s">
        <v>25</v>
      </c>
      <c r="X8" s="6" t="s">
        <v>26</v>
      </c>
      <c r="Y8" s="6" t="s">
        <v>27</v>
      </c>
      <c r="Z8" s="6" t="s">
        <v>28</v>
      </c>
      <c r="AA8" s="6" t="s">
        <v>29</v>
      </c>
      <c r="AB8" s="6" t="s">
        <v>30</v>
      </c>
      <c r="AC8" s="6" t="s">
        <v>31</v>
      </c>
      <c r="AD8" s="6" t="s">
        <v>32</v>
      </c>
      <c r="AE8" s="6" t="s">
        <v>33</v>
      </c>
      <c r="AF8" s="6" t="s">
        <v>34</v>
      </c>
      <c r="AG8" s="6" t="s">
        <v>35</v>
      </c>
      <c r="AH8" s="6" t="s">
        <v>36</v>
      </c>
      <c r="AI8" s="6" t="s">
        <v>37</v>
      </c>
      <c r="AJ8" s="6" t="s">
        <v>38</v>
      </c>
      <c r="AK8" s="6" t="s">
        <v>39</v>
      </c>
      <c r="AL8" s="6" t="s">
        <v>40</v>
      </c>
      <c r="AM8" s="6" t="s">
        <v>41</v>
      </c>
      <c r="AN8" s="6" t="s">
        <v>42</v>
      </c>
      <c r="AO8" s="6" t="s">
        <v>43</v>
      </c>
      <c r="AP8" s="6" t="s">
        <v>44</v>
      </c>
      <c r="AQ8" s="6" t="s">
        <v>45</v>
      </c>
      <c r="AR8" s="6" t="s">
        <v>46</v>
      </c>
      <c r="AS8" s="6" t="s">
        <v>47</v>
      </c>
      <c r="AT8" s="6" t="s">
        <v>48</v>
      </c>
      <c r="AU8" s="6" t="s">
        <v>49</v>
      </c>
      <c r="AV8" s="6" t="s">
        <v>50</v>
      </c>
      <c r="AW8" s="6" t="s">
        <v>51</v>
      </c>
      <c r="AX8" s="6" t="s">
        <v>52</v>
      </c>
      <c r="AY8" s="6" t="s">
        <v>53</v>
      </c>
      <c r="AZ8" s="6" t="s">
        <v>54</v>
      </c>
      <c r="BA8" s="6" t="s">
        <v>55</v>
      </c>
      <c r="BB8" s="6" t="s">
        <v>56</v>
      </c>
      <c r="BC8" s="6" t="s">
        <v>57</v>
      </c>
      <c r="BD8" s="6" t="s">
        <v>58</v>
      </c>
      <c r="BE8" s="6" t="s">
        <v>59</v>
      </c>
      <c r="BF8" s="6" t="s">
        <v>60</v>
      </c>
      <c r="BG8" s="6" t="s">
        <v>61</v>
      </c>
      <c r="BH8" s="6" t="s">
        <v>62</v>
      </c>
      <c r="BI8" s="6" t="s">
        <v>63</v>
      </c>
      <c r="BJ8" s="6" t="s">
        <v>64</v>
      </c>
      <c r="BK8" s="6" t="s">
        <v>65</v>
      </c>
    </row>
    <row r="9" spans="1:63" ht="21" customHeight="1" x14ac:dyDescent="0.45">
      <c r="A9" s="13">
        <f>两日求解价格与决策!A9</f>
        <v>46235</v>
      </c>
      <c r="B9" s="15">
        <f>两日求解价格与决策!B9</f>
        <v>179.01</v>
      </c>
      <c r="C9" s="15">
        <f>两日求解价格与决策!C9</f>
        <v>66.224534522516336</v>
      </c>
      <c r="D9" s="15">
        <f>两日求解价格与决策!D9</f>
        <v>7.1274750824233415</v>
      </c>
      <c r="E9" s="15">
        <f>两日求解价格与决策!E9</f>
        <v>2.7061536409200921</v>
      </c>
      <c r="F9" s="15">
        <f>两日求解价格与决策!F9</f>
        <v>391.83580126922413</v>
      </c>
      <c r="G9" s="15">
        <f>两日求解价格与决策!G9</f>
        <v>0</v>
      </c>
      <c r="H9" s="15" t="str">
        <f>两日求解价格与决策!H9</f>
        <v>未模拟</v>
      </c>
      <c r="I9" s="16">
        <f>两日求解价格与决策!I9</f>
        <v>31.73913043478267</v>
      </c>
      <c r="J9" s="16">
        <f>两日求解价格与决策!J9</f>
        <v>34.934674206211199</v>
      </c>
      <c r="K9" s="16">
        <f>两日求解价格与决策!K9</f>
        <v>-23.999999999999812</v>
      </c>
      <c r="L9" s="16">
        <f>两日求解价格与决策!L9</f>
        <v>40</v>
      </c>
      <c r="M9" s="16">
        <f>两日求解价格与决策!M9</f>
        <v>24</v>
      </c>
      <c r="N9" s="16">
        <f>两日求解价格与决策!N9</f>
        <v>24</v>
      </c>
      <c r="O9" s="16">
        <f>两日求解价格与决策!O9</f>
        <v>2.526582857142857</v>
      </c>
      <c r="P9" s="16">
        <f>两日求解价格与决策!P9</f>
        <v>0</v>
      </c>
      <c r="Q9" s="17">
        <f>两日求解价格与决策!Q9</f>
        <v>-1074.0599999999915</v>
      </c>
      <c r="R9" s="17">
        <f>两日求解价格与决策!R9</f>
        <v>662.24534522516342</v>
      </c>
      <c r="S9" s="17">
        <f>两日求解价格与决策!S9</f>
        <v>42.764850494540049</v>
      </c>
      <c r="T9" s="17">
        <f>两日求解价格与决策!T9</f>
        <v>16.236921845520552</v>
      </c>
      <c r="U9" s="17">
        <f>两日求解价格与决策!U9</f>
        <v>990.00561830165702</v>
      </c>
      <c r="V9" s="17">
        <f>两日求解价格与决策!V9</f>
        <v>0</v>
      </c>
      <c r="W9" s="17">
        <f>两日求解价格与决策!W9</f>
        <v>637.19273586688951</v>
      </c>
      <c r="X9" s="12">
        <f>两日求解价格与决策!X9</f>
        <v>637.19273586688951</v>
      </c>
      <c r="Y9" s="19">
        <f>两日求解价格与决策!Y9</f>
        <v>0</v>
      </c>
      <c r="Z9" s="12" t="str">
        <f t="shared" ref="Z9:Z40" si="0">"正式执行"</f>
        <v>正式执行</v>
      </c>
      <c r="AA9" s="12">
        <f>两日求解价格与决策!AA9</f>
        <v>1</v>
      </c>
      <c r="AB9" s="12">
        <f>两日求解价格与决策!AB9</f>
        <v>1</v>
      </c>
      <c r="AC9" s="12">
        <f>两日求解价格与决策!AC9</f>
        <v>0.25</v>
      </c>
      <c r="AD9" s="18">
        <f>两日求解价格与决策!AD9</f>
        <v>0.3125</v>
      </c>
      <c r="AE9" s="18">
        <f>两日求解价格与决策!AE9</f>
        <v>0.13714285714285715</v>
      </c>
      <c r="AF9" s="18">
        <f>两日求解价格与决策!AF9</f>
        <v>0.42109714285714284</v>
      </c>
      <c r="AG9" s="18">
        <f>两日求解价格与决策!AG9</f>
        <v>0</v>
      </c>
      <c r="AH9" s="12">
        <f>两日求解价格与决策!AH9</f>
        <v>175</v>
      </c>
      <c r="AI9" s="12">
        <f>两日求解价格与决策!AI9</f>
        <v>175</v>
      </c>
      <c r="AJ9" s="12">
        <f>两日求解价格与决策!AJ9</f>
        <v>18.422999999999998</v>
      </c>
      <c r="AK9" s="12">
        <f>两日求解价格与决策!AK9</f>
        <v>0</v>
      </c>
      <c r="AL9" s="12">
        <f>两日求解价格与决策!AL9</f>
        <v>131.96799999999999</v>
      </c>
      <c r="AM9" s="12">
        <f>两日求解价格与决策!AM9</f>
        <v>8.8765104761904679E-3</v>
      </c>
      <c r="AN9" s="12">
        <f>两日求解价格与决策!AN9</f>
        <v>3.4734171428571159</v>
      </c>
      <c r="AO9" s="12">
        <f>两日求解价格与决策!AO9</f>
        <v>1.9822497928804034E-14</v>
      </c>
      <c r="AP9" s="12">
        <f>两日求解价格与决策!AP9</f>
        <v>34.934674206211199</v>
      </c>
      <c r="AQ9" s="19">
        <f>两日求解价格与决策!AQ9</f>
        <v>0</v>
      </c>
      <c r="AR9" s="12">
        <f>两日求解价格与决策!AR9</f>
        <v>5.2473000000000001</v>
      </c>
      <c r="AS9" s="14">
        <f>两日求解价格与决策!AS9</f>
        <v>46234</v>
      </c>
      <c r="AT9" s="13">
        <f>两日求解价格与决策!AT9</f>
        <v>46234.875</v>
      </c>
      <c r="AU9" s="12" t="str">
        <f>两日求解价格与决策!AU9</f>
        <v>2026-07-31_93</v>
      </c>
      <c r="AV9" s="12">
        <f>两日求解价格与决策!AV9</f>
        <v>15</v>
      </c>
      <c r="AW9" s="12" t="str">
        <f>两日求解价格与决策!AW9</f>
        <v>OK</v>
      </c>
      <c r="AX9" s="12">
        <f>两日求解价格与决策!AX9</f>
        <v>128</v>
      </c>
      <c r="AY9" s="12">
        <f>两日求解价格与决策!AY9</f>
        <v>175</v>
      </c>
      <c r="AZ9" s="12">
        <f>两日求解价格与决策!AZ9</f>
        <v>175</v>
      </c>
      <c r="BA9" s="12">
        <f>两日求解价格与决策!BA9</f>
        <v>40</v>
      </c>
      <c r="BB9" s="12">
        <f>两日求解价格与决策!BB9</f>
        <v>24</v>
      </c>
      <c r="BC9" s="12">
        <f>两日求解价格与决策!BC9</f>
        <v>24</v>
      </c>
      <c r="BD9" s="14">
        <f>两日求解价格与决策!BD9</f>
        <v>46235</v>
      </c>
      <c r="BE9" s="1" t="str">
        <f>两日求解价格与决策!BE9</f>
        <v>-24.000000 MW × 179.010000 × 0.250000 h = -1074.060000 EUR</v>
      </c>
      <c r="BF9" s="1" t="str">
        <f>两日求解价格与决策!BF9</f>
        <v>40.000000 MW × 66.224535 × 0.250000 h = 662.245345 EUR</v>
      </c>
      <c r="BG9" s="1" t="str">
        <f>两日求解价格与决策!BG9</f>
        <v>24.000000 MW × 7.127475 × 0.250000 h = 42.764850 EUR</v>
      </c>
      <c r="BH9" s="1" t="str">
        <f>两日求解价格与决策!BH9</f>
        <v>24.000000 MW × 2.706154 × 0.250000 h = 16.236922 EUR</v>
      </c>
      <c r="BI9" s="1" t="str">
        <f>两日求解价格与决策!BI9</f>
        <v>2.526583 MWh × 391.835801 = 990.005618 EUR</v>
      </c>
      <c r="BJ9" s="1" t="str">
        <f>两日求解价格与决策!BJ9</f>
        <v>零下调激活电量</v>
      </c>
      <c r="BK9" s="1" t="str">
        <f>两日求解价格与决策!BK9</f>
        <v>-1074.060000 + 662.245345 + 42.764850 + 16.236922 + 990.005618 + 0.000000 = 637.192736 EUR</v>
      </c>
    </row>
    <row r="10" spans="1:63" ht="21" customHeight="1" x14ac:dyDescent="0.45">
      <c r="A10" s="13">
        <f>两日求解价格与决策!A10</f>
        <v>46235.010416666664</v>
      </c>
      <c r="B10" s="15">
        <f>两日求解价格与决策!B10</f>
        <v>170.12</v>
      </c>
      <c r="C10" s="15">
        <f>两日求解价格与决策!C10</f>
        <v>66.224534522516336</v>
      </c>
      <c r="D10" s="15">
        <f>两日求解价格与决策!D10</f>
        <v>7.1274750824233415</v>
      </c>
      <c r="E10" s="15">
        <f>两日求解价格与决策!E10</f>
        <v>2.7061536409200921</v>
      </c>
      <c r="F10" s="15">
        <f>两日求解价格与决策!F10</f>
        <v>264.63514569397591</v>
      </c>
      <c r="G10" s="15">
        <f>两日求解价格与决策!G10</f>
        <v>0</v>
      </c>
      <c r="H10" s="15" t="str">
        <f>两日求解价格与决策!H10</f>
        <v>未模拟</v>
      </c>
      <c r="I10" s="16">
        <f>两日求解价格与决策!I10</f>
        <v>34.934674206211199</v>
      </c>
      <c r="J10" s="16">
        <f>两日求解价格与决策!J10</f>
        <v>32.633208367701883</v>
      </c>
      <c r="K10" s="16">
        <f>两日求解价格与决策!K10</f>
        <v>0</v>
      </c>
      <c r="L10" s="16">
        <f>两日求解价格与决策!L10</f>
        <v>40</v>
      </c>
      <c r="M10" s="16">
        <f>两日求解价格与决策!M10</f>
        <v>24</v>
      </c>
      <c r="N10" s="16">
        <f>两日求解价格与决策!N10</f>
        <v>24</v>
      </c>
      <c r="O10" s="16">
        <f>两日求解价格与决策!O10</f>
        <v>2.1173485714285714</v>
      </c>
      <c r="P10" s="16">
        <f>两日求解价格与决策!P10</f>
        <v>0</v>
      </c>
      <c r="Q10" s="17">
        <f>两日求解价格与决策!Q10</f>
        <v>0</v>
      </c>
      <c r="R10" s="17">
        <f>两日求解价格与决策!R10</f>
        <v>662.24534522516342</v>
      </c>
      <c r="S10" s="17">
        <f>两日求解价格与决策!S10</f>
        <v>42.764850494540049</v>
      </c>
      <c r="T10" s="17">
        <f>两日求解价格与决策!T10</f>
        <v>16.236921845520552</v>
      </c>
      <c r="U10" s="17">
        <f>两日求解价格与决策!U10</f>
        <v>560.3248476849318</v>
      </c>
      <c r="V10" s="17">
        <f>两日求解价格与决策!V10</f>
        <v>0</v>
      </c>
      <c r="W10" s="17">
        <f>两日求解价格与决策!W10</f>
        <v>1281.5719652501557</v>
      </c>
      <c r="X10" s="12">
        <f>两日求解价格与决策!X10</f>
        <v>1281.5719652501559</v>
      </c>
      <c r="Y10" s="19">
        <f>两日求解价格与决策!Y10</f>
        <v>0</v>
      </c>
      <c r="Z10" s="12" t="str">
        <f t="shared" si="0"/>
        <v>正式执行</v>
      </c>
      <c r="AA10" s="12">
        <f>两日求解价格与决策!AA10</f>
        <v>1</v>
      </c>
      <c r="AB10" s="12">
        <f>两日求解价格与决策!AB10</f>
        <v>1</v>
      </c>
      <c r="AC10" s="12">
        <f>两日求解价格与决策!AC10</f>
        <v>0.25</v>
      </c>
      <c r="AD10" s="18">
        <f>两日求解价格与决策!AD10</f>
        <v>0.3125</v>
      </c>
      <c r="AE10" s="18">
        <f>两日求解价格与决策!AE10</f>
        <v>0.13714285714285715</v>
      </c>
      <c r="AF10" s="18">
        <f>两日求解价格与决策!AF10</f>
        <v>0.35289142857142858</v>
      </c>
      <c r="AG10" s="18">
        <f>两日求解价格与决策!AG10</f>
        <v>0</v>
      </c>
      <c r="AH10" s="12">
        <f>两日求解价格与决策!AH10</f>
        <v>175</v>
      </c>
      <c r="AI10" s="12">
        <f>两日求解价格与决策!AI10</f>
        <v>175</v>
      </c>
      <c r="AJ10" s="12">
        <f>两日求解价格与决策!AJ10</f>
        <v>15.439</v>
      </c>
      <c r="AK10" s="12">
        <f>两日求解价格与决策!AK10</f>
        <v>0</v>
      </c>
      <c r="AL10" s="12">
        <f>两日求解价格与决策!AL10</f>
        <v>131.96799999999999</v>
      </c>
      <c r="AM10" s="12">
        <f>两日求解价格与决策!AM10</f>
        <v>6.3929606625258793E-3</v>
      </c>
      <c r="AN10" s="12">
        <f>两日求解价格与决策!AN10</f>
        <v>0</v>
      </c>
      <c r="AO10" s="12">
        <f>两日求解价格与决策!AO10</f>
        <v>2.1173485714285714</v>
      </c>
      <c r="AP10" s="12">
        <f>两日求解价格与决策!AP10</f>
        <v>32.633208367701883</v>
      </c>
      <c r="AQ10" s="19">
        <f>两日求解价格与决策!AQ10</f>
        <v>0</v>
      </c>
      <c r="AR10" s="12">
        <f>两日求解价格与决策!AR10</f>
        <v>5.2473000000000001</v>
      </c>
      <c r="AS10" s="14">
        <f>两日求解价格与决策!AS10</f>
        <v>46234</v>
      </c>
      <c r="AT10" s="13">
        <f>两日求解价格与决策!AT10</f>
        <v>46234.885416666664</v>
      </c>
      <c r="AU10" s="12" t="str">
        <f>两日求解价格与决策!AU10</f>
        <v>2026-07-31_94</v>
      </c>
      <c r="AV10" s="12">
        <f>两日求解价格与决策!AV10</f>
        <v>15</v>
      </c>
      <c r="AW10" s="12" t="str">
        <f>两日求解价格与决策!AW10</f>
        <v>OK</v>
      </c>
      <c r="AX10" s="12">
        <f>两日求解价格与决策!AX10</f>
        <v>128</v>
      </c>
      <c r="AY10" s="12">
        <f>两日求解价格与决策!AY10</f>
        <v>175</v>
      </c>
      <c r="AZ10" s="12">
        <f>两日求解价格与决策!AZ10</f>
        <v>175</v>
      </c>
      <c r="BA10" s="12">
        <f>两日求解价格与决策!BA10</f>
        <v>40</v>
      </c>
      <c r="BB10" s="12">
        <f>两日求解价格与决策!BB10</f>
        <v>24</v>
      </c>
      <c r="BC10" s="12">
        <f>两日求解价格与决策!BC10</f>
        <v>24</v>
      </c>
      <c r="BD10" s="14">
        <f>两日求解价格与决策!BD10</f>
        <v>46235</v>
      </c>
      <c r="BE10" s="1" t="str">
        <f>两日求解价格与决策!BE10</f>
        <v>零头寸，无结算现金</v>
      </c>
      <c r="BF10" s="1" t="str">
        <f>两日求解价格与决策!BF10</f>
        <v>40.000000 MW × 66.224535 × 0.250000 h = 662.245345 EUR</v>
      </c>
      <c r="BG10" s="1" t="str">
        <f>两日求解价格与决策!BG10</f>
        <v>24.000000 MW × 7.127475 × 0.250000 h = 42.764850 EUR</v>
      </c>
      <c r="BH10" s="1" t="str">
        <f>两日求解价格与决策!BH10</f>
        <v>24.000000 MW × 2.706154 × 0.250000 h = 16.236922 EUR</v>
      </c>
      <c r="BI10" s="1" t="str">
        <f>两日求解价格与决策!BI10</f>
        <v>2.117349 MWh × 264.635146 = 560.324848 EUR</v>
      </c>
      <c r="BJ10" s="1" t="str">
        <f>两日求解价格与决策!BJ10</f>
        <v>零下调激活电量</v>
      </c>
      <c r="BK10" s="1" t="str">
        <f>两日求解价格与决策!BK10</f>
        <v>0.000000 + 662.245345 + 42.764850 + 16.236922 + 560.324848 + 0.000000 = 1281.571965 EUR</v>
      </c>
    </row>
    <row r="11" spans="1:63" ht="21" customHeight="1" x14ac:dyDescent="0.45">
      <c r="A11" s="13">
        <f>两日求解价格与决策!A11</f>
        <v>46235.020833333336</v>
      </c>
      <c r="B11" s="15">
        <f>两日求解价格与决策!B11</f>
        <v>167.36</v>
      </c>
      <c r="C11" s="15">
        <f>两日求解价格与决策!C11</f>
        <v>66.224534522516336</v>
      </c>
      <c r="D11" s="15">
        <f>两日求解价格与决策!D11</f>
        <v>7.1274750824233415</v>
      </c>
      <c r="E11" s="15">
        <f>两日求解价格与决策!E11</f>
        <v>2.7061536409200921</v>
      </c>
      <c r="F11" s="15">
        <f>两日求解价格与决策!F11</f>
        <v>422.70215158271873</v>
      </c>
      <c r="G11" s="15">
        <f>两日求解价格与决策!G11</f>
        <v>0</v>
      </c>
      <c r="H11" s="15" t="str">
        <f>两日求解价格与决策!H11</f>
        <v>未模拟</v>
      </c>
      <c r="I11" s="16">
        <f>两日求解价格与决策!I11</f>
        <v>32.633208367701883</v>
      </c>
      <c r="J11" s="16">
        <f>两日求解价格与决策!J11</f>
        <v>35.143388939130453</v>
      </c>
      <c r="K11" s="16">
        <f>两日求解价格与决策!K11</f>
        <v>-24</v>
      </c>
      <c r="L11" s="16">
        <f>两日求解价格与决策!L11</f>
        <v>40</v>
      </c>
      <c r="M11" s="16">
        <f>两日求解价格与决策!M11</f>
        <v>24</v>
      </c>
      <c r="N11" s="16">
        <f>两日求解价格与决策!N11</f>
        <v>24</v>
      </c>
      <c r="O11" s="16">
        <f>两日求解价格与决策!O11</f>
        <v>3.2715428571428573</v>
      </c>
      <c r="P11" s="16">
        <f>两日求解价格与决策!P11</f>
        <v>0</v>
      </c>
      <c r="Q11" s="17">
        <f>两日求解价格与决策!Q11</f>
        <v>-1004.1600000000001</v>
      </c>
      <c r="R11" s="17">
        <f>两日求解价格与决策!R11</f>
        <v>662.24534522516342</v>
      </c>
      <c r="S11" s="17">
        <f>两日求解价格与决策!S11</f>
        <v>42.764850494540049</v>
      </c>
      <c r="T11" s="17">
        <f>两日求解价格与决策!T11</f>
        <v>16.236921845520552</v>
      </c>
      <c r="U11" s="17">
        <f>两日求解价格与决策!U11</f>
        <v>1382.8882047093607</v>
      </c>
      <c r="V11" s="17">
        <f>两日求解价格与决策!V11</f>
        <v>0</v>
      </c>
      <c r="W11" s="17">
        <f>两日求解价格与决策!W11</f>
        <v>1099.9753222745846</v>
      </c>
      <c r="X11" s="12">
        <f>两日求解价格与决策!X11</f>
        <v>1099.9753222745846</v>
      </c>
      <c r="Y11" s="19">
        <f>两日求解价格与决策!Y11</f>
        <v>0</v>
      </c>
      <c r="Z11" s="12" t="str">
        <f t="shared" si="0"/>
        <v>正式执行</v>
      </c>
      <c r="AA11" s="12">
        <f>两日求解价格与决策!AA11</f>
        <v>1</v>
      </c>
      <c r="AB11" s="12">
        <f>两日求解价格与决策!AB11</f>
        <v>1</v>
      </c>
      <c r="AC11" s="12">
        <f>两日求解价格与决策!AC11</f>
        <v>0.25</v>
      </c>
      <c r="AD11" s="18">
        <f>两日求解价格与决策!AD11</f>
        <v>0.3125</v>
      </c>
      <c r="AE11" s="18">
        <f>两日求解价格与决策!AE11</f>
        <v>0.13714285714285715</v>
      </c>
      <c r="AF11" s="18">
        <f>两日求解价格与决策!AF11</f>
        <v>0.54525714285714288</v>
      </c>
      <c r="AG11" s="18">
        <f>两日求解价格与决策!AG11</f>
        <v>0</v>
      </c>
      <c r="AH11" s="12">
        <f>两日求解价格与决策!AH11</f>
        <v>175</v>
      </c>
      <c r="AI11" s="12">
        <f>两日求解价格与决策!AI11</f>
        <v>175</v>
      </c>
      <c r="AJ11" s="12">
        <f>两日求解价格与决策!AJ11</f>
        <v>23.855</v>
      </c>
      <c r="AK11" s="12">
        <f>两日求解价格与决策!AK11</f>
        <v>0</v>
      </c>
      <c r="AL11" s="12">
        <f>两日求解价格与决策!AL11</f>
        <v>131.96799999999999</v>
      </c>
      <c r="AM11" s="12">
        <f>两日求解价格与决策!AM11</f>
        <v>6.9727238095238101E-3</v>
      </c>
      <c r="AN11" s="12">
        <f>两日求解价格与决策!AN11</f>
        <v>2.7284571428571427</v>
      </c>
      <c r="AO11" s="12">
        <f>两日求解价格与决策!AO11</f>
        <v>0</v>
      </c>
      <c r="AP11" s="12">
        <f>两日求解价格与决策!AP11</f>
        <v>35.143388939130453</v>
      </c>
      <c r="AQ11" s="19">
        <f>两日求解价格与决策!AQ11</f>
        <v>0</v>
      </c>
      <c r="AR11" s="12">
        <f>两日求解价格与决策!AR11</f>
        <v>5.2473000000000001</v>
      </c>
      <c r="AS11" s="14">
        <f>两日求解价格与决策!AS11</f>
        <v>46234</v>
      </c>
      <c r="AT11" s="13">
        <f>两日求解价格与决策!AT11</f>
        <v>46234.895833333336</v>
      </c>
      <c r="AU11" s="12" t="str">
        <f>两日求解价格与决策!AU11</f>
        <v>2026-07-31_95</v>
      </c>
      <c r="AV11" s="12">
        <f>两日求解价格与决策!AV11</f>
        <v>15</v>
      </c>
      <c r="AW11" s="12" t="str">
        <f>两日求解价格与决策!AW11</f>
        <v>OK</v>
      </c>
      <c r="AX11" s="12">
        <f>两日求解价格与决策!AX11</f>
        <v>128</v>
      </c>
      <c r="AY11" s="12">
        <f>两日求解价格与决策!AY11</f>
        <v>175</v>
      </c>
      <c r="AZ11" s="12">
        <f>两日求解价格与决策!AZ11</f>
        <v>175</v>
      </c>
      <c r="BA11" s="12">
        <f>两日求解价格与决策!BA11</f>
        <v>40</v>
      </c>
      <c r="BB11" s="12">
        <f>两日求解价格与决策!BB11</f>
        <v>24</v>
      </c>
      <c r="BC11" s="12">
        <f>两日求解价格与决策!BC11</f>
        <v>24</v>
      </c>
      <c r="BD11" s="14">
        <f>两日求解价格与决策!BD11</f>
        <v>46235</v>
      </c>
      <c r="BE11" s="1" t="str">
        <f>两日求解价格与决策!BE11</f>
        <v>-24.000000 MW × 167.360000 × 0.250000 h = -1004.160000 EUR</v>
      </c>
      <c r="BF11" s="1" t="str">
        <f>两日求解价格与决策!BF11</f>
        <v>40.000000 MW × 66.224535 × 0.250000 h = 662.245345 EUR</v>
      </c>
      <c r="BG11" s="1" t="str">
        <f>两日求解价格与决策!BG11</f>
        <v>24.000000 MW × 7.127475 × 0.250000 h = 42.764850 EUR</v>
      </c>
      <c r="BH11" s="1" t="str">
        <f>两日求解价格与决策!BH11</f>
        <v>24.000000 MW × 2.706154 × 0.250000 h = 16.236922 EUR</v>
      </c>
      <c r="BI11" s="1" t="str">
        <f>两日求解价格与决策!BI11</f>
        <v>3.271543 MWh × 422.702152 = 1382.888205 EUR</v>
      </c>
      <c r="BJ11" s="1" t="str">
        <f>两日求解价格与决策!BJ11</f>
        <v>零下调激活电量</v>
      </c>
      <c r="BK11" s="1" t="str">
        <f>两日求解价格与决策!BK11</f>
        <v>-1004.160000 + 662.245345 + 42.764850 + 16.236922 + 1382.888205 + 0.000000 = 1099.975322 EUR</v>
      </c>
    </row>
    <row r="12" spans="1:63" ht="21" customHeight="1" x14ac:dyDescent="0.45">
      <c r="A12" s="13">
        <f>两日求解价格与决策!A12</f>
        <v>46235.03125</v>
      </c>
      <c r="B12" s="15">
        <f>两日求解价格与决策!B12</f>
        <v>165.13</v>
      </c>
      <c r="C12" s="15">
        <f>两日求解价格与决策!C12</f>
        <v>66.224534522516336</v>
      </c>
      <c r="D12" s="15">
        <f>两日求解价格与决策!D12</f>
        <v>7.1274750824233415</v>
      </c>
      <c r="E12" s="15">
        <f>两日求解价格与决策!E12</f>
        <v>2.7061536409200921</v>
      </c>
      <c r="F12" s="15">
        <f>两日求解价格与决策!F12</f>
        <v>260.51455034017494</v>
      </c>
      <c r="G12" s="15">
        <f>两日求解价格与决策!G12</f>
        <v>76.261124768928781</v>
      </c>
      <c r="H12" s="15" t="str">
        <f>两日求解价格与决策!H12</f>
        <v>未模拟</v>
      </c>
      <c r="I12" s="16">
        <f>两日求解价格与决策!I12</f>
        <v>35.143388939130453</v>
      </c>
      <c r="J12" s="16">
        <f>两日求解价格与决策!J12</f>
        <v>38.990355796273313</v>
      </c>
      <c r="K12" s="16">
        <f>两日求解价格与决策!K12</f>
        <v>-24</v>
      </c>
      <c r="L12" s="16">
        <f>两日求解价格与决策!L12</f>
        <v>40</v>
      </c>
      <c r="M12" s="16">
        <f>两日求解价格与决策!M12</f>
        <v>24</v>
      </c>
      <c r="N12" s="16">
        <f>两日求解价格与决策!N12</f>
        <v>24</v>
      </c>
      <c r="O12" s="16">
        <f>两日求解价格与决策!O12</f>
        <v>1.8865371428571431</v>
      </c>
      <c r="P12" s="16">
        <f>两日求解价格与决策!P12</f>
        <v>6.8022857142857135E-2</v>
      </c>
      <c r="Q12" s="17">
        <f>两日求解价格与决策!Q12</f>
        <v>-990.78</v>
      </c>
      <c r="R12" s="17">
        <f>两日求解价格与决策!R12</f>
        <v>662.24534522516342</v>
      </c>
      <c r="S12" s="17">
        <f>两日求解价格与决策!S12</f>
        <v>42.764850494540049</v>
      </c>
      <c r="T12" s="17">
        <f>两日求解价格与决策!T12</f>
        <v>16.236921845520552</v>
      </c>
      <c r="U12" s="17">
        <f>两日求解价格与决策!U12</f>
        <v>491.47037547146698</v>
      </c>
      <c r="V12" s="17">
        <f>两日求解价格与决策!V12</f>
        <v>-5.1874995957104462</v>
      </c>
      <c r="W12" s="17">
        <f>两日求解价格与决策!W12</f>
        <v>216.74999344098057</v>
      </c>
      <c r="X12" s="12">
        <f>两日求解价格与决策!X12</f>
        <v>216.74999344098057</v>
      </c>
      <c r="Y12" s="19">
        <f>两日求解价格与决策!Y12</f>
        <v>0</v>
      </c>
      <c r="Z12" s="12" t="str">
        <f t="shared" si="0"/>
        <v>正式执行</v>
      </c>
      <c r="AA12" s="12">
        <f>两日求解价格与决策!AA12</f>
        <v>1</v>
      </c>
      <c r="AB12" s="12">
        <f>两日求解价格与决策!AB12</f>
        <v>1</v>
      </c>
      <c r="AC12" s="12">
        <f>两日求解价格与决策!AC12</f>
        <v>0.25</v>
      </c>
      <c r="AD12" s="18">
        <f>两日求解价格与决策!AD12</f>
        <v>0.3125</v>
      </c>
      <c r="AE12" s="18">
        <f>两日求解价格与决策!AE12</f>
        <v>0.13714285714285715</v>
      </c>
      <c r="AF12" s="18">
        <f>两日求解价格与决策!AF12</f>
        <v>0.31442285714285717</v>
      </c>
      <c r="AG12" s="18">
        <f>两日求解价格与决策!AG12</f>
        <v>1.1337142857142856E-2</v>
      </c>
      <c r="AH12" s="12">
        <f>两日求解价格与决策!AH12</f>
        <v>175</v>
      </c>
      <c r="AI12" s="12">
        <f>两日求解价格与决策!AI12</f>
        <v>175</v>
      </c>
      <c r="AJ12" s="12">
        <f>两日求解价格与决策!AJ12</f>
        <v>13.756</v>
      </c>
      <c r="AK12" s="12">
        <f>两日求解价格与决策!AK12</f>
        <v>0.496</v>
      </c>
      <c r="AL12" s="12">
        <f>两日求解价格与决策!AL12</f>
        <v>131.96799999999999</v>
      </c>
      <c r="AM12" s="12">
        <f>两日求解价格与决策!AM12</f>
        <v>1.0686019047619049E-2</v>
      </c>
      <c r="AN12" s="12">
        <f>两日求解价格与决策!AN12</f>
        <v>4.1814857142857145</v>
      </c>
      <c r="AO12" s="12">
        <f>两日求解价格与决策!AO12</f>
        <v>0</v>
      </c>
      <c r="AP12" s="12">
        <f>两日求解价格与决策!AP12</f>
        <v>38.990355796273313</v>
      </c>
      <c r="AQ12" s="19">
        <f>两日求解价格与决策!AQ12</f>
        <v>0</v>
      </c>
      <c r="AR12" s="12">
        <f>两日求解价格与决策!AR12</f>
        <v>5.2473000000000001</v>
      </c>
      <c r="AS12" s="14">
        <f>两日求解价格与决策!AS12</f>
        <v>46234</v>
      </c>
      <c r="AT12" s="13">
        <f>两日求解价格与决策!AT12</f>
        <v>46234.90625</v>
      </c>
      <c r="AU12" s="12" t="str">
        <f>两日求解价格与决策!AU12</f>
        <v>2026-07-31_96</v>
      </c>
      <c r="AV12" s="12">
        <f>两日求解价格与决策!AV12</f>
        <v>15</v>
      </c>
      <c r="AW12" s="12" t="str">
        <f>两日求解价格与决策!AW12</f>
        <v>OK</v>
      </c>
      <c r="AX12" s="12">
        <f>两日求解价格与决策!AX12</f>
        <v>128</v>
      </c>
      <c r="AY12" s="12">
        <f>两日求解价格与决策!AY12</f>
        <v>175</v>
      </c>
      <c r="AZ12" s="12">
        <f>两日求解价格与决策!AZ12</f>
        <v>175</v>
      </c>
      <c r="BA12" s="12">
        <f>两日求解价格与决策!BA12</f>
        <v>40</v>
      </c>
      <c r="BB12" s="12">
        <f>两日求解价格与决策!BB12</f>
        <v>24</v>
      </c>
      <c r="BC12" s="12">
        <f>两日求解价格与决策!BC12</f>
        <v>24</v>
      </c>
      <c r="BD12" s="14">
        <f>两日求解价格与决策!BD12</f>
        <v>46235</v>
      </c>
      <c r="BE12" s="1" t="str">
        <f>两日求解价格与决策!BE12</f>
        <v>-24.000000 MW × 165.130000 × 0.250000 h = -990.780000 EUR</v>
      </c>
      <c r="BF12" s="1" t="str">
        <f>两日求解价格与决策!BF12</f>
        <v>40.000000 MW × 66.224535 × 0.250000 h = 662.245345 EUR</v>
      </c>
      <c r="BG12" s="1" t="str">
        <f>两日求解价格与决策!BG12</f>
        <v>24.000000 MW × 7.127475 × 0.250000 h = 42.764850 EUR</v>
      </c>
      <c r="BH12" s="1" t="str">
        <f>两日求解价格与决策!BH12</f>
        <v>24.000000 MW × 2.706154 × 0.250000 h = 16.236922 EUR</v>
      </c>
      <c r="BI12" s="1" t="str">
        <f>两日求解价格与决策!BI12</f>
        <v>1.886537 MWh × 260.514550 = 491.470375 EUR</v>
      </c>
      <c r="BJ12" s="1" t="str">
        <f>两日求解价格与决策!BJ12</f>
        <v>−(0.068023 MWh × 76.261125) = -5.187500 EUR</v>
      </c>
      <c r="BK12" s="1" t="str">
        <f>两日求解价格与决策!BK12</f>
        <v>-990.780000 + 662.245345 + 42.764850 + 16.236922 + 491.470375 + -5.187500 = 216.749993 EUR</v>
      </c>
    </row>
    <row r="13" spans="1:63" ht="21" customHeight="1" x14ac:dyDescent="0.45">
      <c r="A13" s="13">
        <f>两日求解价格与决策!A13</f>
        <v>46235.041666666664</v>
      </c>
      <c r="B13" s="15">
        <f>两日求解价格与决策!B13</f>
        <v>184.32</v>
      </c>
      <c r="C13" s="15">
        <f>两日求解价格与决策!C13</f>
        <v>66.224534522516336</v>
      </c>
      <c r="D13" s="15">
        <f>两日求解价格与决策!D13</f>
        <v>7.1274750824233415</v>
      </c>
      <c r="E13" s="15">
        <f>两日求解价格与决策!E13</f>
        <v>2.7061536409200921</v>
      </c>
      <c r="F13" s="15">
        <f>两日求解价格与决策!F13</f>
        <v>171.08894097917025</v>
      </c>
      <c r="G13" s="15">
        <f>两日求解价格与决策!G13</f>
        <v>74.70946963200123</v>
      </c>
      <c r="H13" s="15" t="str">
        <f>两日求解价格与决策!H13</f>
        <v>未模拟</v>
      </c>
      <c r="I13" s="16">
        <f>两日求解价格与决策!I13</f>
        <v>38.990355796273313</v>
      </c>
      <c r="J13" s="16">
        <f>两日求解价格与决策!J13</f>
        <v>33.561199249274047</v>
      </c>
      <c r="K13" s="16">
        <f>两日求解价格与决策!K13</f>
        <v>20.338412182013151</v>
      </c>
      <c r="L13" s="16">
        <f>两日求解价格与决策!L13</f>
        <v>40</v>
      </c>
      <c r="M13" s="16">
        <f>两日求解价格与决策!M13</f>
        <v>24</v>
      </c>
      <c r="N13" s="16">
        <f>两日求解价格与决策!N13</f>
        <v>24</v>
      </c>
      <c r="O13" s="16">
        <f>两日求解价格与决策!O13</f>
        <v>0.14660571428571428</v>
      </c>
      <c r="P13" s="16">
        <f>两日求解价格与决策!P13</f>
        <v>0.24205714285714283</v>
      </c>
      <c r="Q13" s="17">
        <f>两日求解价格与决策!Q13</f>
        <v>937.19403334716594</v>
      </c>
      <c r="R13" s="17">
        <f>两日求解价格与决策!R13</f>
        <v>662.24534522516342</v>
      </c>
      <c r="S13" s="17">
        <f>两日求解价格与决策!S13</f>
        <v>42.764850494540049</v>
      </c>
      <c r="T13" s="17">
        <f>两日求解价格与决策!T13</f>
        <v>16.236921845520552</v>
      </c>
      <c r="U13" s="17">
        <f>两日求解价格与决策!U13</f>
        <v>25.082616398637668</v>
      </c>
      <c r="V13" s="17">
        <f>两日求解价格与决策!V13</f>
        <v>-18.083960763494694</v>
      </c>
      <c r="W13" s="17">
        <f>两日求解价格与决策!W13</f>
        <v>1665.439806547533</v>
      </c>
      <c r="X13" s="12">
        <f>两日求解价格与决策!X13</f>
        <v>1665.439806547533</v>
      </c>
      <c r="Y13" s="19">
        <f>两日求解价格与决策!Y13</f>
        <v>0</v>
      </c>
      <c r="Z13" s="12" t="str">
        <f t="shared" si="0"/>
        <v>正式执行</v>
      </c>
      <c r="AA13" s="12">
        <f>两日求解价格与决策!AA13</f>
        <v>1</v>
      </c>
      <c r="AB13" s="12">
        <f>两日求解价格与决策!AB13</f>
        <v>1</v>
      </c>
      <c r="AC13" s="12">
        <f>两日求解价格与决策!AC13</f>
        <v>0.25</v>
      </c>
      <c r="AD13" s="18">
        <f>两日求解价格与决策!AD13</f>
        <v>0.3125</v>
      </c>
      <c r="AE13" s="18">
        <f>两日求解价格与决策!AE13</f>
        <v>0.13714285714285715</v>
      </c>
      <c r="AF13" s="18">
        <f>两日求解价格与决策!AF13</f>
        <v>2.4434285714285714E-2</v>
      </c>
      <c r="AG13" s="18">
        <f>两日求解价格与决策!AG13</f>
        <v>4.0342857142857139E-2</v>
      </c>
      <c r="AH13" s="12">
        <f>两日求解价格与决策!AH13</f>
        <v>175</v>
      </c>
      <c r="AI13" s="12">
        <f>两日求解价格与决策!AI13</f>
        <v>175</v>
      </c>
      <c r="AJ13" s="12">
        <f>两日求解价格与决策!AJ13</f>
        <v>1.069</v>
      </c>
      <c r="AK13" s="12">
        <f>两日求解价格与决策!AK13</f>
        <v>1.7649999999999999</v>
      </c>
      <c r="AL13" s="12">
        <f>两日求解价格与决策!AL13</f>
        <v>128</v>
      </c>
      <c r="AM13" s="12">
        <f>两日求解价格与决策!AM13</f>
        <v>1.5269742354326456E-2</v>
      </c>
      <c r="AN13" s="12">
        <f>两日求解价格与决策!AN13</f>
        <v>3.6929728564267357E-2</v>
      </c>
      <c r="AO13" s="12">
        <f>两日求解价格与决策!AO13</f>
        <v>5.0260813454961264</v>
      </c>
      <c r="AP13" s="12">
        <f>两日求解价格与决策!AP13</f>
        <v>33.561199249274047</v>
      </c>
      <c r="AQ13" s="19">
        <f>两日求解价格与决策!AQ13</f>
        <v>0</v>
      </c>
      <c r="AR13" s="12">
        <f>两日求解价格与决策!AR13</f>
        <v>5.2473000000000001</v>
      </c>
      <c r="AS13" s="14">
        <f>两日求解价格与决策!AS13</f>
        <v>46234</v>
      </c>
      <c r="AT13" s="13">
        <f>两日求解价格与决策!AT13</f>
        <v>46234.916666666664</v>
      </c>
      <c r="AU13" s="12" t="str">
        <f>两日求解价格与决策!AU13</f>
        <v>2026-08-01_1</v>
      </c>
      <c r="AV13" s="12">
        <f>两日求解价格与决策!AV13</f>
        <v>15</v>
      </c>
      <c r="AW13" s="12" t="str">
        <f>两日求解价格与决策!AW13</f>
        <v>OK</v>
      </c>
      <c r="AX13" s="12">
        <f>两日求解价格与决策!AX13</f>
        <v>128</v>
      </c>
      <c r="AY13" s="12">
        <f>两日求解价格与决策!AY13</f>
        <v>175</v>
      </c>
      <c r="AZ13" s="12">
        <f>两日求解价格与决策!AZ13</f>
        <v>175</v>
      </c>
      <c r="BA13" s="12">
        <f>两日求解价格与决策!BA13</f>
        <v>40</v>
      </c>
      <c r="BB13" s="12">
        <f>两日求解价格与决策!BB13</f>
        <v>24</v>
      </c>
      <c r="BC13" s="12">
        <f>两日求解价格与决策!BC13</f>
        <v>24</v>
      </c>
      <c r="BD13" s="14">
        <f>两日求解价格与决策!BD13</f>
        <v>46235</v>
      </c>
      <c r="BE13" s="1" t="str">
        <f>两日求解价格与决策!BE13</f>
        <v>20.338412 MW × 184.320000 × 0.250000 h = 937.194033 EUR</v>
      </c>
      <c r="BF13" s="1" t="str">
        <f>两日求解价格与决策!BF13</f>
        <v>40.000000 MW × 66.224535 × 0.250000 h = 662.245345 EUR</v>
      </c>
      <c r="BG13" s="1" t="str">
        <f>两日求解价格与决策!BG13</f>
        <v>24.000000 MW × 7.127475 × 0.250000 h = 42.764850 EUR</v>
      </c>
      <c r="BH13" s="1" t="str">
        <f>两日求解价格与决策!BH13</f>
        <v>24.000000 MW × 2.706154 × 0.250000 h = 16.236922 EUR</v>
      </c>
      <c r="BI13" s="1" t="str">
        <f>两日求解价格与决策!BI13</f>
        <v>0.146606 MWh × 171.088941 = 25.082616 EUR</v>
      </c>
      <c r="BJ13" s="1" t="str">
        <f>两日求解价格与决策!BJ13</f>
        <v>−(0.242057 MWh × 74.709470) = -18.083961 EUR</v>
      </c>
      <c r="BK13" s="1" t="str">
        <f>两日求解价格与决策!BK13</f>
        <v>937.194033 + 662.245345 + 42.764850 + 16.236922 + 25.082616 + -18.083961 = 1665.439807 EUR</v>
      </c>
    </row>
    <row r="14" spans="1:63" ht="21" customHeight="1" x14ac:dyDescent="0.45">
      <c r="A14" s="13">
        <f>两日求解价格与决策!A14</f>
        <v>46235.052083333336</v>
      </c>
      <c r="B14" s="15">
        <f>两日求解价格与决策!B14</f>
        <v>174.23</v>
      </c>
      <c r="C14" s="15">
        <f>两日求解价格与决策!C14</f>
        <v>66.224534522516336</v>
      </c>
      <c r="D14" s="15">
        <f>两日求解价格与决策!D14</f>
        <v>7.1274750824233415</v>
      </c>
      <c r="E14" s="15">
        <f>两日求解价格与决策!E14</f>
        <v>2.7061536409200921</v>
      </c>
      <c r="F14" s="15">
        <f>两日求解价格与决策!F14</f>
        <v>190.53684752158253</v>
      </c>
      <c r="G14" s="15">
        <f>两日求解价格与决策!G14</f>
        <v>0</v>
      </c>
      <c r="H14" s="15" t="str">
        <f>两日求解价格与决策!H14</f>
        <v>未模拟</v>
      </c>
      <c r="I14" s="16">
        <f>两日求解价格与决策!I14</f>
        <v>33.561199249274047</v>
      </c>
      <c r="J14" s="16">
        <f>两日求解价格与决策!J14</f>
        <v>32.719410429398273</v>
      </c>
      <c r="K14" s="16">
        <f>两日求解价格与决策!K14</f>
        <v>0</v>
      </c>
      <c r="L14" s="16">
        <f>两日求解价格与决策!L14</f>
        <v>40</v>
      </c>
      <c r="M14" s="16">
        <f>两日求解价格与决策!M14</f>
        <v>24</v>
      </c>
      <c r="N14" s="16">
        <f>两日求解价格与决策!N14</f>
        <v>24</v>
      </c>
      <c r="O14" s="16">
        <f>两日求解价格与决策!O14</f>
        <v>0.7744457142857144</v>
      </c>
      <c r="P14" s="16">
        <f>两日求解价格与决策!P14</f>
        <v>0</v>
      </c>
      <c r="Q14" s="17">
        <f>两日求解价格与决策!Q14</f>
        <v>0</v>
      </c>
      <c r="R14" s="17">
        <f>两日求解价格与决策!R14</f>
        <v>662.24534522516342</v>
      </c>
      <c r="S14" s="17">
        <f>两日求解价格与决策!S14</f>
        <v>42.764850494540049</v>
      </c>
      <c r="T14" s="17">
        <f>两日求解价格与决策!T14</f>
        <v>16.236921845520552</v>
      </c>
      <c r="U14" s="17">
        <f>两日求解价格与决策!U14</f>
        <v>147.56044497660022</v>
      </c>
      <c r="V14" s="17">
        <f>两日求解价格与决策!V14</f>
        <v>0</v>
      </c>
      <c r="W14" s="17">
        <f>两日求解价格与决策!W14</f>
        <v>868.80756254182427</v>
      </c>
      <c r="X14" s="12">
        <f>两日求解价格与决策!X14</f>
        <v>868.80756254182427</v>
      </c>
      <c r="Y14" s="19">
        <f>两日求解价格与决策!Y14</f>
        <v>0</v>
      </c>
      <c r="Z14" s="12" t="str">
        <f t="shared" si="0"/>
        <v>正式执行</v>
      </c>
      <c r="AA14" s="12">
        <f>两日求解价格与决策!AA14</f>
        <v>1</v>
      </c>
      <c r="AB14" s="12">
        <f>两日求解价格与决策!AB14</f>
        <v>1</v>
      </c>
      <c r="AC14" s="12">
        <f>两日求解价格与决策!AC14</f>
        <v>0.25</v>
      </c>
      <c r="AD14" s="18">
        <f>两日求解价格与决策!AD14</f>
        <v>0.3125</v>
      </c>
      <c r="AE14" s="18">
        <f>两日求解价格与决策!AE14</f>
        <v>0.13714285714285715</v>
      </c>
      <c r="AF14" s="18">
        <f>两日求解价格与决策!AF14</f>
        <v>0.12907428571428572</v>
      </c>
      <c r="AG14" s="18">
        <f>两日求解价格与决策!AG14</f>
        <v>0</v>
      </c>
      <c r="AH14" s="12">
        <f>两日求解价格与决策!AH14</f>
        <v>175</v>
      </c>
      <c r="AI14" s="12">
        <f>两日求解价格与决策!AI14</f>
        <v>175</v>
      </c>
      <c r="AJ14" s="12">
        <f>两日求解价格与决策!AJ14</f>
        <v>5.6470000000000002</v>
      </c>
      <c r="AK14" s="12">
        <f>两日求解价格与决策!AK14</f>
        <v>0</v>
      </c>
      <c r="AL14" s="12">
        <f>两日求解价格与决策!AL14</f>
        <v>128</v>
      </c>
      <c r="AM14" s="12">
        <f>两日求解价格与决策!AM14</f>
        <v>2.3383022774327122E-3</v>
      </c>
      <c r="AN14" s="12">
        <f>两日求解价格与决策!AN14</f>
        <v>0</v>
      </c>
      <c r="AO14" s="12">
        <f>两日求解价格与决策!AO14</f>
        <v>0.7744457142857144</v>
      </c>
      <c r="AP14" s="12">
        <f>两日求解价格与决策!AP14</f>
        <v>32.719410429398273</v>
      </c>
      <c r="AQ14" s="19">
        <f>两日求解价格与决策!AQ14</f>
        <v>0</v>
      </c>
      <c r="AR14" s="12">
        <f>两日求解价格与决策!AR14</f>
        <v>5.2473000000000001</v>
      </c>
      <c r="AS14" s="14">
        <f>两日求解价格与决策!AS14</f>
        <v>46234</v>
      </c>
      <c r="AT14" s="13">
        <f>两日求解价格与决策!AT14</f>
        <v>46234.927083333336</v>
      </c>
      <c r="AU14" s="12" t="str">
        <f>两日求解价格与决策!AU14</f>
        <v>2026-08-01_2</v>
      </c>
      <c r="AV14" s="12">
        <f>两日求解价格与决策!AV14</f>
        <v>15</v>
      </c>
      <c r="AW14" s="12" t="str">
        <f>两日求解价格与决策!AW14</f>
        <v>OK</v>
      </c>
      <c r="AX14" s="12">
        <f>两日求解价格与决策!AX14</f>
        <v>128</v>
      </c>
      <c r="AY14" s="12">
        <f>两日求解价格与决策!AY14</f>
        <v>175</v>
      </c>
      <c r="AZ14" s="12">
        <f>两日求解价格与决策!AZ14</f>
        <v>175</v>
      </c>
      <c r="BA14" s="12">
        <f>两日求解价格与决策!BA14</f>
        <v>40</v>
      </c>
      <c r="BB14" s="12">
        <f>两日求解价格与决策!BB14</f>
        <v>24</v>
      </c>
      <c r="BC14" s="12">
        <f>两日求解价格与决策!BC14</f>
        <v>24</v>
      </c>
      <c r="BD14" s="14">
        <f>两日求解价格与决策!BD14</f>
        <v>46235</v>
      </c>
      <c r="BE14" s="1" t="str">
        <f>两日求解价格与决策!BE14</f>
        <v>零头寸，无结算现金</v>
      </c>
      <c r="BF14" s="1" t="str">
        <f>两日求解价格与决策!BF14</f>
        <v>40.000000 MW × 66.224535 × 0.250000 h = 662.245345 EUR</v>
      </c>
      <c r="BG14" s="1" t="str">
        <f>两日求解价格与决策!BG14</f>
        <v>24.000000 MW × 7.127475 × 0.250000 h = 42.764850 EUR</v>
      </c>
      <c r="BH14" s="1" t="str">
        <f>两日求解价格与决策!BH14</f>
        <v>24.000000 MW × 2.706154 × 0.250000 h = 16.236922 EUR</v>
      </c>
      <c r="BI14" s="1" t="str">
        <f>两日求解价格与决策!BI14</f>
        <v>0.774446 MWh × 190.536848 = 147.560445 EUR</v>
      </c>
      <c r="BJ14" s="1" t="str">
        <f>两日求解价格与决策!BJ14</f>
        <v>零下调激活电量</v>
      </c>
      <c r="BK14" s="1" t="str">
        <f>两日求解价格与决策!BK14</f>
        <v>0.000000 + 662.245345 + 42.764850 + 16.236922 + 147.560445 + 0.000000 = 868.807563 EUR</v>
      </c>
    </row>
    <row r="15" spans="1:63" ht="21" customHeight="1" x14ac:dyDescent="0.45">
      <c r="A15" s="13">
        <f>两日求解价格与决策!A15</f>
        <v>46235.0625</v>
      </c>
      <c r="B15" s="15">
        <f>两日求解价格与决策!B15</f>
        <v>165.3</v>
      </c>
      <c r="C15" s="15">
        <f>两日求解价格与决策!C15</f>
        <v>66.224534522516336</v>
      </c>
      <c r="D15" s="15">
        <f>两日求解价格与决策!D15</f>
        <v>7.1274750824233415</v>
      </c>
      <c r="E15" s="15">
        <f>两日求解价格与决策!E15</f>
        <v>2.7061536409200921</v>
      </c>
      <c r="F15" s="15">
        <f>两日求解价格与决策!F15</f>
        <v>181.55184571112764</v>
      </c>
      <c r="G15" s="15">
        <f>两日求解价格与决策!G15</f>
        <v>0</v>
      </c>
      <c r="H15" s="15" t="str">
        <f>两日求解价格与决策!H15</f>
        <v>未模拟</v>
      </c>
      <c r="I15" s="16">
        <f>两日求解价格与决策!I15</f>
        <v>32.719410429398273</v>
      </c>
      <c r="J15" s="16">
        <f>两日求解价格与决策!J15</f>
        <v>31.771335895236781</v>
      </c>
      <c r="K15" s="16">
        <f>两日求解价格与决策!K15</f>
        <v>0</v>
      </c>
      <c r="L15" s="16">
        <f>两日求解价格与决策!L15</f>
        <v>40</v>
      </c>
      <c r="M15" s="16">
        <f>两日求解价格与决策!M15</f>
        <v>24</v>
      </c>
      <c r="N15" s="16">
        <f>两日求解价格与决策!N15</f>
        <v>24</v>
      </c>
      <c r="O15" s="16">
        <f>两日求解价格与决策!O15</f>
        <v>0.87222857142857135</v>
      </c>
      <c r="P15" s="16">
        <f>两日求解价格与决策!P15</f>
        <v>0</v>
      </c>
      <c r="Q15" s="17">
        <f>两日求解价格与决策!Q15</f>
        <v>0</v>
      </c>
      <c r="R15" s="17">
        <f>两日求解价格与决策!R15</f>
        <v>662.24534522516342</v>
      </c>
      <c r="S15" s="17">
        <f>两日求解价格与决策!S15</f>
        <v>42.764850494540049</v>
      </c>
      <c r="T15" s="17">
        <f>两日求解价格与决策!T15</f>
        <v>16.236921845520552</v>
      </c>
      <c r="U15" s="17">
        <f>两日求解价格与决策!U15</f>
        <v>158.35470702483727</v>
      </c>
      <c r="V15" s="17">
        <f>两日求解价格与决策!V15</f>
        <v>0</v>
      </c>
      <c r="W15" s="17">
        <f>两日求解价格与决策!W15</f>
        <v>879.60182459006126</v>
      </c>
      <c r="X15" s="12">
        <f>两日求解价格与决策!X15</f>
        <v>879.60182459006126</v>
      </c>
      <c r="Y15" s="19">
        <f>两日求解价格与决策!Y15</f>
        <v>0</v>
      </c>
      <c r="Z15" s="12" t="str">
        <f t="shared" si="0"/>
        <v>正式执行</v>
      </c>
      <c r="AA15" s="12">
        <f>两日求解价格与决策!AA15</f>
        <v>1</v>
      </c>
      <c r="AB15" s="12">
        <f>两日求解价格与决策!AB15</f>
        <v>1</v>
      </c>
      <c r="AC15" s="12">
        <f>两日求解价格与决策!AC15</f>
        <v>0.25</v>
      </c>
      <c r="AD15" s="18">
        <f>两日求解价格与决策!AD15</f>
        <v>0.3125</v>
      </c>
      <c r="AE15" s="18">
        <f>两日求解价格与决策!AE15</f>
        <v>0.13714285714285715</v>
      </c>
      <c r="AF15" s="18">
        <f>两日求解价格与决策!AF15</f>
        <v>0.14537142857142857</v>
      </c>
      <c r="AG15" s="18">
        <f>两日求解价格与决策!AG15</f>
        <v>0</v>
      </c>
      <c r="AH15" s="12">
        <f>两日求解价格与决策!AH15</f>
        <v>175</v>
      </c>
      <c r="AI15" s="12">
        <f>两日求解价格与决策!AI15</f>
        <v>175</v>
      </c>
      <c r="AJ15" s="12">
        <f>两日求解价格与决策!AJ15</f>
        <v>6.36</v>
      </c>
      <c r="AK15" s="12">
        <f>两日求解价格与决策!AK15</f>
        <v>0</v>
      </c>
      <c r="AL15" s="12">
        <f>两日求解价格与决策!AL15</f>
        <v>128</v>
      </c>
      <c r="AM15" s="12">
        <f>两日求解价格与决策!AM15</f>
        <v>2.6335403726708072E-3</v>
      </c>
      <c r="AN15" s="12">
        <f>两日求解价格与决策!AN15</f>
        <v>0</v>
      </c>
      <c r="AO15" s="12">
        <f>两日求解价格与决策!AO15</f>
        <v>0.87222857142857135</v>
      </c>
      <c r="AP15" s="12">
        <f>两日求解价格与决策!AP15</f>
        <v>31.771335895236781</v>
      </c>
      <c r="AQ15" s="19">
        <f>两日求解价格与决策!AQ15</f>
        <v>0</v>
      </c>
      <c r="AR15" s="12">
        <f>两日求解价格与决策!AR15</f>
        <v>5.2473000000000001</v>
      </c>
      <c r="AS15" s="14">
        <f>两日求解价格与决策!AS15</f>
        <v>46234</v>
      </c>
      <c r="AT15" s="13">
        <f>两日求解价格与决策!AT15</f>
        <v>46234.9375</v>
      </c>
      <c r="AU15" s="12" t="str">
        <f>两日求解价格与决策!AU15</f>
        <v>2026-08-01_3</v>
      </c>
      <c r="AV15" s="12">
        <f>两日求解价格与决策!AV15</f>
        <v>15</v>
      </c>
      <c r="AW15" s="12" t="str">
        <f>两日求解价格与决策!AW15</f>
        <v>OK</v>
      </c>
      <c r="AX15" s="12">
        <f>两日求解价格与决策!AX15</f>
        <v>128</v>
      </c>
      <c r="AY15" s="12">
        <f>两日求解价格与决策!AY15</f>
        <v>175</v>
      </c>
      <c r="AZ15" s="12">
        <f>两日求解价格与决策!AZ15</f>
        <v>175</v>
      </c>
      <c r="BA15" s="12">
        <f>两日求解价格与决策!BA15</f>
        <v>40</v>
      </c>
      <c r="BB15" s="12">
        <f>两日求解价格与决策!BB15</f>
        <v>24</v>
      </c>
      <c r="BC15" s="12">
        <f>两日求解价格与决策!BC15</f>
        <v>24</v>
      </c>
      <c r="BD15" s="14">
        <f>两日求解价格与决策!BD15</f>
        <v>46235</v>
      </c>
      <c r="BE15" s="1" t="str">
        <f>两日求解价格与决策!BE15</f>
        <v>零头寸，无结算现金</v>
      </c>
      <c r="BF15" s="1" t="str">
        <f>两日求解价格与决策!BF15</f>
        <v>40.000000 MW × 66.224535 × 0.250000 h = 662.245345 EUR</v>
      </c>
      <c r="BG15" s="1" t="str">
        <f>两日求解价格与决策!BG15</f>
        <v>24.000000 MW × 7.127475 × 0.250000 h = 42.764850 EUR</v>
      </c>
      <c r="BH15" s="1" t="str">
        <f>两日求解价格与决策!BH15</f>
        <v>24.000000 MW × 2.706154 × 0.250000 h = 16.236922 EUR</v>
      </c>
      <c r="BI15" s="1" t="str">
        <f>两日求解价格与决策!BI15</f>
        <v>0.872229 MWh × 181.551846 = 158.354707 EUR</v>
      </c>
      <c r="BJ15" s="1" t="str">
        <f>两日求解价格与决策!BJ15</f>
        <v>零下调激活电量</v>
      </c>
      <c r="BK15" s="1" t="str">
        <f>两日求解价格与决策!BK15</f>
        <v>0.000000 + 662.245345 + 42.764850 + 16.236922 + 158.354707 + 0.000000 = 879.601825 EUR</v>
      </c>
    </row>
    <row r="16" spans="1:63" ht="21" customHeight="1" x14ac:dyDescent="0.45">
      <c r="A16" s="13">
        <f>两日求解价格与决策!A16</f>
        <v>46235.072916666664</v>
      </c>
      <c r="B16" s="15">
        <f>两日求解价格与决策!B16</f>
        <v>157.22999999999999</v>
      </c>
      <c r="C16" s="15">
        <f>两日求解价格与决策!C16</f>
        <v>66.224534522516336</v>
      </c>
      <c r="D16" s="15">
        <f>两日求解价格与决策!D16</f>
        <v>7.1274750824233415</v>
      </c>
      <c r="E16" s="15">
        <f>两日求解价格与决策!E16</f>
        <v>2.7061536409200921</v>
      </c>
      <c r="F16" s="15">
        <f>两日求解价格与决策!F16</f>
        <v>190.08785470622988</v>
      </c>
      <c r="G16" s="15">
        <f>两日求解价格与决策!G16</f>
        <v>0</v>
      </c>
      <c r="H16" s="15" t="str">
        <f>两日求解价格与决策!H16</f>
        <v>未模拟</v>
      </c>
      <c r="I16" s="16">
        <f>两日求解价格与决策!I16</f>
        <v>31.771335895236781</v>
      </c>
      <c r="J16" s="16">
        <f>两日求解价格与决策!J16</f>
        <v>36.483964923808209</v>
      </c>
      <c r="K16" s="16">
        <f>两日求解价格与决策!K16</f>
        <v>-24</v>
      </c>
      <c r="L16" s="16">
        <f>两日求解价格与决策!L16</f>
        <v>40</v>
      </c>
      <c r="M16" s="16">
        <f>两日求解价格与决策!M16</f>
        <v>24</v>
      </c>
      <c r="N16" s="16">
        <f>两日求解价格与决策!N16</f>
        <v>24</v>
      </c>
      <c r="O16" s="16">
        <f>两日求解价格与决策!O16</f>
        <v>0.87757714285714283</v>
      </c>
      <c r="P16" s="16">
        <f>两日求解价格与决策!P16</f>
        <v>0</v>
      </c>
      <c r="Q16" s="17">
        <f>两日求解价格与决策!Q16</f>
        <v>-943.37999999999988</v>
      </c>
      <c r="R16" s="17">
        <f>两日求解价格与决策!R16</f>
        <v>662.24534522516342</v>
      </c>
      <c r="S16" s="17">
        <f>两日求解价格与决策!S16</f>
        <v>42.764850494540049</v>
      </c>
      <c r="T16" s="17">
        <f>两日求解价格与决策!T16</f>
        <v>16.236921845520552</v>
      </c>
      <c r="U16" s="17">
        <f>两日求解价格与决策!U16</f>
        <v>166.8167564249369</v>
      </c>
      <c r="V16" s="17">
        <f>两日求解价格与决策!V16</f>
        <v>0</v>
      </c>
      <c r="W16" s="17">
        <f>两日求解价格与决策!W16</f>
        <v>-55.316126009838968</v>
      </c>
      <c r="X16" s="12">
        <f>两日求解价格与决策!X16</f>
        <v>-55.316126009838968</v>
      </c>
      <c r="Y16" s="19">
        <f>两日求解价格与决策!Y16</f>
        <v>0</v>
      </c>
      <c r="Z16" s="12" t="str">
        <f t="shared" si="0"/>
        <v>正式执行</v>
      </c>
      <c r="AA16" s="12">
        <f>两日求解价格与决策!AA16</f>
        <v>1</v>
      </c>
      <c r="AB16" s="12">
        <f>两日求解价格与决策!AB16</f>
        <v>1</v>
      </c>
      <c r="AC16" s="12">
        <f>两日求解价格与决策!AC16</f>
        <v>0.25</v>
      </c>
      <c r="AD16" s="18">
        <f>两日求解价格与决策!AD16</f>
        <v>0.3125</v>
      </c>
      <c r="AE16" s="18">
        <f>两日求解价格与决策!AE16</f>
        <v>0.13714285714285715</v>
      </c>
      <c r="AF16" s="18">
        <f>两日求解价格与决策!AF16</f>
        <v>0.14626285714285714</v>
      </c>
      <c r="AG16" s="18">
        <f>两日求解价格与决策!AG16</f>
        <v>0</v>
      </c>
      <c r="AH16" s="12">
        <f>两日求解价格与决策!AH16</f>
        <v>175</v>
      </c>
      <c r="AI16" s="12">
        <f>两日求解价格与决策!AI16</f>
        <v>175</v>
      </c>
      <c r="AJ16" s="12">
        <f>两日求解价格与决策!AJ16</f>
        <v>6.399</v>
      </c>
      <c r="AK16" s="12">
        <f>两日求解价格与决策!AK16</f>
        <v>0</v>
      </c>
      <c r="AL16" s="12">
        <f>两日求解价格与决策!AL16</f>
        <v>128</v>
      </c>
      <c r="AM16" s="12">
        <f>两日求解价格与决策!AM16</f>
        <v>1.3090636190476193E-2</v>
      </c>
      <c r="AN16" s="12">
        <f>两日求解价格与决策!AN16</f>
        <v>5.1224228571428574</v>
      </c>
      <c r="AO16" s="12">
        <f>两日求解价格与决策!AO16</f>
        <v>0</v>
      </c>
      <c r="AP16" s="12">
        <f>两日求解价格与决策!AP16</f>
        <v>36.483964923808209</v>
      </c>
      <c r="AQ16" s="19">
        <f>两日求解价格与决策!AQ16</f>
        <v>0</v>
      </c>
      <c r="AR16" s="12">
        <f>两日求解价格与决策!AR16</f>
        <v>5.2473000000000001</v>
      </c>
      <c r="AS16" s="14">
        <f>两日求解价格与决策!AS16</f>
        <v>46234</v>
      </c>
      <c r="AT16" s="13">
        <f>两日求解价格与决策!AT16</f>
        <v>46234.947916666664</v>
      </c>
      <c r="AU16" s="12" t="str">
        <f>两日求解价格与决策!AU16</f>
        <v>2026-08-01_4</v>
      </c>
      <c r="AV16" s="12">
        <f>两日求解价格与决策!AV16</f>
        <v>15</v>
      </c>
      <c r="AW16" s="12" t="str">
        <f>两日求解价格与决策!AW16</f>
        <v>OK</v>
      </c>
      <c r="AX16" s="12">
        <f>两日求解价格与决策!AX16</f>
        <v>128</v>
      </c>
      <c r="AY16" s="12">
        <f>两日求解价格与决策!AY16</f>
        <v>175</v>
      </c>
      <c r="AZ16" s="12">
        <f>两日求解价格与决策!AZ16</f>
        <v>175</v>
      </c>
      <c r="BA16" s="12">
        <f>两日求解价格与决策!BA16</f>
        <v>40</v>
      </c>
      <c r="BB16" s="12">
        <f>两日求解价格与决策!BB16</f>
        <v>24</v>
      </c>
      <c r="BC16" s="12">
        <f>两日求解价格与决策!BC16</f>
        <v>24</v>
      </c>
      <c r="BD16" s="14">
        <f>两日求解价格与决策!BD16</f>
        <v>46235</v>
      </c>
      <c r="BE16" s="1" t="str">
        <f>两日求解价格与决策!BE16</f>
        <v>-24.000000 MW × 157.230000 × 0.250000 h = -943.380000 EUR</v>
      </c>
      <c r="BF16" s="1" t="str">
        <f>两日求解价格与决策!BF16</f>
        <v>40.000000 MW × 66.224535 × 0.250000 h = 662.245345 EUR</v>
      </c>
      <c r="BG16" s="1" t="str">
        <f>两日求解价格与决策!BG16</f>
        <v>24.000000 MW × 7.127475 × 0.250000 h = 42.764850 EUR</v>
      </c>
      <c r="BH16" s="1" t="str">
        <f>两日求解价格与决策!BH16</f>
        <v>24.000000 MW × 2.706154 × 0.250000 h = 16.236922 EUR</v>
      </c>
      <c r="BI16" s="1" t="str">
        <f>两日求解价格与决策!BI16</f>
        <v>0.877577 MWh × 190.087855 = 166.816756 EUR</v>
      </c>
      <c r="BJ16" s="1" t="str">
        <f>两日求解价格与决策!BJ16</f>
        <v>零下调激活电量</v>
      </c>
      <c r="BK16" s="1" t="str">
        <f>两日求解价格与决策!BK16</f>
        <v>-943.380000 + 662.245345 + 42.764850 + 16.236922 + 166.816756 + 0.000000 = -55.316126 EUR</v>
      </c>
    </row>
    <row r="17" spans="1:63" ht="21" customHeight="1" x14ac:dyDescent="0.45">
      <c r="A17" s="13">
        <f>两日求解价格与决策!A17</f>
        <v>46235.083333333336</v>
      </c>
      <c r="B17" s="15">
        <f>两日求解价格与决策!B17</f>
        <v>170.44</v>
      </c>
      <c r="C17" s="15">
        <f>两日求解价格与决策!C17</f>
        <v>66.224534522516336</v>
      </c>
      <c r="D17" s="15">
        <f>两日求解价格与决策!D17</f>
        <v>7.1274750824233415</v>
      </c>
      <c r="E17" s="15">
        <f>两日求解价格与决策!E17</f>
        <v>2.7061536409200921</v>
      </c>
      <c r="F17" s="15">
        <f>两日求解价格与决策!F17</f>
        <v>227.42972576372611</v>
      </c>
      <c r="G17" s="15">
        <f>两日求解价格与决策!G17</f>
        <v>0</v>
      </c>
      <c r="H17" s="15" t="str">
        <f>两日求解价格与决策!H17</f>
        <v>未模拟</v>
      </c>
      <c r="I17" s="16">
        <f>两日求解价格与决策!I17</f>
        <v>36.483964923808209</v>
      </c>
      <c r="J17" s="16">
        <f>两日求解价格与决策!J17</f>
        <v>34.278648153621873</v>
      </c>
      <c r="K17" s="16">
        <f>两日求解价格与决策!K17</f>
        <v>0</v>
      </c>
      <c r="L17" s="16">
        <f>两日求解价格与决策!L17</f>
        <v>40</v>
      </c>
      <c r="M17" s="16">
        <f>两日求解价格与决策!M17</f>
        <v>24</v>
      </c>
      <c r="N17" s="16">
        <f>两日求解价格与决策!N17</f>
        <v>24</v>
      </c>
      <c r="O17" s="16">
        <f>两日求解价格与决策!O17</f>
        <v>2.0288914285714288</v>
      </c>
      <c r="P17" s="16">
        <f>两日求解价格与决策!P17</f>
        <v>0</v>
      </c>
      <c r="Q17" s="17">
        <f>两日求解价格与决策!Q17</f>
        <v>0</v>
      </c>
      <c r="R17" s="17">
        <f>两日求解价格与决策!R17</f>
        <v>662.24534522516342</v>
      </c>
      <c r="S17" s="17">
        <f>两日求解价格与决策!S17</f>
        <v>42.764850494540049</v>
      </c>
      <c r="T17" s="17">
        <f>两日求解价格与决策!T17</f>
        <v>16.236921845520552</v>
      </c>
      <c r="U17" s="17">
        <f>两日求解价格与决策!U17</f>
        <v>461.43022120437456</v>
      </c>
      <c r="V17" s="17">
        <f>两日求解价格与决策!V17</f>
        <v>0</v>
      </c>
      <c r="W17" s="17">
        <f>两日求解价格与决策!W17</f>
        <v>1182.6773387695985</v>
      </c>
      <c r="X17" s="12">
        <f>两日求解价格与决策!X17</f>
        <v>1182.6773387695987</v>
      </c>
      <c r="Y17" s="19">
        <f>两日求解价格与决策!Y17</f>
        <v>0</v>
      </c>
      <c r="Z17" s="12" t="str">
        <f t="shared" si="0"/>
        <v>正式执行</v>
      </c>
      <c r="AA17" s="12">
        <f>两日求解价格与决策!AA17</f>
        <v>1</v>
      </c>
      <c r="AB17" s="12">
        <f>两日求解价格与决策!AB17</f>
        <v>1</v>
      </c>
      <c r="AC17" s="12">
        <f>两日求解价格与决策!AC17</f>
        <v>0.25</v>
      </c>
      <c r="AD17" s="18">
        <f>两日求解价格与决策!AD17</f>
        <v>0.3125</v>
      </c>
      <c r="AE17" s="18">
        <f>两日求解价格与决策!AE17</f>
        <v>0.13714285714285715</v>
      </c>
      <c r="AF17" s="18">
        <f>两日求解价格与决策!AF17</f>
        <v>0.33814857142857146</v>
      </c>
      <c r="AG17" s="18">
        <f>两日求解价格与决策!AG17</f>
        <v>0</v>
      </c>
      <c r="AH17" s="12">
        <f>两日求解价格与决策!AH17</f>
        <v>175</v>
      </c>
      <c r="AI17" s="12">
        <f>两日求解价格与决策!AI17</f>
        <v>175</v>
      </c>
      <c r="AJ17" s="12">
        <f>两日求解价格与决策!AJ17</f>
        <v>14.794</v>
      </c>
      <c r="AK17" s="12">
        <f>两日求解价格与决策!AK17</f>
        <v>0</v>
      </c>
      <c r="AL17" s="12">
        <f>两日求解价格与决策!AL17</f>
        <v>128</v>
      </c>
      <c r="AM17" s="12">
        <f>两日求解价格与决策!AM17</f>
        <v>6.125879917184265E-3</v>
      </c>
      <c r="AN17" s="12">
        <f>两日求解价格与决策!AN17</f>
        <v>0</v>
      </c>
      <c r="AO17" s="12">
        <f>两日求解价格与决策!AO17</f>
        <v>2.0288914285714288</v>
      </c>
      <c r="AP17" s="12">
        <f>两日求解价格与决策!AP17</f>
        <v>34.278648153621873</v>
      </c>
      <c r="AQ17" s="19">
        <f>两日求解价格与决策!AQ17</f>
        <v>0</v>
      </c>
      <c r="AR17" s="12">
        <f>两日求解价格与决策!AR17</f>
        <v>5.2473000000000001</v>
      </c>
      <c r="AS17" s="14">
        <f>两日求解价格与决策!AS17</f>
        <v>46234</v>
      </c>
      <c r="AT17" s="13">
        <f>两日求解价格与决策!AT17</f>
        <v>46234.958333333336</v>
      </c>
      <c r="AU17" s="12" t="str">
        <f>两日求解价格与决策!AU17</f>
        <v>2026-08-01_5</v>
      </c>
      <c r="AV17" s="12">
        <f>两日求解价格与决策!AV17</f>
        <v>15</v>
      </c>
      <c r="AW17" s="12" t="str">
        <f>两日求解价格与决策!AW17</f>
        <v>OK</v>
      </c>
      <c r="AX17" s="12">
        <f>两日求解价格与决策!AX17</f>
        <v>128</v>
      </c>
      <c r="AY17" s="12">
        <f>两日求解价格与决策!AY17</f>
        <v>175</v>
      </c>
      <c r="AZ17" s="12">
        <f>两日求解价格与决策!AZ17</f>
        <v>175</v>
      </c>
      <c r="BA17" s="12">
        <f>两日求解价格与决策!BA17</f>
        <v>40</v>
      </c>
      <c r="BB17" s="12">
        <f>两日求解价格与决策!BB17</f>
        <v>24</v>
      </c>
      <c r="BC17" s="12">
        <f>两日求解价格与决策!BC17</f>
        <v>24</v>
      </c>
      <c r="BD17" s="14">
        <f>两日求解价格与决策!BD17</f>
        <v>46235</v>
      </c>
      <c r="BE17" s="1" t="str">
        <f>两日求解价格与决策!BE17</f>
        <v>零头寸，无结算现金</v>
      </c>
      <c r="BF17" s="1" t="str">
        <f>两日求解价格与决策!BF17</f>
        <v>40.000000 MW × 66.224535 × 0.250000 h = 662.245345 EUR</v>
      </c>
      <c r="BG17" s="1" t="str">
        <f>两日求解价格与决策!BG17</f>
        <v>24.000000 MW × 7.127475 × 0.250000 h = 42.764850 EUR</v>
      </c>
      <c r="BH17" s="1" t="str">
        <f>两日求解价格与决策!BH17</f>
        <v>24.000000 MW × 2.706154 × 0.250000 h = 16.236922 EUR</v>
      </c>
      <c r="BI17" s="1" t="str">
        <f>两日求解价格与决策!BI17</f>
        <v>2.028891 MWh × 227.429726 = 461.430221 EUR</v>
      </c>
      <c r="BJ17" s="1" t="str">
        <f>两日求解价格与决策!BJ17</f>
        <v>零下调激活电量</v>
      </c>
      <c r="BK17" s="1" t="str">
        <f>两日求解价格与决策!BK17</f>
        <v>0.000000 + 662.245345 + 42.764850 + 16.236922 + 461.430221 + 0.000000 = 1182.677339 EUR</v>
      </c>
    </row>
    <row r="18" spans="1:63" ht="21" customHeight="1" x14ac:dyDescent="0.45">
      <c r="A18" s="13">
        <f>两日求解价格与决策!A18</f>
        <v>46235.09375</v>
      </c>
      <c r="B18" s="15">
        <f>两日求解价格与决策!B18</f>
        <v>169.42</v>
      </c>
      <c r="C18" s="15">
        <f>两日求解价格与决策!C18</f>
        <v>66.224534522516336</v>
      </c>
      <c r="D18" s="15">
        <f>两日求解价格与决策!D18</f>
        <v>7.1274750824233415</v>
      </c>
      <c r="E18" s="15">
        <f>两日求解价格与决策!E18</f>
        <v>2.7061536409200921</v>
      </c>
      <c r="F18" s="15">
        <f>两日求解价格与决策!F18</f>
        <v>236.08846454367009</v>
      </c>
      <c r="G18" s="15">
        <f>两日求解价格与决策!G18</f>
        <v>0</v>
      </c>
      <c r="H18" s="15" t="str">
        <f>两日求解价格与决策!H18</f>
        <v>未模拟</v>
      </c>
      <c r="I18" s="16">
        <f>两日求解价格与决策!I18</f>
        <v>34.278648153621873</v>
      </c>
      <c r="J18" s="16">
        <f>两日求解价格与决策!J18</f>
        <v>31.993430762317526</v>
      </c>
      <c r="K18" s="16">
        <f>两日求解价格与决策!K18</f>
        <v>0</v>
      </c>
      <c r="L18" s="16">
        <f>两日求解价格与决策!L18</f>
        <v>40</v>
      </c>
      <c r="M18" s="16">
        <f>两日求解价格与决策!M18</f>
        <v>24</v>
      </c>
      <c r="N18" s="16">
        <f>两日求解价格与决策!N18</f>
        <v>24</v>
      </c>
      <c r="O18" s="16">
        <f>两日求解价格与决策!O18</f>
        <v>2.1023999999999998</v>
      </c>
      <c r="P18" s="16">
        <f>两日求解价格与决策!P18</f>
        <v>0</v>
      </c>
      <c r="Q18" s="17">
        <f>两日求解价格与决策!Q18</f>
        <v>0</v>
      </c>
      <c r="R18" s="17">
        <f>两日求解价格与决策!R18</f>
        <v>662.24534522516342</v>
      </c>
      <c r="S18" s="17">
        <f>两日求解价格与决策!S18</f>
        <v>42.764850494540049</v>
      </c>
      <c r="T18" s="17">
        <f>两日求解价格与决策!T18</f>
        <v>16.236921845520552</v>
      </c>
      <c r="U18" s="17">
        <f>两日求解价格与决策!U18</f>
        <v>496.35238785661193</v>
      </c>
      <c r="V18" s="17">
        <f>两日求解价格与决策!V18</f>
        <v>0</v>
      </c>
      <c r="W18" s="17">
        <f>两日求解价格与决策!W18</f>
        <v>1217.5995054218361</v>
      </c>
      <c r="X18" s="12">
        <f>两日求解价格与决策!X18</f>
        <v>1217.5995054218361</v>
      </c>
      <c r="Y18" s="19">
        <f>两日求解价格与决策!Y18</f>
        <v>0</v>
      </c>
      <c r="Z18" s="12" t="str">
        <f t="shared" si="0"/>
        <v>正式执行</v>
      </c>
      <c r="AA18" s="12">
        <f>两日求解价格与决策!AA18</f>
        <v>1</v>
      </c>
      <c r="AB18" s="12">
        <f>两日求解价格与决策!AB18</f>
        <v>1</v>
      </c>
      <c r="AC18" s="12">
        <f>两日求解价格与决策!AC18</f>
        <v>0.25</v>
      </c>
      <c r="AD18" s="18">
        <f>两日求解价格与决策!AD18</f>
        <v>0.3125</v>
      </c>
      <c r="AE18" s="18">
        <f>两日求解价格与决策!AE18</f>
        <v>0.13714285714285715</v>
      </c>
      <c r="AF18" s="18">
        <f>两日求解价格与决策!AF18</f>
        <v>0.35039999999999999</v>
      </c>
      <c r="AG18" s="18">
        <f>两日求解价格与决策!AG18</f>
        <v>0</v>
      </c>
      <c r="AH18" s="12">
        <f>两日求解价格与决策!AH18</f>
        <v>175</v>
      </c>
      <c r="AI18" s="12">
        <f>两日求解价格与决策!AI18</f>
        <v>175</v>
      </c>
      <c r="AJ18" s="12">
        <f>两日求解价格与决策!AJ18</f>
        <v>15.33</v>
      </c>
      <c r="AK18" s="12">
        <f>两日求解价格与决策!AK18</f>
        <v>0</v>
      </c>
      <c r="AL18" s="12">
        <f>两日求解价格与决策!AL18</f>
        <v>128</v>
      </c>
      <c r="AM18" s="12">
        <f>两日求解价格与决策!AM18</f>
        <v>6.347826086956521E-3</v>
      </c>
      <c r="AN18" s="12">
        <f>两日求解价格与决策!AN18</f>
        <v>0</v>
      </c>
      <c r="AO18" s="12">
        <f>两日求解价格与决策!AO18</f>
        <v>2.1023999999999998</v>
      </c>
      <c r="AP18" s="12">
        <f>两日求解价格与决策!AP18</f>
        <v>31.993430762317526</v>
      </c>
      <c r="AQ18" s="19">
        <f>两日求解价格与决策!AQ18</f>
        <v>0</v>
      </c>
      <c r="AR18" s="12">
        <f>两日求解价格与决策!AR18</f>
        <v>5.2473000000000001</v>
      </c>
      <c r="AS18" s="14">
        <f>两日求解价格与决策!AS18</f>
        <v>46234</v>
      </c>
      <c r="AT18" s="13">
        <f>两日求解价格与决策!AT18</f>
        <v>46234.96875</v>
      </c>
      <c r="AU18" s="12" t="str">
        <f>两日求解价格与决策!AU18</f>
        <v>2026-08-01_6</v>
      </c>
      <c r="AV18" s="12">
        <f>两日求解价格与决策!AV18</f>
        <v>15</v>
      </c>
      <c r="AW18" s="12" t="str">
        <f>两日求解价格与决策!AW18</f>
        <v>OK</v>
      </c>
      <c r="AX18" s="12">
        <f>两日求解价格与决策!AX18</f>
        <v>128</v>
      </c>
      <c r="AY18" s="12">
        <f>两日求解价格与决策!AY18</f>
        <v>175</v>
      </c>
      <c r="AZ18" s="12">
        <f>两日求解价格与决策!AZ18</f>
        <v>175</v>
      </c>
      <c r="BA18" s="12">
        <f>两日求解价格与决策!BA18</f>
        <v>40</v>
      </c>
      <c r="BB18" s="12">
        <f>两日求解价格与决策!BB18</f>
        <v>24</v>
      </c>
      <c r="BC18" s="12">
        <f>两日求解价格与决策!BC18</f>
        <v>24</v>
      </c>
      <c r="BD18" s="14">
        <f>两日求解价格与决策!BD18</f>
        <v>46235</v>
      </c>
      <c r="BE18" s="1" t="str">
        <f>两日求解价格与决策!BE18</f>
        <v>零头寸，无结算现金</v>
      </c>
      <c r="BF18" s="1" t="str">
        <f>两日求解价格与决策!BF18</f>
        <v>40.000000 MW × 66.224535 × 0.250000 h = 662.245345 EUR</v>
      </c>
      <c r="BG18" s="1" t="str">
        <f>两日求解价格与决策!BG18</f>
        <v>24.000000 MW × 7.127475 × 0.250000 h = 42.764850 EUR</v>
      </c>
      <c r="BH18" s="1" t="str">
        <f>两日求解价格与决策!BH18</f>
        <v>24.000000 MW × 2.706154 × 0.250000 h = 16.236922 EUR</v>
      </c>
      <c r="BI18" s="1" t="str">
        <f>两日求解价格与决策!BI18</f>
        <v>2.102400 MWh × 236.088465 = 496.352388 EUR</v>
      </c>
      <c r="BJ18" s="1" t="str">
        <f>两日求解价格与决策!BJ18</f>
        <v>零下调激活电量</v>
      </c>
      <c r="BK18" s="1" t="str">
        <f>两日求解价格与决策!BK18</f>
        <v>0.000000 + 662.245345 + 42.764850 + 16.236922 + 496.352388 + 0.000000 = 1217.599505 EUR</v>
      </c>
    </row>
    <row r="19" spans="1:63" ht="21" customHeight="1" x14ac:dyDescent="0.45">
      <c r="A19" s="13">
        <f>两日求解价格与决策!A19</f>
        <v>46235.104166666664</v>
      </c>
      <c r="B19" s="15">
        <f>两日求解价格与决策!B19</f>
        <v>158.09</v>
      </c>
      <c r="C19" s="15">
        <f>两日求解价格与决策!C19</f>
        <v>66.224534522516336</v>
      </c>
      <c r="D19" s="15">
        <f>两日求解价格与决策!D19</f>
        <v>7.1274750824233415</v>
      </c>
      <c r="E19" s="15">
        <f>两日求解价格与决策!E19</f>
        <v>2.7061536409200921</v>
      </c>
      <c r="F19" s="15">
        <f>两日求解价格与决策!F19</f>
        <v>179.29544718236045</v>
      </c>
      <c r="G19" s="15">
        <f>两日求解价格与决策!G19</f>
        <v>0</v>
      </c>
      <c r="H19" s="15" t="str">
        <f>两日求解价格与决策!H19</f>
        <v>未模拟</v>
      </c>
      <c r="I19" s="16">
        <f>两日求解价格与决策!I19</f>
        <v>31.993430762317526</v>
      </c>
      <c r="J19" s="16">
        <f>两日求解价格与决策!J19</f>
        <v>31.979320955398158</v>
      </c>
      <c r="K19" s="16">
        <f>两日求解价格与决策!K19</f>
        <v>-1.0887785489005744</v>
      </c>
      <c r="L19" s="16">
        <f>两日求解价格与决策!L19</f>
        <v>40</v>
      </c>
      <c r="M19" s="16">
        <f>两日求解价格与决策!M19</f>
        <v>24</v>
      </c>
      <c r="N19" s="16">
        <f>两日求解价格与决策!N19</f>
        <v>24</v>
      </c>
      <c r="O19" s="16">
        <f>两日求解价格与决策!O19</f>
        <v>0.24507428571428569</v>
      </c>
      <c r="P19" s="16">
        <f>两日求解价格与决策!P19</f>
        <v>0</v>
      </c>
      <c r="Q19" s="17">
        <f>两日求解价格与决策!Q19</f>
        <v>-43.031250198922947</v>
      </c>
      <c r="R19" s="17">
        <f>两日求解价格与决策!R19</f>
        <v>662.24534522516342</v>
      </c>
      <c r="S19" s="17">
        <f>两日求解价格与决策!S19</f>
        <v>42.764850494540049</v>
      </c>
      <c r="T19" s="17">
        <f>两日求解价格与决策!T19</f>
        <v>16.236921845520552</v>
      </c>
      <c r="U19" s="17">
        <f>两日求解价格与决策!U19</f>
        <v>43.940703650040426</v>
      </c>
      <c r="V19" s="17">
        <f>两日求解价格与决策!V19</f>
        <v>0</v>
      </c>
      <c r="W19" s="17">
        <f>两日求解价格与决策!W19</f>
        <v>722.15657101634145</v>
      </c>
      <c r="X19" s="12">
        <f>两日求解价格与决策!X19</f>
        <v>722.15657101634145</v>
      </c>
      <c r="Y19" s="19">
        <f>两日求解价格与决策!Y19</f>
        <v>0</v>
      </c>
      <c r="Z19" s="12" t="str">
        <f t="shared" si="0"/>
        <v>正式执行</v>
      </c>
      <c r="AA19" s="12">
        <f>两日求解价格与决策!AA19</f>
        <v>1</v>
      </c>
      <c r="AB19" s="12">
        <f>两日求解价格与决策!AB19</f>
        <v>1</v>
      </c>
      <c r="AC19" s="12">
        <f>两日求解价格与决策!AC19</f>
        <v>0.25</v>
      </c>
      <c r="AD19" s="18">
        <f>两日求解价格与决策!AD19</f>
        <v>0.3125</v>
      </c>
      <c r="AE19" s="18">
        <f>两日求解价格与决策!AE19</f>
        <v>0.13714285714285715</v>
      </c>
      <c r="AF19" s="18">
        <f>两日求解价格与决策!AF19</f>
        <v>4.0845714285714284E-2</v>
      </c>
      <c r="AG19" s="18">
        <f>两日求解价格与决策!AG19</f>
        <v>0</v>
      </c>
      <c r="AH19" s="12">
        <f>两日求解价格与决策!AH19</f>
        <v>175</v>
      </c>
      <c r="AI19" s="12">
        <f>两日求解价格与决策!AI19</f>
        <v>175</v>
      </c>
      <c r="AJ19" s="12">
        <f>两日求解价格与决策!AJ19</f>
        <v>1.7869999999999999</v>
      </c>
      <c r="AK19" s="12">
        <f>两日求解价格与决策!AK19</f>
        <v>0</v>
      </c>
      <c r="AL19" s="12">
        <f>两日求解价格与决策!AL19</f>
        <v>128</v>
      </c>
      <c r="AM19" s="12">
        <f>两日求解价格与决策!AM19</f>
        <v>1.3735856893066114E-3</v>
      </c>
      <c r="AN19" s="12">
        <f>两日求解价格与决策!AN19</f>
        <v>0.26107665284294174</v>
      </c>
      <c r="AO19" s="12">
        <f>两日求解价格与决策!AO19</f>
        <v>0.23395630133208384</v>
      </c>
      <c r="AP19" s="12">
        <f>两日求解价格与决策!AP19</f>
        <v>31.979320955398158</v>
      </c>
      <c r="AQ19" s="19">
        <f>两日求解价格与决策!AQ19</f>
        <v>0</v>
      </c>
      <c r="AR19" s="12">
        <f>两日求解价格与决策!AR19</f>
        <v>5.2473000000000001</v>
      </c>
      <c r="AS19" s="14">
        <f>两日求解价格与决策!AS19</f>
        <v>46234</v>
      </c>
      <c r="AT19" s="13">
        <f>两日求解价格与决策!AT19</f>
        <v>46234.979166666664</v>
      </c>
      <c r="AU19" s="12" t="str">
        <f>两日求解价格与决策!AU19</f>
        <v>2026-08-01_7</v>
      </c>
      <c r="AV19" s="12">
        <f>两日求解价格与决策!AV19</f>
        <v>15</v>
      </c>
      <c r="AW19" s="12" t="str">
        <f>两日求解价格与决策!AW19</f>
        <v>OK</v>
      </c>
      <c r="AX19" s="12">
        <f>两日求解价格与决策!AX19</f>
        <v>128</v>
      </c>
      <c r="AY19" s="12">
        <f>两日求解价格与决策!AY19</f>
        <v>175</v>
      </c>
      <c r="AZ19" s="12">
        <f>两日求解价格与决策!AZ19</f>
        <v>175</v>
      </c>
      <c r="BA19" s="12">
        <f>两日求解价格与决策!BA19</f>
        <v>40</v>
      </c>
      <c r="BB19" s="12">
        <f>两日求解价格与决策!BB19</f>
        <v>24</v>
      </c>
      <c r="BC19" s="12">
        <f>两日求解价格与决策!BC19</f>
        <v>24</v>
      </c>
      <c r="BD19" s="14">
        <f>两日求解价格与决策!BD19</f>
        <v>46235</v>
      </c>
      <c r="BE19" s="1" t="str">
        <f>两日求解价格与决策!BE19</f>
        <v>-1.088779 MW × 158.090000 × 0.250000 h = -43.031250 EUR</v>
      </c>
      <c r="BF19" s="1" t="str">
        <f>两日求解价格与决策!BF19</f>
        <v>40.000000 MW × 66.224535 × 0.250000 h = 662.245345 EUR</v>
      </c>
      <c r="BG19" s="1" t="str">
        <f>两日求解价格与决策!BG19</f>
        <v>24.000000 MW × 7.127475 × 0.250000 h = 42.764850 EUR</v>
      </c>
      <c r="BH19" s="1" t="str">
        <f>两日求解价格与决策!BH19</f>
        <v>24.000000 MW × 2.706154 × 0.250000 h = 16.236922 EUR</v>
      </c>
      <c r="BI19" s="1" t="str">
        <f>两日求解价格与决策!BI19</f>
        <v>0.245074 MWh × 179.295447 = 43.940704 EUR</v>
      </c>
      <c r="BJ19" s="1" t="str">
        <f>两日求解价格与决策!BJ19</f>
        <v>零下调激活电量</v>
      </c>
      <c r="BK19" s="1" t="str">
        <f>两日求解价格与决策!BK19</f>
        <v>-43.031250 + 662.245345 + 42.764850 + 16.236922 + 43.940704 + 0.000000 = 722.156571 EUR</v>
      </c>
    </row>
    <row r="20" spans="1:63" ht="21" customHeight="1" x14ac:dyDescent="0.45">
      <c r="A20" s="13">
        <f>两日求解价格与决策!A20</f>
        <v>46235.114583333336</v>
      </c>
      <c r="B20" s="15">
        <f>两日求解价格与决策!B20</f>
        <v>156.91</v>
      </c>
      <c r="C20" s="15">
        <f>两日求解价格与决策!C20</f>
        <v>66.224534522516336</v>
      </c>
      <c r="D20" s="15">
        <f>两日求解价格与决策!D20</f>
        <v>7.1274750824233415</v>
      </c>
      <c r="E20" s="15">
        <f>两日求解价格与决策!E20</f>
        <v>2.7061536409200921</v>
      </c>
      <c r="F20" s="15">
        <f>两日求解价格与决策!F20</f>
        <v>170.86158595849295</v>
      </c>
      <c r="G20" s="15">
        <f>两日求解价格与决策!G20</f>
        <v>0</v>
      </c>
      <c r="H20" s="15" t="str">
        <f>两日求解价格与决策!H20</f>
        <v>未模拟</v>
      </c>
      <c r="I20" s="16">
        <f>两日求解价格与决策!I20</f>
        <v>31.979320955398158</v>
      </c>
      <c r="J20" s="16">
        <f>两日求解价格与决策!J20</f>
        <v>32.677246498374345</v>
      </c>
      <c r="K20" s="16">
        <f>两日求解价格与决策!K20</f>
        <v>-4.2700643780118552</v>
      </c>
      <c r="L20" s="16">
        <f>两日求解价格与决策!L20</f>
        <v>40</v>
      </c>
      <c r="M20" s="16">
        <f>两日求解价格与决策!M20</f>
        <v>24</v>
      </c>
      <c r="N20" s="16">
        <f>两日求解价格与决策!N20</f>
        <v>24</v>
      </c>
      <c r="O20" s="16">
        <f>两日求解价格与决策!O20</f>
        <v>0.26879999999999998</v>
      </c>
      <c r="P20" s="16">
        <f>两日求解价格与决策!P20</f>
        <v>0</v>
      </c>
      <c r="Q20" s="17">
        <f>两日求解价格与决策!Q20</f>
        <v>-167.50395038846005</v>
      </c>
      <c r="R20" s="17">
        <f>两日求解价格与决策!R20</f>
        <v>662.24534522516342</v>
      </c>
      <c r="S20" s="17">
        <f>两日求解价格与决策!S20</f>
        <v>42.764850494540049</v>
      </c>
      <c r="T20" s="17">
        <f>两日求解价格与决策!T20</f>
        <v>16.236921845520552</v>
      </c>
      <c r="U20" s="17">
        <f>两日求解价格与决策!U20</f>
        <v>45.927594305642906</v>
      </c>
      <c r="V20" s="17">
        <f>两日求解价格与决策!V20</f>
        <v>0</v>
      </c>
      <c r="W20" s="17">
        <f>两日求解价格与决策!W20</f>
        <v>599.67076148240687</v>
      </c>
      <c r="X20" s="12">
        <f>两日求解价格与决策!X20</f>
        <v>599.67076148240687</v>
      </c>
      <c r="Y20" s="19">
        <f>两日求解价格与决策!Y20</f>
        <v>0</v>
      </c>
      <c r="Z20" s="12" t="str">
        <f t="shared" si="0"/>
        <v>正式执行</v>
      </c>
      <c r="AA20" s="12">
        <f>两日求解价格与决策!AA20</f>
        <v>1</v>
      </c>
      <c r="AB20" s="12">
        <f>两日求解价格与决策!AB20</f>
        <v>1</v>
      </c>
      <c r="AC20" s="12">
        <f>两日求解价格与决策!AC20</f>
        <v>0.25</v>
      </c>
      <c r="AD20" s="18">
        <f>两日求解价格与决策!AD20</f>
        <v>0.3125</v>
      </c>
      <c r="AE20" s="18">
        <f>两日求解价格与决策!AE20</f>
        <v>0.13714285714285715</v>
      </c>
      <c r="AF20" s="18">
        <f>两日求解价格与决策!AF20</f>
        <v>4.48E-2</v>
      </c>
      <c r="AG20" s="18">
        <f>两日求解价格与决策!AG20</f>
        <v>0</v>
      </c>
      <c r="AH20" s="12">
        <f>两日求解价格与决策!AH20</f>
        <v>175</v>
      </c>
      <c r="AI20" s="12">
        <f>两日求解价格与决策!AI20</f>
        <v>175</v>
      </c>
      <c r="AJ20" s="12">
        <f>两日求解价格与决策!AJ20</f>
        <v>1.96</v>
      </c>
      <c r="AK20" s="12">
        <f>两日求解价格与决策!AK20</f>
        <v>0</v>
      </c>
      <c r="AL20" s="12">
        <f>两日求解价格与决策!AL20</f>
        <v>128</v>
      </c>
      <c r="AM20" s="12">
        <f>两日求解价格与决策!AM20</f>
        <v>3.2730738450200011E-3</v>
      </c>
      <c r="AN20" s="12">
        <f>两日求解价格与决策!AN20</f>
        <v>1.019691373469231</v>
      </c>
      <c r="AO20" s="12">
        <f>两日求解价格与决策!AO20</f>
        <v>0.2209752789662672</v>
      </c>
      <c r="AP20" s="12">
        <f>两日求解价格与决策!AP20</f>
        <v>32.677246498374345</v>
      </c>
      <c r="AQ20" s="19">
        <f>两日求解价格与决策!AQ20</f>
        <v>0</v>
      </c>
      <c r="AR20" s="12">
        <f>两日求解价格与决策!AR20</f>
        <v>5.2473000000000001</v>
      </c>
      <c r="AS20" s="14">
        <f>两日求解价格与决策!AS20</f>
        <v>46234</v>
      </c>
      <c r="AT20" s="13">
        <f>两日求解价格与决策!AT20</f>
        <v>46234.989583333336</v>
      </c>
      <c r="AU20" s="12" t="str">
        <f>两日求解价格与决策!AU20</f>
        <v>2026-08-01_8</v>
      </c>
      <c r="AV20" s="12">
        <f>两日求解价格与决策!AV20</f>
        <v>15</v>
      </c>
      <c r="AW20" s="12" t="str">
        <f>两日求解价格与决策!AW20</f>
        <v>OK</v>
      </c>
      <c r="AX20" s="12">
        <f>两日求解价格与决策!AX20</f>
        <v>128</v>
      </c>
      <c r="AY20" s="12">
        <f>两日求解价格与决策!AY20</f>
        <v>175</v>
      </c>
      <c r="AZ20" s="12">
        <f>两日求解价格与决策!AZ20</f>
        <v>175</v>
      </c>
      <c r="BA20" s="12">
        <f>两日求解价格与决策!BA20</f>
        <v>40</v>
      </c>
      <c r="BB20" s="12">
        <f>两日求解价格与决策!BB20</f>
        <v>24</v>
      </c>
      <c r="BC20" s="12">
        <f>两日求解价格与决策!BC20</f>
        <v>24</v>
      </c>
      <c r="BD20" s="14">
        <f>两日求解价格与决策!BD20</f>
        <v>46235</v>
      </c>
      <c r="BE20" s="1" t="str">
        <f>两日求解价格与决策!BE20</f>
        <v>-4.270064 MW × 156.910000 × 0.250000 h = -167.503950 EUR</v>
      </c>
      <c r="BF20" s="1" t="str">
        <f>两日求解价格与决策!BF20</f>
        <v>40.000000 MW × 66.224535 × 0.250000 h = 662.245345 EUR</v>
      </c>
      <c r="BG20" s="1" t="str">
        <f>两日求解价格与决策!BG20</f>
        <v>24.000000 MW × 7.127475 × 0.250000 h = 42.764850 EUR</v>
      </c>
      <c r="BH20" s="1" t="str">
        <f>两日求解价格与决策!BH20</f>
        <v>24.000000 MW × 2.706154 × 0.250000 h = 16.236922 EUR</v>
      </c>
      <c r="BI20" s="1" t="str">
        <f>两日求解价格与决策!BI20</f>
        <v>0.268800 MWh × 170.861586 = 45.927594 EUR</v>
      </c>
      <c r="BJ20" s="1" t="str">
        <f>两日求解价格与决策!BJ20</f>
        <v>零下调激活电量</v>
      </c>
      <c r="BK20" s="1" t="str">
        <f>两日求解价格与决策!BK20</f>
        <v>-167.503950 + 662.245345 + 42.764850 + 16.236922 + 45.927594 + 0.000000 = 599.670761 EUR</v>
      </c>
    </row>
    <row r="21" spans="1:63" ht="21" customHeight="1" x14ac:dyDescent="0.45">
      <c r="A21" s="13">
        <f>两日求解价格与决策!A21</f>
        <v>46235.125</v>
      </c>
      <c r="B21" s="15">
        <f>两日求解价格与决策!B21</f>
        <v>161.91999999999999</v>
      </c>
      <c r="C21" s="15">
        <f>两日求解价格与决策!C21</f>
        <v>66.224534522516336</v>
      </c>
      <c r="D21" s="15">
        <f>两日求解价格与决策!D21</f>
        <v>7.1274750824233415</v>
      </c>
      <c r="E21" s="15">
        <f>两日求解价格与决策!E21</f>
        <v>4.2097840794313264</v>
      </c>
      <c r="F21" s="15">
        <f>两日求解价格与决策!F21</f>
        <v>256.41282183218033</v>
      </c>
      <c r="G21" s="15">
        <f>两日求解价格与决策!G21</f>
        <v>0</v>
      </c>
      <c r="H21" s="15" t="str">
        <f>两日求解价格与决策!H21</f>
        <v>未模拟</v>
      </c>
      <c r="I21" s="16">
        <f>两日求解价格与决策!I21</f>
        <v>32.677246498374345</v>
      </c>
      <c r="J21" s="16">
        <f>两日求解价格与决策!J21</f>
        <v>33.805770215323108</v>
      </c>
      <c r="K21" s="16">
        <f>两日求解价格与决策!K21</f>
        <v>-16.316391807587021</v>
      </c>
      <c r="L21" s="16">
        <f>两日求解价格与决策!L21</f>
        <v>40</v>
      </c>
      <c r="M21" s="16">
        <f>两日求解价格与决策!M21</f>
        <v>24</v>
      </c>
      <c r="N21" s="16">
        <f>两日求解价格与决策!N21</f>
        <v>24</v>
      </c>
      <c r="O21" s="16">
        <f>两日求解价格与决策!O21</f>
        <v>2.6958171428571429</v>
      </c>
      <c r="P21" s="16">
        <f>两日求解价格与决策!P21</f>
        <v>0</v>
      </c>
      <c r="Q21" s="17">
        <f>两日求解价格与决策!Q21</f>
        <v>-660.48754037112258</v>
      </c>
      <c r="R21" s="17">
        <f>两日求解价格与决策!R21</f>
        <v>662.24534522516342</v>
      </c>
      <c r="S21" s="17">
        <f>两日求解价格与决策!S21</f>
        <v>42.764850494540049</v>
      </c>
      <c r="T21" s="17">
        <f>两日求解价格与决策!T21</f>
        <v>25.258704476587958</v>
      </c>
      <c r="U21" s="17">
        <f>两日求解价格与决策!U21</f>
        <v>691.24208074356602</v>
      </c>
      <c r="V21" s="17">
        <f>两日求解价格与决策!V21</f>
        <v>0</v>
      </c>
      <c r="W21" s="17">
        <f>两日求解价格与决策!W21</f>
        <v>761.02344056873483</v>
      </c>
      <c r="X21" s="12">
        <f>两日求解价格与决策!X21</f>
        <v>761.02344056873483</v>
      </c>
      <c r="Y21" s="19">
        <f>两日求解价格与决策!Y21</f>
        <v>0</v>
      </c>
      <c r="Z21" s="12" t="str">
        <f t="shared" si="0"/>
        <v>正式执行</v>
      </c>
      <c r="AA21" s="12">
        <f>两日求解价格与决策!AA21</f>
        <v>1</v>
      </c>
      <c r="AB21" s="12">
        <f>两日求解价格与决策!AB21</f>
        <v>1</v>
      </c>
      <c r="AC21" s="12">
        <f>两日求解价格与决策!AC21</f>
        <v>0.25</v>
      </c>
      <c r="AD21" s="18">
        <f>两日求解价格与决策!AD21</f>
        <v>0.3125</v>
      </c>
      <c r="AE21" s="18">
        <f>两日求解价格与决策!AE21</f>
        <v>0.13714285714285715</v>
      </c>
      <c r="AF21" s="18">
        <f>两日求解价格与决策!AF21</f>
        <v>0.44930285714285717</v>
      </c>
      <c r="AG21" s="18">
        <f>两日求解价格与决策!AG21</f>
        <v>0</v>
      </c>
      <c r="AH21" s="12">
        <f>两日求解价格与决策!AH21</f>
        <v>175</v>
      </c>
      <c r="AI21" s="12">
        <f>两日求解价格与决策!AI21</f>
        <v>175</v>
      </c>
      <c r="AJ21" s="12">
        <f>两日求解价格与决策!AJ21</f>
        <v>19.657</v>
      </c>
      <c r="AK21" s="12">
        <f>两日求解价格与决策!AK21</f>
        <v>0</v>
      </c>
      <c r="AL21" s="12">
        <f>两日求解价格与决策!AL21</f>
        <v>128</v>
      </c>
      <c r="AM21" s="12">
        <f>两日求解价格与决策!AM21</f>
        <v>8.3465440114781596E-3</v>
      </c>
      <c r="AN21" s="12">
        <f>两日求解价格与决策!AN21</f>
        <v>2.246347587543966</v>
      </c>
      <c r="AO21" s="12">
        <f>两日求解价格与决策!AO21</f>
        <v>0.86306677850435398</v>
      </c>
      <c r="AP21" s="12">
        <f>两日求解价格与决策!AP21</f>
        <v>33.805770215323108</v>
      </c>
      <c r="AQ21" s="19">
        <f>两日求解价格与决策!AQ21</f>
        <v>0</v>
      </c>
      <c r="AR21" s="12">
        <f>两日求解价格与决策!AR21</f>
        <v>5.2473000000000001</v>
      </c>
      <c r="AS21" s="14">
        <f>两日求解价格与决策!AS21</f>
        <v>46234</v>
      </c>
      <c r="AT21" s="13">
        <f>两日求解价格与决策!AT21</f>
        <v>46235</v>
      </c>
      <c r="AU21" s="12" t="str">
        <f>两日求解价格与决策!AU21</f>
        <v>2026-08-01_9</v>
      </c>
      <c r="AV21" s="12">
        <f>两日求解价格与决策!AV21</f>
        <v>15</v>
      </c>
      <c r="AW21" s="12" t="str">
        <f>两日求解价格与决策!AW21</f>
        <v>OK</v>
      </c>
      <c r="AX21" s="12">
        <f>两日求解价格与决策!AX21</f>
        <v>128</v>
      </c>
      <c r="AY21" s="12">
        <f>两日求解价格与决策!AY21</f>
        <v>175</v>
      </c>
      <c r="AZ21" s="12">
        <f>两日求解价格与决策!AZ21</f>
        <v>175</v>
      </c>
      <c r="BA21" s="12">
        <f>两日求解价格与决策!BA21</f>
        <v>40</v>
      </c>
      <c r="BB21" s="12">
        <f>两日求解价格与决策!BB21</f>
        <v>24</v>
      </c>
      <c r="BC21" s="12">
        <f>两日求解价格与决策!BC21</f>
        <v>24</v>
      </c>
      <c r="BD21" s="14">
        <f>两日求解价格与决策!BD21</f>
        <v>46235</v>
      </c>
      <c r="BE21" s="1" t="str">
        <f>两日求解价格与决策!BE21</f>
        <v>-16.316392 MW × 161.920000 × 0.250000 h = -660.487540 EUR</v>
      </c>
      <c r="BF21" s="1" t="str">
        <f>两日求解价格与决策!BF21</f>
        <v>40.000000 MW × 66.224535 × 0.250000 h = 662.245345 EUR</v>
      </c>
      <c r="BG21" s="1" t="str">
        <f>两日求解价格与决策!BG21</f>
        <v>24.000000 MW × 7.127475 × 0.250000 h = 42.764850 EUR</v>
      </c>
      <c r="BH21" s="1" t="str">
        <f>两日求解价格与决策!BH21</f>
        <v>24.000000 MW × 4.209784 × 0.250000 h = 25.258704 EUR</v>
      </c>
      <c r="BI21" s="1" t="str">
        <f>两日求解价格与决策!BI21</f>
        <v>2.695817 MWh × 256.412822 = 691.242081 EUR</v>
      </c>
      <c r="BJ21" s="1" t="str">
        <f>两日求解价格与决策!BJ21</f>
        <v>零下调激活电量</v>
      </c>
      <c r="BK21" s="1" t="str">
        <f>两日求解价格与决策!BK21</f>
        <v>-660.487540 + 662.245345 + 42.764850 + 25.258704 + 691.242081 + 0.000000 = 761.023441 EUR</v>
      </c>
    </row>
    <row r="22" spans="1:63" ht="21" customHeight="1" x14ac:dyDescent="0.45">
      <c r="A22" s="13">
        <f>两日求解价格与决策!A22</f>
        <v>46235.135416666664</v>
      </c>
      <c r="B22" s="15">
        <f>两日求解价格与决策!B22</f>
        <v>160.57</v>
      </c>
      <c r="C22" s="15">
        <f>两日求解价格与决策!C22</f>
        <v>66.224534522516336</v>
      </c>
      <c r="D22" s="15">
        <f>两日求解价格与决策!D22</f>
        <v>7.1274750824233415</v>
      </c>
      <c r="E22" s="15">
        <f>两日求解价格与决策!E22</f>
        <v>4.2097840794313264</v>
      </c>
      <c r="F22" s="15">
        <f>两日求解价格与决策!F22</f>
        <v>350.54123072818402</v>
      </c>
      <c r="G22" s="15">
        <f>两日求解价格与决策!G22</f>
        <v>0</v>
      </c>
      <c r="H22" s="15" t="str">
        <f>两日求解价格与决策!H22</f>
        <v>未模拟</v>
      </c>
      <c r="I22" s="16">
        <f>两日求解价格与决策!I22</f>
        <v>33.805770215323108</v>
      </c>
      <c r="J22" s="16">
        <f>两日求解价格与决策!J22</f>
        <v>35.274153301037394</v>
      </c>
      <c r="K22" s="16">
        <f>两日求解价格与决策!K22</f>
        <v>-24</v>
      </c>
      <c r="L22" s="16">
        <f>两日求解价格与决策!L22</f>
        <v>40</v>
      </c>
      <c r="M22" s="16">
        <f>两日求解价格与决策!M22</f>
        <v>24</v>
      </c>
      <c r="N22" s="16">
        <f>两日求解价格与决策!N22</f>
        <v>24</v>
      </c>
      <c r="O22" s="16">
        <f>两日求解价格与决策!O22</f>
        <v>4.4039314285714291</v>
      </c>
      <c r="P22" s="16">
        <f>两日求解价格与决策!P22</f>
        <v>0</v>
      </c>
      <c r="Q22" s="17">
        <f>两日求解价格与决策!Q22</f>
        <v>-963.42</v>
      </c>
      <c r="R22" s="17">
        <f>两日求解价格与决策!R22</f>
        <v>662.24534522516342</v>
      </c>
      <c r="S22" s="17">
        <f>两日求解价格与决策!S22</f>
        <v>42.764850494540049</v>
      </c>
      <c r="T22" s="17">
        <f>两日求解价格与决策!T22</f>
        <v>25.258704476587958</v>
      </c>
      <c r="U22" s="17">
        <f>两日求解价格与决策!U22</f>
        <v>1543.7595430139584</v>
      </c>
      <c r="V22" s="17">
        <f>两日求解价格与决策!V22</f>
        <v>0</v>
      </c>
      <c r="W22" s="17">
        <f>两日求解价格与决策!W22</f>
        <v>1310.6084432102498</v>
      </c>
      <c r="X22" s="12">
        <f>两日求解价格与决策!X22</f>
        <v>1310.6084432102498</v>
      </c>
      <c r="Y22" s="19">
        <f>两日求解价格与决策!Y22</f>
        <v>0</v>
      </c>
      <c r="Z22" s="12" t="str">
        <f t="shared" si="0"/>
        <v>正式执行</v>
      </c>
      <c r="AA22" s="12">
        <f>两日求解价格与决策!AA22</f>
        <v>1</v>
      </c>
      <c r="AB22" s="12">
        <f>两日求解价格与决策!AB22</f>
        <v>1</v>
      </c>
      <c r="AC22" s="12">
        <f>两日求解价格与决策!AC22</f>
        <v>0.25</v>
      </c>
      <c r="AD22" s="18">
        <f>两日求解价格与决策!AD22</f>
        <v>0.3125</v>
      </c>
      <c r="AE22" s="18">
        <f>两日求解价格与决策!AE22</f>
        <v>0.13714285714285715</v>
      </c>
      <c r="AF22" s="18">
        <f>两日求解价格与决策!AF22</f>
        <v>0.73398857142857143</v>
      </c>
      <c r="AG22" s="18">
        <f>两日求解价格与决策!AG22</f>
        <v>0</v>
      </c>
      <c r="AH22" s="12">
        <f>两日求解价格与决策!AH22</f>
        <v>175</v>
      </c>
      <c r="AI22" s="12">
        <f>两日求解价格与决策!AI22</f>
        <v>175</v>
      </c>
      <c r="AJ22" s="12">
        <f>两日求解价格与决策!AJ22</f>
        <v>32.112000000000002</v>
      </c>
      <c r="AK22" s="12">
        <f>两日求解价格与决策!AK22</f>
        <v>0</v>
      </c>
      <c r="AL22" s="12">
        <f>两日求解价格与决策!AL22</f>
        <v>128</v>
      </c>
      <c r="AM22" s="12">
        <f>两日求解价格与决策!AM22</f>
        <v>4.0788419047619049E-3</v>
      </c>
      <c r="AN22" s="12">
        <f>两日求解价格与决策!AN22</f>
        <v>1.5960685714285714</v>
      </c>
      <c r="AO22" s="12">
        <f>两日求解价格与决策!AO22</f>
        <v>0</v>
      </c>
      <c r="AP22" s="12">
        <f>两日求解价格与决策!AP22</f>
        <v>35.274153301037394</v>
      </c>
      <c r="AQ22" s="19">
        <f>两日求解价格与决策!AQ22</f>
        <v>0</v>
      </c>
      <c r="AR22" s="12">
        <f>两日求解价格与决策!AR22</f>
        <v>5.2473000000000001</v>
      </c>
      <c r="AS22" s="14">
        <f>两日求解价格与决策!AS22</f>
        <v>46234</v>
      </c>
      <c r="AT22" s="13">
        <f>两日求解价格与决策!AT22</f>
        <v>46235.010416666664</v>
      </c>
      <c r="AU22" s="12" t="str">
        <f>两日求解价格与决策!AU22</f>
        <v>2026-08-01_10</v>
      </c>
      <c r="AV22" s="12">
        <f>两日求解价格与决策!AV22</f>
        <v>15</v>
      </c>
      <c r="AW22" s="12" t="str">
        <f>两日求解价格与决策!AW22</f>
        <v>OK</v>
      </c>
      <c r="AX22" s="12">
        <f>两日求解价格与决策!AX22</f>
        <v>128</v>
      </c>
      <c r="AY22" s="12">
        <f>两日求解价格与决策!AY22</f>
        <v>175</v>
      </c>
      <c r="AZ22" s="12">
        <f>两日求解价格与决策!AZ22</f>
        <v>175</v>
      </c>
      <c r="BA22" s="12">
        <f>两日求解价格与决策!BA22</f>
        <v>40</v>
      </c>
      <c r="BB22" s="12">
        <f>两日求解价格与决策!BB22</f>
        <v>24</v>
      </c>
      <c r="BC22" s="12">
        <f>两日求解价格与决策!BC22</f>
        <v>24</v>
      </c>
      <c r="BD22" s="14">
        <f>两日求解价格与决策!BD22</f>
        <v>46235</v>
      </c>
      <c r="BE22" s="1" t="str">
        <f>两日求解价格与决策!BE22</f>
        <v>-24.000000 MW × 160.570000 × 0.250000 h = -963.420000 EUR</v>
      </c>
      <c r="BF22" s="1" t="str">
        <f>两日求解价格与决策!BF22</f>
        <v>40.000000 MW × 66.224535 × 0.250000 h = 662.245345 EUR</v>
      </c>
      <c r="BG22" s="1" t="str">
        <f>两日求解价格与决策!BG22</f>
        <v>24.000000 MW × 7.127475 × 0.250000 h = 42.764850 EUR</v>
      </c>
      <c r="BH22" s="1" t="str">
        <f>两日求解价格与决策!BH22</f>
        <v>24.000000 MW × 4.209784 × 0.250000 h = 25.258704 EUR</v>
      </c>
      <c r="BI22" s="1" t="str">
        <f>两日求解价格与决策!BI22</f>
        <v>4.403931 MWh × 350.541231 = 1543.759543 EUR</v>
      </c>
      <c r="BJ22" s="1" t="str">
        <f>两日求解价格与决策!BJ22</f>
        <v>零下调激活电量</v>
      </c>
      <c r="BK22" s="1" t="str">
        <f>两日求解价格与决策!BK22</f>
        <v>-963.420000 + 662.245345 + 42.764850 + 25.258704 + 1543.759543 + 0.000000 = 1310.608443 EUR</v>
      </c>
    </row>
    <row r="23" spans="1:63" ht="21" customHeight="1" x14ac:dyDescent="0.45">
      <c r="A23" s="13">
        <f>两日求解价格与决策!A23</f>
        <v>46235.145833333336</v>
      </c>
      <c r="B23" s="15">
        <f>两日求解价格与决策!B23</f>
        <v>156.74</v>
      </c>
      <c r="C23" s="15">
        <f>两日求解价格与决策!C23</f>
        <v>66.224534522516336</v>
      </c>
      <c r="D23" s="15">
        <f>两日求解价格与决策!D23</f>
        <v>7.1274750824233415</v>
      </c>
      <c r="E23" s="15">
        <f>两日求解价格与决策!E23</f>
        <v>4.2097840794313264</v>
      </c>
      <c r="F23" s="15">
        <f>两日求解价格与决策!F23</f>
        <v>271.16212147199508</v>
      </c>
      <c r="G23" s="15">
        <f>两日求解价格与决策!G23</f>
        <v>0</v>
      </c>
      <c r="H23" s="15" t="str">
        <f>两日求解价格与决策!H23</f>
        <v>未模拟</v>
      </c>
      <c r="I23" s="16">
        <f>两日求解价格与决策!I23</f>
        <v>35.274153301037394</v>
      </c>
      <c r="J23" s="16">
        <f>两日求解价格与决策!J23</f>
        <v>37.237128386751678</v>
      </c>
      <c r="K23" s="16">
        <f>两日求解价格与决策!K23</f>
        <v>-24</v>
      </c>
      <c r="L23" s="16">
        <f>两日求解价格与决策!L23</f>
        <v>40</v>
      </c>
      <c r="M23" s="16">
        <f>两日求解价格与决策!M23</f>
        <v>24</v>
      </c>
      <c r="N23" s="16">
        <f>两日求解价格与决策!N23</f>
        <v>24</v>
      </c>
      <c r="O23" s="16">
        <f>两日求解价格与决策!O23</f>
        <v>3.8663314285714288</v>
      </c>
      <c r="P23" s="16">
        <f>两日求解价格与决策!P23</f>
        <v>0</v>
      </c>
      <c r="Q23" s="17">
        <f>两日求解价格与决策!Q23</f>
        <v>-940.44</v>
      </c>
      <c r="R23" s="17">
        <f>两日求解价格与决策!R23</f>
        <v>662.24534522516342</v>
      </c>
      <c r="S23" s="17">
        <f>两日求解价格与决策!S23</f>
        <v>42.764850494540049</v>
      </c>
      <c r="T23" s="17">
        <f>两日求解价格与决策!T23</f>
        <v>25.258704476587958</v>
      </c>
      <c r="U23" s="17">
        <f>两日求解价格与决策!U23</f>
        <v>1048.402632485278</v>
      </c>
      <c r="V23" s="17">
        <f>两日求解价格与决策!V23</f>
        <v>0</v>
      </c>
      <c r="W23" s="17">
        <f>两日求解价格与决策!W23</f>
        <v>838.23153268156932</v>
      </c>
      <c r="X23" s="12">
        <f>两日求解价格与决策!X23</f>
        <v>838.23153268156932</v>
      </c>
      <c r="Y23" s="19">
        <f>两日求解价格与决策!Y23</f>
        <v>0</v>
      </c>
      <c r="Z23" s="12" t="str">
        <f t="shared" si="0"/>
        <v>正式执行</v>
      </c>
      <c r="AA23" s="12">
        <f>两日求解价格与决策!AA23</f>
        <v>1</v>
      </c>
      <c r="AB23" s="12">
        <f>两日求解价格与决策!AB23</f>
        <v>1</v>
      </c>
      <c r="AC23" s="12">
        <f>两日求解价格与决策!AC23</f>
        <v>0.25</v>
      </c>
      <c r="AD23" s="18">
        <f>两日求解价格与决策!AD23</f>
        <v>0.3125</v>
      </c>
      <c r="AE23" s="18">
        <f>两日求解价格与决策!AE23</f>
        <v>0.13714285714285715</v>
      </c>
      <c r="AF23" s="18">
        <f>两日求解价格与决策!AF23</f>
        <v>0.64438857142857142</v>
      </c>
      <c r="AG23" s="18">
        <f>两日求解价格与决策!AG23</f>
        <v>0</v>
      </c>
      <c r="AH23" s="12">
        <f>两日求解价格与决策!AH23</f>
        <v>175</v>
      </c>
      <c r="AI23" s="12">
        <f>两日求解价格与决策!AI23</f>
        <v>175</v>
      </c>
      <c r="AJ23" s="12">
        <f>两日求解价格与决策!AJ23</f>
        <v>28.192</v>
      </c>
      <c r="AK23" s="12">
        <f>两日求解价格与决策!AK23</f>
        <v>0</v>
      </c>
      <c r="AL23" s="12">
        <f>两日求解价格与决策!AL23</f>
        <v>128</v>
      </c>
      <c r="AM23" s="12">
        <f>两日求解价格与决策!AM23</f>
        <v>5.4527085714285717E-3</v>
      </c>
      <c r="AN23" s="12">
        <f>两日求解价格与决策!AN23</f>
        <v>2.1336685714285712</v>
      </c>
      <c r="AO23" s="12">
        <f>两日求解价格与决策!AO23</f>
        <v>0</v>
      </c>
      <c r="AP23" s="12">
        <f>两日求解价格与决策!AP23</f>
        <v>37.237128386751678</v>
      </c>
      <c r="AQ23" s="19">
        <f>两日求解价格与决策!AQ23</f>
        <v>0</v>
      </c>
      <c r="AR23" s="12">
        <f>两日求解价格与决策!AR23</f>
        <v>5.2473000000000001</v>
      </c>
      <c r="AS23" s="14">
        <f>两日求解价格与决策!AS23</f>
        <v>46234</v>
      </c>
      <c r="AT23" s="13">
        <f>两日求解价格与决策!AT23</f>
        <v>46235.020833333336</v>
      </c>
      <c r="AU23" s="12" t="str">
        <f>两日求解价格与决策!AU23</f>
        <v>2026-08-01_11</v>
      </c>
      <c r="AV23" s="12">
        <f>两日求解价格与决策!AV23</f>
        <v>15</v>
      </c>
      <c r="AW23" s="12" t="str">
        <f>两日求解价格与决策!AW23</f>
        <v>OK</v>
      </c>
      <c r="AX23" s="12">
        <f>两日求解价格与决策!AX23</f>
        <v>128</v>
      </c>
      <c r="AY23" s="12">
        <f>两日求解价格与决策!AY23</f>
        <v>175</v>
      </c>
      <c r="AZ23" s="12">
        <f>两日求解价格与决策!AZ23</f>
        <v>175</v>
      </c>
      <c r="BA23" s="12">
        <f>两日求解价格与决策!BA23</f>
        <v>40</v>
      </c>
      <c r="BB23" s="12">
        <f>两日求解价格与决策!BB23</f>
        <v>24</v>
      </c>
      <c r="BC23" s="12">
        <f>两日求解价格与决策!BC23</f>
        <v>24</v>
      </c>
      <c r="BD23" s="14">
        <f>两日求解价格与决策!BD23</f>
        <v>46235</v>
      </c>
      <c r="BE23" s="1" t="str">
        <f>两日求解价格与决策!BE23</f>
        <v>-24.000000 MW × 156.740000 × 0.250000 h = -940.440000 EUR</v>
      </c>
      <c r="BF23" s="1" t="str">
        <f>两日求解价格与决策!BF23</f>
        <v>40.000000 MW × 66.224535 × 0.250000 h = 662.245345 EUR</v>
      </c>
      <c r="BG23" s="1" t="str">
        <f>两日求解价格与决策!BG23</f>
        <v>24.000000 MW × 7.127475 × 0.250000 h = 42.764850 EUR</v>
      </c>
      <c r="BH23" s="1" t="str">
        <f>两日求解价格与决策!BH23</f>
        <v>24.000000 MW × 4.209784 × 0.250000 h = 25.258704 EUR</v>
      </c>
      <c r="BI23" s="1" t="str">
        <f>两日求解价格与决策!BI23</f>
        <v>3.866331 MWh × 271.162121 = 1048.402632 EUR</v>
      </c>
      <c r="BJ23" s="1" t="str">
        <f>两日求解价格与决策!BJ23</f>
        <v>零下调激活电量</v>
      </c>
      <c r="BK23" s="1" t="str">
        <f>两日求解价格与决策!BK23</f>
        <v>-940.440000 + 662.245345 + 42.764850 + 25.258704 + 1048.402632 + 0.000000 = 838.231533 EUR</v>
      </c>
    </row>
    <row r="24" spans="1:63" ht="21" customHeight="1" x14ac:dyDescent="0.45">
      <c r="A24" s="13">
        <f>两日求解价格与决策!A24</f>
        <v>46235.15625</v>
      </c>
      <c r="B24" s="15">
        <f>两日求解价格与决策!B24</f>
        <v>153.21</v>
      </c>
      <c r="C24" s="15">
        <f>两日求解价格与决策!C24</f>
        <v>66.224534522516336</v>
      </c>
      <c r="D24" s="15">
        <f>两日求解价格与决策!D24</f>
        <v>7.1274750824233415</v>
      </c>
      <c r="E24" s="15">
        <f>两日求解价格与决策!E24</f>
        <v>4.2097840794313264</v>
      </c>
      <c r="F24" s="15">
        <f>两日求解价格与决策!F24</f>
        <v>263.23785565910089</v>
      </c>
      <c r="G24" s="15">
        <f>两日求解价格与决策!G24</f>
        <v>0</v>
      </c>
      <c r="H24" s="15" t="str">
        <f>两日求解价格与决策!H24</f>
        <v>未模拟</v>
      </c>
      <c r="I24" s="16">
        <f>两日求解价格与决策!I24</f>
        <v>37.237128386751678</v>
      </c>
      <c r="J24" s="16">
        <f>两日求解价格与决策!J24</f>
        <v>39.477806786751678</v>
      </c>
      <c r="K24" s="16">
        <f>两日求解价格与决策!K24</f>
        <v>-24</v>
      </c>
      <c r="L24" s="16">
        <f>两日求解价格与决策!L24</f>
        <v>40</v>
      </c>
      <c r="M24" s="16">
        <f>两日求解价格与决策!M24</f>
        <v>24</v>
      </c>
      <c r="N24" s="16">
        <f>两日求解价格与决策!N24</f>
        <v>24</v>
      </c>
      <c r="O24" s="16">
        <f>两日求解价格与决策!O24</f>
        <v>3.5644799999999996</v>
      </c>
      <c r="P24" s="16">
        <f>两日求解价格与决策!P24</f>
        <v>0</v>
      </c>
      <c r="Q24" s="17">
        <f>两日求解价格与决策!Q24</f>
        <v>-919.26</v>
      </c>
      <c r="R24" s="17">
        <f>两日求解价格与决策!R24</f>
        <v>662.24534522516342</v>
      </c>
      <c r="S24" s="17">
        <f>两日求解价格与决策!S24</f>
        <v>42.764850494540049</v>
      </c>
      <c r="T24" s="17">
        <f>两日求解价格与决策!T24</f>
        <v>25.258704476587958</v>
      </c>
      <c r="U24" s="17">
        <f>两日求解价格与决策!U24</f>
        <v>938.30607173975181</v>
      </c>
      <c r="V24" s="17">
        <f>两日求解价格与决策!V24</f>
        <v>0</v>
      </c>
      <c r="W24" s="17">
        <f>两日求解价格与决策!W24</f>
        <v>749.31497193604321</v>
      </c>
      <c r="X24" s="12">
        <f>两日求解价格与决策!X24</f>
        <v>749.31497193604321</v>
      </c>
      <c r="Y24" s="19">
        <f>两日求解价格与决策!Y24</f>
        <v>0</v>
      </c>
      <c r="Z24" s="12" t="str">
        <f t="shared" si="0"/>
        <v>正式执行</v>
      </c>
      <c r="AA24" s="12">
        <f>两日求解价格与决策!AA24</f>
        <v>1</v>
      </c>
      <c r="AB24" s="12">
        <f>两日求解价格与决策!AB24</f>
        <v>1</v>
      </c>
      <c r="AC24" s="12">
        <f>两日求解价格与决策!AC24</f>
        <v>0.25</v>
      </c>
      <c r="AD24" s="18">
        <f>两日求解价格与决策!AD24</f>
        <v>0.3125</v>
      </c>
      <c r="AE24" s="18">
        <f>两日求解价格与决策!AE24</f>
        <v>0.13714285714285715</v>
      </c>
      <c r="AF24" s="18">
        <f>两日求解价格与决策!AF24</f>
        <v>0.59407999999999994</v>
      </c>
      <c r="AG24" s="18">
        <f>两日求解价格与决策!AG24</f>
        <v>0</v>
      </c>
      <c r="AH24" s="12">
        <f>两日求解价格与决策!AH24</f>
        <v>175</v>
      </c>
      <c r="AI24" s="12">
        <f>两日求解价格与决策!AI24</f>
        <v>175</v>
      </c>
      <c r="AJ24" s="12">
        <f>两日求解价格与决策!AJ24</f>
        <v>25.991</v>
      </c>
      <c r="AK24" s="12">
        <f>两日求解价格与决策!AK24</f>
        <v>0</v>
      </c>
      <c r="AL24" s="12">
        <f>两日求解价格与决策!AL24</f>
        <v>128</v>
      </c>
      <c r="AM24" s="12">
        <f>两日求解价格与决策!AM24</f>
        <v>6.2241066666666681E-3</v>
      </c>
      <c r="AN24" s="12">
        <f>两日求解价格与决策!AN24</f>
        <v>2.4355200000000004</v>
      </c>
      <c r="AO24" s="12">
        <f>两日求解价格与决策!AO24</f>
        <v>0</v>
      </c>
      <c r="AP24" s="12">
        <f>两日求解价格与决策!AP24</f>
        <v>39.477806786751678</v>
      </c>
      <c r="AQ24" s="19">
        <f>两日求解价格与决策!AQ24</f>
        <v>0</v>
      </c>
      <c r="AR24" s="12">
        <f>两日求解价格与决策!AR24</f>
        <v>5.2473000000000001</v>
      </c>
      <c r="AS24" s="14">
        <f>两日求解价格与决策!AS24</f>
        <v>46234</v>
      </c>
      <c r="AT24" s="13">
        <f>两日求解价格与决策!AT24</f>
        <v>46235.03125</v>
      </c>
      <c r="AU24" s="12" t="str">
        <f>两日求解价格与决策!AU24</f>
        <v>2026-08-01_12</v>
      </c>
      <c r="AV24" s="12">
        <f>两日求解价格与决策!AV24</f>
        <v>15</v>
      </c>
      <c r="AW24" s="12" t="str">
        <f>两日求解价格与决策!AW24</f>
        <v>OK</v>
      </c>
      <c r="AX24" s="12">
        <f>两日求解价格与决策!AX24</f>
        <v>128</v>
      </c>
      <c r="AY24" s="12">
        <f>两日求解价格与决策!AY24</f>
        <v>175</v>
      </c>
      <c r="AZ24" s="12">
        <f>两日求解价格与决策!AZ24</f>
        <v>175</v>
      </c>
      <c r="BA24" s="12">
        <f>两日求解价格与决策!BA24</f>
        <v>40</v>
      </c>
      <c r="BB24" s="12">
        <f>两日求解价格与决策!BB24</f>
        <v>24</v>
      </c>
      <c r="BC24" s="12">
        <f>两日求解价格与决策!BC24</f>
        <v>24</v>
      </c>
      <c r="BD24" s="14">
        <f>两日求解价格与决策!BD24</f>
        <v>46235</v>
      </c>
      <c r="BE24" s="1" t="str">
        <f>两日求解价格与决策!BE24</f>
        <v>-24.000000 MW × 153.210000 × 0.250000 h = -919.260000 EUR</v>
      </c>
      <c r="BF24" s="1" t="str">
        <f>两日求解价格与决策!BF24</f>
        <v>40.000000 MW × 66.224535 × 0.250000 h = 662.245345 EUR</v>
      </c>
      <c r="BG24" s="1" t="str">
        <f>两日求解价格与决策!BG24</f>
        <v>24.000000 MW × 7.127475 × 0.250000 h = 42.764850 EUR</v>
      </c>
      <c r="BH24" s="1" t="str">
        <f>两日求解价格与决策!BH24</f>
        <v>24.000000 MW × 4.209784 × 0.250000 h = 25.258704 EUR</v>
      </c>
      <c r="BI24" s="1" t="str">
        <f>两日求解价格与决策!BI24</f>
        <v>3.564480 MWh × 263.237856 = 938.306072 EUR</v>
      </c>
      <c r="BJ24" s="1" t="str">
        <f>两日求解价格与决策!BJ24</f>
        <v>零下调激活电量</v>
      </c>
      <c r="BK24" s="1" t="str">
        <f>两日求解价格与决策!BK24</f>
        <v>-919.260000 + 662.245345 + 42.764850 + 25.258704 + 938.306072 + 0.000000 = 749.314972 EUR</v>
      </c>
    </row>
    <row r="25" spans="1:63" ht="21" customHeight="1" x14ac:dyDescent="0.45">
      <c r="A25" s="13">
        <f>两日求解价格与决策!A25</f>
        <v>46235.166666666664</v>
      </c>
      <c r="B25" s="15">
        <f>两日求解价格与决策!B25</f>
        <v>158.41999999999999</v>
      </c>
      <c r="C25" s="15">
        <f>两日求解价格与决策!C25</f>
        <v>66.224534522516336</v>
      </c>
      <c r="D25" s="15">
        <f>两日求解价格与决策!D25</f>
        <v>7.1274750824233415</v>
      </c>
      <c r="E25" s="15">
        <f>两日求解价格与决策!E25</f>
        <v>5.0768966897261452</v>
      </c>
      <c r="F25" s="15">
        <f>两日求解价格与决策!F25</f>
        <v>224.30411830846339</v>
      </c>
      <c r="G25" s="15">
        <f>两日求解价格与决策!G25</f>
        <v>0</v>
      </c>
      <c r="H25" s="15" t="str">
        <f>两日求解价格与决策!H25</f>
        <v>未模拟</v>
      </c>
      <c r="I25" s="16">
        <f>两日求解价格与决策!I25</f>
        <v>39.477806786751678</v>
      </c>
      <c r="J25" s="16">
        <f>两日求解价格与决策!J25</f>
        <v>36.896837842652296</v>
      </c>
      <c r="K25" s="16">
        <f>两日求解价格与决策!K25</f>
        <v>0</v>
      </c>
      <c r="L25" s="16">
        <f>两日求解价格与决策!L25</f>
        <v>40</v>
      </c>
      <c r="M25" s="16">
        <f>两日求解价格与决策!M25</f>
        <v>24</v>
      </c>
      <c r="N25" s="16">
        <f>两日求解价格与决策!N25</f>
        <v>24</v>
      </c>
      <c r="O25" s="16">
        <f>两日求解价格与决策!O25</f>
        <v>2.3744914285714289</v>
      </c>
      <c r="P25" s="16">
        <f>两日求解价格与决策!P25</f>
        <v>0</v>
      </c>
      <c r="Q25" s="17">
        <f>两日求解价格与决策!Q25</f>
        <v>0</v>
      </c>
      <c r="R25" s="17">
        <f>两日求解价格与决策!R25</f>
        <v>662.24534522516342</v>
      </c>
      <c r="S25" s="17">
        <f>两日求解价格与决策!S25</f>
        <v>42.764850494540049</v>
      </c>
      <c r="T25" s="17">
        <f>两日求解价格与决策!T25</f>
        <v>30.461380138356873</v>
      </c>
      <c r="U25" s="17">
        <f>两日求解价格与决策!U25</f>
        <v>532.608206316718</v>
      </c>
      <c r="V25" s="17">
        <f>两日求解价格与决策!V25</f>
        <v>0</v>
      </c>
      <c r="W25" s="17">
        <f>两日求解价格与决策!W25</f>
        <v>1268.0797821747783</v>
      </c>
      <c r="X25" s="12">
        <f>两日求解价格与决策!X25</f>
        <v>1268.0797821747783</v>
      </c>
      <c r="Y25" s="19">
        <f>两日求解价格与决策!Y25</f>
        <v>0</v>
      </c>
      <c r="Z25" s="12" t="str">
        <f t="shared" si="0"/>
        <v>正式执行</v>
      </c>
      <c r="AA25" s="12">
        <f>两日求解价格与决策!AA25</f>
        <v>1</v>
      </c>
      <c r="AB25" s="12">
        <f>两日求解价格与决策!AB25</f>
        <v>1</v>
      </c>
      <c r="AC25" s="12">
        <f>两日求解价格与决策!AC25</f>
        <v>0.25</v>
      </c>
      <c r="AD25" s="18">
        <f>两日求解价格与决策!AD25</f>
        <v>0.3125</v>
      </c>
      <c r="AE25" s="18">
        <f>两日求解价格与决策!AE25</f>
        <v>0.13714285714285715</v>
      </c>
      <c r="AF25" s="18">
        <f>两日求解价格与决策!AF25</f>
        <v>0.39574857142857145</v>
      </c>
      <c r="AG25" s="18">
        <f>两日求解价格与决策!AG25</f>
        <v>0</v>
      </c>
      <c r="AH25" s="12">
        <f>两日求解价格与决策!AH25</f>
        <v>175</v>
      </c>
      <c r="AI25" s="12">
        <f>两日求解价格与决策!AI25</f>
        <v>175</v>
      </c>
      <c r="AJ25" s="12">
        <f>两日求解价格与决策!AJ25</f>
        <v>17.314</v>
      </c>
      <c r="AK25" s="12">
        <f>两日求解价格与决策!AK25</f>
        <v>0</v>
      </c>
      <c r="AL25" s="12">
        <f>两日求解价格与决策!AL25</f>
        <v>128</v>
      </c>
      <c r="AM25" s="12">
        <f>两日求解价格与决策!AM25</f>
        <v>7.169358178053831E-3</v>
      </c>
      <c r="AN25" s="12">
        <f>两日求解价格与决策!AN25</f>
        <v>0</v>
      </c>
      <c r="AO25" s="12">
        <f>两日求解价格与决策!AO25</f>
        <v>2.3744914285714289</v>
      </c>
      <c r="AP25" s="12">
        <f>两日求解价格与决策!AP25</f>
        <v>36.896837842652296</v>
      </c>
      <c r="AQ25" s="19">
        <f>两日求解价格与决策!AQ25</f>
        <v>0</v>
      </c>
      <c r="AR25" s="12">
        <f>两日求解价格与决策!AR25</f>
        <v>5.2473000000000001</v>
      </c>
      <c r="AS25" s="14">
        <f>两日求解价格与决策!AS25</f>
        <v>46234</v>
      </c>
      <c r="AT25" s="13">
        <f>两日求解价格与决策!AT25</f>
        <v>46235.041666666664</v>
      </c>
      <c r="AU25" s="12" t="str">
        <f>两日求解价格与决策!AU25</f>
        <v>2026-08-01_13</v>
      </c>
      <c r="AV25" s="12">
        <f>两日求解价格与决策!AV25</f>
        <v>15</v>
      </c>
      <c r="AW25" s="12" t="str">
        <f>两日求解价格与决策!AW25</f>
        <v>OK</v>
      </c>
      <c r="AX25" s="12">
        <f>两日求解价格与决策!AX25</f>
        <v>128</v>
      </c>
      <c r="AY25" s="12">
        <f>两日求解价格与决策!AY25</f>
        <v>175</v>
      </c>
      <c r="AZ25" s="12">
        <f>两日求解价格与决策!AZ25</f>
        <v>175</v>
      </c>
      <c r="BA25" s="12">
        <f>两日求解价格与决策!BA25</f>
        <v>40</v>
      </c>
      <c r="BB25" s="12">
        <f>两日求解价格与决策!BB25</f>
        <v>24</v>
      </c>
      <c r="BC25" s="12">
        <f>两日求解价格与决策!BC25</f>
        <v>24</v>
      </c>
      <c r="BD25" s="14">
        <f>两日求解价格与决策!BD25</f>
        <v>46235</v>
      </c>
      <c r="BE25" s="1" t="str">
        <f>两日求解价格与决策!BE25</f>
        <v>零头寸，无结算现金</v>
      </c>
      <c r="BF25" s="1" t="str">
        <f>两日求解价格与决策!BF25</f>
        <v>40.000000 MW × 66.224535 × 0.250000 h = 662.245345 EUR</v>
      </c>
      <c r="BG25" s="1" t="str">
        <f>两日求解价格与决策!BG25</f>
        <v>24.000000 MW × 7.127475 × 0.250000 h = 42.764850 EUR</v>
      </c>
      <c r="BH25" s="1" t="str">
        <f>两日求解价格与决策!BH25</f>
        <v>24.000000 MW × 5.076897 × 0.250000 h = 30.461380 EUR</v>
      </c>
      <c r="BI25" s="1" t="str">
        <f>两日求解价格与决策!BI25</f>
        <v>2.374491 MWh × 224.304118 = 532.608206 EUR</v>
      </c>
      <c r="BJ25" s="1" t="str">
        <f>两日求解价格与决策!BJ25</f>
        <v>零下调激活电量</v>
      </c>
      <c r="BK25" s="1" t="str">
        <f>两日求解价格与决策!BK25</f>
        <v>0.000000 + 662.245345 + 42.764850 + 30.461380 + 532.608206 + 0.000000 = 1268.079782 EUR</v>
      </c>
    </row>
    <row r="26" spans="1:63" ht="21" customHeight="1" x14ac:dyDescent="0.45">
      <c r="A26" s="13">
        <f>两日求解价格与决策!A26</f>
        <v>46235.177083333336</v>
      </c>
      <c r="B26" s="15">
        <f>两日求解价格与决策!B26</f>
        <v>154.34</v>
      </c>
      <c r="C26" s="15">
        <f>两日求解价格与决策!C26</f>
        <v>66.224534522516336</v>
      </c>
      <c r="D26" s="15">
        <f>两日求解价格与决策!D26</f>
        <v>7.1274750824233415</v>
      </c>
      <c r="E26" s="15">
        <f>两日求解价格与决策!E26</f>
        <v>5.0768966897261452</v>
      </c>
      <c r="F26" s="15">
        <f>两日求解价格与决策!F26</f>
        <v>227.01427400758485</v>
      </c>
      <c r="G26" s="15">
        <f>两日求解价格与决策!G26</f>
        <v>0</v>
      </c>
      <c r="H26" s="15" t="str">
        <f>两日求解价格与决策!H26</f>
        <v>未模拟</v>
      </c>
      <c r="I26" s="16">
        <f>两日求解价格与决策!I26</f>
        <v>36.896837842652296</v>
      </c>
      <c r="J26" s="16">
        <f>两日求解价格与决策!J26</f>
        <v>40.124176814080869</v>
      </c>
      <c r="K26" s="16">
        <f>两日求解价格与决策!K26</f>
        <v>-24</v>
      </c>
      <c r="L26" s="16">
        <f>两日求解价格与决策!L26</f>
        <v>40</v>
      </c>
      <c r="M26" s="16">
        <f>两日求解价格与决策!M26</f>
        <v>24</v>
      </c>
      <c r="N26" s="16">
        <f>两日求解价格与决策!N26</f>
        <v>24</v>
      </c>
      <c r="O26" s="16">
        <f>两日求解价格与决策!O26</f>
        <v>2.4920228571428571</v>
      </c>
      <c r="P26" s="16">
        <f>两日求解价格与决策!P26</f>
        <v>0</v>
      </c>
      <c r="Q26" s="17">
        <f>两日求解价格与决策!Q26</f>
        <v>-926.04</v>
      </c>
      <c r="R26" s="17">
        <f>两日求解价格与决策!R26</f>
        <v>662.24534522516342</v>
      </c>
      <c r="S26" s="17">
        <f>两日求解价格与决策!S26</f>
        <v>42.764850494540049</v>
      </c>
      <c r="T26" s="17">
        <f>两日求解价格与决策!T26</f>
        <v>30.461380138356873</v>
      </c>
      <c r="U26" s="17">
        <f>两日求解价格与决策!U26</f>
        <v>565.72475972459301</v>
      </c>
      <c r="V26" s="17">
        <f>两日求解价格与决策!V26</f>
        <v>0</v>
      </c>
      <c r="W26" s="17">
        <f>两日求解价格与决策!W26</f>
        <v>375.15633558265336</v>
      </c>
      <c r="X26" s="12">
        <f>两日求解价格与决策!X26</f>
        <v>375.15633558265341</v>
      </c>
      <c r="Y26" s="19">
        <f>两日求解价格与决策!Y26</f>
        <v>0</v>
      </c>
      <c r="Z26" s="12" t="str">
        <f t="shared" si="0"/>
        <v>正式执行</v>
      </c>
      <c r="AA26" s="12">
        <f>两日求解价格与决策!AA26</f>
        <v>1</v>
      </c>
      <c r="AB26" s="12">
        <f>两日求解价格与决策!AB26</f>
        <v>1</v>
      </c>
      <c r="AC26" s="12">
        <f>两日求解价格与决策!AC26</f>
        <v>0.25</v>
      </c>
      <c r="AD26" s="18">
        <f>两日求解价格与决策!AD26</f>
        <v>0.3125</v>
      </c>
      <c r="AE26" s="18">
        <f>两日求解价格与决策!AE26</f>
        <v>0.13714285714285715</v>
      </c>
      <c r="AF26" s="18">
        <f>两日求解价格与决策!AF26</f>
        <v>0.41533714285714285</v>
      </c>
      <c r="AG26" s="18">
        <f>两日求解价格与决策!AG26</f>
        <v>0</v>
      </c>
      <c r="AH26" s="12">
        <f>两日求解价格与决策!AH26</f>
        <v>175</v>
      </c>
      <c r="AI26" s="12">
        <f>两日求解价格与决策!AI26</f>
        <v>175</v>
      </c>
      <c r="AJ26" s="12">
        <f>两日求解价格与决策!AJ26</f>
        <v>18.170999999999999</v>
      </c>
      <c r="AK26" s="12">
        <f>两日求解价格与决策!AK26</f>
        <v>0</v>
      </c>
      <c r="AL26" s="12">
        <f>两日求解价格与决策!AL26</f>
        <v>128</v>
      </c>
      <c r="AM26" s="12">
        <f>两日求解价格与决策!AM26</f>
        <v>8.9648304761904777E-3</v>
      </c>
      <c r="AN26" s="12">
        <f>两日求解价格与决策!AN26</f>
        <v>3.5079771428571429</v>
      </c>
      <c r="AO26" s="12">
        <f>两日求解价格与决策!AO26</f>
        <v>0</v>
      </c>
      <c r="AP26" s="12">
        <f>两日求解价格与决策!AP26</f>
        <v>40.124176814080869</v>
      </c>
      <c r="AQ26" s="19">
        <f>两日求解价格与决策!AQ26</f>
        <v>0</v>
      </c>
      <c r="AR26" s="12">
        <f>两日求解价格与决策!AR26</f>
        <v>5.2473000000000001</v>
      </c>
      <c r="AS26" s="14">
        <f>两日求解价格与决策!AS26</f>
        <v>46234</v>
      </c>
      <c r="AT26" s="13">
        <f>两日求解价格与决策!AT26</f>
        <v>46235.052083333336</v>
      </c>
      <c r="AU26" s="12" t="str">
        <f>两日求解价格与决策!AU26</f>
        <v>2026-08-01_14</v>
      </c>
      <c r="AV26" s="12">
        <f>两日求解价格与决策!AV26</f>
        <v>15</v>
      </c>
      <c r="AW26" s="12" t="str">
        <f>两日求解价格与决策!AW26</f>
        <v>OK</v>
      </c>
      <c r="AX26" s="12">
        <f>两日求解价格与决策!AX26</f>
        <v>128</v>
      </c>
      <c r="AY26" s="12">
        <f>两日求解价格与决策!AY26</f>
        <v>175</v>
      </c>
      <c r="AZ26" s="12">
        <f>两日求解价格与决策!AZ26</f>
        <v>175</v>
      </c>
      <c r="BA26" s="12">
        <f>两日求解价格与决策!BA26</f>
        <v>40</v>
      </c>
      <c r="BB26" s="12">
        <f>两日求解价格与决策!BB26</f>
        <v>24</v>
      </c>
      <c r="BC26" s="12">
        <f>两日求解价格与决策!BC26</f>
        <v>24</v>
      </c>
      <c r="BD26" s="14">
        <f>两日求解价格与决策!BD26</f>
        <v>46235</v>
      </c>
      <c r="BE26" s="1" t="str">
        <f>两日求解价格与决策!BE26</f>
        <v>-24.000000 MW × 154.340000 × 0.250000 h = -926.040000 EUR</v>
      </c>
      <c r="BF26" s="1" t="str">
        <f>两日求解价格与决策!BF26</f>
        <v>40.000000 MW × 66.224535 × 0.250000 h = 662.245345 EUR</v>
      </c>
      <c r="BG26" s="1" t="str">
        <f>两日求解价格与决策!BG26</f>
        <v>24.000000 MW × 7.127475 × 0.250000 h = 42.764850 EUR</v>
      </c>
      <c r="BH26" s="1" t="str">
        <f>两日求解价格与决策!BH26</f>
        <v>24.000000 MW × 5.076897 × 0.250000 h = 30.461380 EUR</v>
      </c>
      <c r="BI26" s="1" t="str">
        <f>两日求解价格与决策!BI26</f>
        <v>2.492023 MWh × 227.014274 = 565.724760 EUR</v>
      </c>
      <c r="BJ26" s="1" t="str">
        <f>两日求解价格与决策!BJ26</f>
        <v>零下调激活电量</v>
      </c>
      <c r="BK26" s="1" t="str">
        <f>两日求解价格与决策!BK26</f>
        <v>-926.040000 + 662.245345 + 42.764850 + 30.461380 + 565.724760 + 0.000000 = 375.156336 EUR</v>
      </c>
    </row>
    <row r="27" spans="1:63" ht="21" customHeight="1" x14ac:dyDescent="0.45">
      <c r="A27" s="13">
        <f>两日求解价格与决策!A27</f>
        <v>46235.1875</v>
      </c>
      <c r="B27" s="15">
        <f>两日求解价格与决策!B27</f>
        <v>156.18</v>
      </c>
      <c r="C27" s="15">
        <f>两日求解价格与决策!C27</f>
        <v>66.224534522516336</v>
      </c>
      <c r="D27" s="15">
        <f>两日求解价格与决策!D27</f>
        <v>7.1274750824233415</v>
      </c>
      <c r="E27" s="15">
        <f>两日求解价格与决策!E27</f>
        <v>5.0768966897261452</v>
      </c>
      <c r="F27" s="15">
        <f>两日求解价格与决策!F27</f>
        <v>243.39431707735406</v>
      </c>
      <c r="G27" s="15">
        <f>两日求解价格与决策!G27</f>
        <v>0</v>
      </c>
      <c r="H27" s="15" t="str">
        <f>两日求解价格与决策!H27</f>
        <v>未模拟</v>
      </c>
      <c r="I27" s="16">
        <f>两日求解价格与决策!I27</f>
        <v>40.124176814080869</v>
      </c>
      <c r="J27" s="16">
        <f>两日求解价格与决策!J27</f>
        <v>37.122387994205091</v>
      </c>
      <c r="K27" s="16">
        <f>两日求解价格与决策!K27</f>
        <v>0</v>
      </c>
      <c r="L27" s="16">
        <f>两日求解价格与决策!L27</f>
        <v>40</v>
      </c>
      <c r="M27" s="16">
        <f>两日求解价格与决策!M27</f>
        <v>24</v>
      </c>
      <c r="N27" s="16">
        <f>两日求解价格与决策!N27</f>
        <v>24</v>
      </c>
      <c r="O27" s="16">
        <f>两日求解价格与决策!O27</f>
        <v>2.7616457142857147</v>
      </c>
      <c r="P27" s="16">
        <f>两日求解价格与决策!P27</f>
        <v>0</v>
      </c>
      <c r="Q27" s="17">
        <f>两日求解价格与决策!Q27</f>
        <v>0</v>
      </c>
      <c r="R27" s="17">
        <f>两日求解价格与决策!R27</f>
        <v>662.24534522516342</v>
      </c>
      <c r="S27" s="17">
        <f>两日求解价格与决策!S27</f>
        <v>42.764850494540049</v>
      </c>
      <c r="T27" s="17">
        <f>两日求解价格与决策!T27</f>
        <v>30.461380138356873</v>
      </c>
      <c r="U27" s="17">
        <f>两日求解价格与决策!U27</f>
        <v>672.16887263817318</v>
      </c>
      <c r="V27" s="17">
        <f>两日求解价格与决策!V27</f>
        <v>0</v>
      </c>
      <c r="W27" s="17">
        <f>两日求解价格与决策!W27</f>
        <v>1407.6404484962336</v>
      </c>
      <c r="X27" s="12">
        <f>两日求解价格与决策!X27</f>
        <v>1407.6404484962336</v>
      </c>
      <c r="Y27" s="19">
        <f>两日求解价格与决策!Y27</f>
        <v>0</v>
      </c>
      <c r="Z27" s="12" t="str">
        <f t="shared" si="0"/>
        <v>正式执行</v>
      </c>
      <c r="AA27" s="12">
        <f>两日求解价格与决策!AA27</f>
        <v>1</v>
      </c>
      <c r="AB27" s="12">
        <f>两日求解价格与决策!AB27</f>
        <v>1</v>
      </c>
      <c r="AC27" s="12">
        <f>两日求解价格与决策!AC27</f>
        <v>0.25</v>
      </c>
      <c r="AD27" s="18">
        <f>两日求解价格与决策!AD27</f>
        <v>0.3125</v>
      </c>
      <c r="AE27" s="18">
        <f>两日求解价格与决策!AE27</f>
        <v>0.13714285714285715</v>
      </c>
      <c r="AF27" s="18">
        <f>两日求解价格与决策!AF27</f>
        <v>0.46027428571428575</v>
      </c>
      <c r="AG27" s="18">
        <f>两日求解价格与决策!AG27</f>
        <v>0</v>
      </c>
      <c r="AH27" s="12">
        <f>两日求解价格与决策!AH27</f>
        <v>175</v>
      </c>
      <c r="AI27" s="12">
        <f>两日求解价格与决策!AI27</f>
        <v>175</v>
      </c>
      <c r="AJ27" s="12">
        <f>两日求解价格与决策!AJ27</f>
        <v>20.137</v>
      </c>
      <c r="AK27" s="12">
        <f>两日求解价格与决策!AK27</f>
        <v>0</v>
      </c>
      <c r="AL27" s="12">
        <f>两日求解价格与决策!AL27</f>
        <v>128</v>
      </c>
      <c r="AM27" s="12">
        <f>两日求解价格与决策!AM27</f>
        <v>8.3383022774327128E-3</v>
      </c>
      <c r="AN27" s="12">
        <f>两日求解价格与决策!AN27</f>
        <v>0</v>
      </c>
      <c r="AO27" s="12">
        <f>两日求解价格与决策!AO27</f>
        <v>2.7616457142857147</v>
      </c>
      <c r="AP27" s="12">
        <f>两日求解价格与决策!AP27</f>
        <v>37.122387994205091</v>
      </c>
      <c r="AQ27" s="19">
        <f>两日求解价格与决策!AQ27</f>
        <v>0</v>
      </c>
      <c r="AR27" s="12">
        <f>两日求解价格与决策!AR27</f>
        <v>5.2473000000000001</v>
      </c>
      <c r="AS27" s="14">
        <f>两日求解价格与决策!AS27</f>
        <v>46234</v>
      </c>
      <c r="AT27" s="13">
        <f>两日求解价格与决策!AT27</f>
        <v>46235.0625</v>
      </c>
      <c r="AU27" s="12" t="str">
        <f>两日求解价格与决策!AU27</f>
        <v>2026-08-01_15</v>
      </c>
      <c r="AV27" s="12">
        <f>两日求解价格与决策!AV27</f>
        <v>15</v>
      </c>
      <c r="AW27" s="12" t="str">
        <f>两日求解价格与决策!AW27</f>
        <v>OK</v>
      </c>
      <c r="AX27" s="12">
        <f>两日求解价格与决策!AX27</f>
        <v>128</v>
      </c>
      <c r="AY27" s="12">
        <f>两日求解价格与决策!AY27</f>
        <v>175</v>
      </c>
      <c r="AZ27" s="12">
        <f>两日求解价格与决策!AZ27</f>
        <v>175</v>
      </c>
      <c r="BA27" s="12">
        <f>两日求解价格与决策!BA27</f>
        <v>40</v>
      </c>
      <c r="BB27" s="12">
        <f>两日求解价格与决策!BB27</f>
        <v>24</v>
      </c>
      <c r="BC27" s="12">
        <f>两日求解价格与决策!BC27</f>
        <v>24</v>
      </c>
      <c r="BD27" s="14">
        <f>两日求解价格与决策!BD27</f>
        <v>46235</v>
      </c>
      <c r="BE27" s="1" t="str">
        <f>两日求解价格与决策!BE27</f>
        <v>零头寸，无结算现金</v>
      </c>
      <c r="BF27" s="1" t="str">
        <f>两日求解价格与决策!BF27</f>
        <v>40.000000 MW × 66.224535 × 0.250000 h = 662.245345 EUR</v>
      </c>
      <c r="BG27" s="1" t="str">
        <f>两日求解价格与决策!BG27</f>
        <v>24.000000 MW × 7.127475 × 0.250000 h = 42.764850 EUR</v>
      </c>
      <c r="BH27" s="1" t="str">
        <f>两日求解价格与决策!BH27</f>
        <v>24.000000 MW × 5.076897 × 0.250000 h = 30.461380 EUR</v>
      </c>
      <c r="BI27" s="1" t="str">
        <f>两日求解价格与决策!BI27</f>
        <v>2.761646 MWh × 243.394317 = 672.168873 EUR</v>
      </c>
      <c r="BJ27" s="1" t="str">
        <f>两日求解价格与决策!BJ27</f>
        <v>零下调激活电量</v>
      </c>
      <c r="BK27" s="1" t="str">
        <f>两日求解价格与决策!BK27</f>
        <v>0.000000 + 662.245345 + 42.764850 + 30.461380 + 672.168873 + 0.000000 = 1407.640448 EUR</v>
      </c>
    </row>
    <row r="28" spans="1:63" ht="21" customHeight="1" x14ac:dyDescent="0.45">
      <c r="A28" s="13">
        <f>两日求解价格与决策!A28</f>
        <v>46235.197916666664</v>
      </c>
      <c r="B28" s="15">
        <f>两日求解价格与决策!B28</f>
        <v>154.47</v>
      </c>
      <c r="C28" s="15">
        <f>两日求解价格与决策!C28</f>
        <v>66.224534522516336</v>
      </c>
      <c r="D28" s="15">
        <f>两日求解价格与决策!D28</f>
        <v>7.1274750824233415</v>
      </c>
      <c r="E28" s="15">
        <f>两日求解价格与决策!E28</f>
        <v>5.0768966897261452</v>
      </c>
      <c r="F28" s="15">
        <f>两日求解价格与决策!F28</f>
        <v>186.71068930688162</v>
      </c>
      <c r="G28" s="15">
        <f>两日求解价格与决策!G28</f>
        <v>0</v>
      </c>
      <c r="H28" s="15" t="str">
        <f>两日求解价格与决策!H28</f>
        <v>未模拟</v>
      </c>
      <c r="I28" s="16">
        <f>两日求解价格与决策!I28</f>
        <v>37.122387994205091</v>
      </c>
      <c r="J28" s="16">
        <f>两日求解价格与决策!J28</f>
        <v>35.862909733335528</v>
      </c>
      <c r="K28" s="16">
        <f>两日求解价格与决策!K28</f>
        <v>0</v>
      </c>
      <c r="L28" s="16">
        <f>两日求解价格与决策!L28</f>
        <v>40</v>
      </c>
      <c r="M28" s="16">
        <f>两日求解价格与决策!M28</f>
        <v>24</v>
      </c>
      <c r="N28" s="16">
        <f>两日求解价格与决策!N28</f>
        <v>24</v>
      </c>
      <c r="O28" s="16">
        <f>两日求解价格与决策!O28</f>
        <v>1.15872</v>
      </c>
      <c r="P28" s="16">
        <f>两日求解价格与决策!P28</f>
        <v>0</v>
      </c>
      <c r="Q28" s="17">
        <f>两日求解价格与决策!Q28</f>
        <v>0</v>
      </c>
      <c r="R28" s="17">
        <f>两日求解价格与决策!R28</f>
        <v>662.24534522516342</v>
      </c>
      <c r="S28" s="17">
        <f>两日求解价格与决策!S28</f>
        <v>42.764850494540049</v>
      </c>
      <c r="T28" s="17">
        <f>两日求解价格与决策!T28</f>
        <v>30.461380138356873</v>
      </c>
      <c r="U28" s="17">
        <f>两日求解价格与决策!U28</f>
        <v>216.34540991366987</v>
      </c>
      <c r="V28" s="17">
        <f>两日求解价格与决策!V28</f>
        <v>0</v>
      </c>
      <c r="W28" s="17">
        <f>两日求解价格与决策!W28</f>
        <v>951.81698577173017</v>
      </c>
      <c r="X28" s="12">
        <f>两日求解价格与决策!X28</f>
        <v>951.81698577173017</v>
      </c>
      <c r="Y28" s="19">
        <f>两日求解价格与决策!Y28</f>
        <v>0</v>
      </c>
      <c r="Z28" s="12" t="str">
        <f t="shared" si="0"/>
        <v>正式执行</v>
      </c>
      <c r="AA28" s="12">
        <f>两日求解价格与决策!AA28</f>
        <v>1</v>
      </c>
      <c r="AB28" s="12">
        <f>两日求解价格与决策!AB28</f>
        <v>1</v>
      </c>
      <c r="AC28" s="12">
        <f>两日求解价格与决策!AC28</f>
        <v>0.25</v>
      </c>
      <c r="AD28" s="18">
        <f>两日求解价格与决策!AD28</f>
        <v>0.3125</v>
      </c>
      <c r="AE28" s="18">
        <f>两日求解价格与决策!AE28</f>
        <v>0.13714285714285715</v>
      </c>
      <c r="AF28" s="18">
        <f>两日求解价格与决策!AF28</f>
        <v>0.19311999999999999</v>
      </c>
      <c r="AG28" s="18">
        <f>两日求解价格与决策!AG28</f>
        <v>0</v>
      </c>
      <c r="AH28" s="12">
        <f>两日求解价格与决策!AH28</f>
        <v>175</v>
      </c>
      <c r="AI28" s="12">
        <f>两日求解价格与决策!AI28</f>
        <v>175</v>
      </c>
      <c r="AJ28" s="12">
        <f>两日求解价格与决策!AJ28</f>
        <v>8.4489999999999998</v>
      </c>
      <c r="AK28" s="12">
        <f>两日求解价格与决策!AK28</f>
        <v>0</v>
      </c>
      <c r="AL28" s="12">
        <f>两日求解价格与决策!AL28</f>
        <v>128</v>
      </c>
      <c r="AM28" s="12">
        <f>两日求解价格与决策!AM28</f>
        <v>3.498550724637681E-3</v>
      </c>
      <c r="AN28" s="12">
        <f>两日求解价格与决策!AN28</f>
        <v>0</v>
      </c>
      <c r="AO28" s="12">
        <f>两日求解价格与决策!AO28</f>
        <v>1.15872</v>
      </c>
      <c r="AP28" s="12">
        <f>两日求解价格与决策!AP28</f>
        <v>35.862909733335528</v>
      </c>
      <c r="AQ28" s="19">
        <f>两日求解价格与决策!AQ28</f>
        <v>0</v>
      </c>
      <c r="AR28" s="12">
        <f>两日求解价格与决策!AR28</f>
        <v>5.2473000000000001</v>
      </c>
      <c r="AS28" s="14">
        <f>两日求解价格与决策!AS28</f>
        <v>46234</v>
      </c>
      <c r="AT28" s="13">
        <f>两日求解价格与决策!AT28</f>
        <v>46235.072916666664</v>
      </c>
      <c r="AU28" s="12" t="str">
        <f>两日求解价格与决策!AU28</f>
        <v>2026-08-01_16</v>
      </c>
      <c r="AV28" s="12">
        <f>两日求解价格与决策!AV28</f>
        <v>15</v>
      </c>
      <c r="AW28" s="12" t="str">
        <f>两日求解价格与决策!AW28</f>
        <v>OK</v>
      </c>
      <c r="AX28" s="12">
        <f>两日求解价格与决策!AX28</f>
        <v>128</v>
      </c>
      <c r="AY28" s="12">
        <f>两日求解价格与决策!AY28</f>
        <v>175</v>
      </c>
      <c r="AZ28" s="12">
        <f>两日求解价格与决策!AZ28</f>
        <v>175</v>
      </c>
      <c r="BA28" s="12">
        <f>两日求解价格与决策!BA28</f>
        <v>40</v>
      </c>
      <c r="BB28" s="12">
        <f>两日求解价格与决策!BB28</f>
        <v>24</v>
      </c>
      <c r="BC28" s="12">
        <f>两日求解价格与决策!BC28</f>
        <v>24</v>
      </c>
      <c r="BD28" s="14">
        <f>两日求解价格与决策!BD28</f>
        <v>46235</v>
      </c>
      <c r="BE28" s="1" t="str">
        <f>两日求解价格与决策!BE28</f>
        <v>零头寸，无结算现金</v>
      </c>
      <c r="BF28" s="1" t="str">
        <f>两日求解价格与决策!BF28</f>
        <v>40.000000 MW × 66.224535 × 0.250000 h = 662.245345 EUR</v>
      </c>
      <c r="BG28" s="1" t="str">
        <f>两日求解价格与决策!BG28</f>
        <v>24.000000 MW × 7.127475 × 0.250000 h = 42.764850 EUR</v>
      </c>
      <c r="BH28" s="1" t="str">
        <f>两日求解价格与决策!BH28</f>
        <v>24.000000 MW × 5.076897 × 0.250000 h = 30.461380 EUR</v>
      </c>
      <c r="BI28" s="1" t="str">
        <f>两日求解价格与决策!BI28</f>
        <v>1.158720 MWh × 186.710689 = 216.345410 EUR</v>
      </c>
      <c r="BJ28" s="1" t="str">
        <f>两日求解价格与决策!BJ28</f>
        <v>零下调激活电量</v>
      </c>
      <c r="BK28" s="1" t="str">
        <f>两日求解价格与决策!BK28</f>
        <v>0.000000 + 662.245345 + 42.764850 + 30.461380 + 216.345410 + 0.000000 = 951.816986 EUR</v>
      </c>
    </row>
    <row r="29" spans="1:63" ht="21" customHeight="1" x14ac:dyDescent="0.45">
      <c r="A29" s="13">
        <f>两日求解价格与决策!A29</f>
        <v>46235.208333333336</v>
      </c>
      <c r="B29" s="15">
        <f>两日求解价格与决策!B29</f>
        <v>157.06</v>
      </c>
      <c r="C29" s="15">
        <f>两日求解价格与决策!C29</f>
        <v>66.224534522516336</v>
      </c>
      <c r="D29" s="15">
        <f>两日求解价格与决策!D29</f>
        <v>7.1274750824233415</v>
      </c>
      <c r="E29" s="15">
        <f>两日求解价格与决策!E29</f>
        <v>5.0730852057248494</v>
      </c>
      <c r="F29" s="15">
        <f>两日求解价格与决策!F29</f>
        <v>177.26144874506889</v>
      </c>
      <c r="G29" s="15">
        <f>两日求解价格与决策!G29</f>
        <v>0</v>
      </c>
      <c r="H29" s="15" t="str">
        <f>两日求解价格与决策!H29</f>
        <v>未模拟</v>
      </c>
      <c r="I29" s="16">
        <f>两日求解价格与决策!I29</f>
        <v>35.862909733335528</v>
      </c>
      <c r="J29" s="16">
        <f>两日求解价格与决策!J29</f>
        <v>35.076425261285841</v>
      </c>
      <c r="K29" s="16">
        <f>两日求解价格与决策!K29</f>
        <v>0</v>
      </c>
      <c r="L29" s="16">
        <f>两日求解价格与决策!L29</f>
        <v>40</v>
      </c>
      <c r="M29" s="16">
        <f>两日求解价格与决策!M29</f>
        <v>24</v>
      </c>
      <c r="N29" s="16">
        <f>两日求解价格与决策!N29</f>
        <v>24</v>
      </c>
      <c r="O29" s="16">
        <f>两日求解价格与决策!O29</f>
        <v>0.72356571428571426</v>
      </c>
      <c r="P29" s="16">
        <f>两日求解价格与决策!P29</f>
        <v>0</v>
      </c>
      <c r="Q29" s="17">
        <f>两日求解价格与决策!Q29</f>
        <v>0</v>
      </c>
      <c r="R29" s="17">
        <f>两日求解价格与决策!R29</f>
        <v>662.24534522516342</v>
      </c>
      <c r="S29" s="17">
        <f>两日求解价格与决策!S29</f>
        <v>42.764850494540049</v>
      </c>
      <c r="T29" s="17">
        <f>两日求解价格与决策!T29</f>
        <v>30.438511234349097</v>
      </c>
      <c r="U29" s="17">
        <f>两日求解价格与决策!U29</f>
        <v>128.26030677654629</v>
      </c>
      <c r="V29" s="17">
        <f>两日求解价格与决策!V29</f>
        <v>0</v>
      </c>
      <c r="W29" s="17">
        <f>两日求解价格与决策!W29</f>
        <v>863.70901373059883</v>
      </c>
      <c r="X29" s="12">
        <f>两日求解价格与决策!X29</f>
        <v>863.70901373059883</v>
      </c>
      <c r="Y29" s="19">
        <f>两日求解价格与决策!Y29</f>
        <v>0</v>
      </c>
      <c r="Z29" s="12" t="str">
        <f t="shared" si="0"/>
        <v>正式执行</v>
      </c>
      <c r="AA29" s="12">
        <f>两日求解价格与决策!AA29</f>
        <v>1</v>
      </c>
      <c r="AB29" s="12">
        <f>两日求解价格与决策!AB29</f>
        <v>1</v>
      </c>
      <c r="AC29" s="12">
        <f>两日求解价格与决策!AC29</f>
        <v>0.25</v>
      </c>
      <c r="AD29" s="18">
        <f>两日求解价格与决策!AD29</f>
        <v>0.3125</v>
      </c>
      <c r="AE29" s="18">
        <f>两日求解价格与决策!AE29</f>
        <v>0.13714285714285715</v>
      </c>
      <c r="AF29" s="18">
        <f>两日求解价格与决策!AF29</f>
        <v>0.12059428571428571</v>
      </c>
      <c r="AG29" s="18">
        <f>两日求解价格与决策!AG29</f>
        <v>0</v>
      </c>
      <c r="AH29" s="12">
        <f>两日求解价格与决策!AH29</f>
        <v>175</v>
      </c>
      <c r="AI29" s="12">
        <f>两日求解价格与决策!AI29</f>
        <v>175</v>
      </c>
      <c r="AJ29" s="12">
        <f>两日求解价格与决策!AJ29</f>
        <v>5.2759999999999998</v>
      </c>
      <c r="AK29" s="12">
        <f>两日求解价格与决策!AK29</f>
        <v>0</v>
      </c>
      <c r="AL29" s="12">
        <f>两日求解价格与决策!AL29</f>
        <v>128</v>
      </c>
      <c r="AM29" s="12">
        <f>两日求解价格与决策!AM29</f>
        <v>2.1846790890269149E-3</v>
      </c>
      <c r="AN29" s="12">
        <f>两日求解价格与决策!AN29</f>
        <v>0</v>
      </c>
      <c r="AO29" s="12">
        <f>两日求解价格与决策!AO29</f>
        <v>0.72356571428571426</v>
      </c>
      <c r="AP29" s="12">
        <f>两日求解价格与决策!AP29</f>
        <v>35.076425261285841</v>
      </c>
      <c r="AQ29" s="19">
        <f>两日求解价格与决策!AQ29</f>
        <v>0</v>
      </c>
      <c r="AR29" s="12">
        <f>两日求解价格与决策!AR29</f>
        <v>5.2473000000000001</v>
      </c>
      <c r="AS29" s="14">
        <f>两日求解价格与决策!AS29</f>
        <v>46234</v>
      </c>
      <c r="AT29" s="13">
        <f>两日求解价格与决策!AT29</f>
        <v>46235.083333333336</v>
      </c>
      <c r="AU29" s="12" t="str">
        <f>两日求解价格与决策!AU29</f>
        <v>2026-08-01_17</v>
      </c>
      <c r="AV29" s="12">
        <f>两日求解价格与决策!AV29</f>
        <v>15</v>
      </c>
      <c r="AW29" s="12" t="str">
        <f>两日求解价格与决策!AW29</f>
        <v>OK</v>
      </c>
      <c r="AX29" s="12">
        <f>两日求解价格与决策!AX29</f>
        <v>128</v>
      </c>
      <c r="AY29" s="12">
        <f>两日求解价格与决策!AY29</f>
        <v>175</v>
      </c>
      <c r="AZ29" s="12">
        <f>两日求解价格与决策!AZ29</f>
        <v>175</v>
      </c>
      <c r="BA29" s="12">
        <f>两日求解价格与决策!BA29</f>
        <v>40</v>
      </c>
      <c r="BB29" s="12">
        <f>两日求解价格与决策!BB29</f>
        <v>24</v>
      </c>
      <c r="BC29" s="12">
        <f>两日求解价格与决策!BC29</f>
        <v>24</v>
      </c>
      <c r="BD29" s="14">
        <f>两日求解价格与决策!BD29</f>
        <v>46235</v>
      </c>
      <c r="BE29" s="1" t="str">
        <f>两日求解价格与决策!BE29</f>
        <v>零头寸，无结算现金</v>
      </c>
      <c r="BF29" s="1" t="str">
        <f>两日求解价格与决策!BF29</f>
        <v>40.000000 MW × 66.224535 × 0.250000 h = 662.245345 EUR</v>
      </c>
      <c r="BG29" s="1" t="str">
        <f>两日求解价格与决策!BG29</f>
        <v>24.000000 MW × 7.127475 × 0.250000 h = 42.764850 EUR</v>
      </c>
      <c r="BH29" s="1" t="str">
        <f>两日求解价格与决策!BH29</f>
        <v>24.000000 MW × 5.073085 × 0.250000 h = 30.438511 EUR</v>
      </c>
      <c r="BI29" s="1" t="str">
        <f>两日求解价格与决策!BI29</f>
        <v>0.723566 MWh × 177.261449 = 128.260307 EUR</v>
      </c>
      <c r="BJ29" s="1" t="str">
        <f>两日求解价格与决策!BJ29</f>
        <v>零下调激活电量</v>
      </c>
      <c r="BK29" s="1" t="str">
        <f>两日求解价格与决策!BK29</f>
        <v>0.000000 + 662.245345 + 42.764850 + 30.438511 + 128.260307 + 0.000000 = 863.709014 EUR</v>
      </c>
    </row>
    <row r="30" spans="1:63" ht="21" customHeight="1" x14ac:dyDescent="0.45">
      <c r="A30" s="13">
        <f>两日求解价格与决策!A30</f>
        <v>46235.21875</v>
      </c>
      <c r="B30" s="15">
        <f>两日求解价格与决策!B30</f>
        <v>161.38</v>
      </c>
      <c r="C30" s="15">
        <f>两日求解价格与决策!C30</f>
        <v>66.224534522516336</v>
      </c>
      <c r="D30" s="15">
        <f>两日求解价格与决策!D30</f>
        <v>7.1274750824233415</v>
      </c>
      <c r="E30" s="15">
        <f>两日求解价格与决策!E30</f>
        <v>5.0730852057248494</v>
      </c>
      <c r="F30" s="15">
        <f>两日求解价格与决策!F30</f>
        <v>211.85847959903188</v>
      </c>
      <c r="G30" s="15">
        <f>两日求解价格与决策!G30</f>
        <v>0</v>
      </c>
      <c r="H30" s="15" t="str">
        <f>两日求解价格与决策!H30</f>
        <v>未模拟</v>
      </c>
      <c r="I30" s="16">
        <f>两日求解价格与决策!I30</f>
        <v>35.076425261285841</v>
      </c>
      <c r="J30" s="16">
        <f>两日求解价格与决策!J30</f>
        <v>33.137940789236154</v>
      </c>
      <c r="K30" s="16">
        <f>两日求解价格与决策!K30</f>
        <v>0</v>
      </c>
      <c r="L30" s="16">
        <f>两日求解价格与决策!L30</f>
        <v>40</v>
      </c>
      <c r="M30" s="16">
        <f>两日求解价格与决策!M30</f>
        <v>24</v>
      </c>
      <c r="N30" s="16">
        <f>两日求解价格与决策!N30</f>
        <v>24</v>
      </c>
      <c r="O30" s="16">
        <f>两日求解价格与决策!O30</f>
        <v>1.7834057142857143</v>
      </c>
      <c r="P30" s="16">
        <f>两日求解价格与决策!P30</f>
        <v>0</v>
      </c>
      <c r="Q30" s="17">
        <f>两日求解价格与决策!Q30</f>
        <v>0</v>
      </c>
      <c r="R30" s="17">
        <f>两日求解价格与决策!R30</f>
        <v>662.24534522516342</v>
      </c>
      <c r="S30" s="17">
        <f>两日求解价格与决策!S30</f>
        <v>42.764850494540049</v>
      </c>
      <c r="T30" s="17">
        <f>两日求解价格与决策!T30</f>
        <v>30.438511234349097</v>
      </c>
      <c r="U30" s="17">
        <f>两日求解价格与决策!U30</f>
        <v>377.8296231367969</v>
      </c>
      <c r="V30" s="17">
        <f>两日求解价格与决策!V30</f>
        <v>0</v>
      </c>
      <c r="W30" s="17">
        <f>两日求解价格与决策!W30</f>
        <v>1113.2783300908495</v>
      </c>
      <c r="X30" s="12">
        <f>两日求解价格与决策!X30</f>
        <v>1113.2783300908495</v>
      </c>
      <c r="Y30" s="19">
        <f>两日求解价格与决策!Y30</f>
        <v>0</v>
      </c>
      <c r="Z30" s="12" t="str">
        <f t="shared" si="0"/>
        <v>正式执行</v>
      </c>
      <c r="AA30" s="12">
        <f>两日求解价格与决策!AA30</f>
        <v>1</v>
      </c>
      <c r="AB30" s="12">
        <f>两日求解价格与决策!AB30</f>
        <v>1</v>
      </c>
      <c r="AC30" s="12">
        <f>两日求解价格与决策!AC30</f>
        <v>0.25</v>
      </c>
      <c r="AD30" s="18">
        <f>两日求解价格与决策!AD30</f>
        <v>0.3125</v>
      </c>
      <c r="AE30" s="18">
        <f>两日求解价格与决策!AE30</f>
        <v>0.13714285714285715</v>
      </c>
      <c r="AF30" s="18">
        <f>两日求解价格与决策!AF30</f>
        <v>0.29723428571428573</v>
      </c>
      <c r="AG30" s="18">
        <f>两日求解价格与决策!AG30</f>
        <v>0</v>
      </c>
      <c r="AH30" s="12">
        <f>两日求解价格与决策!AH30</f>
        <v>175</v>
      </c>
      <c r="AI30" s="12">
        <f>两日求解价格与决策!AI30</f>
        <v>175</v>
      </c>
      <c r="AJ30" s="12">
        <f>两日求解价格与决策!AJ30</f>
        <v>13.004</v>
      </c>
      <c r="AK30" s="12">
        <f>两日求解价格与决策!AK30</f>
        <v>0</v>
      </c>
      <c r="AL30" s="12">
        <f>两日求解价格与决策!AL30</f>
        <v>128</v>
      </c>
      <c r="AM30" s="12">
        <f>两日求解价格与决策!AM30</f>
        <v>5.384679089026915E-3</v>
      </c>
      <c r="AN30" s="12">
        <f>两日求解价格与决策!AN30</f>
        <v>0</v>
      </c>
      <c r="AO30" s="12">
        <f>两日求解价格与决策!AO30</f>
        <v>1.7834057142857143</v>
      </c>
      <c r="AP30" s="12">
        <f>两日求解价格与决策!AP30</f>
        <v>33.137940789236154</v>
      </c>
      <c r="AQ30" s="19">
        <f>两日求解价格与决策!AQ30</f>
        <v>0</v>
      </c>
      <c r="AR30" s="12">
        <f>两日求解价格与决策!AR30</f>
        <v>5.2473000000000001</v>
      </c>
      <c r="AS30" s="14">
        <f>两日求解价格与决策!AS30</f>
        <v>46234</v>
      </c>
      <c r="AT30" s="13">
        <f>两日求解价格与决策!AT30</f>
        <v>46235.09375</v>
      </c>
      <c r="AU30" s="12" t="str">
        <f>两日求解价格与决策!AU30</f>
        <v>2026-08-01_18</v>
      </c>
      <c r="AV30" s="12">
        <f>两日求解价格与决策!AV30</f>
        <v>15</v>
      </c>
      <c r="AW30" s="12" t="str">
        <f>两日求解价格与决策!AW30</f>
        <v>OK</v>
      </c>
      <c r="AX30" s="12">
        <f>两日求解价格与决策!AX30</f>
        <v>128</v>
      </c>
      <c r="AY30" s="12">
        <f>两日求解价格与决策!AY30</f>
        <v>175</v>
      </c>
      <c r="AZ30" s="12">
        <f>两日求解价格与决策!AZ30</f>
        <v>175</v>
      </c>
      <c r="BA30" s="12">
        <f>两日求解价格与决策!BA30</f>
        <v>40</v>
      </c>
      <c r="BB30" s="12">
        <f>两日求解价格与决策!BB30</f>
        <v>24</v>
      </c>
      <c r="BC30" s="12">
        <f>两日求解价格与决策!BC30</f>
        <v>24</v>
      </c>
      <c r="BD30" s="14">
        <f>两日求解价格与决策!BD30</f>
        <v>46235</v>
      </c>
      <c r="BE30" s="1" t="str">
        <f>两日求解价格与决策!BE30</f>
        <v>零头寸，无结算现金</v>
      </c>
      <c r="BF30" s="1" t="str">
        <f>两日求解价格与决策!BF30</f>
        <v>40.000000 MW × 66.224535 × 0.250000 h = 662.245345 EUR</v>
      </c>
      <c r="BG30" s="1" t="str">
        <f>两日求解价格与决策!BG30</f>
        <v>24.000000 MW × 7.127475 × 0.250000 h = 42.764850 EUR</v>
      </c>
      <c r="BH30" s="1" t="str">
        <f>两日求解价格与决策!BH30</f>
        <v>24.000000 MW × 5.073085 × 0.250000 h = 30.438511 EUR</v>
      </c>
      <c r="BI30" s="1" t="str">
        <f>两日求解价格与决策!BI30</f>
        <v>1.783406 MWh × 211.858480 = 377.829623 EUR</v>
      </c>
      <c r="BJ30" s="1" t="str">
        <f>两日求解价格与决策!BJ30</f>
        <v>零下调激活电量</v>
      </c>
      <c r="BK30" s="1" t="str">
        <f>两日求解价格与决策!BK30</f>
        <v>0.000000 + 662.245345 + 42.764850 + 30.438511 + 377.829623 + 0.000000 = 1113.278330 EUR</v>
      </c>
    </row>
    <row r="31" spans="1:63" ht="21" customHeight="1" x14ac:dyDescent="0.45">
      <c r="A31" s="13">
        <f>两日求解价格与决策!A31</f>
        <v>46235.229166666664</v>
      </c>
      <c r="B31" s="15">
        <f>两日求解价格与决策!B31</f>
        <v>154.83000000000001</v>
      </c>
      <c r="C31" s="15">
        <f>两日求解价格与决策!C31</f>
        <v>66.224534522516336</v>
      </c>
      <c r="D31" s="15">
        <f>两日求解价格与决策!D31</f>
        <v>7.1274750824233415</v>
      </c>
      <c r="E31" s="15">
        <f>两日求解价格与决策!E31</f>
        <v>5.0730852057248494</v>
      </c>
      <c r="F31" s="15">
        <f>两日求解价格与决策!F31</f>
        <v>248.52343109789797</v>
      </c>
      <c r="G31" s="15">
        <f>两日求解价格与决策!G31</f>
        <v>0</v>
      </c>
      <c r="H31" s="15" t="str">
        <f>两日求解价格与决策!H31</f>
        <v>未模拟</v>
      </c>
      <c r="I31" s="16">
        <f>两日求解价格与决策!I31</f>
        <v>33.137940789236154</v>
      </c>
      <c r="J31" s="16">
        <f>两日求解价格与决策!J31</f>
        <v>35.800410274950437</v>
      </c>
      <c r="K31" s="16">
        <f>两日求解价格与决策!K31</f>
        <v>-24</v>
      </c>
      <c r="L31" s="16">
        <f>两日求解价格与决策!L31</f>
        <v>40</v>
      </c>
      <c r="M31" s="16">
        <f>两日求解价格与决策!M31</f>
        <v>24</v>
      </c>
      <c r="N31" s="16">
        <f>两日求解价格与决策!N31</f>
        <v>24</v>
      </c>
      <c r="O31" s="16">
        <f>两日求解价格与决策!O31</f>
        <v>3.1060114285714282</v>
      </c>
      <c r="P31" s="16">
        <f>两日求解价格与决策!P31</f>
        <v>0</v>
      </c>
      <c r="Q31" s="17">
        <f>两日求解价格与决策!Q31</f>
        <v>-928.98</v>
      </c>
      <c r="R31" s="17">
        <f>两日求解价格与决策!R31</f>
        <v>662.24534522516342</v>
      </c>
      <c r="S31" s="17">
        <f>两日求解价格与决策!S31</f>
        <v>42.764850494540049</v>
      </c>
      <c r="T31" s="17">
        <f>两日求解价格与决策!T31</f>
        <v>30.438511234349097</v>
      </c>
      <c r="U31" s="17">
        <f>两日求解价格与决策!U31</f>
        <v>771.91661725785502</v>
      </c>
      <c r="V31" s="17">
        <f>两日求解价格与决策!V31</f>
        <v>0</v>
      </c>
      <c r="W31" s="17">
        <f>两日求解价格与决策!W31</f>
        <v>578.38532421190757</v>
      </c>
      <c r="X31" s="12">
        <f>两日求解价格与决策!X31</f>
        <v>578.38532421190757</v>
      </c>
      <c r="Y31" s="19">
        <f>两日求解价格与决策!Y31</f>
        <v>0</v>
      </c>
      <c r="Z31" s="12" t="str">
        <f t="shared" si="0"/>
        <v>正式执行</v>
      </c>
      <c r="AA31" s="12">
        <f>两日求解价格与决策!AA31</f>
        <v>1</v>
      </c>
      <c r="AB31" s="12">
        <f>两日求解价格与决策!AB31</f>
        <v>1</v>
      </c>
      <c r="AC31" s="12">
        <f>两日求解价格与决策!AC31</f>
        <v>0.25</v>
      </c>
      <c r="AD31" s="18">
        <f>两日求解价格与决策!AD31</f>
        <v>0.3125</v>
      </c>
      <c r="AE31" s="18">
        <f>两日求解价格与决策!AE31</f>
        <v>0.13714285714285715</v>
      </c>
      <c r="AF31" s="18">
        <f>两日求解价格与决策!AF31</f>
        <v>0.51766857142857137</v>
      </c>
      <c r="AG31" s="18">
        <f>两日求解价格与决策!AG31</f>
        <v>0</v>
      </c>
      <c r="AH31" s="12">
        <f>两日求解价格与决策!AH31</f>
        <v>175</v>
      </c>
      <c r="AI31" s="12">
        <f>两日求解价格与决策!AI31</f>
        <v>175</v>
      </c>
      <c r="AJ31" s="12">
        <f>两日求解价格与决策!AJ31</f>
        <v>22.648</v>
      </c>
      <c r="AK31" s="12">
        <f>两日求解价格与决策!AK31</f>
        <v>0</v>
      </c>
      <c r="AL31" s="12">
        <f>两日求解价格与决策!AL31</f>
        <v>128</v>
      </c>
      <c r="AM31" s="12">
        <f>两日求解价格与决策!AM31</f>
        <v>7.3957485714285735E-3</v>
      </c>
      <c r="AN31" s="12">
        <f>两日求解价格与决策!AN31</f>
        <v>2.8939885714285718</v>
      </c>
      <c r="AO31" s="12">
        <f>两日求解价格与决策!AO31</f>
        <v>0</v>
      </c>
      <c r="AP31" s="12">
        <f>两日求解价格与决策!AP31</f>
        <v>35.800410274950437</v>
      </c>
      <c r="AQ31" s="19">
        <f>两日求解价格与决策!AQ31</f>
        <v>0</v>
      </c>
      <c r="AR31" s="12">
        <f>两日求解价格与决策!AR31</f>
        <v>5.2473000000000001</v>
      </c>
      <c r="AS31" s="14">
        <f>两日求解价格与决策!AS31</f>
        <v>46234</v>
      </c>
      <c r="AT31" s="13">
        <f>两日求解价格与决策!AT31</f>
        <v>46235.104166666664</v>
      </c>
      <c r="AU31" s="12" t="str">
        <f>两日求解价格与决策!AU31</f>
        <v>2026-08-01_19</v>
      </c>
      <c r="AV31" s="12">
        <f>两日求解价格与决策!AV31</f>
        <v>15</v>
      </c>
      <c r="AW31" s="12" t="str">
        <f>两日求解价格与决策!AW31</f>
        <v>OK</v>
      </c>
      <c r="AX31" s="12">
        <f>两日求解价格与决策!AX31</f>
        <v>128</v>
      </c>
      <c r="AY31" s="12">
        <f>两日求解价格与决策!AY31</f>
        <v>175</v>
      </c>
      <c r="AZ31" s="12">
        <f>两日求解价格与决策!AZ31</f>
        <v>175</v>
      </c>
      <c r="BA31" s="12">
        <f>两日求解价格与决策!BA31</f>
        <v>40</v>
      </c>
      <c r="BB31" s="12">
        <f>两日求解价格与决策!BB31</f>
        <v>24</v>
      </c>
      <c r="BC31" s="12">
        <f>两日求解价格与决策!BC31</f>
        <v>24</v>
      </c>
      <c r="BD31" s="14">
        <f>两日求解价格与决策!BD31</f>
        <v>46235</v>
      </c>
      <c r="BE31" s="1" t="str">
        <f>两日求解价格与决策!BE31</f>
        <v>-24.000000 MW × 154.830000 × 0.250000 h = -928.980000 EUR</v>
      </c>
      <c r="BF31" s="1" t="str">
        <f>两日求解价格与决策!BF31</f>
        <v>40.000000 MW × 66.224535 × 0.250000 h = 662.245345 EUR</v>
      </c>
      <c r="BG31" s="1" t="str">
        <f>两日求解价格与决策!BG31</f>
        <v>24.000000 MW × 7.127475 × 0.250000 h = 42.764850 EUR</v>
      </c>
      <c r="BH31" s="1" t="str">
        <f>两日求解价格与决策!BH31</f>
        <v>24.000000 MW × 5.073085 × 0.250000 h = 30.438511 EUR</v>
      </c>
      <c r="BI31" s="1" t="str">
        <f>两日求解价格与决策!BI31</f>
        <v>3.106011 MWh × 248.523431 = 771.916617 EUR</v>
      </c>
      <c r="BJ31" s="1" t="str">
        <f>两日求解价格与决策!BJ31</f>
        <v>零下调激活电量</v>
      </c>
      <c r="BK31" s="1" t="str">
        <f>两日求解价格与决策!BK31</f>
        <v>-928.980000 + 662.245345 + 42.764850 + 30.438511 + 771.916617 + 0.000000 = 578.385324 EUR</v>
      </c>
    </row>
    <row r="32" spans="1:63" ht="21" customHeight="1" x14ac:dyDescent="0.45">
      <c r="A32" s="13">
        <f>两日求解价格与决策!A32</f>
        <v>46235.239583333336</v>
      </c>
      <c r="B32" s="15">
        <f>两日求解价格与决策!B32</f>
        <v>151.91</v>
      </c>
      <c r="C32" s="15">
        <f>两日求解价格与决策!C32</f>
        <v>66.224534522516336</v>
      </c>
      <c r="D32" s="15">
        <f>两日求解价格与决策!D32</f>
        <v>7.1274750824233415</v>
      </c>
      <c r="E32" s="15">
        <f>两日求解价格与决策!E32</f>
        <v>5.0730852057248494</v>
      </c>
      <c r="F32" s="15">
        <f>两日求解价格与决策!F32</f>
        <v>254.40416976349741</v>
      </c>
      <c r="G32" s="15">
        <f>两日求解价格与决策!G32</f>
        <v>0</v>
      </c>
      <c r="H32" s="15" t="str">
        <f>两日求解价格与决策!H32</f>
        <v>未模拟</v>
      </c>
      <c r="I32" s="16">
        <f>两日求解价格与决策!I32</f>
        <v>35.800410274950437</v>
      </c>
      <c r="J32" s="16">
        <f>两日求解价格与决策!J32</f>
        <v>38.15426444637901</v>
      </c>
      <c r="K32" s="16">
        <f>两日求解价格与决策!K32</f>
        <v>-24</v>
      </c>
      <c r="L32" s="16">
        <f>两日求解价格与决策!L32</f>
        <v>40</v>
      </c>
      <c r="M32" s="16">
        <f>两日求解价格与决策!M32</f>
        <v>24</v>
      </c>
      <c r="N32" s="16">
        <f>两日求解价格与决策!N32</f>
        <v>24</v>
      </c>
      <c r="O32" s="16">
        <f>两日求解价格与决策!O32</f>
        <v>3.4414628571428576</v>
      </c>
      <c r="P32" s="16">
        <f>两日求解价格与决策!P32</f>
        <v>0</v>
      </c>
      <c r="Q32" s="17">
        <f>两日求解价格与决策!Q32</f>
        <v>-911.46</v>
      </c>
      <c r="R32" s="17">
        <f>两日求解价格与决策!R32</f>
        <v>662.24534522516342</v>
      </c>
      <c r="S32" s="17">
        <f>两日求解价格与决策!S32</f>
        <v>42.764850494540049</v>
      </c>
      <c r="T32" s="17">
        <f>两日求解价格与决策!T32</f>
        <v>30.438511234349097</v>
      </c>
      <c r="U32" s="17">
        <f>两日求解价格与决策!U32</f>
        <v>875.52250094334238</v>
      </c>
      <c r="V32" s="17">
        <f>两日求解价格与决策!V32</f>
        <v>0</v>
      </c>
      <c r="W32" s="17">
        <f>两日求解价格与决策!W32</f>
        <v>699.51120789739491</v>
      </c>
      <c r="X32" s="12">
        <f>两日求解价格与决策!X32</f>
        <v>699.51120789739491</v>
      </c>
      <c r="Y32" s="19">
        <f>两日求解价格与决策!Y32</f>
        <v>0</v>
      </c>
      <c r="Z32" s="12" t="str">
        <f t="shared" si="0"/>
        <v>正式执行</v>
      </c>
      <c r="AA32" s="12">
        <f>两日求解价格与决策!AA32</f>
        <v>1</v>
      </c>
      <c r="AB32" s="12">
        <f>两日求解价格与决策!AB32</f>
        <v>1</v>
      </c>
      <c r="AC32" s="12">
        <f>两日求解价格与决策!AC32</f>
        <v>0.25</v>
      </c>
      <c r="AD32" s="18">
        <f>两日求解价格与决策!AD32</f>
        <v>0.3125</v>
      </c>
      <c r="AE32" s="18">
        <f>两日求解价格与决策!AE32</f>
        <v>0.13714285714285715</v>
      </c>
      <c r="AF32" s="18">
        <f>两日求解价格与决策!AF32</f>
        <v>0.5735771428571429</v>
      </c>
      <c r="AG32" s="18">
        <f>两日求解价格与决策!AG32</f>
        <v>0</v>
      </c>
      <c r="AH32" s="12">
        <f>两日求解价格与决策!AH32</f>
        <v>175</v>
      </c>
      <c r="AI32" s="12">
        <f>两日求解价格与决策!AI32</f>
        <v>175</v>
      </c>
      <c r="AJ32" s="12">
        <f>两日求解价格与决策!AJ32</f>
        <v>25.094000000000001</v>
      </c>
      <c r="AK32" s="12">
        <f>两日求解价格与决策!AK32</f>
        <v>0</v>
      </c>
      <c r="AL32" s="12">
        <f>两日求解价格与决策!AL32</f>
        <v>128</v>
      </c>
      <c r="AM32" s="12">
        <f>两日求解价格与决策!AM32</f>
        <v>6.5384838095238094E-3</v>
      </c>
      <c r="AN32" s="12">
        <f>两日求解价格与决策!AN32</f>
        <v>2.5585371428571424</v>
      </c>
      <c r="AO32" s="12">
        <f>两日求解价格与决策!AO32</f>
        <v>0</v>
      </c>
      <c r="AP32" s="12">
        <f>两日求解价格与决策!AP32</f>
        <v>38.15426444637901</v>
      </c>
      <c r="AQ32" s="19">
        <f>两日求解价格与决策!AQ32</f>
        <v>0</v>
      </c>
      <c r="AR32" s="12">
        <f>两日求解价格与决策!AR32</f>
        <v>5.2473000000000001</v>
      </c>
      <c r="AS32" s="14">
        <f>两日求解价格与决策!AS32</f>
        <v>46234</v>
      </c>
      <c r="AT32" s="13">
        <f>两日求解价格与决策!AT32</f>
        <v>46235.114583333336</v>
      </c>
      <c r="AU32" s="12" t="str">
        <f>两日求解价格与决策!AU32</f>
        <v>2026-08-01_20</v>
      </c>
      <c r="AV32" s="12">
        <f>两日求解价格与决策!AV32</f>
        <v>15</v>
      </c>
      <c r="AW32" s="12" t="str">
        <f>两日求解价格与决策!AW32</f>
        <v>OK</v>
      </c>
      <c r="AX32" s="12">
        <f>两日求解价格与决策!AX32</f>
        <v>128</v>
      </c>
      <c r="AY32" s="12">
        <f>两日求解价格与决策!AY32</f>
        <v>175</v>
      </c>
      <c r="AZ32" s="12">
        <f>两日求解价格与决策!AZ32</f>
        <v>175</v>
      </c>
      <c r="BA32" s="12">
        <f>两日求解价格与决策!BA32</f>
        <v>40</v>
      </c>
      <c r="BB32" s="12">
        <f>两日求解价格与决策!BB32</f>
        <v>24</v>
      </c>
      <c r="BC32" s="12">
        <f>两日求解价格与决策!BC32</f>
        <v>24</v>
      </c>
      <c r="BD32" s="14">
        <f>两日求解价格与决策!BD32</f>
        <v>46235</v>
      </c>
      <c r="BE32" s="1" t="str">
        <f>两日求解价格与决策!BE32</f>
        <v>-24.000000 MW × 151.910000 × 0.250000 h = -911.460000 EUR</v>
      </c>
      <c r="BF32" s="1" t="str">
        <f>两日求解价格与决策!BF32</f>
        <v>40.000000 MW × 66.224535 × 0.250000 h = 662.245345 EUR</v>
      </c>
      <c r="BG32" s="1" t="str">
        <f>两日求解价格与决策!BG32</f>
        <v>24.000000 MW × 7.127475 × 0.250000 h = 42.764850 EUR</v>
      </c>
      <c r="BH32" s="1" t="str">
        <f>两日求解价格与决策!BH32</f>
        <v>24.000000 MW × 5.073085 × 0.250000 h = 30.438511 EUR</v>
      </c>
      <c r="BI32" s="1" t="str">
        <f>两日求解价格与决策!BI32</f>
        <v>3.441463 MWh × 254.404170 = 875.522501 EUR</v>
      </c>
      <c r="BJ32" s="1" t="str">
        <f>两日求解价格与决策!BJ32</f>
        <v>零下调激活电量</v>
      </c>
      <c r="BK32" s="1" t="str">
        <f>两日求解价格与决策!BK32</f>
        <v>-911.460000 + 662.245345 + 42.764850 + 30.438511 + 875.522501 + 0.000000 = 699.511208 EUR</v>
      </c>
    </row>
    <row r="33" spans="1:63" ht="21" customHeight="1" x14ac:dyDescent="0.45">
      <c r="A33" s="13">
        <f>两日求解价格与决策!A33</f>
        <v>46235.25</v>
      </c>
      <c r="B33" s="15">
        <f>两日求解价格与决策!B33</f>
        <v>154.07</v>
      </c>
      <c r="C33" s="15">
        <f>两日求解价格与决策!C33</f>
        <v>66.224534522516336</v>
      </c>
      <c r="D33" s="15">
        <f>两日求解价格与决策!D33</f>
        <v>7.0626798544013116</v>
      </c>
      <c r="E33" s="15">
        <f>两日求解价格与决策!E33</f>
        <v>2.8376498389648011</v>
      </c>
      <c r="F33" s="15">
        <f>两日求解价格与决策!F33</f>
        <v>242.46355268423761</v>
      </c>
      <c r="G33" s="15">
        <f>两日求解价格与决策!G33</f>
        <v>0</v>
      </c>
      <c r="H33" s="15" t="str">
        <f>两日求解价格与决策!H33</f>
        <v>未模拟</v>
      </c>
      <c r="I33" s="16">
        <f>两日求解价格与决策!I33</f>
        <v>38.15426444637901</v>
      </c>
      <c r="J33" s="16">
        <f>两日求解价格与决策!J33</f>
        <v>40.826827646379009</v>
      </c>
      <c r="K33" s="16">
        <f>两日求解价格与决策!K33</f>
        <v>-24</v>
      </c>
      <c r="L33" s="16">
        <f>两日求解价格与决策!L33</f>
        <v>40</v>
      </c>
      <c r="M33" s="16">
        <f>两日求解价格与决策!M33</f>
        <v>24</v>
      </c>
      <c r="N33" s="16">
        <f>两日求解价格与决策!N33</f>
        <v>24</v>
      </c>
      <c r="O33" s="16">
        <f>两日求解价格与决策!O33</f>
        <v>3.0950400000000005</v>
      </c>
      <c r="P33" s="16">
        <f>两日求解价格与决策!P33</f>
        <v>0</v>
      </c>
      <c r="Q33" s="17">
        <f>两日求解价格与决策!Q33</f>
        <v>-924.42</v>
      </c>
      <c r="R33" s="17">
        <f>两日求解价格与决策!R33</f>
        <v>662.24534522516342</v>
      </c>
      <c r="S33" s="17">
        <f>两日求解价格与决策!S33</f>
        <v>42.376079126407873</v>
      </c>
      <c r="T33" s="17">
        <f>两日求解价格与决策!T33</f>
        <v>17.025899033788807</v>
      </c>
      <c r="U33" s="17">
        <f>两日求解价格与决策!U33</f>
        <v>750.43439409982284</v>
      </c>
      <c r="V33" s="17">
        <f>两日求解价格与决策!V33</f>
        <v>0</v>
      </c>
      <c r="W33" s="17">
        <f>两日求解价格与决策!W33</f>
        <v>547.66171748518298</v>
      </c>
      <c r="X33" s="12">
        <f>两日求解价格与决策!X33</f>
        <v>547.66171748518298</v>
      </c>
      <c r="Y33" s="19">
        <f>两日求解价格与决策!Y33</f>
        <v>0</v>
      </c>
      <c r="Z33" s="12" t="str">
        <f t="shared" si="0"/>
        <v>正式执行</v>
      </c>
      <c r="AA33" s="12">
        <f>两日求解价格与决策!AA33</f>
        <v>1</v>
      </c>
      <c r="AB33" s="12">
        <f>两日求解价格与决策!AB33</f>
        <v>1</v>
      </c>
      <c r="AC33" s="12">
        <f>两日求解价格与决策!AC33</f>
        <v>0.25</v>
      </c>
      <c r="AD33" s="18">
        <f>两日求解价格与决策!AD33</f>
        <v>0.3125</v>
      </c>
      <c r="AE33" s="18">
        <f>两日求解价格与决策!AE33</f>
        <v>0.13714285714285715</v>
      </c>
      <c r="AF33" s="18">
        <f>两日求解价格与决策!AF33</f>
        <v>0.51584000000000008</v>
      </c>
      <c r="AG33" s="18">
        <f>两日求解价格与决策!AG33</f>
        <v>0</v>
      </c>
      <c r="AH33" s="12">
        <f>两日求解价格与决策!AH33</f>
        <v>175</v>
      </c>
      <c r="AI33" s="12">
        <f>两日求解价格与决策!AI33</f>
        <v>175</v>
      </c>
      <c r="AJ33" s="12">
        <f>两日求解价格与决策!AJ33</f>
        <v>22.568000000000001</v>
      </c>
      <c r="AK33" s="12">
        <f>两日求解价格与决策!AK33</f>
        <v>0</v>
      </c>
      <c r="AL33" s="12">
        <f>两日求解价格与决策!AL33</f>
        <v>128</v>
      </c>
      <c r="AM33" s="12">
        <f>两日求解价格与决策!AM33</f>
        <v>7.4237866666666662E-3</v>
      </c>
      <c r="AN33" s="12">
        <f>两日求解价格与决策!AN33</f>
        <v>2.9049599999999995</v>
      </c>
      <c r="AO33" s="12">
        <f>两日求解价格与决策!AO33</f>
        <v>0</v>
      </c>
      <c r="AP33" s="12">
        <f>两日求解价格与决策!AP33</f>
        <v>40.826827646379009</v>
      </c>
      <c r="AQ33" s="19">
        <f>两日求解价格与决策!AQ33</f>
        <v>0</v>
      </c>
      <c r="AR33" s="12">
        <f>两日求解价格与决策!AR33</f>
        <v>5.2473000000000001</v>
      </c>
      <c r="AS33" s="14">
        <f>两日求解价格与决策!AS33</f>
        <v>46234</v>
      </c>
      <c r="AT33" s="13">
        <f>两日求解价格与决策!AT33</f>
        <v>46235.125</v>
      </c>
      <c r="AU33" s="12" t="str">
        <f>两日求解价格与决策!AU33</f>
        <v>2026-08-01_21</v>
      </c>
      <c r="AV33" s="12">
        <f>两日求解价格与决策!AV33</f>
        <v>15</v>
      </c>
      <c r="AW33" s="12" t="str">
        <f>两日求解价格与决策!AW33</f>
        <v>OK</v>
      </c>
      <c r="AX33" s="12">
        <f>两日求解价格与决策!AX33</f>
        <v>128</v>
      </c>
      <c r="AY33" s="12">
        <f>两日求解价格与决策!AY33</f>
        <v>175</v>
      </c>
      <c r="AZ33" s="12">
        <f>两日求解价格与决策!AZ33</f>
        <v>175</v>
      </c>
      <c r="BA33" s="12">
        <f>两日求解价格与决策!BA33</f>
        <v>40</v>
      </c>
      <c r="BB33" s="12">
        <f>两日求解价格与决策!BB33</f>
        <v>24</v>
      </c>
      <c r="BC33" s="12">
        <f>两日求解价格与决策!BC33</f>
        <v>24</v>
      </c>
      <c r="BD33" s="14">
        <f>两日求解价格与决策!BD33</f>
        <v>46235</v>
      </c>
      <c r="BE33" s="1" t="str">
        <f>两日求解价格与决策!BE33</f>
        <v>-24.000000 MW × 154.070000 × 0.250000 h = -924.420000 EUR</v>
      </c>
      <c r="BF33" s="1" t="str">
        <f>两日求解价格与决策!BF33</f>
        <v>40.000000 MW × 66.224535 × 0.250000 h = 662.245345 EUR</v>
      </c>
      <c r="BG33" s="1" t="str">
        <f>两日求解价格与决策!BG33</f>
        <v>24.000000 MW × 7.062680 × 0.250000 h = 42.376079 EUR</v>
      </c>
      <c r="BH33" s="1" t="str">
        <f>两日求解价格与决策!BH33</f>
        <v>24.000000 MW × 2.837650 × 0.250000 h = 17.025899 EUR</v>
      </c>
      <c r="BI33" s="1" t="str">
        <f>两日求解价格与决策!BI33</f>
        <v>3.095040 MWh × 242.463553 = 750.434394 EUR</v>
      </c>
      <c r="BJ33" s="1" t="str">
        <f>两日求解价格与决策!BJ33</f>
        <v>零下调激活电量</v>
      </c>
      <c r="BK33" s="1" t="str">
        <f>两日求解价格与决策!BK33</f>
        <v>-924.420000 + 662.245345 + 42.376079 + 17.025899 + 750.434394 + 0.000000 = 547.661717 EUR</v>
      </c>
    </row>
    <row r="34" spans="1:63" ht="21" customHeight="1" x14ac:dyDescent="0.45">
      <c r="A34" s="13">
        <f>两日求解价格与决策!A34</f>
        <v>46235.260416666664</v>
      </c>
      <c r="B34" s="15">
        <f>两日求解价格与决策!B34</f>
        <v>163.19999999999999</v>
      </c>
      <c r="C34" s="15">
        <f>两日求解价格与决策!C34</f>
        <v>66.224534522516336</v>
      </c>
      <c r="D34" s="15">
        <f>两日求解价格与决策!D34</f>
        <v>7.0626798544013116</v>
      </c>
      <c r="E34" s="15">
        <f>两日求解价格与决策!E34</f>
        <v>2.8376498389648011</v>
      </c>
      <c r="F34" s="15">
        <f>两日求解价格与决策!F34</f>
        <v>173.58241381281803</v>
      </c>
      <c r="G34" s="15">
        <f>两日求解价格与决策!G34</f>
        <v>0</v>
      </c>
      <c r="H34" s="15" t="str">
        <f>两日求解价格与决策!H34</f>
        <v>未模拟</v>
      </c>
      <c r="I34" s="16">
        <f>两日求解价格与决策!I34</f>
        <v>40.826827646379009</v>
      </c>
      <c r="J34" s="16">
        <f>两日求解价格与决策!J34</f>
        <v>40.363672366875903</v>
      </c>
      <c r="K34" s="16">
        <f>两日求解价格与决策!K34</f>
        <v>0</v>
      </c>
      <c r="L34" s="16">
        <f>两日求解价格与决策!L34</f>
        <v>40</v>
      </c>
      <c r="M34" s="16">
        <f>两日求解价格与决策!M34</f>
        <v>24</v>
      </c>
      <c r="N34" s="16">
        <f>两日求解价格与决策!N34</f>
        <v>24</v>
      </c>
      <c r="O34" s="16">
        <f>两日求解价格与决策!O34</f>
        <v>0.42610285714285717</v>
      </c>
      <c r="P34" s="16">
        <f>两日求解价格与决策!P34</f>
        <v>0</v>
      </c>
      <c r="Q34" s="17">
        <f>两日求解价格与决策!Q34</f>
        <v>0</v>
      </c>
      <c r="R34" s="17">
        <f>两日求解价格与决策!R34</f>
        <v>662.24534522516342</v>
      </c>
      <c r="S34" s="17">
        <f>两日求解价格与决策!S34</f>
        <v>42.376079126407873</v>
      </c>
      <c r="T34" s="17">
        <f>两日求解价格与决策!T34</f>
        <v>17.025899033788807</v>
      </c>
      <c r="U34" s="17">
        <f>两日求解价格与决策!U34</f>
        <v>73.963962475395519</v>
      </c>
      <c r="V34" s="17">
        <f>两日求解价格与决策!V34</f>
        <v>0</v>
      </c>
      <c r="W34" s="17">
        <f>两日求解价格与决策!W34</f>
        <v>795.61128586075563</v>
      </c>
      <c r="X34" s="12">
        <f>两日求解价格与决策!X34</f>
        <v>795.61128586075563</v>
      </c>
      <c r="Y34" s="19">
        <f>两日求解价格与决策!Y34</f>
        <v>0</v>
      </c>
      <c r="Z34" s="12" t="str">
        <f t="shared" si="0"/>
        <v>正式执行</v>
      </c>
      <c r="AA34" s="12">
        <f>两日求解价格与决策!AA34</f>
        <v>1</v>
      </c>
      <c r="AB34" s="12">
        <f>两日求解价格与决策!AB34</f>
        <v>1</v>
      </c>
      <c r="AC34" s="12">
        <f>两日求解价格与决策!AC34</f>
        <v>0.25</v>
      </c>
      <c r="AD34" s="18">
        <f>两日求解价格与决策!AD34</f>
        <v>0.3125</v>
      </c>
      <c r="AE34" s="18">
        <f>两日求解价格与决策!AE34</f>
        <v>0.13714285714285715</v>
      </c>
      <c r="AF34" s="18">
        <f>两日求解价格与决策!AF34</f>
        <v>7.1017142857142862E-2</v>
      </c>
      <c r="AG34" s="18">
        <f>两日求解价格与决策!AG34</f>
        <v>0</v>
      </c>
      <c r="AH34" s="12">
        <f>两日求解价格与决策!AH34</f>
        <v>175</v>
      </c>
      <c r="AI34" s="12">
        <f>两日求解价格与决策!AI34</f>
        <v>175</v>
      </c>
      <c r="AJ34" s="12">
        <f>两日求解价格与决策!AJ34</f>
        <v>3.1070000000000002</v>
      </c>
      <c r="AK34" s="12">
        <f>两日求解价格与决策!AK34</f>
        <v>0</v>
      </c>
      <c r="AL34" s="12">
        <f>两日求解价格与决策!AL34</f>
        <v>128</v>
      </c>
      <c r="AM34" s="12">
        <f>两日求解价格与决策!AM34</f>
        <v>1.2865424430641822E-3</v>
      </c>
      <c r="AN34" s="12">
        <f>两日求解价格与决策!AN34</f>
        <v>0</v>
      </c>
      <c r="AO34" s="12">
        <f>两日求解价格与决策!AO34</f>
        <v>0.42610285714285717</v>
      </c>
      <c r="AP34" s="12">
        <f>两日求解价格与决策!AP34</f>
        <v>40.363672366875903</v>
      </c>
      <c r="AQ34" s="19">
        <f>两日求解价格与决策!AQ34</f>
        <v>0</v>
      </c>
      <c r="AR34" s="12">
        <f>两日求解价格与决策!AR34</f>
        <v>5.2473000000000001</v>
      </c>
      <c r="AS34" s="14">
        <f>两日求解价格与决策!AS34</f>
        <v>46234</v>
      </c>
      <c r="AT34" s="13">
        <f>两日求解价格与决策!AT34</f>
        <v>46235.135416666664</v>
      </c>
      <c r="AU34" s="12" t="str">
        <f>两日求解价格与决策!AU34</f>
        <v>2026-08-01_22</v>
      </c>
      <c r="AV34" s="12">
        <f>两日求解价格与决策!AV34</f>
        <v>15</v>
      </c>
      <c r="AW34" s="12" t="str">
        <f>两日求解价格与决策!AW34</f>
        <v>OK</v>
      </c>
      <c r="AX34" s="12">
        <f>两日求解价格与决策!AX34</f>
        <v>128</v>
      </c>
      <c r="AY34" s="12">
        <f>两日求解价格与决策!AY34</f>
        <v>175</v>
      </c>
      <c r="AZ34" s="12">
        <f>两日求解价格与决策!AZ34</f>
        <v>175</v>
      </c>
      <c r="BA34" s="12">
        <f>两日求解价格与决策!BA34</f>
        <v>40</v>
      </c>
      <c r="BB34" s="12">
        <f>两日求解价格与决策!BB34</f>
        <v>24</v>
      </c>
      <c r="BC34" s="12">
        <f>两日求解价格与决策!BC34</f>
        <v>24</v>
      </c>
      <c r="BD34" s="14">
        <f>两日求解价格与决策!BD34</f>
        <v>46235</v>
      </c>
      <c r="BE34" s="1" t="str">
        <f>两日求解价格与决策!BE34</f>
        <v>零头寸，无结算现金</v>
      </c>
      <c r="BF34" s="1" t="str">
        <f>两日求解价格与决策!BF34</f>
        <v>40.000000 MW × 66.224535 × 0.250000 h = 662.245345 EUR</v>
      </c>
      <c r="BG34" s="1" t="str">
        <f>两日求解价格与决策!BG34</f>
        <v>24.000000 MW × 7.062680 × 0.250000 h = 42.376079 EUR</v>
      </c>
      <c r="BH34" s="1" t="str">
        <f>两日求解价格与决策!BH34</f>
        <v>24.000000 MW × 2.837650 × 0.250000 h = 17.025899 EUR</v>
      </c>
      <c r="BI34" s="1" t="str">
        <f>两日求解价格与决策!BI34</f>
        <v>0.426103 MWh × 173.582414 = 73.963962 EUR</v>
      </c>
      <c r="BJ34" s="1" t="str">
        <f>两日求解价格与决策!BJ34</f>
        <v>零下调激活电量</v>
      </c>
      <c r="BK34" s="1" t="str">
        <f>两日求解价格与决策!BK34</f>
        <v>0.000000 + 662.245345 + 42.376079 + 17.025899 + 73.963962 + 0.000000 = 795.611286 EUR</v>
      </c>
    </row>
    <row r="35" spans="1:63" ht="21" customHeight="1" x14ac:dyDescent="0.45">
      <c r="A35" s="13">
        <f>两日求解价格与决策!A35</f>
        <v>46235.270833333336</v>
      </c>
      <c r="B35" s="15">
        <f>两日求解价格与决策!B35</f>
        <v>157.71</v>
      </c>
      <c r="C35" s="15">
        <f>两日求解价格与决策!C35</f>
        <v>66.224534522516336</v>
      </c>
      <c r="D35" s="15">
        <f>两日求解价格与决策!D35</f>
        <v>7.0626798544013116</v>
      </c>
      <c r="E35" s="15">
        <f>两日求解价格与决策!E35</f>
        <v>2.8376498389648011</v>
      </c>
      <c r="F35" s="15">
        <f>两日求解价格与决策!F35</f>
        <v>171.50191527071064</v>
      </c>
      <c r="G35" s="15">
        <f>两日求解价格与决策!G35</f>
        <v>0</v>
      </c>
      <c r="H35" s="15" t="str">
        <f>两日求解价格与决策!H35</f>
        <v>未模拟</v>
      </c>
      <c r="I35" s="16">
        <f>两日求解价格与决策!I35</f>
        <v>40.363672366875903</v>
      </c>
      <c r="J35" s="16">
        <f>两日求解价格与决策!J35</f>
        <v>39.703746901037391</v>
      </c>
      <c r="K35" s="16">
        <f>两日求解价格与决策!K35</f>
        <v>0</v>
      </c>
      <c r="L35" s="16">
        <f>两日求解价格与决策!L35</f>
        <v>40</v>
      </c>
      <c r="M35" s="16">
        <f>两日求解价格与决策!M35</f>
        <v>24</v>
      </c>
      <c r="N35" s="16">
        <f>两日求解价格与决策!N35</f>
        <v>24</v>
      </c>
      <c r="O35" s="16">
        <f>两日求解价格与决策!O35</f>
        <v>0.60713142857142854</v>
      </c>
      <c r="P35" s="16">
        <f>两日求解价格与决策!P35</f>
        <v>0</v>
      </c>
      <c r="Q35" s="17">
        <f>两日求解价格与决策!Q35</f>
        <v>0</v>
      </c>
      <c r="R35" s="17">
        <f>两日求解价格与决策!R35</f>
        <v>662.24534522516342</v>
      </c>
      <c r="S35" s="17">
        <f>两日求解价格与决策!S35</f>
        <v>42.376079126407873</v>
      </c>
      <c r="T35" s="17">
        <f>两日求解价格与决策!T35</f>
        <v>17.025899033788807</v>
      </c>
      <c r="U35" s="17">
        <f>两日求解价格与决策!U35</f>
        <v>104.12420282104264</v>
      </c>
      <c r="V35" s="17">
        <f>两日求解价格与决策!V35</f>
        <v>0</v>
      </c>
      <c r="W35" s="17">
        <f>两日求解价格与决策!W35</f>
        <v>825.77152620640277</v>
      </c>
      <c r="X35" s="12">
        <f>两日求解价格与决策!X35</f>
        <v>825.77152620640277</v>
      </c>
      <c r="Y35" s="19">
        <f>两日求解价格与决策!Y35</f>
        <v>0</v>
      </c>
      <c r="Z35" s="12" t="str">
        <f t="shared" si="0"/>
        <v>正式执行</v>
      </c>
      <c r="AA35" s="12">
        <f>两日求解价格与决策!AA35</f>
        <v>1</v>
      </c>
      <c r="AB35" s="12">
        <f>两日求解价格与决策!AB35</f>
        <v>1</v>
      </c>
      <c r="AC35" s="12">
        <f>两日求解价格与决策!AC35</f>
        <v>0.25</v>
      </c>
      <c r="AD35" s="18">
        <f>两日求解价格与决策!AD35</f>
        <v>0.3125</v>
      </c>
      <c r="AE35" s="18">
        <f>两日求解价格与决策!AE35</f>
        <v>0.13714285714285715</v>
      </c>
      <c r="AF35" s="18">
        <f>两日求解价格与决策!AF35</f>
        <v>0.10118857142857142</v>
      </c>
      <c r="AG35" s="18">
        <f>两日求解价格与决策!AG35</f>
        <v>0</v>
      </c>
      <c r="AH35" s="12">
        <f>两日求解价格与决策!AH35</f>
        <v>175</v>
      </c>
      <c r="AI35" s="12">
        <f>两日求解价格与决策!AI35</f>
        <v>175</v>
      </c>
      <c r="AJ35" s="12">
        <f>两日求解价格与决策!AJ35</f>
        <v>4.4269999999999996</v>
      </c>
      <c r="AK35" s="12">
        <f>两日求解价格与决策!AK35</f>
        <v>0</v>
      </c>
      <c r="AL35" s="12">
        <f>两日求解价格与决策!AL35</f>
        <v>128</v>
      </c>
      <c r="AM35" s="12">
        <f>两日求解价格与决策!AM35</f>
        <v>1.8331262939958589E-3</v>
      </c>
      <c r="AN35" s="12">
        <f>两日求解价格与决策!AN35</f>
        <v>0</v>
      </c>
      <c r="AO35" s="12">
        <f>两日求解价格与决策!AO35</f>
        <v>0.60713142857142854</v>
      </c>
      <c r="AP35" s="12">
        <f>两日求解价格与决策!AP35</f>
        <v>39.703746901037391</v>
      </c>
      <c r="AQ35" s="19">
        <f>两日求解价格与决策!AQ35</f>
        <v>0</v>
      </c>
      <c r="AR35" s="12">
        <f>两日求解价格与决策!AR35</f>
        <v>5.2473000000000001</v>
      </c>
      <c r="AS35" s="14">
        <f>两日求解价格与决策!AS35</f>
        <v>46234</v>
      </c>
      <c r="AT35" s="13">
        <f>两日求解价格与决策!AT35</f>
        <v>46235.145833333336</v>
      </c>
      <c r="AU35" s="12" t="str">
        <f>两日求解价格与决策!AU35</f>
        <v>2026-08-01_23</v>
      </c>
      <c r="AV35" s="12">
        <f>两日求解价格与决策!AV35</f>
        <v>15</v>
      </c>
      <c r="AW35" s="12" t="str">
        <f>两日求解价格与决策!AW35</f>
        <v>OK</v>
      </c>
      <c r="AX35" s="12">
        <f>两日求解价格与决策!AX35</f>
        <v>128</v>
      </c>
      <c r="AY35" s="12">
        <f>两日求解价格与决策!AY35</f>
        <v>175</v>
      </c>
      <c r="AZ35" s="12">
        <f>两日求解价格与决策!AZ35</f>
        <v>175</v>
      </c>
      <c r="BA35" s="12">
        <f>两日求解价格与决策!BA35</f>
        <v>40</v>
      </c>
      <c r="BB35" s="12">
        <f>两日求解价格与决策!BB35</f>
        <v>24</v>
      </c>
      <c r="BC35" s="12">
        <f>两日求解价格与决策!BC35</f>
        <v>24</v>
      </c>
      <c r="BD35" s="14">
        <f>两日求解价格与决策!BD35</f>
        <v>46235</v>
      </c>
      <c r="BE35" s="1" t="str">
        <f>两日求解价格与决策!BE35</f>
        <v>零头寸，无结算现金</v>
      </c>
      <c r="BF35" s="1" t="str">
        <f>两日求解价格与决策!BF35</f>
        <v>40.000000 MW × 66.224535 × 0.250000 h = 662.245345 EUR</v>
      </c>
      <c r="BG35" s="1" t="str">
        <f>两日求解价格与决策!BG35</f>
        <v>24.000000 MW × 7.062680 × 0.250000 h = 42.376079 EUR</v>
      </c>
      <c r="BH35" s="1" t="str">
        <f>两日求解价格与决策!BH35</f>
        <v>24.000000 MW × 2.837650 × 0.250000 h = 17.025899 EUR</v>
      </c>
      <c r="BI35" s="1" t="str">
        <f>两日求解价格与决策!BI35</f>
        <v>0.607131 MWh × 171.501915 = 104.124203 EUR</v>
      </c>
      <c r="BJ35" s="1" t="str">
        <f>两日求解价格与决策!BJ35</f>
        <v>零下调激活电量</v>
      </c>
      <c r="BK35" s="1" t="str">
        <f>两日求解价格与决策!BK35</f>
        <v>0.000000 + 662.245345 + 42.376079 + 17.025899 + 104.124203 + 0.000000 = 825.771526 EUR</v>
      </c>
    </row>
    <row r="36" spans="1:63" ht="21" customHeight="1" x14ac:dyDescent="0.45">
      <c r="A36" s="13">
        <f>两日求解价格与决策!A36</f>
        <v>46235.28125</v>
      </c>
      <c r="B36" s="15">
        <f>两日求解价格与决策!B36</f>
        <v>158.72999999999999</v>
      </c>
      <c r="C36" s="15">
        <f>两日求解价格与决策!C36</f>
        <v>66.224534522516336</v>
      </c>
      <c r="D36" s="15">
        <f>两日求解价格与决策!D36</f>
        <v>7.0626798544013116</v>
      </c>
      <c r="E36" s="15">
        <f>两日求解价格与决策!E36</f>
        <v>2.8376498389648011</v>
      </c>
      <c r="F36" s="15">
        <f>两日求解价格与决策!F36</f>
        <v>170.31749661730794</v>
      </c>
      <c r="G36" s="15">
        <f>两日求解价格与决策!G36</f>
        <v>76.420254225982887</v>
      </c>
      <c r="H36" s="15" t="str">
        <f>两日求解价格与决策!H36</f>
        <v>未模拟</v>
      </c>
      <c r="I36" s="16">
        <f>两日求解价格与决策!I36</f>
        <v>39.703746901037391</v>
      </c>
      <c r="J36" s="16">
        <f>两日求解价格与决策!J36</f>
        <v>39.53672216563367</v>
      </c>
      <c r="K36" s="16">
        <f>两日求解价格与决策!K36</f>
        <v>0</v>
      </c>
      <c r="L36" s="16">
        <f>两日求解价格与决策!L36</f>
        <v>40</v>
      </c>
      <c r="M36" s="16">
        <f>两日求解价格与决策!M36</f>
        <v>24</v>
      </c>
      <c r="N36" s="16">
        <f>两日求解价格与决策!N36</f>
        <v>24</v>
      </c>
      <c r="O36" s="16">
        <f>两日求解价格与决策!O36</f>
        <v>0.15551999999999999</v>
      </c>
      <c r="P36" s="16">
        <f>两日求解价格与决策!P36</f>
        <v>2.1942857142857146E-3</v>
      </c>
      <c r="Q36" s="17">
        <f>两日求解价格与决策!Q36</f>
        <v>0</v>
      </c>
      <c r="R36" s="17">
        <f>两日求解价格与决策!R36</f>
        <v>662.24534522516342</v>
      </c>
      <c r="S36" s="17">
        <f>两日求解价格与决策!S36</f>
        <v>42.376079126407873</v>
      </c>
      <c r="T36" s="17">
        <f>两日求解价格与决策!T36</f>
        <v>17.025899033788807</v>
      </c>
      <c r="U36" s="17">
        <f>两日求解价格与决策!U36</f>
        <v>26.487777073923731</v>
      </c>
      <c r="V36" s="17">
        <f>两日求解价格与决策!V36</f>
        <v>-0.16768787213015676</v>
      </c>
      <c r="W36" s="17">
        <f>两日求解价格与决策!W36</f>
        <v>747.96741258715372</v>
      </c>
      <c r="X36" s="12">
        <f>两日求解价格与决策!X36</f>
        <v>747.96741258715372</v>
      </c>
      <c r="Y36" s="19">
        <f>两日求解价格与决策!Y36</f>
        <v>0</v>
      </c>
      <c r="Z36" s="12" t="str">
        <f t="shared" si="0"/>
        <v>正式执行</v>
      </c>
      <c r="AA36" s="12">
        <f>两日求解价格与决策!AA36</f>
        <v>1</v>
      </c>
      <c r="AB36" s="12">
        <f>两日求解价格与决策!AB36</f>
        <v>1</v>
      </c>
      <c r="AC36" s="12">
        <f>两日求解价格与决策!AC36</f>
        <v>0.25</v>
      </c>
      <c r="AD36" s="18">
        <f>两日求解价格与决策!AD36</f>
        <v>0.3125</v>
      </c>
      <c r="AE36" s="18">
        <f>两日求解价格与决策!AE36</f>
        <v>0.13714285714285715</v>
      </c>
      <c r="AF36" s="18">
        <f>两日求解价格与决策!AF36</f>
        <v>2.5919999999999999E-2</v>
      </c>
      <c r="AG36" s="18">
        <f>两日求解价格与决策!AG36</f>
        <v>3.6571428571428573E-4</v>
      </c>
      <c r="AH36" s="12">
        <f>两日求解价格与决策!AH36</f>
        <v>175</v>
      </c>
      <c r="AI36" s="12">
        <f>两日求解价格与决策!AI36</f>
        <v>175</v>
      </c>
      <c r="AJ36" s="12">
        <f>两日求解价格与决策!AJ36</f>
        <v>1.1339999999999999</v>
      </c>
      <c r="AK36" s="12">
        <f>两日求解价格与决策!AK36</f>
        <v>1.6E-2</v>
      </c>
      <c r="AL36" s="12">
        <f>两日求解价格与决策!AL36</f>
        <v>128</v>
      </c>
      <c r="AM36" s="12">
        <f>两日求解价格与决策!AM36</f>
        <v>4.7517283643892333E-4</v>
      </c>
      <c r="AN36" s="12">
        <f>两日求解价格与决策!AN36</f>
        <v>2.1942857142857146E-3</v>
      </c>
      <c r="AO36" s="12">
        <f>两日求解价格与决策!AO36</f>
        <v>0.15551999999999999</v>
      </c>
      <c r="AP36" s="12">
        <f>两日求解价格与决策!AP36</f>
        <v>39.53672216563367</v>
      </c>
      <c r="AQ36" s="19">
        <f>两日求解价格与决策!AQ36</f>
        <v>0</v>
      </c>
      <c r="AR36" s="12">
        <f>两日求解价格与决策!AR36</f>
        <v>5.2473000000000001</v>
      </c>
      <c r="AS36" s="14">
        <f>两日求解价格与决策!AS36</f>
        <v>46234</v>
      </c>
      <c r="AT36" s="13">
        <f>两日求解价格与决策!AT36</f>
        <v>46235.15625</v>
      </c>
      <c r="AU36" s="12" t="str">
        <f>两日求解价格与决策!AU36</f>
        <v>2026-08-01_24</v>
      </c>
      <c r="AV36" s="12">
        <f>两日求解价格与决策!AV36</f>
        <v>15</v>
      </c>
      <c r="AW36" s="12" t="str">
        <f>两日求解价格与决策!AW36</f>
        <v>OK</v>
      </c>
      <c r="AX36" s="12">
        <f>两日求解价格与决策!AX36</f>
        <v>128</v>
      </c>
      <c r="AY36" s="12">
        <f>两日求解价格与决策!AY36</f>
        <v>175</v>
      </c>
      <c r="AZ36" s="12">
        <f>两日求解价格与决策!AZ36</f>
        <v>175</v>
      </c>
      <c r="BA36" s="12">
        <f>两日求解价格与决策!BA36</f>
        <v>40</v>
      </c>
      <c r="BB36" s="12">
        <f>两日求解价格与决策!BB36</f>
        <v>24</v>
      </c>
      <c r="BC36" s="12">
        <f>两日求解价格与决策!BC36</f>
        <v>24</v>
      </c>
      <c r="BD36" s="14">
        <f>两日求解价格与决策!BD36</f>
        <v>46235</v>
      </c>
      <c r="BE36" s="1" t="str">
        <f>两日求解价格与决策!BE36</f>
        <v>零头寸，无结算现金</v>
      </c>
      <c r="BF36" s="1" t="str">
        <f>两日求解价格与决策!BF36</f>
        <v>40.000000 MW × 66.224535 × 0.250000 h = 662.245345 EUR</v>
      </c>
      <c r="BG36" s="1" t="str">
        <f>两日求解价格与决策!BG36</f>
        <v>24.000000 MW × 7.062680 × 0.250000 h = 42.376079 EUR</v>
      </c>
      <c r="BH36" s="1" t="str">
        <f>两日求解价格与决策!BH36</f>
        <v>24.000000 MW × 2.837650 × 0.250000 h = 17.025899 EUR</v>
      </c>
      <c r="BI36" s="1" t="str">
        <f>两日求解价格与决策!BI36</f>
        <v>0.155520 MWh × 170.317497 = 26.487777 EUR</v>
      </c>
      <c r="BJ36" s="1" t="str">
        <f>两日求解价格与决策!BJ36</f>
        <v>−(0.002194 MWh × 76.420254) = -0.167688 EUR</v>
      </c>
      <c r="BK36" s="1" t="str">
        <f>两日求解价格与决策!BK36</f>
        <v>0.000000 + 662.245345 + 42.376079 + 17.025899 + 26.487777 + -0.167688 = 747.967413 EUR</v>
      </c>
    </row>
    <row r="37" spans="1:63" ht="21" customHeight="1" x14ac:dyDescent="0.45">
      <c r="A37" s="13">
        <f>两日求解价格与决策!A37</f>
        <v>46235.291666666664</v>
      </c>
      <c r="B37" s="15">
        <f>两日求解价格与决策!B37</f>
        <v>166.93</v>
      </c>
      <c r="C37" s="15">
        <f>两日求解价格与决策!C37</f>
        <v>66.224534522516336</v>
      </c>
      <c r="D37" s="15">
        <f>两日求解价格与决策!D37</f>
        <v>6.6910601642749601</v>
      </c>
      <c r="E37" s="15">
        <f>两日求解价格与决策!E37</f>
        <v>2.6070550568863986</v>
      </c>
      <c r="F37" s="15">
        <f>两日求解价格与决策!F37</f>
        <v>227.4055228403179</v>
      </c>
      <c r="G37" s="15">
        <f>两日求解价格与决策!G37</f>
        <v>0</v>
      </c>
      <c r="H37" s="15" t="str">
        <f>两日求解价格与决策!H37</f>
        <v>未模拟</v>
      </c>
      <c r="I37" s="16">
        <f>两日求解价格与决策!I37</f>
        <v>39.53672216563367</v>
      </c>
      <c r="J37" s="16">
        <f>两日求解价格与决策!J37</f>
        <v>37.000473718428701</v>
      </c>
      <c r="K37" s="16">
        <f>两日求解价格与决策!K37</f>
        <v>0</v>
      </c>
      <c r="L37" s="16">
        <f>两日求解价格与决策!L37</f>
        <v>40</v>
      </c>
      <c r="M37" s="16">
        <f>两日求解价格与决策!M37</f>
        <v>24</v>
      </c>
      <c r="N37" s="16">
        <f>两日求解价格与决策!N37</f>
        <v>24</v>
      </c>
      <c r="O37" s="16">
        <f>两日求解价格与决策!O37</f>
        <v>2.3333485714285711</v>
      </c>
      <c r="P37" s="16">
        <f>两日求解价格与决策!P37</f>
        <v>0</v>
      </c>
      <c r="Q37" s="17">
        <f>两日求解价格与决策!Q37</f>
        <v>0</v>
      </c>
      <c r="R37" s="17">
        <f>两日求解价格与决策!R37</f>
        <v>662.24534522516342</v>
      </c>
      <c r="S37" s="17">
        <f>两日求解价格与决策!S37</f>
        <v>40.146360985649764</v>
      </c>
      <c r="T37" s="17">
        <f>两日求解价格与决策!T37</f>
        <v>15.642330341318392</v>
      </c>
      <c r="U37" s="17">
        <f>两日求解价格与决策!U37</f>
        <v>530.6163518544231</v>
      </c>
      <c r="V37" s="17">
        <f>两日求解价格与决策!V37</f>
        <v>0</v>
      </c>
      <c r="W37" s="17">
        <f>两日求解价格与决策!W37</f>
        <v>1248.6503884065546</v>
      </c>
      <c r="X37" s="12">
        <f>两日求解价格与决策!X37</f>
        <v>1248.6503884065546</v>
      </c>
      <c r="Y37" s="19">
        <f>两日求解价格与决策!Y37</f>
        <v>0</v>
      </c>
      <c r="Z37" s="12" t="str">
        <f t="shared" si="0"/>
        <v>正式执行</v>
      </c>
      <c r="AA37" s="12">
        <f>两日求解价格与决策!AA37</f>
        <v>1</v>
      </c>
      <c r="AB37" s="12">
        <f>两日求解价格与决策!AB37</f>
        <v>1</v>
      </c>
      <c r="AC37" s="12">
        <f>两日求解价格与决策!AC37</f>
        <v>0.25</v>
      </c>
      <c r="AD37" s="18">
        <f>两日求解价格与决策!AD37</f>
        <v>0.3125</v>
      </c>
      <c r="AE37" s="18">
        <f>两日求解价格与决策!AE37</f>
        <v>0.13714285714285715</v>
      </c>
      <c r="AF37" s="18">
        <f>两日求解价格与决策!AF37</f>
        <v>0.38889142857142855</v>
      </c>
      <c r="AG37" s="18">
        <f>两日求解价格与决策!AG37</f>
        <v>0</v>
      </c>
      <c r="AH37" s="12">
        <f>两日求解价格与决策!AH37</f>
        <v>175</v>
      </c>
      <c r="AI37" s="12">
        <f>两日求解价格与决策!AI37</f>
        <v>175</v>
      </c>
      <c r="AJ37" s="12">
        <f>两日求解价格与决策!AJ37</f>
        <v>17.013999999999999</v>
      </c>
      <c r="AK37" s="12">
        <f>两日求解价格与决策!AK37</f>
        <v>0</v>
      </c>
      <c r="AL37" s="12">
        <f>两日求解价格与决策!AL37</f>
        <v>128</v>
      </c>
      <c r="AM37" s="12">
        <f>两日求解价格与决策!AM37</f>
        <v>7.0451345755693576E-3</v>
      </c>
      <c r="AN37" s="12">
        <f>两日求解价格与决策!AN37</f>
        <v>0</v>
      </c>
      <c r="AO37" s="12">
        <f>两日求解价格与决策!AO37</f>
        <v>2.3333485714285711</v>
      </c>
      <c r="AP37" s="12">
        <f>两日求解价格与决策!AP37</f>
        <v>37.000473718428701</v>
      </c>
      <c r="AQ37" s="19">
        <f>两日求解价格与决策!AQ37</f>
        <v>0</v>
      </c>
      <c r="AR37" s="12">
        <f>两日求解价格与决策!AR37</f>
        <v>5.2473000000000001</v>
      </c>
      <c r="AS37" s="14">
        <f>两日求解价格与决策!AS37</f>
        <v>46234</v>
      </c>
      <c r="AT37" s="13">
        <f>两日求解价格与决策!AT37</f>
        <v>46235.166666666664</v>
      </c>
      <c r="AU37" s="12" t="str">
        <f>两日求解价格与决策!AU37</f>
        <v>2026-08-01_25</v>
      </c>
      <c r="AV37" s="12">
        <f>两日求解价格与决策!AV37</f>
        <v>15</v>
      </c>
      <c r="AW37" s="12" t="str">
        <f>两日求解价格与决策!AW37</f>
        <v>OK</v>
      </c>
      <c r="AX37" s="12">
        <f>两日求解价格与决策!AX37</f>
        <v>128</v>
      </c>
      <c r="AY37" s="12">
        <f>两日求解价格与决策!AY37</f>
        <v>175</v>
      </c>
      <c r="AZ37" s="12">
        <f>两日求解价格与决策!AZ37</f>
        <v>175</v>
      </c>
      <c r="BA37" s="12">
        <f>两日求解价格与决策!BA37</f>
        <v>40</v>
      </c>
      <c r="BB37" s="12">
        <f>两日求解价格与决策!BB37</f>
        <v>24</v>
      </c>
      <c r="BC37" s="12">
        <f>两日求解价格与决策!BC37</f>
        <v>24</v>
      </c>
      <c r="BD37" s="14">
        <f>两日求解价格与决策!BD37</f>
        <v>46235</v>
      </c>
      <c r="BE37" s="1" t="str">
        <f>两日求解价格与决策!BE37</f>
        <v>零头寸，无结算现金</v>
      </c>
      <c r="BF37" s="1" t="str">
        <f>两日求解价格与决策!BF37</f>
        <v>40.000000 MW × 66.224535 × 0.250000 h = 662.245345 EUR</v>
      </c>
      <c r="BG37" s="1" t="str">
        <f>两日求解价格与决策!BG37</f>
        <v>24.000000 MW × 6.691060 × 0.250000 h = 40.146361 EUR</v>
      </c>
      <c r="BH37" s="1" t="str">
        <f>两日求解价格与决策!BH37</f>
        <v>24.000000 MW × 2.607055 × 0.250000 h = 15.642330 EUR</v>
      </c>
      <c r="BI37" s="1" t="str">
        <f>两日求解价格与决策!BI37</f>
        <v>2.333349 MWh × 227.405523 = 530.616352 EUR</v>
      </c>
      <c r="BJ37" s="1" t="str">
        <f>两日求解价格与决策!BJ37</f>
        <v>零下调激活电量</v>
      </c>
      <c r="BK37" s="1" t="str">
        <f>两日求解价格与决策!BK37</f>
        <v>0.000000 + 662.245345 + 40.146361 + 15.642330 + 530.616352 + 0.000000 = 1248.650388 EUR</v>
      </c>
    </row>
    <row r="38" spans="1:63" ht="21" customHeight="1" x14ac:dyDescent="0.45">
      <c r="A38" s="13">
        <f>两日求解价格与决策!A38</f>
        <v>46235.302083333336</v>
      </c>
      <c r="B38" s="15">
        <f>两日求解价格与决策!B38</f>
        <v>163.13</v>
      </c>
      <c r="C38" s="15">
        <f>两日求解价格与决策!C38</f>
        <v>66.224534522516336</v>
      </c>
      <c r="D38" s="15">
        <f>两日求解价格与决策!D38</f>
        <v>6.6910601642749601</v>
      </c>
      <c r="E38" s="15">
        <f>两日求解价格与决策!E38</f>
        <v>2.6070550568863986</v>
      </c>
      <c r="F38" s="15">
        <f>两日求解价格与决策!F38</f>
        <v>182.10889409791702</v>
      </c>
      <c r="G38" s="15">
        <f>两日求解价格与决策!G38</f>
        <v>0</v>
      </c>
      <c r="H38" s="15" t="str">
        <f>两日求解价格与决策!H38</f>
        <v>未模拟</v>
      </c>
      <c r="I38" s="16">
        <f>两日求解价格与决策!I38</f>
        <v>37.000473718428701</v>
      </c>
      <c r="J38" s="16">
        <f>两日求解价格与决策!J38</f>
        <v>35.771107258801372</v>
      </c>
      <c r="K38" s="16">
        <f>两日求解价格与决策!K38</f>
        <v>0</v>
      </c>
      <c r="L38" s="16">
        <f>两日求解价格与决策!L38</f>
        <v>40</v>
      </c>
      <c r="M38" s="16">
        <f>两日求解价格与决策!M38</f>
        <v>24</v>
      </c>
      <c r="N38" s="16">
        <f>两日求解价格与决策!N38</f>
        <v>24</v>
      </c>
      <c r="O38" s="16">
        <f>两日求解价格与决策!O38</f>
        <v>1.1310171428571429</v>
      </c>
      <c r="P38" s="16">
        <f>两日求解价格与决策!P38</f>
        <v>0</v>
      </c>
      <c r="Q38" s="17">
        <f>两日求解价格与决策!Q38</f>
        <v>0</v>
      </c>
      <c r="R38" s="17">
        <f>两日求解价格与决策!R38</f>
        <v>662.24534522516342</v>
      </c>
      <c r="S38" s="17">
        <f>两日求解价格与决策!S38</f>
        <v>40.146360985649764</v>
      </c>
      <c r="T38" s="17">
        <f>两日求解价格与决策!T38</f>
        <v>15.642330341318392</v>
      </c>
      <c r="U38" s="17">
        <f>两日求解价格与决策!U38</f>
        <v>205.96828109150013</v>
      </c>
      <c r="V38" s="17">
        <f>两日求解价格与决策!V38</f>
        <v>0</v>
      </c>
      <c r="W38" s="17">
        <f>两日求解价格与决策!W38</f>
        <v>924.00231764363161</v>
      </c>
      <c r="X38" s="12">
        <f>两日求解价格与决策!X38</f>
        <v>924.00231764363173</v>
      </c>
      <c r="Y38" s="19">
        <f>两日求解价格与决策!Y38</f>
        <v>0</v>
      </c>
      <c r="Z38" s="12" t="str">
        <f t="shared" si="0"/>
        <v>正式执行</v>
      </c>
      <c r="AA38" s="12">
        <f>两日求解价格与决策!AA38</f>
        <v>1</v>
      </c>
      <c r="AB38" s="12">
        <f>两日求解价格与决策!AB38</f>
        <v>1</v>
      </c>
      <c r="AC38" s="12">
        <f>两日求解价格与决策!AC38</f>
        <v>0.25</v>
      </c>
      <c r="AD38" s="18">
        <f>两日求解价格与决策!AD38</f>
        <v>0.3125</v>
      </c>
      <c r="AE38" s="18">
        <f>两日求解价格与决策!AE38</f>
        <v>0.13714285714285715</v>
      </c>
      <c r="AF38" s="18">
        <f>两日求解价格与决策!AF38</f>
        <v>0.18850285714285714</v>
      </c>
      <c r="AG38" s="18">
        <f>两日求解价格与决策!AG38</f>
        <v>0</v>
      </c>
      <c r="AH38" s="12">
        <f>两日求解价格与决策!AH38</f>
        <v>175</v>
      </c>
      <c r="AI38" s="12">
        <f>两日求解价格与决策!AI38</f>
        <v>175</v>
      </c>
      <c r="AJ38" s="12">
        <f>两日求解价格与决策!AJ38</f>
        <v>8.2469999999999999</v>
      </c>
      <c r="AK38" s="12">
        <f>两日求解价格与决策!AK38</f>
        <v>0</v>
      </c>
      <c r="AL38" s="12">
        <f>两日求解价格与决策!AL38</f>
        <v>128</v>
      </c>
      <c r="AM38" s="12">
        <f>两日求解价格与决策!AM38</f>
        <v>3.4149068322981363E-3</v>
      </c>
      <c r="AN38" s="12">
        <f>两日求解价格与决策!AN38</f>
        <v>0</v>
      </c>
      <c r="AO38" s="12">
        <f>两日求解价格与决策!AO38</f>
        <v>1.1310171428571429</v>
      </c>
      <c r="AP38" s="12">
        <f>两日求解价格与决策!AP38</f>
        <v>35.771107258801372</v>
      </c>
      <c r="AQ38" s="19">
        <f>两日求解价格与决策!AQ38</f>
        <v>0</v>
      </c>
      <c r="AR38" s="12">
        <f>两日求解价格与决策!AR38</f>
        <v>5.2473000000000001</v>
      </c>
      <c r="AS38" s="14">
        <f>两日求解价格与决策!AS38</f>
        <v>46234</v>
      </c>
      <c r="AT38" s="13">
        <f>两日求解价格与决策!AT38</f>
        <v>46235.177083333336</v>
      </c>
      <c r="AU38" s="12" t="str">
        <f>两日求解价格与决策!AU38</f>
        <v>2026-08-01_26</v>
      </c>
      <c r="AV38" s="12">
        <f>两日求解价格与决策!AV38</f>
        <v>15</v>
      </c>
      <c r="AW38" s="12" t="str">
        <f>两日求解价格与决策!AW38</f>
        <v>OK</v>
      </c>
      <c r="AX38" s="12">
        <f>两日求解价格与决策!AX38</f>
        <v>128</v>
      </c>
      <c r="AY38" s="12">
        <f>两日求解价格与决策!AY38</f>
        <v>175</v>
      </c>
      <c r="AZ38" s="12">
        <f>两日求解价格与决策!AZ38</f>
        <v>175</v>
      </c>
      <c r="BA38" s="12">
        <f>两日求解价格与决策!BA38</f>
        <v>40</v>
      </c>
      <c r="BB38" s="12">
        <f>两日求解价格与决策!BB38</f>
        <v>24</v>
      </c>
      <c r="BC38" s="12">
        <f>两日求解价格与决策!BC38</f>
        <v>24</v>
      </c>
      <c r="BD38" s="14">
        <f>两日求解价格与决策!BD38</f>
        <v>46235</v>
      </c>
      <c r="BE38" s="1" t="str">
        <f>两日求解价格与决策!BE38</f>
        <v>零头寸，无结算现金</v>
      </c>
      <c r="BF38" s="1" t="str">
        <f>两日求解价格与决策!BF38</f>
        <v>40.000000 MW × 66.224535 × 0.250000 h = 662.245345 EUR</v>
      </c>
      <c r="BG38" s="1" t="str">
        <f>两日求解价格与决策!BG38</f>
        <v>24.000000 MW × 6.691060 × 0.250000 h = 40.146361 EUR</v>
      </c>
      <c r="BH38" s="1" t="str">
        <f>两日求解价格与决策!BH38</f>
        <v>24.000000 MW × 2.607055 × 0.250000 h = 15.642330 EUR</v>
      </c>
      <c r="BI38" s="1" t="str">
        <f>两日求解价格与决策!BI38</f>
        <v>1.131017 MWh × 182.108894 = 205.968281 EUR</v>
      </c>
      <c r="BJ38" s="1" t="str">
        <f>两日求解价格与决策!BJ38</f>
        <v>零下调激活电量</v>
      </c>
      <c r="BK38" s="1" t="str">
        <f>两日求解价格与决策!BK38</f>
        <v>0.000000 + 662.245345 + 40.146361 + 15.642330 + 205.968281 + 0.000000 = 924.002318 EUR</v>
      </c>
    </row>
    <row r="39" spans="1:63" ht="21" customHeight="1" x14ac:dyDescent="0.45">
      <c r="A39" s="13">
        <f>两日求解价格与决策!A39</f>
        <v>46235.3125</v>
      </c>
      <c r="B39" s="15">
        <f>两日求解价格与决策!B39</f>
        <v>152.09</v>
      </c>
      <c r="C39" s="15">
        <f>两日求解价格与决策!C39</f>
        <v>66.224534522516336</v>
      </c>
      <c r="D39" s="15">
        <f>两日求解价格与决策!D39</f>
        <v>6.6910601642749601</v>
      </c>
      <c r="E39" s="15">
        <f>两日求解价格与决策!E39</f>
        <v>2.6070550568863986</v>
      </c>
      <c r="F39" s="15">
        <f>两日求解价格与决策!F39</f>
        <v>174.24122882244203</v>
      </c>
      <c r="G39" s="15">
        <f>两日求解价格与决策!G39</f>
        <v>0</v>
      </c>
      <c r="H39" s="15" t="str">
        <f>两日求解价格与决策!H39</f>
        <v>未模拟</v>
      </c>
      <c r="I39" s="16">
        <f>两日求解价格与决策!I39</f>
        <v>35.771107258801372</v>
      </c>
      <c r="J39" s="16">
        <f>两日求解价格与决策!J39</f>
        <v>35.347902289857274</v>
      </c>
      <c r="K39" s="16">
        <f>两日求解价格与决策!K39</f>
        <v>0</v>
      </c>
      <c r="L39" s="16">
        <f>两日求解价格与决策!L39</f>
        <v>40</v>
      </c>
      <c r="M39" s="16">
        <f>两日求解价格与决策!M39</f>
        <v>24</v>
      </c>
      <c r="N39" s="16">
        <f>两日求解价格与决策!N39</f>
        <v>24</v>
      </c>
      <c r="O39" s="16">
        <f>两日求解价格与决策!O39</f>
        <v>0.38934857142857143</v>
      </c>
      <c r="P39" s="16">
        <f>两日求解价格与决策!P39</f>
        <v>0</v>
      </c>
      <c r="Q39" s="17">
        <f>两日求解价格与决策!Q39</f>
        <v>0</v>
      </c>
      <c r="R39" s="17">
        <f>两日求解价格与决策!R39</f>
        <v>662.24534522516342</v>
      </c>
      <c r="S39" s="17">
        <f>两日求解价格与决策!S39</f>
        <v>40.146360985649764</v>
      </c>
      <c r="T39" s="17">
        <f>两日求解价格与决策!T39</f>
        <v>15.642330341318392</v>
      </c>
      <c r="U39" s="17">
        <f>两日求解价格与决策!U39</f>
        <v>67.840573525976623</v>
      </c>
      <c r="V39" s="17">
        <f>两日求解价格与决策!V39</f>
        <v>0</v>
      </c>
      <c r="W39" s="17">
        <f>两日求解价格与决策!W39</f>
        <v>785.87461007810816</v>
      </c>
      <c r="X39" s="12">
        <f>两日求解价格与决策!X39</f>
        <v>785.87461007810816</v>
      </c>
      <c r="Y39" s="19">
        <f>两日求解价格与决策!Y39</f>
        <v>0</v>
      </c>
      <c r="Z39" s="12" t="str">
        <f t="shared" si="0"/>
        <v>正式执行</v>
      </c>
      <c r="AA39" s="12">
        <f>两日求解价格与决策!AA39</f>
        <v>1</v>
      </c>
      <c r="AB39" s="12">
        <f>两日求解价格与决策!AB39</f>
        <v>1</v>
      </c>
      <c r="AC39" s="12">
        <f>两日求解价格与决策!AC39</f>
        <v>0.25</v>
      </c>
      <c r="AD39" s="18">
        <f>两日求解价格与决策!AD39</f>
        <v>0.3125</v>
      </c>
      <c r="AE39" s="18">
        <f>两日求解价格与决策!AE39</f>
        <v>0.13714285714285715</v>
      </c>
      <c r="AF39" s="18">
        <f>两日求解价格与决策!AF39</f>
        <v>6.4891428571428572E-2</v>
      </c>
      <c r="AG39" s="18">
        <f>两日求解价格与决策!AG39</f>
        <v>0</v>
      </c>
      <c r="AH39" s="12">
        <f>两日求解价格与决策!AH39</f>
        <v>175</v>
      </c>
      <c r="AI39" s="12">
        <f>两日求解价格与决策!AI39</f>
        <v>175</v>
      </c>
      <c r="AJ39" s="12">
        <f>两日求解价格与决策!AJ39</f>
        <v>2.839</v>
      </c>
      <c r="AK39" s="12">
        <f>两日求解价格与决策!AK39</f>
        <v>0</v>
      </c>
      <c r="AL39" s="12">
        <f>两日求解价格与决策!AL39</f>
        <v>128</v>
      </c>
      <c r="AM39" s="12">
        <f>两日求解价格与决策!AM39</f>
        <v>1.1755693581780538E-3</v>
      </c>
      <c r="AN39" s="12">
        <f>两日求解价格与决策!AN39</f>
        <v>0</v>
      </c>
      <c r="AO39" s="12">
        <f>两日求解价格与决策!AO39</f>
        <v>0.38934857142857143</v>
      </c>
      <c r="AP39" s="12">
        <f>两日求解价格与决策!AP39</f>
        <v>35.347902289857274</v>
      </c>
      <c r="AQ39" s="19">
        <f>两日求解价格与决策!AQ39</f>
        <v>0</v>
      </c>
      <c r="AR39" s="12">
        <f>两日求解价格与决策!AR39</f>
        <v>5.2473000000000001</v>
      </c>
      <c r="AS39" s="14">
        <f>两日求解价格与决策!AS39</f>
        <v>46234</v>
      </c>
      <c r="AT39" s="13">
        <f>两日求解价格与决策!AT39</f>
        <v>46235.1875</v>
      </c>
      <c r="AU39" s="12" t="str">
        <f>两日求解价格与决策!AU39</f>
        <v>2026-08-01_27</v>
      </c>
      <c r="AV39" s="12">
        <f>两日求解价格与决策!AV39</f>
        <v>15</v>
      </c>
      <c r="AW39" s="12" t="str">
        <f>两日求解价格与决策!AW39</f>
        <v>OK</v>
      </c>
      <c r="AX39" s="12">
        <f>两日求解价格与决策!AX39</f>
        <v>128</v>
      </c>
      <c r="AY39" s="12">
        <f>两日求解价格与决策!AY39</f>
        <v>175</v>
      </c>
      <c r="AZ39" s="12">
        <f>两日求解价格与决策!AZ39</f>
        <v>175</v>
      </c>
      <c r="BA39" s="12">
        <f>两日求解价格与决策!BA39</f>
        <v>40</v>
      </c>
      <c r="BB39" s="12">
        <f>两日求解价格与决策!BB39</f>
        <v>24</v>
      </c>
      <c r="BC39" s="12">
        <f>两日求解价格与决策!BC39</f>
        <v>24</v>
      </c>
      <c r="BD39" s="14">
        <f>两日求解价格与决策!BD39</f>
        <v>46235</v>
      </c>
      <c r="BE39" s="1" t="str">
        <f>两日求解价格与决策!BE39</f>
        <v>零头寸，无结算现金</v>
      </c>
      <c r="BF39" s="1" t="str">
        <f>两日求解价格与决策!BF39</f>
        <v>40.000000 MW × 66.224535 × 0.250000 h = 662.245345 EUR</v>
      </c>
      <c r="BG39" s="1" t="str">
        <f>两日求解价格与决策!BG39</f>
        <v>24.000000 MW × 6.691060 × 0.250000 h = 40.146361 EUR</v>
      </c>
      <c r="BH39" s="1" t="str">
        <f>两日求解价格与决策!BH39</f>
        <v>24.000000 MW × 2.607055 × 0.250000 h = 15.642330 EUR</v>
      </c>
      <c r="BI39" s="1" t="str">
        <f>两日求解价格与决策!BI39</f>
        <v>0.389349 MWh × 174.241229 = 67.840574 EUR</v>
      </c>
      <c r="BJ39" s="1" t="str">
        <f>两日求解价格与决策!BJ39</f>
        <v>零下调激活电量</v>
      </c>
      <c r="BK39" s="1" t="str">
        <f>两日求解价格与决策!BK39</f>
        <v>0.000000 + 662.245345 + 40.146361 + 15.642330 + 67.840574 + 0.000000 = 785.874610 EUR</v>
      </c>
    </row>
    <row r="40" spans="1:63" ht="21" customHeight="1" x14ac:dyDescent="0.45">
      <c r="A40" s="13">
        <f>两日求解价格与决策!A40</f>
        <v>46235.322916666664</v>
      </c>
      <c r="B40" s="15">
        <f>两日求解价格与决策!B40</f>
        <v>149.80000000000001</v>
      </c>
      <c r="C40" s="15">
        <f>两日求解价格与决策!C40</f>
        <v>66.224534522516336</v>
      </c>
      <c r="D40" s="15">
        <f>两日求解价格与决策!D40</f>
        <v>6.6910601642749601</v>
      </c>
      <c r="E40" s="15">
        <f>两日求解价格与决策!E40</f>
        <v>2.6070550568863986</v>
      </c>
      <c r="F40" s="15">
        <f>两日求解价格与决策!F40</f>
        <v>171.40396013187734</v>
      </c>
      <c r="G40" s="15">
        <f>两日求解价格与决策!G40</f>
        <v>76.420254225982887</v>
      </c>
      <c r="H40" s="15" t="str">
        <f>两日求解价格与决策!H40</f>
        <v>未模拟</v>
      </c>
      <c r="I40" s="16">
        <f>两日求解价格与决策!I40</f>
        <v>35.347902289857274</v>
      </c>
      <c r="J40" s="16">
        <f>两日求解价格与决策!J40</f>
        <v>35.046628530851066</v>
      </c>
      <c r="K40" s="16">
        <f>两日求解价格与决策!K40</f>
        <v>0</v>
      </c>
      <c r="L40" s="16">
        <f>两日求解价格与决策!L40</f>
        <v>40</v>
      </c>
      <c r="M40" s="16">
        <f>两日求解价格与决策!M40</f>
        <v>24</v>
      </c>
      <c r="N40" s="16">
        <f>两日求解价格与决策!N40</f>
        <v>24</v>
      </c>
      <c r="O40" s="16">
        <f>两日求解价格与决策!O40</f>
        <v>0.32859428571428573</v>
      </c>
      <c r="P40" s="16">
        <f>两日求解价格与决策!P40</f>
        <v>6.0754285714285719E-2</v>
      </c>
      <c r="Q40" s="17">
        <f>两日求解价格与决策!Q40</f>
        <v>0</v>
      </c>
      <c r="R40" s="17">
        <f>两日求解价格与决策!R40</f>
        <v>662.24534522516342</v>
      </c>
      <c r="S40" s="17">
        <f>两日求解价格与决策!S40</f>
        <v>40.146360985649764</v>
      </c>
      <c r="T40" s="17">
        <f>两日求解价格与决策!T40</f>
        <v>15.642330341318392</v>
      </c>
      <c r="U40" s="17">
        <f>两日求解价格与决策!U40</f>
        <v>56.322361848134143</v>
      </c>
      <c r="V40" s="17">
        <f>两日求解价格与决策!V40</f>
        <v>-4.6428579596037149</v>
      </c>
      <c r="W40" s="17">
        <f>两日求解价格与决策!W40</f>
        <v>769.71354044066197</v>
      </c>
      <c r="X40" s="12">
        <f>两日求解价格与决策!X40</f>
        <v>769.71354044066197</v>
      </c>
      <c r="Y40" s="19">
        <f>两日求解价格与决策!Y40</f>
        <v>0</v>
      </c>
      <c r="Z40" s="12" t="str">
        <f t="shared" si="0"/>
        <v>正式执行</v>
      </c>
      <c r="AA40" s="12">
        <f>两日求解价格与决策!AA40</f>
        <v>1</v>
      </c>
      <c r="AB40" s="12">
        <f>两日求解价格与决策!AB40</f>
        <v>1</v>
      </c>
      <c r="AC40" s="12">
        <f>两日求解价格与决策!AC40</f>
        <v>0.25</v>
      </c>
      <c r="AD40" s="18">
        <f>两日求解价格与决策!AD40</f>
        <v>0.3125</v>
      </c>
      <c r="AE40" s="18">
        <f>两日求解价格与决策!AE40</f>
        <v>0.13714285714285715</v>
      </c>
      <c r="AF40" s="18">
        <f>两日求解价格与决策!AF40</f>
        <v>5.4765714285714286E-2</v>
      </c>
      <c r="AG40" s="18">
        <f>两日求解价格与决策!AG40</f>
        <v>1.0125714285714287E-2</v>
      </c>
      <c r="AH40" s="12">
        <f>两日求解价格与决策!AH40</f>
        <v>175</v>
      </c>
      <c r="AI40" s="12">
        <f>两日求解价格与决策!AI40</f>
        <v>175</v>
      </c>
      <c r="AJ40" s="12">
        <f>两日求解价格与决策!AJ40</f>
        <v>2.3959999999999999</v>
      </c>
      <c r="AK40" s="12">
        <f>两日求解价格与决策!AK40</f>
        <v>0.443</v>
      </c>
      <c r="AL40" s="12">
        <f>两日求解价格与决策!AL40</f>
        <v>128</v>
      </c>
      <c r="AM40" s="12">
        <f>两日求解价格与决策!AM40</f>
        <v>1.1473934575569357E-3</v>
      </c>
      <c r="AN40" s="12">
        <f>两日求解价格与决策!AN40</f>
        <v>6.0754285714285719E-2</v>
      </c>
      <c r="AO40" s="12">
        <f>两日求解价格与决策!AO40</f>
        <v>0.32859428571428573</v>
      </c>
      <c r="AP40" s="12">
        <f>两日求解价格与决策!AP40</f>
        <v>35.046628530851066</v>
      </c>
      <c r="AQ40" s="19">
        <f>两日求解价格与决策!AQ40</f>
        <v>0</v>
      </c>
      <c r="AR40" s="12">
        <f>两日求解价格与决策!AR40</f>
        <v>5.2473000000000001</v>
      </c>
      <c r="AS40" s="14">
        <f>两日求解价格与决策!AS40</f>
        <v>46234</v>
      </c>
      <c r="AT40" s="13">
        <f>两日求解价格与决策!AT40</f>
        <v>46235.197916666664</v>
      </c>
      <c r="AU40" s="12" t="str">
        <f>两日求解价格与决策!AU40</f>
        <v>2026-08-01_28</v>
      </c>
      <c r="AV40" s="12">
        <f>两日求解价格与决策!AV40</f>
        <v>15</v>
      </c>
      <c r="AW40" s="12" t="str">
        <f>两日求解价格与决策!AW40</f>
        <v>OK</v>
      </c>
      <c r="AX40" s="12">
        <f>两日求解价格与决策!AX40</f>
        <v>128</v>
      </c>
      <c r="AY40" s="12">
        <f>两日求解价格与决策!AY40</f>
        <v>175</v>
      </c>
      <c r="AZ40" s="12">
        <f>两日求解价格与决策!AZ40</f>
        <v>175</v>
      </c>
      <c r="BA40" s="12">
        <f>两日求解价格与决策!BA40</f>
        <v>40</v>
      </c>
      <c r="BB40" s="12">
        <f>两日求解价格与决策!BB40</f>
        <v>24</v>
      </c>
      <c r="BC40" s="12">
        <f>两日求解价格与决策!BC40</f>
        <v>24</v>
      </c>
      <c r="BD40" s="14">
        <f>两日求解价格与决策!BD40</f>
        <v>46235</v>
      </c>
      <c r="BE40" s="1" t="str">
        <f>两日求解价格与决策!BE40</f>
        <v>零头寸，无结算现金</v>
      </c>
      <c r="BF40" s="1" t="str">
        <f>两日求解价格与决策!BF40</f>
        <v>40.000000 MW × 66.224535 × 0.250000 h = 662.245345 EUR</v>
      </c>
      <c r="BG40" s="1" t="str">
        <f>两日求解价格与决策!BG40</f>
        <v>24.000000 MW × 6.691060 × 0.250000 h = 40.146361 EUR</v>
      </c>
      <c r="BH40" s="1" t="str">
        <f>两日求解价格与决策!BH40</f>
        <v>24.000000 MW × 2.607055 × 0.250000 h = 15.642330 EUR</v>
      </c>
      <c r="BI40" s="1" t="str">
        <f>两日求解价格与决策!BI40</f>
        <v>0.328594 MWh × 171.403960 = 56.322362 EUR</v>
      </c>
      <c r="BJ40" s="1" t="str">
        <f>两日求解价格与决策!BJ40</f>
        <v>−(0.060754 MWh × 76.420254) = -4.642858 EUR</v>
      </c>
      <c r="BK40" s="1" t="str">
        <f>两日求解价格与决策!BK40</f>
        <v>0.000000 + 662.245345 + 40.146361 + 15.642330 + 56.322362 + -4.642858 = 769.713540 EUR</v>
      </c>
    </row>
    <row r="41" spans="1:63" ht="21" customHeight="1" x14ac:dyDescent="0.45">
      <c r="A41" s="13">
        <f>两日求解价格与决策!A41</f>
        <v>46235.333333333336</v>
      </c>
      <c r="B41" s="15">
        <f>两日求解价格与决策!B41</f>
        <v>162.96</v>
      </c>
      <c r="C41" s="15">
        <f>两日求解价格与决策!C41</f>
        <v>66.224534522516336</v>
      </c>
      <c r="D41" s="15">
        <f>两日求解价格与决策!D41</f>
        <v>6.7863472643073575</v>
      </c>
      <c r="E41" s="15">
        <f>两日求解价格与决策!E41</f>
        <v>2.6280182188935259</v>
      </c>
      <c r="F41" s="15">
        <f>两日求解价格与决策!F41</f>
        <v>201.87296323823682</v>
      </c>
      <c r="G41" s="15">
        <f>两日求解价格与决策!G41</f>
        <v>0</v>
      </c>
      <c r="H41" s="15" t="str">
        <f>两日求解价格与决策!H41</f>
        <v>未模拟</v>
      </c>
      <c r="I41" s="16">
        <f>两日求解价格与决策!I41</f>
        <v>35.046628530851066</v>
      </c>
      <c r="J41" s="16">
        <f>两日求解价格与决策!J41</f>
        <v>33.125435984267213</v>
      </c>
      <c r="K41" s="16">
        <f>两日求解价格与决策!K41</f>
        <v>0</v>
      </c>
      <c r="L41" s="16">
        <f>两日求解价格与决策!L41</f>
        <v>40</v>
      </c>
      <c r="M41" s="16">
        <f>两日求解价格与决策!M41</f>
        <v>24</v>
      </c>
      <c r="N41" s="16">
        <f>两日求解价格与决策!N41</f>
        <v>24</v>
      </c>
      <c r="O41" s="16">
        <f>两日求解价格与决策!O41</f>
        <v>1.7674971428571429</v>
      </c>
      <c r="P41" s="16">
        <f>两日求解价格与决策!P41</f>
        <v>0</v>
      </c>
      <c r="Q41" s="17">
        <f>两日求解价格与决策!Q41</f>
        <v>0</v>
      </c>
      <c r="R41" s="17">
        <f>两日求解价格与决策!R41</f>
        <v>662.24534522516342</v>
      </c>
      <c r="S41" s="17">
        <f>两日求解价格与决策!S41</f>
        <v>40.718083585844141</v>
      </c>
      <c r="T41" s="17">
        <f>两日求解价格与决策!T41</f>
        <v>15.768109313361155</v>
      </c>
      <c r="U41" s="17">
        <f>两日求解价格与决策!U41</f>
        <v>356.8098857436886</v>
      </c>
      <c r="V41" s="17">
        <f>两日求解价格与决策!V41</f>
        <v>0</v>
      </c>
      <c r="W41" s="17">
        <f>两日求解价格与决策!W41</f>
        <v>1075.5414238680573</v>
      </c>
      <c r="X41" s="12">
        <f>两日求解价格与决策!X41</f>
        <v>1075.5414238680573</v>
      </c>
      <c r="Y41" s="19">
        <f>两日求解价格与决策!Y41</f>
        <v>0</v>
      </c>
      <c r="Z41" s="12" t="str">
        <f t="shared" ref="Z41:Z72" si="1">"正式执行"</f>
        <v>正式执行</v>
      </c>
      <c r="AA41" s="12">
        <f>两日求解价格与决策!AA41</f>
        <v>1</v>
      </c>
      <c r="AB41" s="12">
        <f>两日求解价格与决策!AB41</f>
        <v>1</v>
      </c>
      <c r="AC41" s="12">
        <f>两日求解价格与决策!AC41</f>
        <v>0.25</v>
      </c>
      <c r="AD41" s="18">
        <f>两日求解价格与决策!AD41</f>
        <v>0.3125</v>
      </c>
      <c r="AE41" s="18">
        <f>两日求解价格与决策!AE41</f>
        <v>0.13714285714285715</v>
      </c>
      <c r="AF41" s="18">
        <f>两日求解价格与决策!AF41</f>
        <v>0.29458285714285715</v>
      </c>
      <c r="AG41" s="18">
        <f>两日求解价格与决策!AG41</f>
        <v>0</v>
      </c>
      <c r="AH41" s="12">
        <f>两日求解价格与决策!AH41</f>
        <v>175</v>
      </c>
      <c r="AI41" s="12">
        <f>两日求解价格与决策!AI41</f>
        <v>175</v>
      </c>
      <c r="AJ41" s="12">
        <f>两日求解价格与决策!AJ41</f>
        <v>12.888</v>
      </c>
      <c r="AK41" s="12">
        <f>两日求解价格与决策!AK41</f>
        <v>0</v>
      </c>
      <c r="AL41" s="12">
        <f>两日求解价格与决策!AL41</f>
        <v>91.903999999999996</v>
      </c>
      <c r="AM41" s="12">
        <f>两日求解价格与决策!AM41</f>
        <v>5.3366459627329187E-3</v>
      </c>
      <c r="AN41" s="12">
        <f>两日求解价格与决策!AN41</f>
        <v>0</v>
      </c>
      <c r="AO41" s="12">
        <f>两日求解价格与决策!AO41</f>
        <v>1.7674971428571429</v>
      </c>
      <c r="AP41" s="12">
        <f>两日求解价格与决策!AP41</f>
        <v>33.125435984267213</v>
      </c>
      <c r="AQ41" s="19">
        <f>两日求解价格与决策!AQ41</f>
        <v>0</v>
      </c>
      <c r="AR41" s="12">
        <f>两日求解价格与决策!AR41</f>
        <v>5.2473000000000001</v>
      </c>
      <c r="AS41" s="14">
        <f>两日求解价格与决策!AS41</f>
        <v>46234</v>
      </c>
      <c r="AT41" s="13">
        <f>两日求解价格与决策!AT41</f>
        <v>46235.208333333336</v>
      </c>
      <c r="AU41" s="12" t="str">
        <f>两日求解价格与决策!AU41</f>
        <v>2026-08-01_29</v>
      </c>
      <c r="AV41" s="12">
        <f>两日求解价格与决策!AV41</f>
        <v>15</v>
      </c>
      <c r="AW41" s="12" t="str">
        <f>两日求解价格与决策!AW41</f>
        <v>OK</v>
      </c>
      <c r="AX41" s="12">
        <f>两日求解价格与决策!AX41</f>
        <v>128</v>
      </c>
      <c r="AY41" s="12">
        <f>两日求解价格与决策!AY41</f>
        <v>175</v>
      </c>
      <c r="AZ41" s="12">
        <f>两日求解价格与决策!AZ41</f>
        <v>175</v>
      </c>
      <c r="BA41" s="12">
        <f>两日求解价格与决策!BA41</f>
        <v>40</v>
      </c>
      <c r="BB41" s="12">
        <f>两日求解价格与决策!BB41</f>
        <v>24</v>
      </c>
      <c r="BC41" s="12">
        <f>两日求解价格与决策!BC41</f>
        <v>24</v>
      </c>
      <c r="BD41" s="14">
        <f>两日求解价格与决策!BD41</f>
        <v>46235</v>
      </c>
      <c r="BE41" s="1" t="str">
        <f>两日求解价格与决策!BE41</f>
        <v>零头寸，无结算现金</v>
      </c>
      <c r="BF41" s="1" t="str">
        <f>两日求解价格与决策!BF41</f>
        <v>40.000000 MW × 66.224535 × 0.250000 h = 662.245345 EUR</v>
      </c>
      <c r="BG41" s="1" t="str">
        <f>两日求解价格与决策!BG41</f>
        <v>24.000000 MW × 6.786347 × 0.250000 h = 40.718084 EUR</v>
      </c>
      <c r="BH41" s="1" t="str">
        <f>两日求解价格与决策!BH41</f>
        <v>24.000000 MW × 2.628018 × 0.250000 h = 15.768109 EUR</v>
      </c>
      <c r="BI41" s="1" t="str">
        <f>两日求解价格与决策!BI41</f>
        <v>1.767497 MWh × 201.872963 = 356.809886 EUR</v>
      </c>
      <c r="BJ41" s="1" t="str">
        <f>两日求解价格与决策!BJ41</f>
        <v>零下调激活电量</v>
      </c>
      <c r="BK41" s="1" t="str">
        <f>两日求解价格与决策!BK41</f>
        <v>0.000000 + 662.245345 + 40.718084 + 15.768109 + 356.809886 + 0.000000 = 1075.541424 EUR</v>
      </c>
    </row>
    <row r="42" spans="1:63" ht="21" customHeight="1" x14ac:dyDescent="0.45">
      <c r="A42" s="13">
        <f>两日求解价格与决策!A42</f>
        <v>46235.34375</v>
      </c>
      <c r="B42" s="15">
        <f>两日求解价格与决策!B42</f>
        <v>147</v>
      </c>
      <c r="C42" s="15">
        <f>两日求解价格与决策!C42</f>
        <v>66.224534522516336</v>
      </c>
      <c r="D42" s="15">
        <f>两日求解价格与决策!D42</f>
        <v>6.7863472643073575</v>
      </c>
      <c r="E42" s="15">
        <f>两日求解价格与决策!E42</f>
        <v>2.6280182188935259</v>
      </c>
      <c r="F42" s="15">
        <f>两日求解价格与决策!F42</f>
        <v>210.56333733539151</v>
      </c>
      <c r="G42" s="15">
        <f>两日求解价格与决策!G42</f>
        <v>0</v>
      </c>
      <c r="H42" s="15" t="str">
        <f>两日求解价格与决策!H42</f>
        <v>未模拟</v>
      </c>
      <c r="I42" s="16">
        <f>两日求解价格与决策!I42</f>
        <v>33.125435984267213</v>
      </c>
      <c r="J42" s="16">
        <f>两日求解价格与决策!J42</f>
        <v>31.952447204968983</v>
      </c>
      <c r="K42" s="16">
        <f>两日求解价格与决策!K42</f>
        <v>-1.1947283675268299</v>
      </c>
      <c r="L42" s="16">
        <f>两日求解价格与决策!L42</f>
        <v>40</v>
      </c>
      <c r="M42" s="16">
        <f>两日求解价格与决策!M42</f>
        <v>24</v>
      </c>
      <c r="N42" s="16">
        <f>两日求解价格与决策!N42</f>
        <v>24</v>
      </c>
      <c r="O42" s="16">
        <f>两日求解价格与决策!O42</f>
        <v>1.3422171428571428</v>
      </c>
      <c r="P42" s="16">
        <f>两日求解价格与决策!P42</f>
        <v>0</v>
      </c>
      <c r="Q42" s="17">
        <f>两日求解价格与决策!Q42</f>
        <v>-43.906267506610995</v>
      </c>
      <c r="R42" s="17">
        <f>两日求解价格与决策!R42</f>
        <v>662.24534522516342</v>
      </c>
      <c r="S42" s="17">
        <f>两日求解价格与决策!S42</f>
        <v>40.718083585844141</v>
      </c>
      <c r="T42" s="17">
        <f>两日求解价格与决策!T42</f>
        <v>15.768109313361155</v>
      </c>
      <c r="U42" s="17">
        <f>两日求解价格与决策!U42</f>
        <v>282.62172102877395</v>
      </c>
      <c r="V42" s="17">
        <f>两日求解价格与决策!V42</f>
        <v>0</v>
      </c>
      <c r="W42" s="17">
        <f>两日求解价格与决策!W42</f>
        <v>957.44699164653161</v>
      </c>
      <c r="X42" s="12">
        <f>两日求解价格与决策!X42</f>
        <v>957.44699164653161</v>
      </c>
      <c r="Y42" s="19">
        <f>两日求解价格与决策!Y42</f>
        <v>0</v>
      </c>
      <c r="Z42" s="12" t="str">
        <f t="shared" si="1"/>
        <v>正式执行</v>
      </c>
      <c r="AA42" s="12">
        <f>两日求解价格与决策!AA42</f>
        <v>1</v>
      </c>
      <c r="AB42" s="12">
        <f>两日求解价格与决策!AB42</f>
        <v>1</v>
      </c>
      <c r="AC42" s="12">
        <f>两日求解价格与决策!AC42</f>
        <v>0.25</v>
      </c>
      <c r="AD42" s="18">
        <f>两日求解价格与决策!AD42</f>
        <v>0.3125</v>
      </c>
      <c r="AE42" s="18">
        <f>两日求解价格与决策!AE42</f>
        <v>0.13714285714285715</v>
      </c>
      <c r="AF42" s="18">
        <f>两日求解价格与决策!AF42</f>
        <v>0.22370285714285715</v>
      </c>
      <c r="AG42" s="18">
        <f>两日求解价格与决策!AG42</f>
        <v>0</v>
      </c>
      <c r="AH42" s="12">
        <f>两日求解价格与决策!AH42</f>
        <v>175</v>
      </c>
      <c r="AI42" s="12">
        <f>两日求解价格与决策!AI42</f>
        <v>175</v>
      </c>
      <c r="AJ42" s="12">
        <f>两日求解价格与决策!AJ42</f>
        <v>9.7870000000000008</v>
      </c>
      <c r="AK42" s="12">
        <f>两日求解价格与决策!AK42</f>
        <v>0</v>
      </c>
      <c r="AL42" s="12">
        <f>两日求解价格与决策!AL42</f>
        <v>91.903999999999996</v>
      </c>
      <c r="AM42" s="12">
        <f>两日求解价格与决策!AM42</f>
        <v>4.4433953324191661E-3</v>
      </c>
      <c r="AN42" s="12">
        <f>两日求解价格与决策!AN42</f>
        <v>0.2318660545503641</v>
      </c>
      <c r="AO42" s="12">
        <f>两日求解价格与决策!AO42</f>
        <v>1.2754011055257997</v>
      </c>
      <c r="AP42" s="12">
        <f>两日求解价格与决策!AP42</f>
        <v>31.952447204968983</v>
      </c>
      <c r="AQ42" s="19">
        <f>两日求解价格与决策!AQ42</f>
        <v>0</v>
      </c>
      <c r="AR42" s="12">
        <f>两日求解价格与决策!AR42</f>
        <v>5.2473000000000001</v>
      </c>
      <c r="AS42" s="14">
        <f>两日求解价格与决策!AS42</f>
        <v>46234</v>
      </c>
      <c r="AT42" s="13">
        <f>两日求解价格与决策!AT42</f>
        <v>46235.21875</v>
      </c>
      <c r="AU42" s="12" t="str">
        <f>两日求解价格与决策!AU42</f>
        <v>2026-08-01_30</v>
      </c>
      <c r="AV42" s="12">
        <f>两日求解价格与决策!AV42</f>
        <v>15</v>
      </c>
      <c r="AW42" s="12" t="str">
        <f>两日求解价格与决策!AW42</f>
        <v>OK</v>
      </c>
      <c r="AX42" s="12">
        <f>两日求解价格与决策!AX42</f>
        <v>128</v>
      </c>
      <c r="AY42" s="12">
        <f>两日求解价格与决策!AY42</f>
        <v>175</v>
      </c>
      <c r="AZ42" s="12">
        <f>两日求解价格与决策!AZ42</f>
        <v>175</v>
      </c>
      <c r="BA42" s="12">
        <f>两日求解价格与决策!BA42</f>
        <v>40</v>
      </c>
      <c r="BB42" s="12">
        <f>两日求解价格与决策!BB42</f>
        <v>24</v>
      </c>
      <c r="BC42" s="12">
        <f>两日求解价格与决策!BC42</f>
        <v>24</v>
      </c>
      <c r="BD42" s="14">
        <f>两日求解价格与决策!BD42</f>
        <v>46235</v>
      </c>
      <c r="BE42" s="1" t="str">
        <f>两日求解价格与决策!BE42</f>
        <v>-1.194728 MW × 147.000000 × 0.250000 h = -43.906268 EUR</v>
      </c>
      <c r="BF42" s="1" t="str">
        <f>两日求解价格与决策!BF42</f>
        <v>40.000000 MW × 66.224535 × 0.250000 h = 662.245345 EUR</v>
      </c>
      <c r="BG42" s="1" t="str">
        <f>两日求解价格与决策!BG42</f>
        <v>24.000000 MW × 6.786347 × 0.250000 h = 40.718084 EUR</v>
      </c>
      <c r="BH42" s="1" t="str">
        <f>两日求解价格与决策!BH42</f>
        <v>24.000000 MW × 2.628018 × 0.250000 h = 15.768109 EUR</v>
      </c>
      <c r="BI42" s="1" t="str">
        <f>两日求解价格与决策!BI42</f>
        <v>1.342217 MWh × 210.563337 = 282.621721 EUR</v>
      </c>
      <c r="BJ42" s="1" t="str">
        <f>两日求解价格与决策!BJ42</f>
        <v>零下调激活电量</v>
      </c>
      <c r="BK42" s="1" t="str">
        <f>两日求解价格与决策!BK42</f>
        <v>-43.906268 + 662.245345 + 40.718084 + 15.768109 + 282.621721 + 0.000000 = 957.446992 EUR</v>
      </c>
    </row>
    <row r="43" spans="1:63" ht="21" customHeight="1" x14ac:dyDescent="0.45">
      <c r="A43" s="13">
        <f>两日求解价格与决策!A43</f>
        <v>46235.354166666664</v>
      </c>
      <c r="B43" s="15">
        <f>两日求解价格与决策!B43</f>
        <v>141.72999999999999</v>
      </c>
      <c r="C43" s="15">
        <f>两日求解价格与决策!C43</f>
        <v>66.224534522516336</v>
      </c>
      <c r="D43" s="15">
        <f>两日求解价格与决策!D43</f>
        <v>6.7863472643073575</v>
      </c>
      <c r="E43" s="15">
        <f>两日求解价格与决策!E43</f>
        <v>2.6280182188935259</v>
      </c>
      <c r="F43" s="15">
        <f>两日求解价格与决策!F43</f>
        <v>169.09305738189164</v>
      </c>
      <c r="G43" s="15">
        <f>两日求解价格与决策!G43</f>
        <v>0</v>
      </c>
      <c r="H43" s="15" t="str">
        <f>两日求解价格与决策!H43</f>
        <v>未模拟</v>
      </c>
      <c r="I43" s="16">
        <f>两日求解价格与决策!I43</f>
        <v>31.952447204968983</v>
      </c>
      <c r="J43" s="16">
        <f>两日求解价格与决策!J43</f>
        <v>31.739130434782648</v>
      </c>
      <c r="K43" s="16">
        <f>两日求解价格与决策!K43</f>
        <v>0</v>
      </c>
      <c r="L43" s="16">
        <f>两日求解价格与决策!L43</f>
        <v>40</v>
      </c>
      <c r="M43" s="16">
        <f>两日求解价格与决策!M43</f>
        <v>24</v>
      </c>
      <c r="N43" s="16">
        <f>两日求解价格与决策!N43</f>
        <v>24</v>
      </c>
      <c r="O43" s="16">
        <f>两日求解价格与决策!O43</f>
        <v>0.19625142857142858</v>
      </c>
      <c r="P43" s="16">
        <f>两日求解价格与决策!P43</f>
        <v>0</v>
      </c>
      <c r="Q43" s="17">
        <f>两日求解价格与决策!Q43</f>
        <v>0</v>
      </c>
      <c r="R43" s="17">
        <f>两日求解价格与决策!R43</f>
        <v>662.24534522516342</v>
      </c>
      <c r="S43" s="17">
        <f>两日求解价格与决策!S43</f>
        <v>40.718083585844141</v>
      </c>
      <c r="T43" s="17">
        <f>两日求解价格与决策!T43</f>
        <v>15.768109313361155</v>
      </c>
      <c r="U43" s="17">
        <f>两日求解价格与决策!U43</f>
        <v>33.184754072706781</v>
      </c>
      <c r="V43" s="17">
        <f>两日求解价格与决策!V43</f>
        <v>0</v>
      </c>
      <c r="W43" s="17">
        <f>两日求解价格与决策!W43</f>
        <v>751.91629219707556</v>
      </c>
      <c r="X43" s="12">
        <f>两日求解价格与决策!X43</f>
        <v>751.91629219707545</v>
      </c>
      <c r="Y43" s="19">
        <f>两日求解价格与决策!Y43</f>
        <v>0</v>
      </c>
      <c r="Z43" s="12" t="str">
        <f t="shared" si="1"/>
        <v>正式执行</v>
      </c>
      <c r="AA43" s="12">
        <f>两日求解价格与决策!AA43</f>
        <v>1</v>
      </c>
      <c r="AB43" s="12">
        <f>两日求解价格与决策!AB43</f>
        <v>1</v>
      </c>
      <c r="AC43" s="12">
        <f>两日求解价格与决策!AC43</f>
        <v>0.25</v>
      </c>
      <c r="AD43" s="18">
        <f>两日求解价格与决策!AD43</f>
        <v>0.3125</v>
      </c>
      <c r="AE43" s="18">
        <f>两日求解价格与决策!AE43</f>
        <v>0.13714285714285715</v>
      </c>
      <c r="AF43" s="18">
        <f>两日求解价格与决策!AF43</f>
        <v>3.2708571428571427E-2</v>
      </c>
      <c r="AG43" s="18">
        <f>两日求解价格与决策!AG43</f>
        <v>0</v>
      </c>
      <c r="AH43" s="12">
        <f>两日求解价格与决策!AH43</f>
        <v>175</v>
      </c>
      <c r="AI43" s="12">
        <f>两日求解价格与决策!AI43</f>
        <v>175</v>
      </c>
      <c r="AJ43" s="12">
        <f>两日求解价格与决策!AJ43</f>
        <v>1.431</v>
      </c>
      <c r="AK43" s="12">
        <f>两日求解价格与决策!AK43</f>
        <v>0</v>
      </c>
      <c r="AL43" s="12">
        <f>两日求解价格与决策!AL43</f>
        <v>91.903999999999996</v>
      </c>
      <c r="AM43" s="12">
        <f>两日求解价格与决策!AM43</f>
        <v>5.9254658385093158E-4</v>
      </c>
      <c r="AN43" s="12">
        <f>两日求解价格与决策!AN43</f>
        <v>0</v>
      </c>
      <c r="AO43" s="12">
        <f>两日求解价格与决策!AO43</f>
        <v>0.19625142857142858</v>
      </c>
      <c r="AP43" s="12">
        <f>两日求解价格与决策!AP43</f>
        <v>31.739130434782648</v>
      </c>
      <c r="AQ43" s="19">
        <f>两日求解价格与决策!AQ43</f>
        <v>0</v>
      </c>
      <c r="AR43" s="12">
        <f>两日求解价格与决策!AR43</f>
        <v>5.2473000000000001</v>
      </c>
      <c r="AS43" s="14">
        <f>两日求解价格与决策!AS43</f>
        <v>46234</v>
      </c>
      <c r="AT43" s="13">
        <f>两日求解价格与决策!AT43</f>
        <v>46235.229166666664</v>
      </c>
      <c r="AU43" s="12" t="str">
        <f>两日求解价格与决策!AU43</f>
        <v>2026-08-01_31</v>
      </c>
      <c r="AV43" s="12">
        <f>两日求解价格与决策!AV43</f>
        <v>15</v>
      </c>
      <c r="AW43" s="12" t="str">
        <f>两日求解价格与决策!AW43</f>
        <v>OK</v>
      </c>
      <c r="AX43" s="12">
        <f>两日求解价格与决策!AX43</f>
        <v>128</v>
      </c>
      <c r="AY43" s="12">
        <f>两日求解价格与决策!AY43</f>
        <v>175</v>
      </c>
      <c r="AZ43" s="12">
        <f>两日求解价格与决策!AZ43</f>
        <v>175</v>
      </c>
      <c r="BA43" s="12">
        <f>两日求解价格与决策!BA43</f>
        <v>40</v>
      </c>
      <c r="BB43" s="12">
        <f>两日求解价格与决策!BB43</f>
        <v>24</v>
      </c>
      <c r="BC43" s="12">
        <f>两日求解价格与决策!BC43</f>
        <v>24</v>
      </c>
      <c r="BD43" s="14">
        <f>两日求解价格与决策!BD43</f>
        <v>46235</v>
      </c>
      <c r="BE43" s="1" t="str">
        <f>两日求解价格与决策!BE43</f>
        <v>零头寸，无结算现金</v>
      </c>
      <c r="BF43" s="1" t="str">
        <f>两日求解价格与决策!BF43</f>
        <v>40.000000 MW × 66.224535 × 0.250000 h = 662.245345 EUR</v>
      </c>
      <c r="BG43" s="1" t="str">
        <f>两日求解价格与决策!BG43</f>
        <v>24.000000 MW × 6.786347 × 0.250000 h = 40.718084 EUR</v>
      </c>
      <c r="BH43" s="1" t="str">
        <f>两日求解价格与决策!BH43</f>
        <v>24.000000 MW × 2.628018 × 0.250000 h = 15.768109 EUR</v>
      </c>
      <c r="BI43" s="1" t="str">
        <f>两日求解价格与决策!BI43</f>
        <v>0.196251 MWh × 169.093057 = 33.184754 EUR</v>
      </c>
      <c r="BJ43" s="1" t="str">
        <f>两日求解价格与决策!BJ43</f>
        <v>零下调激活电量</v>
      </c>
      <c r="BK43" s="1" t="str">
        <f>两日求解价格与决策!BK43</f>
        <v>0.000000 + 662.245345 + 40.718084 + 15.768109 + 33.184754 + 0.000000 = 751.916292 EUR</v>
      </c>
    </row>
    <row r="44" spans="1:63" ht="21" customHeight="1" x14ac:dyDescent="0.45">
      <c r="A44" s="13">
        <f>两日求解价格与决策!A44</f>
        <v>46235.364583333336</v>
      </c>
      <c r="B44" s="15">
        <f>两日求解价格与决策!B44</f>
        <v>134</v>
      </c>
      <c r="C44" s="15">
        <f>两日求解价格与决策!C44</f>
        <v>66.224534522516336</v>
      </c>
      <c r="D44" s="15">
        <f>两日求解价格与决策!D44</f>
        <v>6.7863472643073575</v>
      </c>
      <c r="E44" s="15">
        <f>两日求解价格与决策!E44</f>
        <v>2.6280182188935259</v>
      </c>
      <c r="F44" s="15">
        <f>两日求解价格与决策!F44</f>
        <v>156.1105711508776</v>
      </c>
      <c r="G44" s="15">
        <f>两日求解价格与决策!G44</f>
        <v>74.098488746593489</v>
      </c>
      <c r="H44" s="15" t="str">
        <f>两日求解价格与决策!H44</f>
        <v>未模拟</v>
      </c>
      <c r="I44" s="16">
        <f>两日求解价格与决策!I44</f>
        <v>31.739130434782648</v>
      </c>
      <c r="J44" s="16">
        <f>两日求解价格与决策!J44</f>
        <v>40.239047234782646</v>
      </c>
      <c r="K44" s="16">
        <f>两日求解价格与决策!K44</f>
        <v>-36</v>
      </c>
      <c r="L44" s="16">
        <f>两日求解价格与决策!L44</f>
        <v>40</v>
      </c>
      <c r="M44" s="16">
        <f>两日求解价格与决策!M44</f>
        <v>24</v>
      </c>
      <c r="N44" s="16">
        <f>两日求解价格与决策!N44</f>
        <v>24</v>
      </c>
      <c r="O44" s="16">
        <f>两日求解价格与决策!O44</f>
        <v>1.2068571428571427E-2</v>
      </c>
      <c r="P44" s="16">
        <f>两日求解价格与决策!P44</f>
        <v>0.2511085714285714</v>
      </c>
      <c r="Q44" s="17">
        <f>两日求解价格与决策!Q44</f>
        <v>-1206</v>
      </c>
      <c r="R44" s="17">
        <f>两日求解价格与决策!R44</f>
        <v>662.24534522516342</v>
      </c>
      <c r="S44" s="17">
        <f>两日求解价格与决策!S44</f>
        <v>40.718083585844141</v>
      </c>
      <c r="T44" s="17">
        <f>两日求解价格与决策!T44</f>
        <v>15.768109313361155</v>
      </c>
      <c r="U44" s="17">
        <f>两日求解价格与决策!U44</f>
        <v>1.8840315786894484</v>
      </c>
      <c r="V44" s="17">
        <f>两日求解价格与决策!V44</f>
        <v>-18.606765654173167</v>
      </c>
      <c r="W44" s="17">
        <f>两日求解价格与决策!W44</f>
        <v>-503.99119595111495</v>
      </c>
      <c r="X44" s="12">
        <f>两日求解价格与决策!X44</f>
        <v>-503.991195951115</v>
      </c>
      <c r="Y44" s="19">
        <f>两日求解价格与决策!Y44</f>
        <v>0</v>
      </c>
      <c r="Z44" s="12" t="str">
        <f t="shared" si="1"/>
        <v>正式执行</v>
      </c>
      <c r="AA44" s="12">
        <f>两日求解价格与决策!AA44</f>
        <v>1</v>
      </c>
      <c r="AB44" s="12">
        <f>两日求解价格与决策!AB44</f>
        <v>1</v>
      </c>
      <c r="AC44" s="12">
        <f>两日求解价格与决策!AC44</f>
        <v>0.25</v>
      </c>
      <c r="AD44" s="18">
        <f>两日求解价格与决策!AD44</f>
        <v>0.3125</v>
      </c>
      <c r="AE44" s="18">
        <f>两日求解价格与决策!AE44</f>
        <v>0.13714285714285715</v>
      </c>
      <c r="AF44" s="18">
        <f>两日求解价格与决策!AF44</f>
        <v>2.0114285714285711E-3</v>
      </c>
      <c r="AG44" s="18">
        <f>两日求解价格与决策!AG44</f>
        <v>4.1851428571428567E-2</v>
      </c>
      <c r="AH44" s="12">
        <f>两日求解价格与决策!AH44</f>
        <v>175</v>
      </c>
      <c r="AI44" s="12">
        <f>两日求解价格与决策!AI44</f>
        <v>175</v>
      </c>
      <c r="AJ44" s="12">
        <f>两日求解价格与决策!AJ44</f>
        <v>8.7999999999999995E-2</v>
      </c>
      <c r="AK44" s="12">
        <f>两日求解价格与决策!AK44</f>
        <v>1.831</v>
      </c>
      <c r="AL44" s="12">
        <f>两日求解价格与决策!AL44</f>
        <v>91.903999999999996</v>
      </c>
      <c r="AM44" s="12">
        <f>两日求解价格与决策!AM44</f>
        <v>2.3610880000000004E-2</v>
      </c>
      <c r="AN44" s="12">
        <f>两日求解价格与决策!AN44</f>
        <v>9.2390399999999993</v>
      </c>
      <c r="AO44" s="12">
        <f>两日求解价格与决策!AO44</f>
        <v>0</v>
      </c>
      <c r="AP44" s="12">
        <f>两日求解价格与决策!AP44</f>
        <v>40.239047234782646</v>
      </c>
      <c r="AQ44" s="19">
        <f>两日求解价格与决策!AQ44</f>
        <v>0</v>
      </c>
      <c r="AR44" s="12">
        <f>两日求解价格与决策!AR44</f>
        <v>5.2473000000000001</v>
      </c>
      <c r="AS44" s="14">
        <f>两日求解价格与决策!AS44</f>
        <v>46234</v>
      </c>
      <c r="AT44" s="13">
        <f>两日求解价格与决策!AT44</f>
        <v>46235.239583333336</v>
      </c>
      <c r="AU44" s="12" t="str">
        <f>两日求解价格与决策!AU44</f>
        <v>2026-08-01_32</v>
      </c>
      <c r="AV44" s="12">
        <f>两日求解价格与决策!AV44</f>
        <v>15</v>
      </c>
      <c r="AW44" s="12" t="str">
        <f>两日求解价格与决策!AW44</f>
        <v>OK</v>
      </c>
      <c r="AX44" s="12">
        <f>两日求解价格与决策!AX44</f>
        <v>128</v>
      </c>
      <c r="AY44" s="12">
        <f>两日求解价格与决策!AY44</f>
        <v>175</v>
      </c>
      <c r="AZ44" s="12">
        <f>两日求解价格与决策!AZ44</f>
        <v>175</v>
      </c>
      <c r="BA44" s="12">
        <f>两日求解价格与决策!BA44</f>
        <v>40</v>
      </c>
      <c r="BB44" s="12">
        <f>两日求解价格与决策!BB44</f>
        <v>24</v>
      </c>
      <c r="BC44" s="12">
        <f>两日求解价格与决策!BC44</f>
        <v>24</v>
      </c>
      <c r="BD44" s="14">
        <f>两日求解价格与决策!BD44</f>
        <v>46235</v>
      </c>
      <c r="BE44" s="1" t="str">
        <f>两日求解价格与决策!BE44</f>
        <v>-36.000000 MW × 134.000000 × 0.250000 h = -1206.000000 EUR</v>
      </c>
      <c r="BF44" s="1" t="str">
        <f>两日求解价格与决策!BF44</f>
        <v>40.000000 MW × 66.224535 × 0.250000 h = 662.245345 EUR</v>
      </c>
      <c r="BG44" s="1" t="str">
        <f>两日求解价格与决策!BG44</f>
        <v>24.000000 MW × 6.786347 × 0.250000 h = 40.718084 EUR</v>
      </c>
      <c r="BH44" s="1" t="str">
        <f>两日求解价格与决策!BH44</f>
        <v>24.000000 MW × 2.628018 × 0.250000 h = 15.768109 EUR</v>
      </c>
      <c r="BI44" s="1" t="str">
        <f>两日求解价格与决策!BI44</f>
        <v>0.012069 MWh × 156.110571 = 1.884032 EUR</v>
      </c>
      <c r="BJ44" s="1" t="str">
        <f>两日求解价格与决策!BJ44</f>
        <v>−(0.251109 MWh × 74.098489) = -18.606766 EUR</v>
      </c>
      <c r="BK44" s="1" t="str">
        <f>两日求解价格与决策!BK44</f>
        <v>-1206.000000 + 662.245345 + 40.718084 + 15.768109 + 1.884032 + -18.606766 = -503.991196 EUR</v>
      </c>
    </row>
    <row r="45" spans="1:63" ht="21" customHeight="1" x14ac:dyDescent="0.45">
      <c r="A45" s="13">
        <f>两日求解价格与决策!A45</f>
        <v>46235.375</v>
      </c>
      <c r="B45" s="15">
        <f>两日求解价格与决策!B45</f>
        <v>160.86000000000001</v>
      </c>
      <c r="C45" s="15">
        <f>两日求解价格与决策!C45</f>
        <v>66.224534522516336</v>
      </c>
      <c r="D45" s="15">
        <f>两日求解价格与决策!D45</f>
        <v>7.2056105044499077</v>
      </c>
      <c r="E45" s="15">
        <f>两日求解价格与决策!E45</f>
        <v>2.3250052407905017</v>
      </c>
      <c r="F45" s="15">
        <f>两日求解价格与决策!F45</f>
        <v>164.52689954833914</v>
      </c>
      <c r="G45" s="15">
        <f>两日求解价格与决策!G45</f>
        <v>76.229680025918086</v>
      </c>
      <c r="H45" s="15" t="str">
        <f>两日求解价格与决策!H45</f>
        <v>未模拟</v>
      </c>
      <c r="I45" s="16">
        <f>两日求解价格与决策!I45</f>
        <v>40.239047234782646</v>
      </c>
      <c r="J45" s="16">
        <f>两日求解价格与决策!J45</f>
        <v>31.848099378882022</v>
      </c>
      <c r="K45" s="16">
        <f>两日求解价格与决策!K45</f>
        <v>29.164950966857145</v>
      </c>
      <c r="L45" s="16">
        <f>两日求解价格与决策!L45</f>
        <v>40</v>
      </c>
      <c r="M45" s="16">
        <f>两日求解价格与决策!M45</f>
        <v>24</v>
      </c>
      <c r="N45" s="16">
        <f>两日求解价格与决策!N45</f>
        <v>0</v>
      </c>
      <c r="O45" s="16">
        <f>两日求解价格与决策!O45</f>
        <v>0.42843428571428577</v>
      </c>
      <c r="P45" s="16">
        <f>两日求解价格与决策!P45</f>
        <v>0</v>
      </c>
      <c r="Q45" s="17">
        <f>两日求解价格与决策!Q45</f>
        <v>1172.8685031321602</v>
      </c>
      <c r="R45" s="17">
        <f>两日求解价格与决策!R45</f>
        <v>662.24534522516342</v>
      </c>
      <c r="S45" s="17">
        <f>两日求解价格与决策!S45</f>
        <v>43.233663026699446</v>
      </c>
      <c r="T45" s="17">
        <f>两日求解价格与决策!T45</f>
        <v>0</v>
      </c>
      <c r="U45" s="17">
        <f>两日求解价格与决策!U45</f>
        <v>70.488964688778722</v>
      </c>
      <c r="V45" s="17">
        <f>两日求解价格与决策!V45</f>
        <v>0</v>
      </c>
      <c r="W45" s="17">
        <f>两日求解价格与决策!W45</f>
        <v>1948.8364760728018</v>
      </c>
      <c r="X45" s="12">
        <f>两日求解价格与决策!X45</f>
        <v>1948.8364760728018</v>
      </c>
      <c r="Y45" s="19">
        <f>两日求解价格与决策!Y45</f>
        <v>0</v>
      </c>
      <c r="Z45" s="12" t="str">
        <f t="shared" si="1"/>
        <v>正式执行</v>
      </c>
      <c r="AA45" s="12">
        <f>两日求解价格与决策!AA45</f>
        <v>1</v>
      </c>
      <c r="AB45" s="12">
        <f>两日求解价格与决策!AB45</f>
        <v>1</v>
      </c>
      <c r="AC45" s="12">
        <f>两日求解价格与决策!AC45</f>
        <v>0.25</v>
      </c>
      <c r="AD45" s="18">
        <f>两日求解价格与决策!AD45</f>
        <v>0.3125</v>
      </c>
      <c r="AE45" s="18">
        <f>两日求解价格与决策!AE45</f>
        <v>0.13714285714285715</v>
      </c>
      <c r="AF45" s="18">
        <f>两日求解价格与决策!AF45</f>
        <v>7.1405714285714295E-2</v>
      </c>
      <c r="AG45" s="18">
        <f>两日求解价格与决策!AG45</f>
        <v>5.988571428571429E-3</v>
      </c>
      <c r="AH45" s="12">
        <f>两日求解价格与决策!AH45</f>
        <v>175</v>
      </c>
      <c r="AI45" s="12">
        <f>两日求解价格与决策!AI45</f>
        <v>175</v>
      </c>
      <c r="AJ45" s="12">
        <f>两日求解价格与决策!AJ45</f>
        <v>3.1240000000000001</v>
      </c>
      <c r="AK45" s="12">
        <f>两日求解价格与决策!AK45</f>
        <v>0.26200000000000001</v>
      </c>
      <c r="AL45" s="12">
        <f>两日求解价格与决策!AL45</f>
        <v>91.903999999999996</v>
      </c>
      <c r="AM45" s="12">
        <f>两日求解价格与决策!AM45</f>
        <v>2.3308188488612838E-2</v>
      </c>
      <c r="AN45" s="12">
        <f>两日求解价格与决策!AN45</f>
        <v>0</v>
      </c>
      <c r="AO45" s="12">
        <f>两日求解价格与决策!AO45</f>
        <v>7.7196720274285724</v>
      </c>
      <c r="AP45" s="12">
        <f>两日求解价格与决策!AP45</f>
        <v>31.848099378882022</v>
      </c>
      <c r="AQ45" s="19">
        <f>两日求解价格与决策!AQ45</f>
        <v>0</v>
      </c>
      <c r="AR45" s="12">
        <f>两日求解价格与决策!AR45</f>
        <v>5.2473000000000001</v>
      </c>
      <c r="AS45" s="14">
        <f>两日求解价格与决策!AS45</f>
        <v>46234</v>
      </c>
      <c r="AT45" s="13">
        <f>两日求解价格与决策!AT45</f>
        <v>46235.25</v>
      </c>
      <c r="AU45" s="12" t="str">
        <f>两日求解价格与决策!AU45</f>
        <v>2026-08-01_33</v>
      </c>
      <c r="AV45" s="12">
        <f>两日求解价格与决策!AV45</f>
        <v>15</v>
      </c>
      <c r="AW45" s="12" t="str">
        <f>两日求解价格与决策!AW45</f>
        <v>OK</v>
      </c>
      <c r="AX45" s="12">
        <f>两日求解价格与决策!AX45</f>
        <v>128</v>
      </c>
      <c r="AY45" s="12">
        <f>两日求解价格与决策!AY45</f>
        <v>175</v>
      </c>
      <c r="AZ45" s="12">
        <f>两日求解价格与决策!AZ45</f>
        <v>175</v>
      </c>
      <c r="BA45" s="12">
        <f>两日求解价格与决策!BA45</f>
        <v>40</v>
      </c>
      <c r="BB45" s="12">
        <f>两日求解价格与决策!BB45</f>
        <v>24</v>
      </c>
      <c r="BC45" s="12">
        <f>两日求解价格与决策!BC45</f>
        <v>24</v>
      </c>
      <c r="BD45" s="14">
        <f>两日求解价格与决策!BD45</f>
        <v>46235</v>
      </c>
      <c r="BE45" s="1" t="str">
        <f>两日求解价格与决策!BE45</f>
        <v>29.164951 MW × 160.860000 × 0.250000 h = 1172.868503 EUR</v>
      </c>
      <c r="BF45" s="1" t="str">
        <f>两日求解价格与决策!BF45</f>
        <v>40.000000 MW × 66.224535 × 0.250000 h = 662.245345 EUR</v>
      </c>
      <c r="BG45" s="1" t="str">
        <f>两日求解价格与决策!BG45</f>
        <v>24.000000 MW × 7.205611 × 0.250000 h = 43.233663 EUR</v>
      </c>
      <c r="BH45" s="1" t="str">
        <f>两日求解价格与决策!BH45</f>
        <v>零头寸，无结算现金</v>
      </c>
      <c r="BI45" s="1" t="str">
        <f>两日求解价格与决策!BI45</f>
        <v>0.428434 MWh × 164.526900 = 70.488965 EUR</v>
      </c>
      <c r="BJ45" s="1" t="str">
        <f>两日求解价格与决策!BJ45</f>
        <v>零下调激活电量</v>
      </c>
      <c r="BK45" s="1" t="str">
        <f>两日求解价格与决策!BK45</f>
        <v>1172.868503 + 662.245345 + 43.233663 + 0.000000 + 70.488965 + 0.000000 = 1948.836476 EUR</v>
      </c>
    </row>
    <row r="46" spans="1:63" ht="21" customHeight="1" x14ac:dyDescent="0.45">
      <c r="A46" s="13">
        <f>两日求解价格与决策!A46</f>
        <v>46235.385416666664</v>
      </c>
      <c r="B46" s="15">
        <f>两日求解价格与决策!B46</f>
        <v>143.69999999999999</v>
      </c>
      <c r="C46" s="15">
        <f>两日求解价格与决策!C46</f>
        <v>66.224534522516336</v>
      </c>
      <c r="D46" s="15">
        <f>两日求解价格与决策!D46</f>
        <v>7.2056105044499077</v>
      </c>
      <c r="E46" s="15">
        <f>两日求解价格与决策!E46</f>
        <v>2.3250052407905017</v>
      </c>
      <c r="F46" s="15">
        <f>两日求解价格与决策!F46</f>
        <v>133.21136584529185</v>
      </c>
      <c r="G46" s="15">
        <f>两日求解价格与决策!G46</f>
        <v>76.229680025918086</v>
      </c>
      <c r="H46" s="15" t="str">
        <f>两日求解价格与决策!H46</f>
        <v>未模拟</v>
      </c>
      <c r="I46" s="16">
        <f>两日求解价格与决策!I46</f>
        <v>31.848099378882022</v>
      </c>
      <c r="J46" s="16">
        <f>两日求解价格与决策!J46</f>
        <v>31.834534161490719</v>
      </c>
      <c r="K46" s="16">
        <f>两日求解价格与决策!K46</f>
        <v>0</v>
      </c>
      <c r="L46" s="16">
        <f>两日求解价格与决策!L46</f>
        <v>40</v>
      </c>
      <c r="M46" s="16">
        <f>两日求解价格与决策!M46</f>
        <v>24</v>
      </c>
      <c r="N46" s="16">
        <f>两日求解价格与决策!N46</f>
        <v>0</v>
      </c>
      <c r="O46" s="16">
        <f>两日求解价格与决策!O46</f>
        <v>1.2479999999999998E-2</v>
      </c>
      <c r="P46" s="16">
        <f>两日求解价格与决策!P46</f>
        <v>0</v>
      </c>
      <c r="Q46" s="17">
        <f>两日求解价格与决策!Q46</f>
        <v>0</v>
      </c>
      <c r="R46" s="17">
        <f>两日求解价格与决策!R46</f>
        <v>662.24534522516342</v>
      </c>
      <c r="S46" s="17">
        <f>两日求解价格与决策!S46</f>
        <v>43.233663026699446</v>
      </c>
      <c r="T46" s="17">
        <f>两日求解价格与决策!T46</f>
        <v>0</v>
      </c>
      <c r="U46" s="17">
        <f>两日求解价格与决策!U46</f>
        <v>1.662477845749242</v>
      </c>
      <c r="V46" s="17">
        <f>两日求解价格与决策!V46</f>
        <v>0</v>
      </c>
      <c r="W46" s="17">
        <f>两日求解价格与决策!W46</f>
        <v>707.14148609761207</v>
      </c>
      <c r="X46" s="12">
        <f>两日求解价格与决策!X46</f>
        <v>707.14148609761207</v>
      </c>
      <c r="Y46" s="19">
        <f>两日求解价格与决策!Y46</f>
        <v>0</v>
      </c>
      <c r="Z46" s="12" t="str">
        <f t="shared" si="1"/>
        <v>正式执行</v>
      </c>
      <c r="AA46" s="12">
        <f>两日求解价格与决策!AA46</f>
        <v>1</v>
      </c>
      <c r="AB46" s="12">
        <f>两日求解价格与决策!AB46</f>
        <v>1</v>
      </c>
      <c r="AC46" s="12">
        <f>两日求解价格与决策!AC46</f>
        <v>0.25</v>
      </c>
      <c r="AD46" s="18">
        <f>两日求解价格与决策!AD46</f>
        <v>0.3125</v>
      </c>
      <c r="AE46" s="18">
        <f>两日求解价格与决策!AE46</f>
        <v>0.13714285714285715</v>
      </c>
      <c r="AF46" s="18">
        <f>两日求解价格与决策!AF46</f>
        <v>2.0799999999999998E-3</v>
      </c>
      <c r="AG46" s="18">
        <f>两日求解价格与决策!AG46</f>
        <v>2.4457142857142859E-3</v>
      </c>
      <c r="AH46" s="12">
        <f>两日求解价格与决策!AH46</f>
        <v>175</v>
      </c>
      <c r="AI46" s="12">
        <f>两日求解价格与决策!AI46</f>
        <v>175</v>
      </c>
      <c r="AJ46" s="12">
        <f>两日求解价格与决策!AJ46</f>
        <v>9.0999999999999998E-2</v>
      </c>
      <c r="AK46" s="12">
        <f>两日求解价格与决策!AK46</f>
        <v>0.107</v>
      </c>
      <c r="AL46" s="12">
        <f>两日求解价格与决策!AL46</f>
        <v>91.903999999999996</v>
      </c>
      <c r="AM46" s="12">
        <f>两日求解价格与决策!AM46</f>
        <v>3.768115942028985E-5</v>
      </c>
      <c r="AN46" s="12">
        <f>两日求解价格与决策!AN46</f>
        <v>0</v>
      </c>
      <c r="AO46" s="12">
        <f>两日求解价格与决策!AO46</f>
        <v>1.2479999999999998E-2</v>
      </c>
      <c r="AP46" s="12">
        <f>两日求解价格与决策!AP46</f>
        <v>31.834534161490719</v>
      </c>
      <c r="AQ46" s="19">
        <f>两日求解价格与决策!AQ46</f>
        <v>0</v>
      </c>
      <c r="AR46" s="12">
        <f>两日求解价格与决策!AR46</f>
        <v>5.2473000000000001</v>
      </c>
      <c r="AS46" s="14">
        <f>两日求解价格与决策!AS46</f>
        <v>46234</v>
      </c>
      <c r="AT46" s="13">
        <f>两日求解价格与决策!AT46</f>
        <v>46235.260416666664</v>
      </c>
      <c r="AU46" s="12" t="str">
        <f>两日求解价格与决策!AU46</f>
        <v>2026-08-01_34</v>
      </c>
      <c r="AV46" s="12">
        <f>两日求解价格与决策!AV46</f>
        <v>15</v>
      </c>
      <c r="AW46" s="12" t="str">
        <f>两日求解价格与决策!AW46</f>
        <v>OK</v>
      </c>
      <c r="AX46" s="12">
        <f>两日求解价格与决策!AX46</f>
        <v>128</v>
      </c>
      <c r="AY46" s="12">
        <f>两日求解价格与决策!AY46</f>
        <v>175</v>
      </c>
      <c r="AZ46" s="12">
        <f>两日求解价格与决策!AZ46</f>
        <v>175</v>
      </c>
      <c r="BA46" s="12">
        <f>两日求解价格与决策!BA46</f>
        <v>40</v>
      </c>
      <c r="BB46" s="12">
        <f>两日求解价格与决策!BB46</f>
        <v>24</v>
      </c>
      <c r="BC46" s="12">
        <f>两日求解价格与决策!BC46</f>
        <v>24</v>
      </c>
      <c r="BD46" s="14">
        <f>两日求解价格与决策!BD46</f>
        <v>46235</v>
      </c>
      <c r="BE46" s="1" t="str">
        <f>两日求解价格与决策!BE46</f>
        <v>零头寸，无结算现金</v>
      </c>
      <c r="BF46" s="1" t="str">
        <f>两日求解价格与决策!BF46</f>
        <v>40.000000 MW × 66.224535 × 0.250000 h = 662.245345 EUR</v>
      </c>
      <c r="BG46" s="1" t="str">
        <f>两日求解价格与决策!BG46</f>
        <v>24.000000 MW × 7.205611 × 0.250000 h = 43.233663 EUR</v>
      </c>
      <c r="BH46" s="1" t="str">
        <f>两日求解价格与决策!BH46</f>
        <v>零头寸，无结算现金</v>
      </c>
      <c r="BI46" s="1" t="str">
        <f>两日求解价格与决策!BI46</f>
        <v>0.012480 MWh × 133.211366 = 1.662478 EUR</v>
      </c>
      <c r="BJ46" s="1" t="str">
        <f>两日求解价格与决策!BJ46</f>
        <v>零下调激活电量</v>
      </c>
      <c r="BK46" s="1" t="str">
        <f>两日求解价格与决策!BK46</f>
        <v>0.000000 + 662.245345 + 43.233663 + 0.000000 + 1.662478 + 0.000000 = 707.141486 EUR</v>
      </c>
    </row>
    <row r="47" spans="1:63" ht="21" customHeight="1" x14ac:dyDescent="0.45">
      <c r="A47" s="13">
        <f>两日求解价格与决策!A47</f>
        <v>46235.395833333336</v>
      </c>
      <c r="B47" s="15">
        <f>两日求解价格与决策!B47</f>
        <v>133.18</v>
      </c>
      <c r="C47" s="15">
        <f>两日求解价格与决策!C47</f>
        <v>66.224534522516336</v>
      </c>
      <c r="D47" s="15">
        <f>两日求解价格与决策!D47</f>
        <v>7.2056105044499077</v>
      </c>
      <c r="E47" s="15">
        <f>两日求解价格与决策!E47</f>
        <v>2.3250052407905017</v>
      </c>
      <c r="F47" s="15">
        <f>两日求解价格与决策!F47</f>
        <v>133.21136584529185</v>
      </c>
      <c r="G47" s="15">
        <f>两日求解价格与决策!G47</f>
        <v>76.229680025918086</v>
      </c>
      <c r="H47" s="15" t="str">
        <f>两日求解价格与决策!H47</f>
        <v>未模拟</v>
      </c>
      <c r="I47" s="16">
        <f>两日求解价格与决策!I47</f>
        <v>31.834534161490719</v>
      </c>
      <c r="J47" s="16">
        <f>两日求解价格与决策!J47</f>
        <v>31.739130434782645</v>
      </c>
      <c r="K47" s="16">
        <f>两日求解价格与决策!K47</f>
        <v>0</v>
      </c>
      <c r="L47" s="16">
        <f>两日求解价格与决策!L47</f>
        <v>40</v>
      </c>
      <c r="M47" s="16">
        <f>两日求解价格与决策!M47</f>
        <v>24</v>
      </c>
      <c r="N47" s="16">
        <f>两日求解价格与决策!N47</f>
        <v>0</v>
      </c>
      <c r="O47" s="16">
        <f>两日求解价格与决策!O47</f>
        <v>8.777142857142857E-2</v>
      </c>
      <c r="P47" s="16">
        <f>两日求解价格与决策!P47</f>
        <v>0</v>
      </c>
      <c r="Q47" s="17">
        <f>两日求解价格与决策!Q47</f>
        <v>0</v>
      </c>
      <c r="R47" s="17">
        <f>两日求解价格与决策!R47</f>
        <v>662.24534522516342</v>
      </c>
      <c r="S47" s="17">
        <f>两日求解价格与决策!S47</f>
        <v>43.233663026699446</v>
      </c>
      <c r="T47" s="17">
        <f>两日求解价格与决策!T47</f>
        <v>0</v>
      </c>
      <c r="U47" s="17">
        <f>两日求解价格与决策!U47</f>
        <v>11.692151882192473</v>
      </c>
      <c r="V47" s="17">
        <f>两日求解价格与决策!V47</f>
        <v>0</v>
      </c>
      <c r="W47" s="17">
        <f>两日求解价格与决策!W47</f>
        <v>717.1711601340553</v>
      </c>
      <c r="X47" s="12">
        <f>两日求解价格与决策!X47</f>
        <v>717.1711601340553</v>
      </c>
      <c r="Y47" s="19">
        <f>两日求解价格与决策!Y47</f>
        <v>0</v>
      </c>
      <c r="Z47" s="12" t="str">
        <f t="shared" si="1"/>
        <v>正式执行</v>
      </c>
      <c r="AA47" s="12">
        <f>两日求解价格与决策!AA47</f>
        <v>1</v>
      </c>
      <c r="AB47" s="12">
        <f>两日求解价格与决策!AB47</f>
        <v>1</v>
      </c>
      <c r="AC47" s="12">
        <f>两日求解价格与决策!AC47</f>
        <v>0.25</v>
      </c>
      <c r="AD47" s="18">
        <f>两日求解价格与决策!AD47</f>
        <v>0.3125</v>
      </c>
      <c r="AE47" s="18">
        <f>两日求解价格与决策!AE47</f>
        <v>0.13714285714285715</v>
      </c>
      <c r="AF47" s="18">
        <f>两日求解价格与决策!AF47</f>
        <v>1.4628571428571428E-2</v>
      </c>
      <c r="AG47" s="18">
        <f>两日求解价格与决策!AG47</f>
        <v>6.8571428571428567E-5</v>
      </c>
      <c r="AH47" s="12">
        <f>两日求解价格与决策!AH47</f>
        <v>175</v>
      </c>
      <c r="AI47" s="12">
        <f>两日求解价格与决策!AI47</f>
        <v>175</v>
      </c>
      <c r="AJ47" s="12">
        <f>两日求解价格与决策!AJ47</f>
        <v>0.64</v>
      </c>
      <c r="AK47" s="12">
        <f>两日求解价格与决策!AK47</f>
        <v>3.0000000000000001E-3</v>
      </c>
      <c r="AL47" s="12">
        <f>两日求解价格与决策!AL47</f>
        <v>91.903999999999996</v>
      </c>
      <c r="AM47" s="12">
        <f>两日求解价格与决策!AM47</f>
        <v>2.6501035196687365E-4</v>
      </c>
      <c r="AN47" s="12">
        <f>两日求解价格与决策!AN47</f>
        <v>0</v>
      </c>
      <c r="AO47" s="12">
        <f>两日求解价格与决策!AO47</f>
        <v>8.777142857142857E-2</v>
      </c>
      <c r="AP47" s="12">
        <f>两日求解价格与决策!AP47</f>
        <v>31.739130434782645</v>
      </c>
      <c r="AQ47" s="19">
        <f>两日求解价格与决策!AQ47</f>
        <v>0</v>
      </c>
      <c r="AR47" s="12">
        <f>两日求解价格与决策!AR47</f>
        <v>5.2473000000000001</v>
      </c>
      <c r="AS47" s="14">
        <f>两日求解价格与决策!AS47</f>
        <v>46234</v>
      </c>
      <c r="AT47" s="13">
        <f>两日求解价格与决策!AT47</f>
        <v>46235.270833333336</v>
      </c>
      <c r="AU47" s="12" t="str">
        <f>两日求解价格与决策!AU47</f>
        <v>2026-08-01_35</v>
      </c>
      <c r="AV47" s="12">
        <f>两日求解价格与决策!AV47</f>
        <v>15</v>
      </c>
      <c r="AW47" s="12" t="str">
        <f>两日求解价格与决策!AW47</f>
        <v>OK</v>
      </c>
      <c r="AX47" s="12">
        <f>两日求解价格与决策!AX47</f>
        <v>128</v>
      </c>
      <c r="AY47" s="12">
        <f>两日求解价格与决策!AY47</f>
        <v>175</v>
      </c>
      <c r="AZ47" s="12">
        <f>两日求解价格与决策!AZ47</f>
        <v>175</v>
      </c>
      <c r="BA47" s="12">
        <f>两日求解价格与决策!BA47</f>
        <v>40</v>
      </c>
      <c r="BB47" s="12">
        <f>两日求解价格与决策!BB47</f>
        <v>24</v>
      </c>
      <c r="BC47" s="12">
        <f>两日求解价格与决策!BC47</f>
        <v>24</v>
      </c>
      <c r="BD47" s="14">
        <f>两日求解价格与决策!BD47</f>
        <v>46235</v>
      </c>
      <c r="BE47" s="1" t="str">
        <f>两日求解价格与决策!BE47</f>
        <v>零头寸，无结算现金</v>
      </c>
      <c r="BF47" s="1" t="str">
        <f>两日求解价格与决策!BF47</f>
        <v>40.000000 MW × 66.224535 × 0.250000 h = 662.245345 EUR</v>
      </c>
      <c r="BG47" s="1" t="str">
        <f>两日求解价格与决策!BG47</f>
        <v>24.000000 MW × 7.205611 × 0.250000 h = 43.233663 EUR</v>
      </c>
      <c r="BH47" s="1" t="str">
        <f>两日求解价格与决策!BH47</f>
        <v>零头寸，无结算现金</v>
      </c>
      <c r="BI47" s="1" t="str">
        <f>两日求解价格与决策!BI47</f>
        <v>0.087771 MWh × 133.211366 = 11.692152 EUR</v>
      </c>
      <c r="BJ47" s="1" t="str">
        <f>两日求解价格与决策!BJ47</f>
        <v>零下调激活电量</v>
      </c>
      <c r="BK47" s="1" t="str">
        <f>两日求解价格与决策!BK47</f>
        <v>0.000000 + 662.245345 + 43.233663 + 0.000000 + 11.692152 + 0.000000 = 717.171160 EUR</v>
      </c>
    </row>
    <row r="48" spans="1:63" ht="21" customHeight="1" x14ac:dyDescent="0.45">
      <c r="A48" s="13">
        <f>两日求解价格与决策!A48</f>
        <v>46235.40625</v>
      </c>
      <c r="B48" s="15">
        <f>两日求解价格与决策!B48</f>
        <v>13.07</v>
      </c>
      <c r="C48" s="15">
        <f>两日求解价格与决策!C48</f>
        <v>66.224534522516336</v>
      </c>
      <c r="D48" s="15">
        <f>两日求解价格与决策!D48</f>
        <v>7.2056105044499077</v>
      </c>
      <c r="E48" s="15">
        <f>两日求解价格与决策!E48</f>
        <v>2.3250052407905017</v>
      </c>
      <c r="F48" s="15">
        <f>两日求解价格与决策!F48</f>
        <v>133.21136584529185</v>
      </c>
      <c r="G48" s="15">
        <f>两日求解价格与决策!G48</f>
        <v>69.0158748308654</v>
      </c>
      <c r="H48" s="15" t="str">
        <f>两日求解价格与决策!H48</f>
        <v>未模拟</v>
      </c>
      <c r="I48" s="16">
        <f>两日求解价格与决策!I48</f>
        <v>31.739130434782645</v>
      </c>
      <c r="J48" s="16">
        <f>两日求解价格与决策!J48</f>
        <v>45.437436263354073</v>
      </c>
      <c r="K48" s="16">
        <f>两日求解价格与决策!K48</f>
        <v>-60</v>
      </c>
      <c r="L48" s="16">
        <f>两日求解价格与决策!L48</f>
        <v>40</v>
      </c>
      <c r="M48" s="16">
        <f>两日求解价格与决策!M48</f>
        <v>24</v>
      </c>
      <c r="N48" s="16">
        <f>两日求解价格与决策!N48</f>
        <v>0</v>
      </c>
      <c r="O48" s="16">
        <f>两日求解价格与决策!O48</f>
        <v>0.11053714285714286</v>
      </c>
      <c r="P48" s="16">
        <f>两日求解价格与决策!P48</f>
        <v>0</v>
      </c>
      <c r="Q48" s="17">
        <f>两日求解价格与决策!Q48</f>
        <v>-196.05</v>
      </c>
      <c r="R48" s="17">
        <f>两日求解价格与决策!R48</f>
        <v>662.24534522516342</v>
      </c>
      <c r="S48" s="17">
        <f>两日求解价格与决策!S48</f>
        <v>43.233663026699446</v>
      </c>
      <c r="T48" s="17">
        <f>两日求解价格与决策!T48</f>
        <v>0</v>
      </c>
      <c r="U48" s="17">
        <f>两日求解价格与决策!U48</f>
        <v>14.724803776636147</v>
      </c>
      <c r="V48" s="17">
        <f>两日求解价格与决策!V48</f>
        <v>0</v>
      </c>
      <c r="W48" s="17">
        <f>两日求解价格与决策!W48</f>
        <v>524.15381202849903</v>
      </c>
      <c r="X48" s="12">
        <f>两日求解价格与决策!X48</f>
        <v>524.15381202849903</v>
      </c>
      <c r="Y48" s="19">
        <f>两日求解价格与决策!Y48</f>
        <v>0</v>
      </c>
      <c r="Z48" s="12" t="str">
        <f t="shared" si="1"/>
        <v>正式执行</v>
      </c>
      <c r="AA48" s="12">
        <f>两日求解价格与决策!AA48</f>
        <v>1</v>
      </c>
      <c r="AB48" s="12">
        <f>两日求解价格与决策!AB48</f>
        <v>1</v>
      </c>
      <c r="AC48" s="12">
        <f>两日求解价格与决策!AC48</f>
        <v>0.25</v>
      </c>
      <c r="AD48" s="18">
        <f>两日求解价格与决策!AD48</f>
        <v>0.3125</v>
      </c>
      <c r="AE48" s="18">
        <f>两日求解价格与决策!AE48</f>
        <v>0.13714285714285715</v>
      </c>
      <c r="AF48" s="18">
        <f>两日求解价格与决策!AF48</f>
        <v>1.8422857142857144E-2</v>
      </c>
      <c r="AG48" s="18">
        <f>两日求解价格与决策!AG48</f>
        <v>3.497142857142857E-2</v>
      </c>
      <c r="AH48" s="12">
        <f>两日求解价格与决策!AH48</f>
        <v>175</v>
      </c>
      <c r="AI48" s="12">
        <f>两日求解价格与决策!AI48</f>
        <v>175</v>
      </c>
      <c r="AJ48" s="12">
        <f>两日求解价格与决策!AJ48</f>
        <v>0.80600000000000005</v>
      </c>
      <c r="AK48" s="12">
        <f>两日求解价格与决策!AK48</f>
        <v>1.53</v>
      </c>
      <c r="AL48" s="12">
        <f>两日求解价格与决策!AL48</f>
        <v>91.903999999999996</v>
      </c>
      <c r="AM48" s="12">
        <f>两日求解价格与决策!AM48</f>
        <v>3.8050849523809521E-2</v>
      </c>
      <c r="AN48" s="12">
        <f>两日求解价格与决策!AN48</f>
        <v>14.889462857142856</v>
      </c>
      <c r="AO48" s="12">
        <f>两日求解价格与决策!AO48</f>
        <v>0</v>
      </c>
      <c r="AP48" s="12">
        <f>两日求解价格与决策!AP48</f>
        <v>45.437436263354073</v>
      </c>
      <c r="AQ48" s="19">
        <f>两日求解价格与决策!AQ48</f>
        <v>0</v>
      </c>
      <c r="AR48" s="12">
        <f>两日求解价格与决策!AR48</f>
        <v>5.2473000000000001</v>
      </c>
      <c r="AS48" s="14">
        <f>两日求解价格与决策!AS48</f>
        <v>46234</v>
      </c>
      <c r="AT48" s="13">
        <f>两日求解价格与决策!AT48</f>
        <v>46235.28125</v>
      </c>
      <c r="AU48" s="12" t="str">
        <f>两日求解价格与决策!AU48</f>
        <v>2026-08-01_36</v>
      </c>
      <c r="AV48" s="12">
        <f>两日求解价格与决策!AV48</f>
        <v>15</v>
      </c>
      <c r="AW48" s="12" t="str">
        <f>两日求解价格与决策!AW48</f>
        <v>OK</v>
      </c>
      <c r="AX48" s="12">
        <f>两日求解价格与决策!AX48</f>
        <v>128</v>
      </c>
      <c r="AY48" s="12">
        <f>两日求解价格与决策!AY48</f>
        <v>175</v>
      </c>
      <c r="AZ48" s="12">
        <f>两日求解价格与决策!AZ48</f>
        <v>175</v>
      </c>
      <c r="BA48" s="12">
        <f>两日求解价格与决策!BA48</f>
        <v>40</v>
      </c>
      <c r="BB48" s="12">
        <f>两日求解价格与决策!BB48</f>
        <v>24</v>
      </c>
      <c r="BC48" s="12">
        <f>两日求解价格与决策!BC48</f>
        <v>24</v>
      </c>
      <c r="BD48" s="14">
        <f>两日求解价格与决策!BD48</f>
        <v>46235</v>
      </c>
      <c r="BE48" s="1" t="str">
        <f>两日求解价格与决策!BE48</f>
        <v>-60.000000 MW × 13.070000 × 0.250000 h = -196.050000 EUR</v>
      </c>
      <c r="BF48" s="1" t="str">
        <f>两日求解价格与决策!BF48</f>
        <v>40.000000 MW × 66.224535 × 0.250000 h = 662.245345 EUR</v>
      </c>
      <c r="BG48" s="1" t="str">
        <f>两日求解价格与决策!BG48</f>
        <v>24.000000 MW × 7.205611 × 0.250000 h = 43.233663 EUR</v>
      </c>
      <c r="BH48" s="1" t="str">
        <f>两日求解价格与决策!BH48</f>
        <v>零头寸，无结算现金</v>
      </c>
      <c r="BI48" s="1" t="str">
        <f>两日求解价格与决策!BI48</f>
        <v>0.110537 MWh × 133.211366 = 14.724804 EUR</v>
      </c>
      <c r="BJ48" s="1" t="str">
        <f>两日求解价格与决策!BJ48</f>
        <v>零下调激活电量</v>
      </c>
      <c r="BK48" s="1" t="str">
        <f>两日求解价格与决策!BK48</f>
        <v>-196.050000 + 662.245345 + 43.233663 + 0.000000 + 14.724804 + 0.000000 = 524.153812 EUR</v>
      </c>
    </row>
    <row r="49" spans="1:63" ht="21" customHeight="1" x14ac:dyDescent="0.45">
      <c r="A49" s="13">
        <f>两日求解价格与决策!A49</f>
        <v>46235.416666666664</v>
      </c>
      <c r="B49" s="15">
        <f>两日求解价格与决策!B49</f>
        <v>145.41</v>
      </c>
      <c r="C49" s="15">
        <f>两日求解价格与决策!C49</f>
        <v>66.224534522516336</v>
      </c>
      <c r="D49" s="15">
        <f>两日求解价格与决策!D49</f>
        <v>5.2655651477902916</v>
      </c>
      <c r="E49" s="15">
        <f>两日求解价格与决策!E49</f>
        <v>3.0015436510205249</v>
      </c>
      <c r="F49" s="15">
        <f>两日求解价格与决策!F49</f>
        <v>133.30303203552302</v>
      </c>
      <c r="G49" s="15">
        <f>两日求解价格与决策!G49</f>
        <v>76.229680025918086</v>
      </c>
      <c r="H49" s="15" t="str">
        <f>两日求解价格与决策!H49</f>
        <v>未模拟</v>
      </c>
      <c r="I49" s="16">
        <f>两日求解价格与决策!I49</f>
        <v>45.437436263354073</v>
      </c>
      <c r="J49" s="16">
        <f>两日求解价格与决策!J49</f>
        <v>32.850392785093206</v>
      </c>
      <c r="K49" s="16">
        <f>两日求解价格与决策!K49</f>
        <v>46</v>
      </c>
      <c r="L49" s="16">
        <f>两日求解价格与决策!L49</f>
        <v>40</v>
      </c>
      <c r="M49" s="16">
        <f>两日求解价格与决策!M49</f>
        <v>14</v>
      </c>
      <c r="N49" s="16">
        <f>两日求解价格与决策!N49</f>
        <v>0</v>
      </c>
      <c r="O49" s="16">
        <f>两日求解价格与决策!O49</f>
        <v>8.0079999999999985E-2</v>
      </c>
      <c r="P49" s="16">
        <f>两日求解价格与决策!P49</f>
        <v>0</v>
      </c>
      <c r="Q49" s="17">
        <f>两日求解价格与决策!Q49</f>
        <v>1672.2149999999999</v>
      </c>
      <c r="R49" s="17">
        <f>两日求解价格与决策!R49</f>
        <v>662.24534522516342</v>
      </c>
      <c r="S49" s="17">
        <f>两日求解价格与决策!S49</f>
        <v>18.429478017266021</v>
      </c>
      <c r="T49" s="17">
        <f>两日求解价格与决策!T49</f>
        <v>0</v>
      </c>
      <c r="U49" s="17">
        <f>两日求解价格与决策!U49</f>
        <v>10.674906805404682</v>
      </c>
      <c r="V49" s="17">
        <f>两日求解价格与决策!V49</f>
        <v>0</v>
      </c>
      <c r="W49" s="17">
        <f>两日求解价格与决策!W49</f>
        <v>2363.5647300478336</v>
      </c>
      <c r="X49" s="12">
        <f>两日求解价格与决策!X49</f>
        <v>2363.564730047834</v>
      </c>
      <c r="Y49" s="19">
        <f>两日求解价格与决策!Y49</f>
        <v>0</v>
      </c>
      <c r="Z49" s="12" t="str">
        <f t="shared" si="1"/>
        <v>正式执行</v>
      </c>
      <c r="AA49" s="12">
        <f>两日求解价格与决策!AA49</f>
        <v>1</v>
      </c>
      <c r="AB49" s="12">
        <f>两日求解价格与决策!AB49</f>
        <v>1</v>
      </c>
      <c r="AC49" s="12">
        <f>两日求解价格与决策!AC49</f>
        <v>0.25</v>
      </c>
      <c r="AD49" s="18">
        <f>两日求解价格与决策!AD49</f>
        <v>0.3125</v>
      </c>
      <c r="AE49" s="18">
        <f>两日求解价格与决策!AE49</f>
        <v>0.13714285714285715</v>
      </c>
      <c r="AF49" s="18">
        <f>两日求解价格与决策!AF49</f>
        <v>2.2879999999999998E-2</v>
      </c>
      <c r="AG49" s="18">
        <f>两日求解价格与决策!AG49</f>
        <v>1.2777142857142858E-2</v>
      </c>
      <c r="AH49" s="12">
        <f>两日求解价格与决策!AH49</f>
        <v>175</v>
      </c>
      <c r="AI49" s="12">
        <f>两日求解价格与决策!AI49</f>
        <v>175</v>
      </c>
      <c r="AJ49" s="12">
        <f>两日求解价格与决策!AJ49</f>
        <v>1.0009999999999999</v>
      </c>
      <c r="AK49" s="12">
        <f>两日求解价格与决策!AK49</f>
        <v>0.55900000000000005</v>
      </c>
      <c r="AL49" s="12">
        <f>两日求解价格与决策!AL49</f>
        <v>91.903999999999996</v>
      </c>
      <c r="AM49" s="12">
        <f>两日求解价格与决策!AM49</f>
        <v>3.496400966183575E-2</v>
      </c>
      <c r="AN49" s="12">
        <f>两日求解价格与决策!AN49</f>
        <v>0</v>
      </c>
      <c r="AO49" s="12">
        <f>两日求解价格与决策!AO49</f>
        <v>11.580079999999999</v>
      </c>
      <c r="AP49" s="12">
        <f>两日求解价格与决策!AP49</f>
        <v>32.850392785093206</v>
      </c>
      <c r="AQ49" s="19">
        <f>两日求解价格与决策!AQ49</f>
        <v>0</v>
      </c>
      <c r="AR49" s="12">
        <f>两日求解价格与决策!AR49</f>
        <v>5.2473000000000001</v>
      </c>
      <c r="AS49" s="14">
        <f>两日求解价格与决策!AS49</f>
        <v>46234</v>
      </c>
      <c r="AT49" s="13">
        <f>两日求解价格与决策!AT49</f>
        <v>46235.291666666664</v>
      </c>
      <c r="AU49" s="12" t="str">
        <f>两日求解价格与决策!AU49</f>
        <v>2026-08-01_37</v>
      </c>
      <c r="AV49" s="12">
        <f>两日求解价格与决策!AV49</f>
        <v>15</v>
      </c>
      <c r="AW49" s="12" t="str">
        <f>两日求解价格与决策!AW49</f>
        <v>OK</v>
      </c>
      <c r="AX49" s="12">
        <f>两日求解价格与决策!AX49</f>
        <v>128</v>
      </c>
      <c r="AY49" s="12">
        <f>两日求解价格与决策!AY49</f>
        <v>175</v>
      </c>
      <c r="AZ49" s="12">
        <f>两日求解价格与决策!AZ49</f>
        <v>175</v>
      </c>
      <c r="BA49" s="12">
        <f>两日求解价格与决策!BA49</f>
        <v>40</v>
      </c>
      <c r="BB49" s="12">
        <f>两日求解价格与决策!BB49</f>
        <v>24</v>
      </c>
      <c r="BC49" s="12">
        <f>两日求解价格与决策!BC49</f>
        <v>24</v>
      </c>
      <c r="BD49" s="14">
        <f>两日求解价格与决策!BD49</f>
        <v>46235</v>
      </c>
      <c r="BE49" s="1" t="str">
        <f>两日求解价格与决策!BE49</f>
        <v>46.000000 MW × 145.410000 × 0.250000 h = 1672.215000 EUR</v>
      </c>
      <c r="BF49" s="1" t="str">
        <f>两日求解价格与决策!BF49</f>
        <v>40.000000 MW × 66.224535 × 0.250000 h = 662.245345 EUR</v>
      </c>
      <c r="BG49" s="1" t="str">
        <f>两日求解价格与决策!BG49</f>
        <v>14.000000 MW × 5.265565 × 0.250000 h = 18.429478 EUR</v>
      </c>
      <c r="BH49" s="1" t="str">
        <f>两日求解价格与决策!BH49</f>
        <v>零头寸，无结算现金</v>
      </c>
      <c r="BI49" s="1" t="str">
        <f>两日求解价格与决策!BI49</f>
        <v>0.080080 MWh × 133.303032 = 10.674907 EUR</v>
      </c>
      <c r="BJ49" s="1" t="str">
        <f>两日求解价格与决策!BJ49</f>
        <v>零下调激活电量</v>
      </c>
      <c r="BK49" s="1" t="str">
        <f>两日求解价格与决策!BK49</f>
        <v>1672.215000 + 662.245345 + 18.429478 + 0.000000 + 10.674907 + 0.000000 = 2363.564730 EUR</v>
      </c>
    </row>
    <row r="50" spans="1:63" ht="21" customHeight="1" x14ac:dyDescent="0.45">
      <c r="A50" s="13">
        <f>两日求解价格与决策!A50</f>
        <v>46235.427083333336</v>
      </c>
      <c r="B50" s="15">
        <f>两日求解价格与决策!B50</f>
        <v>66.069999999999993</v>
      </c>
      <c r="C50" s="15">
        <f>两日求解价格与决策!C50</f>
        <v>66.224534522516336</v>
      </c>
      <c r="D50" s="15">
        <f>两日求解价格与决策!D50</f>
        <v>5.2655651477902916</v>
      </c>
      <c r="E50" s="15">
        <f>两日求解价格与决策!E50</f>
        <v>3.0015436510205249</v>
      </c>
      <c r="F50" s="15">
        <f>两日求解价格与决策!F50</f>
        <v>176.61978541345073</v>
      </c>
      <c r="G50" s="15">
        <f>两日求解价格与决策!G50</f>
        <v>0</v>
      </c>
      <c r="H50" s="15" t="str">
        <f>两日求解价格与决策!H50</f>
        <v>未模拟</v>
      </c>
      <c r="I50" s="16">
        <f>两日求解价格与决策!I50</f>
        <v>32.850392785093206</v>
      </c>
      <c r="J50" s="16">
        <f>两日求解价格与决策!J50</f>
        <v>32.15830155527955</v>
      </c>
      <c r="K50" s="16">
        <f>两日求解价格与决策!K50</f>
        <v>-2.7359899018512621</v>
      </c>
      <c r="L50" s="16">
        <f>两日求解价格与决策!L50</f>
        <v>40</v>
      </c>
      <c r="M50" s="16">
        <f>两日求解价格与决策!M50</f>
        <v>14</v>
      </c>
      <c r="N50" s="16">
        <f>两日求解价格与决策!N50</f>
        <v>0</v>
      </c>
      <c r="O50" s="16">
        <f>两日求解价格与决策!O50</f>
        <v>1.2532799999999999</v>
      </c>
      <c r="P50" s="16">
        <f>两日求解价格与决策!P50</f>
        <v>0</v>
      </c>
      <c r="Q50" s="17">
        <f>两日求解价格与决策!Q50</f>
        <v>-45.191713203828215</v>
      </c>
      <c r="R50" s="17">
        <f>两日求解价格与决策!R50</f>
        <v>662.24534522516342</v>
      </c>
      <c r="S50" s="17">
        <f>两日求解价格与决策!S50</f>
        <v>18.429478017266021</v>
      </c>
      <c r="T50" s="17">
        <f>两日求解价格与决策!T50</f>
        <v>0</v>
      </c>
      <c r="U50" s="17">
        <f>两日求解价格与决策!U50</f>
        <v>221.35404466296953</v>
      </c>
      <c r="V50" s="17">
        <f>两日求解价格与决策!V50</f>
        <v>0</v>
      </c>
      <c r="W50" s="17">
        <f>两日求解价格与决策!W50</f>
        <v>856.83715470157074</v>
      </c>
      <c r="X50" s="12">
        <f>两日求解价格与决策!X50</f>
        <v>856.83715470157074</v>
      </c>
      <c r="Y50" s="19">
        <f>两日求解价格与决策!Y50</f>
        <v>0</v>
      </c>
      <c r="Z50" s="12" t="str">
        <f t="shared" si="1"/>
        <v>正式执行</v>
      </c>
      <c r="AA50" s="12">
        <f>两日求解价格与决策!AA50</f>
        <v>1</v>
      </c>
      <c r="AB50" s="12">
        <f>两日求解价格与决策!AB50</f>
        <v>1</v>
      </c>
      <c r="AC50" s="12">
        <f>两日求解价格与决策!AC50</f>
        <v>0.25</v>
      </c>
      <c r="AD50" s="18">
        <f>两日求解价格与决策!AD50</f>
        <v>0.3125</v>
      </c>
      <c r="AE50" s="18">
        <f>两日求解价格与决策!AE50</f>
        <v>0.13714285714285715</v>
      </c>
      <c r="AF50" s="18">
        <f>两日求解价格与决策!AF50</f>
        <v>0.35808000000000001</v>
      </c>
      <c r="AG50" s="18">
        <f>两日求解价格与决策!AG50</f>
        <v>0</v>
      </c>
      <c r="AH50" s="12">
        <f>两日求解价格与决策!AH50</f>
        <v>175</v>
      </c>
      <c r="AI50" s="12">
        <f>两日求解价格与决策!AI50</f>
        <v>175</v>
      </c>
      <c r="AJ50" s="12">
        <f>两日求解价格与决策!AJ50</f>
        <v>15.666</v>
      </c>
      <c r="AK50" s="12">
        <f>两日求解价格与决策!AK50</f>
        <v>0</v>
      </c>
      <c r="AL50" s="12">
        <f>两日求解价格与决策!AL50</f>
        <v>91.903999999999996</v>
      </c>
      <c r="AM50" s="12">
        <f>两日求解价格与决策!AM50</f>
        <v>4.1666196755555107E-3</v>
      </c>
      <c r="AN50" s="12">
        <f>两日求解价格与决策!AN50</f>
        <v>0.4390716594490906</v>
      </c>
      <c r="AO50" s="12">
        <f>两日求解价格与决策!AO50</f>
        <v>1.0083541839862751</v>
      </c>
      <c r="AP50" s="12">
        <f>两日求解价格与决策!AP50</f>
        <v>32.15830155527955</v>
      </c>
      <c r="AQ50" s="19">
        <f>两日求解价格与决策!AQ50</f>
        <v>0</v>
      </c>
      <c r="AR50" s="12">
        <f>两日求解价格与决策!AR50</f>
        <v>5.2473000000000001</v>
      </c>
      <c r="AS50" s="14">
        <f>两日求解价格与决策!AS50</f>
        <v>46234</v>
      </c>
      <c r="AT50" s="13">
        <f>两日求解价格与决策!AT50</f>
        <v>46235.302083333336</v>
      </c>
      <c r="AU50" s="12" t="str">
        <f>两日求解价格与决策!AU50</f>
        <v>2026-08-01_38</v>
      </c>
      <c r="AV50" s="12">
        <f>两日求解价格与决策!AV50</f>
        <v>15</v>
      </c>
      <c r="AW50" s="12" t="str">
        <f>两日求解价格与决策!AW50</f>
        <v>OK</v>
      </c>
      <c r="AX50" s="12">
        <f>两日求解价格与决策!AX50</f>
        <v>128</v>
      </c>
      <c r="AY50" s="12">
        <f>两日求解价格与决策!AY50</f>
        <v>175</v>
      </c>
      <c r="AZ50" s="12">
        <f>两日求解价格与决策!AZ50</f>
        <v>175</v>
      </c>
      <c r="BA50" s="12">
        <f>两日求解价格与决策!BA50</f>
        <v>40</v>
      </c>
      <c r="BB50" s="12">
        <f>两日求解价格与决策!BB50</f>
        <v>24</v>
      </c>
      <c r="BC50" s="12">
        <f>两日求解价格与决策!BC50</f>
        <v>24</v>
      </c>
      <c r="BD50" s="14">
        <f>两日求解价格与决策!BD50</f>
        <v>46235</v>
      </c>
      <c r="BE50" s="1" t="str">
        <f>两日求解价格与决策!BE50</f>
        <v>-2.735990 MW × 66.070000 × 0.250000 h = -45.191713 EUR</v>
      </c>
      <c r="BF50" s="1" t="str">
        <f>两日求解价格与决策!BF50</f>
        <v>40.000000 MW × 66.224535 × 0.250000 h = 662.245345 EUR</v>
      </c>
      <c r="BG50" s="1" t="str">
        <f>两日求解价格与决策!BG50</f>
        <v>14.000000 MW × 5.265565 × 0.250000 h = 18.429478 EUR</v>
      </c>
      <c r="BH50" s="1" t="str">
        <f>两日求解价格与决策!BH50</f>
        <v>零头寸，无结算现金</v>
      </c>
      <c r="BI50" s="1" t="str">
        <f>两日求解价格与决策!BI50</f>
        <v>1.253280 MWh × 176.619785 = 221.354045 EUR</v>
      </c>
      <c r="BJ50" s="1" t="str">
        <f>两日求解价格与决策!BJ50</f>
        <v>零下调激活电量</v>
      </c>
      <c r="BK50" s="1" t="str">
        <f>两日求解价格与决策!BK50</f>
        <v>-45.191713 + 662.245345 + 18.429478 + 0.000000 + 221.354045 + 0.000000 = 856.837155 EUR</v>
      </c>
    </row>
    <row r="51" spans="1:63" ht="21" customHeight="1" x14ac:dyDescent="0.45">
      <c r="A51" s="13">
        <f>两日求解价格与决策!A51</f>
        <v>46235.4375</v>
      </c>
      <c r="B51" s="15">
        <f>两日求解价格与决策!B51</f>
        <v>13.26</v>
      </c>
      <c r="C51" s="15">
        <f>两日求解价格与决策!C51</f>
        <v>66.224534522516336</v>
      </c>
      <c r="D51" s="15">
        <f>两日求解价格与决策!D51</f>
        <v>5.2655651477902916</v>
      </c>
      <c r="E51" s="15">
        <f>两日求解价格与决策!E51</f>
        <v>3.0015436510205249</v>
      </c>
      <c r="F51" s="15">
        <f>两日求解价格与决策!F51</f>
        <v>145.5032111752711</v>
      </c>
      <c r="G51" s="15">
        <f>两日求解价格与决策!G51</f>
        <v>0</v>
      </c>
      <c r="H51" s="15" t="str">
        <f>两日求解价格与决策!H51</f>
        <v>未模拟</v>
      </c>
      <c r="I51" s="16">
        <f>两日求解价格与决策!I51</f>
        <v>32.15830155527955</v>
      </c>
      <c r="J51" s="16">
        <f>两日求解价格与决策!J51</f>
        <v>45.491015155279555</v>
      </c>
      <c r="K51" s="16">
        <f>两日求解价格与决策!K51</f>
        <v>-60</v>
      </c>
      <c r="L51" s="16">
        <f>两日求解价格与决策!L51</f>
        <v>40</v>
      </c>
      <c r="M51" s="16">
        <f>两日求解价格与决策!M51</f>
        <v>14</v>
      </c>
      <c r="N51" s="16">
        <f>两日求解价格与决策!N51</f>
        <v>0</v>
      </c>
      <c r="O51" s="16">
        <f>两日求解价格与决策!O51</f>
        <v>0.50792000000000004</v>
      </c>
      <c r="P51" s="16">
        <f>两日求解价格与决策!P51</f>
        <v>0</v>
      </c>
      <c r="Q51" s="17">
        <f>两日求解价格与决策!Q51</f>
        <v>-198.9</v>
      </c>
      <c r="R51" s="17">
        <f>两日求解价格与决策!R51</f>
        <v>662.24534522516342</v>
      </c>
      <c r="S51" s="17">
        <f>两日求解价格与决策!S51</f>
        <v>18.429478017266021</v>
      </c>
      <c r="T51" s="17">
        <f>两日求解价格与决策!T51</f>
        <v>0</v>
      </c>
      <c r="U51" s="17">
        <f>两日求解价格与决策!U51</f>
        <v>73.903991020143707</v>
      </c>
      <c r="V51" s="17">
        <f>两日求解价格与决策!V51</f>
        <v>0</v>
      </c>
      <c r="W51" s="17">
        <f>两日求解价格与决策!W51</f>
        <v>555.67881426257316</v>
      </c>
      <c r="X51" s="12">
        <f>两日求解价格与决策!X51</f>
        <v>555.67881426257316</v>
      </c>
      <c r="Y51" s="19">
        <f>两日求解价格与决策!Y51</f>
        <v>0</v>
      </c>
      <c r="Z51" s="12" t="str">
        <f t="shared" si="1"/>
        <v>正式执行</v>
      </c>
      <c r="AA51" s="12">
        <f>两日求解价格与决策!AA51</f>
        <v>1</v>
      </c>
      <c r="AB51" s="12">
        <f>两日求解价格与决策!AB51</f>
        <v>1</v>
      </c>
      <c r="AC51" s="12">
        <f>两日求解价格与决策!AC51</f>
        <v>0.25</v>
      </c>
      <c r="AD51" s="18">
        <f>两日求解价格与决策!AD51</f>
        <v>0.3125</v>
      </c>
      <c r="AE51" s="18">
        <f>两日求解价格与决策!AE51</f>
        <v>0.13714285714285715</v>
      </c>
      <c r="AF51" s="18">
        <f>两日求解价格与决策!AF51</f>
        <v>0.14512</v>
      </c>
      <c r="AG51" s="18">
        <f>两日求解价格与决策!AG51</f>
        <v>0</v>
      </c>
      <c r="AH51" s="12">
        <f>两日求解价格与决策!AH51</f>
        <v>175</v>
      </c>
      <c r="AI51" s="12">
        <f>两日求解价格与决策!AI51</f>
        <v>175</v>
      </c>
      <c r="AJ51" s="12">
        <f>两日求解价格与决策!AJ51</f>
        <v>6.3490000000000002</v>
      </c>
      <c r="AK51" s="12">
        <f>两日求解价格与决策!AK51</f>
        <v>0</v>
      </c>
      <c r="AL51" s="12">
        <f>两日求解价格与决策!AL51</f>
        <v>91.903999999999996</v>
      </c>
      <c r="AM51" s="12">
        <f>两日求解价格与决策!AM51</f>
        <v>3.7035315555555559E-2</v>
      </c>
      <c r="AN51" s="12">
        <f>两日求解价格与决策!AN51</f>
        <v>14.49208</v>
      </c>
      <c r="AO51" s="12">
        <f>两日求解价格与决策!AO51</f>
        <v>0</v>
      </c>
      <c r="AP51" s="12">
        <f>两日求解价格与决策!AP51</f>
        <v>45.491015155279555</v>
      </c>
      <c r="AQ51" s="19">
        <f>两日求解价格与决策!AQ51</f>
        <v>0</v>
      </c>
      <c r="AR51" s="12">
        <f>两日求解价格与决策!AR51</f>
        <v>5.2473000000000001</v>
      </c>
      <c r="AS51" s="14">
        <f>两日求解价格与决策!AS51</f>
        <v>46234</v>
      </c>
      <c r="AT51" s="13">
        <f>两日求解价格与决策!AT51</f>
        <v>46235.3125</v>
      </c>
      <c r="AU51" s="12" t="str">
        <f>两日求解价格与决策!AU51</f>
        <v>2026-08-01_39</v>
      </c>
      <c r="AV51" s="12">
        <f>两日求解价格与决策!AV51</f>
        <v>15</v>
      </c>
      <c r="AW51" s="12" t="str">
        <f>两日求解价格与决策!AW51</f>
        <v>OK</v>
      </c>
      <c r="AX51" s="12">
        <f>两日求解价格与决策!AX51</f>
        <v>128</v>
      </c>
      <c r="AY51" s="12">
        <f>两日求解价格与决策!AY51</f>
        <v>175</v>
      </c>
      <c r="AZ51" s="12">
        <f>两日求解价格与决策!AZ51</f>
        <v>175</v>
      </c>
      <c r="BA51" s="12">
        <f>两日求解价格与决策!BA51</f>
        <v>40</v>
      </c>
      <c r="BB51" s="12">
        <f>两日求解价格与决策!BB51</f>
        <v>24</v>
      </c>
      <c r="BC51" s="12">
        <f>两日求解价格与决策!BC51</f>
        <v>24</v>
      </c>
      <c r="BD51" s="14">
        <f>两日求解价格与决策!BD51</f>
        <v>46235</v>
      </c>
      <c r="BE51" s="1" t="str">
        <f>两日求解价格与决策!BE51</f>
        <v>-60.000000 MW × 13.260000 × 0.250000 h = -198.900000 EUR</v>
      </c>
      <c r="BF51" s="1" t="str">
        <f>两日求解价格与决策!BF51</f>
        <v>40.000000 MW × 66.224535 × 0.250000 h = 662.245345 EUR</v>
      </c>
      <c r="BG51" s="1" t="str">
        <f>两日求解价格与决策!BG51</f>
        <v>14.000000 MW × 5.265565 × 0.250000 h = 18.429478 EUR</v>
      </c>
      <c r="BH51" s="1" t="str">
        <f>两日求解价格与决策!BH51</f>
        <v>零头寸，无结算现金</v>
      </c>
      <c r="BI51" s="1" t="str">
        <f>两日求解价格与决策!BI51</f>
        <v>0.507920 MWh × 145.503211 = 73.903991 EUR</v>
      </c>
      <c r="BJ51" s="1" t="str">
        <f>两日求解价格与决策!BJ51</f>
        <v>零下调激活电量</v>
      </c>
      <c r="BK51" s="1" t="str">
        <f>两日求解价格与决策!BK51</f>
        <v>-198.900000 + 662.245345 + 18.429478 + 0.000000 + 73.903991 + 0.000000 = 555.678814 EUR</v>
      </c>
    </row>
    <row r="52" spans="1:63" ht="21" customHeight="1" x14ac:dyDescent="0.45">
      <c r="A52" s="13">
        <f>两日求解价格与决策!A52</f>
        <v>46235.447916666664</v>
      </c>
      <c r="B52" s="15">
        <f>两日求解价格与决策!B52</f>
        <v>14.62</v>
      </c>
      <c r="C52" s="15">
        <f>两日求解价格与决策!C52</f>
        <v>66.224534522516336</v>
      </c>
      <c r="D52" s="15">
        <f>两日求解价格与决策!D52</f>
        <v>5.2655651477902916</v>
      </c>
      <c r="E52" s="15">
        <f>两日求解价格与决策!E52</f>
        <v>3.0015436510205249</v>
      </c>
      <c r="F52" s="15">
        <f>两日求解价格与决策!F52</f>
        <v>133.21136584529185</v>
      </c>
      <c r="G52" s="15">
        <f>两日求解价格与决策!G52</f>
        <v>76.229680025918086</v>
      </c>
      <c r="H52" s="15" t="str">
        <f>两日求解价格与决策!H52</f>
        <v>未模拟</v>
      </c>
      <c r="I52" s="16">
        <f>两日求解价格与决策!I52</f>
        <v>45.491015155279555</v>
      </c>
      <c r="J52" s="16">
        <f>两日求解价格与决策!J52</f>
        <v>59.284096755279556</v>
      </c>
      <c r="K52" s="16">
        <f>两日求解价格与决策!K52</f>
        <v>-60</v>
      </c>
      <c r="L52" s="16">
        <f>两日求解价格与决策!L52</f>
        <v>40</v>
      </c>
      <c r="M52" s="16">
        <f>两日求解价格与决策!M52</f>
        <v>14</v>
      </c>
      <c r="N52" s="16">
        <f>两日求解价格与决策!N52</f>
        <v>0</v>
      </c>
      <c r="O52" s="16">
        <f>两日求解价格与决策!O52</f>
        <v>7.5199999999999998E-3</v>
      </c>
      <c r="P52" s="16">
        <f>两日求解价格与决策!P52</f>
        <v>0</v>
      </c>
      <c r="Q52" s="17">
        <f>两日求解价格与决策!Q52</f>
        <v>-219.29999999999998</v>
      </c>
      <c r="R52" s="17">
        <f>两日求解价格与决策!R52</f>
        <v>662.24534522516342</v>
      </c>
      <c r="S52" s="17">
        <f>两日求解价格与决策!S52</f>
        <v>18.429478017266021</v>
      </c>
      <c r="T52" s="17">
        <f>两日求解价格与决策!T52</f>
        <v>0</v>
      </c>
      <c r="U52" s="17">
        <f>两日求解价格与决策!U52</f>
        <v>1.0017494711565946</v>
      </c>
      <c r="V52" s="17">
        <f>两日求解价格与决策!V52</f>
        <v>0</v>
      </c>
      <c r="W52" s="17">
        <f>两日求解价格与决策!W52</f>
        <v>462.37657271358609</v>
      </c>
      <c r="X52" s="12">
        <f>两日求解价格与决策!X52</f>
        <v>462.37657271358603</v>
      </c>
      <c r="Y52" s="19">
        <f>两日求解价格与决策!Y52</f>
        <v>0</v>
      </c>
      <c r="Z52" s="12" t="str">
        <f t="shared" si="1"/>
        <v>正式执行</v>
      </c>
      <c r="AA52" s="12">
        <f>两日求解价格与决策!AA52</f>
        <v>1</v>
      </c>
      <c r="AB52" s="12">
        <f>两日求解价格与决策!AB52</f>
        <v>1</v>
      </c>
      <c r="AC52" s="12">
        <f>两日求解价格与决策!AC52</f>
        <v>0.25</v>
      </c>
      <c r="AD52" s="18">
        <f>两日求解价格与决策!AD52</f>
        <v>0.3125</v>
      </c>
      <c r="AE52" s="18">
        <f>两日求解价格与决策!AE52</f>
        <v>0.13714285714285715</v>
      </c>
      <c r="AF52" s="18">
        <f>两日求解价格与决策!AF52</f>
        <v>2.1485714285714285E-3</v>
      </c>
      <c r="AG52" s="18">
        <f>两日求解价格与决策!AG52</f>
        <v>2.8342857142857141E-3</v>
      </c>
      <c r="AH52" s="12">
        <f>两日求解价格与决策!AH52</f>
        <v>175</v>
      </c>
      <c r="AI52" s="12">
        <f>两日求解价格与决策!AI52</f>
        <v>175</v>
      </c>
      <c r="AJ52" s="12">
        <f>两日求解价格与决策!AJ52</f>
        <v>9.4E-2</v>
      </c>
      <c r="AK52" s="12">
        <f>两日求解价格与决策!AK52</f>
        <v>0.124</v>
      </c>
      <c r="AL52" s="12">
        <f>两日求解价格与决策!AL52</f>
        <v>91.903999999999996</v>
      </c>
      <c r="AM52" s="12">
        <f>两日求解价格与决策!AM52</f>
        <v>3.8314115555555563E-2</v>
      </c>
      <c r="AN52" s="12">
        <f>两日求解价格与决策!AN52</f>
        <v>14.99248</v>
      </c>
      <c r="AO52" s="12">
        <f>两日求解价格与决策!AO52</f>
        <v>0</v>
      </c>
      <c r="AP52" s="12">
        <f>两日求解价格与决策!AP52</f>
        <v>59.284096755279556</v>
      </c>
      <c r="AQ52" s="19">
        <f>两日求解价格与决策!AQ52</f>
        <v>0</v>
      </c>
      <c r="AR52" s="12">
        <f>两日求解价格与决策!AR52</f>
        <v>5.2473000000000001</v>
      </c>
      <c r="AS52" s="14">
        <f>两日求解价格与决策!AS52</f>
        <v>46234</v>
      </c>
      <c r="AT52" s="13">
        <f>两日求解价格与决策!AT52</f>
        <v>46235.322916666664</v>
      </c>
      <c r="AU52" s="12" t="str">
        <f>两日求解价格与决策!AU52</f>
        <v>2026-08-01_40</v>
      </c>
      <c r="AV52" s="12">
        <f>两日求解价格与决策!AV52</f>
        <v>15</v>
      </c>
      <c r="AW52" s="12" t="str">
        <f>两日求解价格与决策!AW52</f>
        <v>OK</v>
      </c>
      <c r="AX52" s="12">
        <f>两日求解价格与决策!AX52</f>
        <v>128</v>
      </c>
      <c r="AY52" s="12">
        <f>两日求解价格与决策!AY52</f>
        <v>175</v>
      </c>
      <c r="AZ52" s="12">
        <f>两日求解价格与决策!AZ52</f>
        <v>175</v>
      </c>
      <c r="BA52" s="12">
        <f>两日求解价格与决策!BA52</f>
        <v>40</v>
      </c>
      <c r="BB52" s="12">
        <f>两日求解价格与决策!BB52</f>
        <v>24</v>
      </c>
      <c r="BC52" s="12">
        <f>两日求解价格与决策!BC52</f>
        <v>24</v>
      </c>
      <c r="BD52" s="14">
        <f>两日求解价格与决策!BD52</f>
        <v>46235</v>
      </c>
      <c r="BE52" s="1" t="str">
        <f>两日求解价格与决策!BE52</f>
        <v>-60.000000 MW × 14.620000 × 0.250000 h = -219.300000 EUR</v>
      </c>
      <c r="BF52" s="1" t="str">
        <f>两日求解价格与决策!BF52</f>
        <v>40.000000 MW × 66.224535 × 0.250000 h = 662.245345 EUR</v>
      </c>
      <c r="BG52" s="1" t="str">
        <f>两日求解价格与决策!BG52</f>
        <v>14.000000 MW × 5.265565 × 0.250000 h = 18.429478 EUR</v>
      </c>
      <c r="BH52" s="1" t="str">
        <f>两日求解价格与决策!BH52</f>
        <v>零头寸，无结算现金</v>
      </c>
      <c r="BI52" s="1" t="str">
        <f>两日求解价格与决策!BI52</f>
        <v>0.007520 MWh × 133.211366 = 1.001749 EUR</v>
      </c>
      <c r="BJ52" s="1" t="str">
        <f>两日求解价格与决策!BJ52</f>
        <v>零下调激活电量</v>
      </c>
      <c r="BK52" s="1" t="str">
        <f>两日求解价格与决策!BK52</f>
        <v>-219.300000 + 662.245345 + 18.429478 + 0.000000 + 1.001749 + 0.000000 = 462.376573 EUR</v>
      </c>
    </row>
    <row r="53" spans="1:63" ht="21" customHeight="1" x14ac:dyDescent="0.45">
      <c r="A53" s="13">
        <f>两日求解价格与决策!A53</f>
        <v>46235.458333333336</v>
      </c>
      <c r="B53" s="15">
        <f>两日求解价格与决策!B53</f>
        <v>121.44</v>
      </c>
      <c r="C53" s="15">
        <f>两日求解价格与决策!C53</f>
        <v>66.224534522516336</v>
      </c>
      <c r="D53" s="15">
        <f>两日求解价格与决策!D53</f>
        <v>5.1779010157604866</v>
      </c>
      <c r="E53" s="15">
        <f>两日求解价格与决策!E53</f>
        <v>3.0072608770224685</v>
      </c>
      <c r="F53" s="15">
        <f>两日求解价格与决策!F53</f>
        <v>133.34876984353858</v>
      </c>
      <c r="G53" s="15">
        <f>两日求解价格与决策!G53</f>
        <v>76.229680025918086</v>
      </c>
      <c r="H53" s="15" t="str">
        <f>两日求解价格与决策!H53</f>
        <v>未模拟</v>
      </c>
      <c r="I53" s="16">
        <f>两日求解价格与决策!I53</f>
        <v>59.284096755279556</v>
      </c>
      <c r="J53" s="16">
        <f>两日求解价格与决策!J53</f>
        <v>42.9837737739131</v>
      </c>
      <c r="K53" s="16">
        <f>两日求解价格与决策!K53</f>
        <v>60</v>
      </c>
      <c r="L53" s="16">
        <f>两日求解价格与决策!L53</f>
        <v>40</v>
      </c>
      <c r="M53" s="16">
        <f>两日求解价格与决策!M53</f>
        <v>0</v>
      </c>
      <c r="N53" s="16">
        <f>两日求解价格与决策!N53</f>
        <v>24</v>
      </c>
      <c r="O53" s="16">
        <f>两日求解价格与决策!O53</f>
        <v>0</v>
      </c>
      <c r="P53" s="16">
        <f>两日求解价格与决策!P53</f>
        <v>3.7028571428571427E-3</v>
      </c>
      <c r="Q53" s="17">
        <f>两日求解价格与决策!Q53</f>
        <v>1821.6</v>
      </c>
      <c r="R53" s="17">
        <f>两日求解价格与决策!R53</f>
        <v>662.24534522516342</v>
      </c>
      <c r="S53" s="17">
        <f>两日求解价格与决策!S53</f>
        <v>0</v>
      </c>
      <c r="T53" s="17">
        <f>两日求解价格与决策!T53</f>
        <v>18.043565262134813</v>
      </c>
      <c r="U53" s="17">
        <f>两日求解价格与决策!U53</f>
        <v>0</v>
      </c>
      <c r="V53" s="17">
        <f>两日求解价格与决策!V53</f>
        <v>-0.28226761518168525</v>
      </c>
      <c r="W53" s="17">
        <f>两日求解价格与决策!W53</f>
        <v>2501.6066428721165</v>
      </c>
      <c r="X53" s="12">
        <f>两日求解价格与决策!X53</f>
        <v>2501.6066428721165</v>
      </c>
      <c r="Y53" s="19">
        <f>两日求解价格与决策!Y53</f>
        <v>0</v>
      </c>
      <c r="Z53" s="12" t="str">
        <f t="shared" si="1"/>
        <v>正式执行</v>
      </c>
      <c r="AA53" s="12">
        <f>两日求解价格与决策!AA53</f>
        <v>1</v>
      </c>
      <c r="AB53" s="12">
        <f>两日求解价格与决策!AB53</f>
        <v>1</v>
      </c>
      <c r="AC53" s="12">
        <f>两日求解价格与决策!AC53</f>
        <v>0.25</v>
      </c>
      <c r="AD53" s="18">
        <f>两日求解价格与决策!AD53</f>
        <v>0.3125</v>
      </c>
      <c r="AE53" s="18">
        <f>两日求解价格与决策!AE53</f>
        <v>0.13714285714285715</v>
      </c>
      <c r="AF53" s="18">
        <f>两日求解价格与决策!AF53</f>
        <v>6.88E-2</v>
      </c>
      <c r="AG53" s="18">
        <f>两日求解价格与决策!AG53</f>
        <v>6.1714285714285712E-4</v>
      </c>
      <c r="AH53" s="12">
        <f>两日求解价格与决策!AH53</f>
        <v>175</v>
      </c>
      <c r="AI53" s="12">
        <f>两日求解价格与决策!AI53</f>
        <v>175</v>
      </c>
      <c r="AJ53" s="12">
        <f>两日求解价格与决策!AJ53</f>
        <v>3.01</v>
      </c>
      <c r="AK53" s="12">
        <f>两日求解价格与决策!AK53</f>
        <v>2.7E-2</v>
      </c>
      <c r="AL53" s="12">
        <f>两日求解价格与决策!AL53</f>
        <v>91.903999999999996</v>
      </c>
      <c r="AM53" s="12">
        <f>两日求解价格与决策!AM53</f>
        <v>4.5278674948240165E-2</v>
      </c>
      <c r="AN53" s="12">
        <f>两日求解价格与决策!AN53</f>
        <v>0</v>
      </c>
      <c r="AO53" s="12">
        <f>两日求解价格与决策!AO53</f>
        <v>14.996297142857143</v>
      </c>
      <c r="AP53" s="12">
        <f>两日求解价格与决策!AP53</f>
        <v>42.9837737739131</v>
      </c>
      <c r="AQ53" s="19">
        <f>两日求解价格与决策!AQ53</f>
        <v>0</v>
      </c>
      <c r="AR53" s="12">
        <f>两日求解价格与决策!AR53</f>
        <v>5.2473000000000001</v>
      </c>
      <c r="AS53" s="14">
        <f>两日求解价格与决策!AS53</f>
        <v>46234</v>
      </c>
      <c r="AT53" s="13">
        <f>两日求解价格与决策!AT53</f>
        <v>46235.333333333336</v>
      </c>
      <c r="AU53" s="12" t="str">
        <f>两日求解价格与决策!AU53</f>
        <v>2026-08-01_41</v>
      </c>
      <c r="AV53" s="12">
        <f>两日求解价格与决策!AV53</f>
        <v>15</v>
      </c>
      <c r="AW53" s="12" t="str">
        <f>两日求解价格与决策!AW53</f>
        <v>OK</v>
      </c>
      <c r="AX53" s="12">
        <f>两日求解价格与决策!AX53</f>
        <v>128</v>
      </c>
      <c r="AY53" s="12">
        <f>两日求解价格与决策!AY53</f>
        <v>175</v>
      </c>
      <c r="AZ53" s="12">
        <f>两日求解价格与决策!AZ53</f>
        <v>175</v>
      </c>
      <c r="BA53" s="12">
        <f>两日求解价格与决策!BA53</f>
        <v>40</v>
      </c>
      <c r="BB53" s="12">
        <f>两日求解价格与决策!BB53</f>
        <v>24</v>
      </c>
      <c r="BC53" s="12">
        <f>两日求解价格与决策!BC53</f>
        <v>24</v>
      </c>
      <c r="BD53" s="14">
        <f>两日求解价格与决策!BD53</f>
        <v>46235</v>
      </c>
      <c r="BE53" s="1" t="str">
        <f>两日求解价格与决策!BE53</f>
        <v>60.000000 MW × 121.440000 × 0.250000 h = 1821.600000 EUR</v>
      </c>
      <c r="BF53" s="1" t="str">
        <f>两日求解价格与决策!BF53</f>
        <v>40.000000 MW × 66.224535 × 0.250000 h = 662.245345 EUR</v>
      </c>
      <c r="BG53" s="1" t="str">
        <f>两日求解价格与决策!BG53</f>
        <v>零头寸，无结算现金</v>
      </c>
      <c r="BH53" s="1" t="str">
        <f>两日求解价格与决策!BH53</f>
        <v>24.000000 MW × 3.007261 × 0.250000 h = 18.043565 EUR</v>
      </c>
      <c r="BI53" s="1" t="str">
        <f>两日求解价格与决策!BI53</f>
        <v>零上调激活电量</v>
      </c>
      <c r="BJ53" s="1" t="str">
        <f>两日求解价格与决策!BJ53</f>
        <v>−(0.003703 MWh × 76.229680) = -0.282268 EUR</v>
      </c>
      <c r="BK53" s="1" t="str">
        <f>两日求解价格与决策!BK53</f>
        <v>1821.600000 + 662.245345 + 0.000000 + 18.043565 + 0.000000 + -0.282268 = 2501.606643 EUR</v>
      </c>
    </row>
    <row r="54" spans="1:63" ht="21" customHeight="1" x14ac:dyDescent="0.45">
      <c r="A54" s="13">
        <f>两日求解价格与决策!A54</f>
        <v>46235.46875</v>
      </c>
      <c r="B54" s="15">
        <f>两日求解价格与决策!B54</f>
        <v>63.62</v>
      </c>
      <c r="C54" s="15">
        <f>两日求解价格与决策!C54</f>
        <v>66.224534522516336</v>
      </c>
      <c r="D54" s="15">
        <f>两日求解价格与决策!D54</f>
        <v>5.1779010157604866</v>
      </c>
      <c r="E54" s="15">
        <f>两日求解价格与决策!E54</f>
        <v>3.0072608770224685</v>
      </c>
      <c r="F54" s="15">
        <f>两日求解价格与决策!F54</f>
        <v>135.93524288681797</v>
      </c>
      <c r="G54" s="15">
        <f>两日求解价格与决策!G54</f>
        <v>0</v>
      </c>
      <c r="H54" s="15" t="str">
        <f>两日求解价格与决策!H54</f>
        <v>未模拟</v>
      </c>
      <c r="I54" s="16">
        <f>两日求解价格与决策!I54</f>
        <v>42.9837737739131</v>
      </c>
      <c r="J54" s="16">
        <f>两日求解价格与决策!J54</f>
        <v>42.9837737739131</v>
      </c>
      <c r="K54" s="16">
        <f>两日求解价格与决策!K54</f>
        <v>0</v>
      </c>
      <c r="L54" s="16">
        <f>两日求解价格与决策!L54</f>
        <v>40</v>
      </c>
      <c r="M54" s="16">
        <f>两日求解价格与决策!M54</f>
        <v>0</v>
      </c>
      <c r="N54" s="16">
        <f>两日求解价格与决策!N54</f>
        <v>24</v>
      </c>
      <c r="O54" s="16">
        <f>两日求解价格与决策!O54</f>
        <v>0</v>
      </c>
      <c r="P54" s="16">
        <f>两日求解价格与决策!P54</f>
        <v>0</v>
      </c>
      <c r="Q54" s="17">
        <f>两日求解价格与决策!Q54</f>
        <v>0</v>
      </c>
      <c r="R54" s="17">
        <f>两日求解价格与决策!R54</f>
        <v>662.24534522516342</v>
      </c>
      <c r="S54" s="17">
        <f>两日求解价格与决策!S54</f>
        <v>0</v>
      </c>
      <c r="T54" s="17">
        <f>两日求解价格与决策!T54</f>
        <v>18.043565262134813</v>
      </c>
      <c r="U54" s="17">
        <f>两日求解价格与决策!U54</f>
        <v>0</v>
      </c>
      <c r="V54" s="17">
        <f>两日求解价格与决策!V54</f>
        <v>0</v>
      </c>
      <c r="W54" s="17">
        <f>两日求解价格与决策!W54</f>
        <v>680.28891048729827</v>
      </c>
      <c r="X54" s="12">
        <f>两日求解价格与决策!X54</f>
        <v>680.28891048729827</v>
      </c>
      <c r="Y54" s="19">
        <f>两日求解价格与决策!Y54</f>
        <v>0</v>
      </c>
      <c r="Z54" s="12" t="str">
        <f t="shared" si="1"/>
        <v>正式执行</v>
      </c>
      <c r="AA54" s="12">
        <f>两日求解价格与决策!AA54</f>
        <v>1</v>
      </c>
      <c r="AB54" s="12">
        <f>两日求解价格与决策!AB54</f>
        <v>1</v>
      </c>
      <c r="AC54" s="12">
        <f>两日求解价格与决策!AC54</f>
        <v>0.25</v>
      </c>
      <c r="AD54" s="18">
        <f>两日求解价格与决策!AD54</f>
        <v>0.3125</v>
      </c>
      <c r="AE54" s="18">
        <f>两日求解价格与决策!AE54</f>
        <v>0.13714285714285715</v>
      </c>
      <c r="AF54" s="18">
        <f>两日求解价格与决策!AF54</f>
        <v>0.13442285714285715</v>
      </c>
      <c r="AG54" s="18">
        <f>两日求解价格与决策!AG54</f>
        <v>0</v>
      </c>
      <c r="AH54" s="12">
        <f>两日求解价格与决策!AH54</f>
        <v>175</v>
      </c>
      <c r="AI54" s="12">
        <f>两日求解价格与决策!AI54</f>
        <v>175</v>
      </c>
      <c r="AJ54" s="12">
        <f>两日求解价格与决策!AJ54</f>
        <v>5.8810000000000002</v>
      </c>
      <c r="AK54" s="12">
        <f>两日求解价格与决策!AK54</f>
        <v>0</v>
      </c>
      <c r="AL54" s="12">
        <f>两日求解价格与决策!AL54</f>
        <v>91.903999999999996</v>
      </c>
      <c r="AM54" s="12">
        <f>两日求解价格与决策!AM54</f>
        <v>0</v>
      </c>
      <c r="AN54" s="12">
        <f>两日求解价格与决策!AN54</f>
        <v>0</v>
      </c>
      <c r="AO54" s="12">
        <f>两日求解价格与决策!AO54</f>
        <v>0</v>
      </c>
      <c r="AP54" s="12">
        <f>两日求解价格与决策!AP54</f>
        <v>42.9837737739131</v>
      </c>
      <c r="AQ54" s="19">
        <f>两日求解价格与决策!AQ54</f>
        <v>0</v>
      </c>
      <c r="AR54" s="12">
        <f>两日求解价格与决策!AR54</f>
        <v>5.2473000000000001</v>
      </c>
      <c r="AS54" s="14">
        <f>两日求解价格与决策!AS54</f>
        <v>46234</v>
      </c>
      <c r="AT54" s="13">
        <f>两日求解价格与决策!AT54</f>
        <v>46235.34375</v>
      </c>
      <c r="AU54" s="12" t="str">
        <f>两日求解价格与决策!AU54</f>
        <v>2026-08-01_42</v>
      </c>
      <c r="AV54" s="12">
        <f>两日求解价格与决策!AV54</f>
        <v>15</v>
      </c>
      <c r="AW54" s="12" t="str">
        <f>两日求解价格与决策!AW54</f>
        <v>OK</v>
      </c>
      <c r="AX54" s="12">
        <f>两日求解价格与决策!AX54</f>
        <v>128</v>
      </c>
      <c r="AY54" s="12">
        <f>两日求解价格与决策!AY54</f>
        <v>175</v>
      </c>
      <c r="AZ54" s="12">
        <f>两日求解价格与决策!AZ54</f>
        <v>175</v>
      </c>
      <c r="BA54" s="12">
        <f>两日求解价格与决策!BA54</f>
        <v>40</v>
      </c>
      <c r="BB54" s="12">
        <f>两日求解价格与决策!BB54</f>
        <v>24</v>
      </c>
      <c r="BC54" s="12">
        <f>两日求解价格与决策!BC54</f>
        <v>24</v>
      </c>
      <c r="BD54" s="14">
        <f>两日求解价格与决策!BD54</f>
        <v>46235</v>
      </c>
      <c r="BE54" s="1" t="str">
        <f>两日求解价格与决策!BE54</f>
        <v>零头寸，无结算现金</v>
      </c>
      <c r="BF54" s="1" t="str">
        <f>两日求解价格与决策!BF54</f>
        <v>40.000000 MW × 66.224535 × 0.250000 h = 662.245345 EUR</v>
      </c>
      <c r="BG54" s="1" t="str">
        <f>两日求解价格与决策!BG54</f>
        <v>零头寸，无结算现金</v>
      </c>
      <c r="BH54" s="1" t="str">
        <f>两日求解价格与决策!BH54</f>
        <v>24.000000 MW × 3.007261 × 0.250000 h = 18.043565 EUR</v>
      </c>
      <c r="BI54" s="1" t="str">
        <f>两日求解价格与决策!BI54</f>
        <v>零上调激活电量</v>
      </c>
      <c r="BJ54" s="1" t="str">
        <f>两日求解价格与决策!BJ54</f>
        <v>零下调激活电量</v>
      </c>
      <c r="BK54" s="1" t="str">
        <f>两日求解价格与决策!BK54</f>
        <v>0.000000 + 662.245345 + 0.000000 + 18.043565 + 0.000000 + 0.000000 = 680.288910 EUR</v>
      </c>
    </row>
    <row r="55" spans="1:63" ht="21" customHeight="1" x14ac:dyDescent="0.45">
      <c r="A55" s="13">
        <f>两日求解价格与决策!A55</f>
        <v>46235.479166666664</v>
      </c>
      <c r="B55" s="15">
        <f>两日求解价格与决策!B55</f>
        <v>59.18</v>
      </c>
      <c r="C55" s="15">
        <f>两日求解价格与决策!C55</f>
        <v>66.224534522516336</v>
      </c>
      <c r="D55" s="15">
        <f>两日求解价格与决策!D55</f>
        <v>5.1779010157604866</v>
      </c>
      <c r="E55" s="15">
        <f>两日求解价格与决策!E55</f>
        <v>3.0072608770224685</v>
      </c>
      <c r="F55" s="15">
        <f>两日求解价格与决策!F55</f>
        <v>133.30284146132297</v>
      </c>
      <c r="G55" s="15">
        <f>两日求解价格与决策!G55</f>
        <v>76.229680025918086</v>
      </c>
      <c r="H55" s="15" t="str">
        <f>两日求解价格与决策!H55</f>
        <v>未模拟</v>
      </c>
      <c r="I55" s="16">
        <f>两日求解价格与决策!I55</f>
        <v>42.9837737739131</v>
      </c>
      <c r="J55" s="16">
        <f>两日求解价格与决策!J55</f>
        <v>51.264656973913098</v>
      </c>
      <c r="K55" s="16">
        <f>两日求解价格与决策!K55</f>
        <v>-36</v>
      </c>
      <c r="L55" s="16">
        <f>两日求解价格与决策!L55</f>
        <v>40</v>
      </c>
      <c r="M55" s="16">
        <f>两日求解价格与决策!M55</f>
        <v>0</v>
      </c>
      <c r="N55" s="16">
        <f>两日求解价格与决策!N55</f>
        <v>24</v>
      </c>
      <c r="O55" s="16">
        <f>两日求解价格与决策!O55</f>
        <v>0</v>
      </c>
      <c r="P55" s="16">
        <f>两日求解价格与决策!P55</f>
        <v>9.6000000000000013E-4</v>
      </c>
      <c r="Q55" s="17">
        <f>两日求解价格与决策!Q55</f>
        <v>-532.62</v>
      </c>
      <c r="R55" s="17">
        <f>两日求解价格与决策!R55</f>
        <v>662.24534522516342</v>
      </c>
      <c r="S55" s="17">
        <f>两日求解价格与决策!S55</f>
        <v>0</v>
      </c>
      <c r="T55" s="17">
        <f>两日求解价格与决策!T55</f>
        <v>18.043565262134813</v>
      </c>
      <c r="U55" s="17">
        <f>两日求解价格与决策!U55</f>
        <v>0</v>
      </c>
      <c r="V55" s="17">
        <f>两日求解价格与决策!V55</f>
        <v>-7.3180492824881371E-2</v>
      </c>
      <c r="W55" s="17">
        <f>两日求解价格与决策!W55</f>
        <v>147.59572999447334</v>
      </c>
      <c r="X55" s="12">
        <f>两日求解价格与决策!X55</f>
        <v>147.59572999447334</v>
      </c>
      <c r="Y55" s="19">
        <f>两日求解价格与决策!Y55</f>
        <v>0</v>
      </c>
      <c r="Z55" s="12" t="str">
        <f t="shared" si="1"/>
        <v>正式执行</v>
      </c>
      <c r="AA55" s="12">
        <f>两日求解价格与决策!AA55</f>
        <v>1</v>
      </c>
      <c r="AB55" s="12">
        <f>两日求解价格与决策!AB55</f>
        <v>1</v>
      </c>
      <c r="AC55" s="12">
        <f>两日求解价格与决策!AC55</f>
        <v>0.25</v>
      </c>
      <c r="AD55" s="18">
        <f>两日求解价格与决策!AD55</f>
        <v>0.3125</v>
      </c>
      <c r="AE55" s="18">
        <f>两日求解价格与决策!AE55</f>
        <v>0.13714285714285715</v>
      </c>
      <c r="AF55" s="18">
        <f>两日求解价格与决策!AF55</f>
        <v>6.0342857142857143E-2</v>
      </c>
      <c r="AG55" s="18">
        <f>两日求解价格与决策!AG55</f>
        <v>1.6000000000000001E-4</v>
      </c>
      <c r="AH55" s="12">
        <f>两日求解价格与决策!AH55</f>
        <v>175</v>
      </c>
      <c r="AI55" s="12">
        <f>两日求解价格与决策!AI55</f>
        <v>175</v>
      </c>
      <c r="AJ55" s="12">
        <f>两日求解价格与决策!AJ55</f>
        <v>2.64</v>
      </c>
      <c r="AK55" s="12">
        <f>两日求解价格与决策!AK55</f>
        <v>7.0000000000000001E-3</v>
      </c>
      <c r="AL55" s="12">
        <f>两日求解价格与决策!AL55</f>
        <v>91.903999999999996</v>
      </c>
      <c r="AM55" s="12">
        <f>两日求解价格与决策!AM55</f>
        <v>2.3002453333333336E-2</v>
      </c>
      <c r="AN55" s="12">
        <f>两日求解价格与决策!AN55</f>
        <v>9.0009599999999992</v>
      </c>
      <c r="AO55" s="12">
        <f>两日求解价格与决策!AO55</f>
        <v>0</v>
      </c>
      <c r="AP55" s="12">
        <f>两日求解价格与决策!AP55</f>
        <v>51.264656973913105</v>
      </c>
      <c r="AQ55" s="19">
        <f>两日求解价格与决策!AQ55</f>
        <v>0</v>
      </c>
      <c r="AR55" s="12">
        <f>两日求解价格与决策!AR55</f>
        <v>5.2473000000000001</v>
      </c>
      <c r="AS55" s="14">
        <f>两日求解价格与决策!AS55</f>
        <v>46234</v>
      </c>
      <c r="AT55" s="13">
        <f>两日求解价格与决策!AT55</f>
        <v>46235.354166666664</v>
      </c>
      <c r="AU55" s="12" t="str">
        <f>两日求解价格与决策!AU55</f>
        <v>2026-08-01_43</v>
      </c>
      <c r="AV55" s="12">
        <f>两日求解价格与决策!AV55</f>
        <v>15</v>
      </c>
      <c r="AW55" s="12" t="str">
        <f>两日求解价格与决策!AW55</f>
        <v>OK</v>
      </c>
      <c r="AX55" s="12">
        <f>两日求解价格与决策!AX55</f>
        <v>128</v>
      </c>
      <c r="AY55" s="12">
        <f>两日求解价格与决策!AY55</f>
        <v>175</v>
      </c>
      <c r="AZ55" s="12">
        <f>两日求解价格与决策!AZ55</f>
        <v>175</v>
      </c>
      <c r="BA55" s="12">
        <f>两日求解价格与决策!BA55</f>
        <v>40</v>
      </c>
      <c r="BB55" s="12">
        <f>两日求解价格与决策!BB55</f>
        <v>24</v>
      </c>
      <c r="BC55" s="12">
        <f>两日求解价格与决策!BC55</f>
        <v>24</v>
      </c>
      <c r="BD55" s="14">
        <f>两日求解价格与决策!BD55</f>
        <v>46235</v>
      </c>
      <c r="BE55" s="1" t="str">
        <f>两日求解价格与决策!BE55</f>
        <v>-36.000000 MW × 59.180000 × 0.250000 h = -532.620000 EUR</v>
      </c>
      <c r="BF55" s="1" t="str">
        <f>两日求解价格与决策!BF55</f>
        <v>40.000000 MW × 66.224535 × 0.250000 h = 662.245345 EUR</v>
      </c>
      <c r="BG55" s="1" t="str">
        <f>两日求解价格与决策!BG55</f>
        <v>零头寸，无结算现金</v>
      </c>
      <c r="BH55" s="1" t="str">
        <f>两日求解价格与决策!BH55</f>
        <v>24.000000 MW × 3.007261 × 0.250000 h = 18.043565 EUR</v>
      </c>
      <c r="BI55" s="1" t="str">
        <f>两日求解价格与决策!BI55</f>
        <v>零上调激活电量</v>
      </c>
      <c r="BJ55" s="1" t="str">
        <f>两日求解价格与决策!BJ55</f>
        <v>−(0.000960 MWh × 76.229680) = -0.073180 EUR</v>
      </c>
      <c r="BK55" s="1" t="str">
        <f>两日求解价格与决策!BK55</f>
        <v>-532.620000 + 662.245345 + 0.000000 + 18.043565 + 0.000000 + -0.073180 = 147.595730 EUR</v>
      </c>
    </row>
    <row r="56" spans="1:63" ht="21" customHeight="1" x14ac:dyDescent="0.45">
      <c r="A56" s="13">
        <f>两日求解价格与决策!A56</f>
        <v>46235.489583333336</v>
      </c>
      <c r="B56" s="15">
        <f>两日求解价格与决策!B56</f>
        <v>62.19</v>
      </c>
      <c r="C56" s="15">
        <f>两日求解价格与决策!C56</f>
        <v>66.224534522516336</v>
      </c>
      <c r="D56" s="15">
        <f>两日求解价格与决策!D56</f>
        <v>5.1779010157604866</v>
      </c>
      <c r="E56" s="15">
        <f>两日求解价格与决策!E56</f>
        <v>3.0072608770224685</v>
      </c>
      <c r="F56" s="15">
        <f>两日求解价格与决策!F56</f>
        <v>133.30360375812322</v>
      </c>
      <c r="G56" s="15">
        <f>两日求解价格与决策!G56</f>
        <v>55.663865225925711</v>
      </c>
      <c r="H56" s="15" t="str">
        <f>两日求解价格与决策!H56</f>
        <v>未模拟</v>
      </c>
      <c r="I56" s="16">
        <f>两日求解价格与决策!I56</f>
        <v>51.264656973913098</v>
      </c>
      <c r="J56" s="16">
        <f>两日求解价格与决策!J56</f>
        <v>51.627652173913098</v>
      </c>
      <c r="K56" s="16">
        <f>两日求解价格与决策!K56</f>
        <v>0</v>
      </c>
      <c r="L56" s="16">
        <f>两日求解价格与决策!L56</f>
        <v>40</v>
      </c>
      <c r="M56" s="16">
        <f>两日求解价格与决策!M56</f>
        <v>0</v>
      </c>
      <c r="N56" s="16">
        <f>两日求解价格与决策!N56</f>
        <v>24</v>
      </c>
      <c r="O56" s="16">
        <f>两日求解价格与决策!O56</f>
        <v>0</v>
      </c>
      <c r="P56" s="16">
        <f>两日求解价格与决策!P56</f>
        <v>0.39456000000000002</v>
      </c>
      <c r="Q56" s="17">
        <f>两日求解价格与决策!Q56</f>
        <v>0</v>
      </c>
      <c r="R56" s="17">
        <f>两日求解价格与决策!R56</f>
        <v>662.24534522516342</v>
      </c>
      <c r="S56" s="17">
        <f>两日求解价格与决策!S56</f>
        <v>0</v>
      </c>
      <c r="T56" s="17">
        <f>两日求解价格与决策!T56</f>
        <v>18.043565262134813</v>
      </c>
      <c r="U56" s="17">
        <f>两日求解价格与决策!U56</f>
        <v>0</v>
      </c>
      <c r="V56" s="17">
        <f>两日求解价格与决策!V56</f>
        <v>-21.962734663541251</v>
      </c>
      <c r="W56" s="17">
        <f>两日求解价格与决策!W56</f>
        <v>658.32617582375701</v>
      </c>
      <c r="X56" s="12">
        <f>两日求解价格与决策!X56</f>
        <v>658.32617582375701</v>
      </c>
      <c r="Y56" s="19">
        <f>两日求解价格与决策!Y56</f>
        <v>0</v>
      </c>
      <c r="Z56" s="12" t="str">
        <f t="shared" si="1"/>
        <v>正式执行</v>
      </c>
      <c r="AA56" s="12">
        <f>两日求解价格与决策!AA56</f>
        <v>1</v>
      </c>
      <c r="AB56" s="12">
        <f>两日求解价格与决策!AB56</f>
        <v>1</v>
      </c>
      <c r="AC56" s="12">
        <f>两日求解价格与决策!AC56</f>
        <v>0.25</v>
      </c>
      <c r="AD56" s="18">
        <f>两日求解价格与决策!AD56</f>
        <v>0.3125</v>
      </c>
      <c r="AE56" s="18">
        <f>两日求解价格与决策!AE56</f>
        <v>0.13714285714285715</v>
      </c>
      <c r="AF56" s="18">
        <f>两日求解价格与决策!AF56</f>
        <v>4.8502857142857139E-2</v>
      </c>
      <c r="AG56" s="18">
        <f>两日求解价格与决策!AG56</f>
        <v>6.5759999999999999E-2</v>
      </c>
      <c r="AH56" s="12">
        <f>两日求解价格与决策!AH56</f>
        <v>175</v>
      </c>
      <c r="AI56" s="12">
        <f>两日求解价格与决策!AI56</f>
        <v>175</v>
      </c>
      <c r="AJ56" s="12">
        <f>两日求解价格与决策!AJ56</f>
        <v>2.1219999999999999</v>
      </c>
      <c r="AK56" s="12">
        <f>两日求解价格与决策!AK56</f>
        <v>2.8769999999999998</v>
      </c>
      <c r="AL56" s="12">
        <f>两日求解价格与决策!AL56</f>
        <v>91.903999999999996</v>
      </c>
      <c r="AM56" s="12">
        <f>两日求解价格与决策!AM56</f>
        <v>1.00832E-3</v>
      </c>
      <c r="AN56" s="12">
        <f>两日求解价格与决策!AN56</f>
        <v>0.39456000000000002</v>
      </c>
      <c r="AO56" s="12">
        <f>两日求解价格与决策!AO56</f>
        <v>0</v>
      </c>
      <c r="AP56" s="12">
        <f>两日求解价格与决策!AP56</f>
        <v>51.627652173913106</v>
      </c>
      <c r="AQ56" s="19">
        <f>两日求解价格与决策!AQ56</f>
        <v>0</v>
      </c>
      <c r="AR56" s="12">
        <f>两日求解价格与决策!AR56</f>
        <v>5.2473000000000001</v>
      </c>
      <c r="AS56" s="14">
        <f>两日求解价格与决策!AS56</f>
        <v>46234</v>
      </c>
      <c r="AT56" s="13">
        <f>两日求解价格与决策!AT56</f>
        <v>46235.364583333336</v>
      </c>
      <c r="AU56" s="12" t="str">
        <f>两日求解价格与决策!AU56</f>
        <v>2026-08-01_44</v>
      </c>
      <c r="AV56" s="12">
        <f>两日求解价格与决策!AV56</f>
        <v>15</v>
      </c>
      <c r="AW56" s="12" t="str">
        <f>两日求解价格与决策!AW56</f>
        <v>OK</v>
      </c>
      <c r="AX56" s="12">
        <f>两日求解价格与决策!AX56</f>
        <v>128</v>
      </c>
      <c r="AY56" s="12">
        <f>两日求解价格与决策!AY56</f>
        <v>175</v>
      </c>
      <c r="AZ56" s="12">
        <f>两日求解价格与决策!AZ56</f>
        <v>175</v>
      </c>
      <c r="BA56" s="12">
        <f>两日求解价格与决策!BA56</f>
        <v>40</v>
      </c>
      <c r="BB56" s="12">
        <f>两日求解价格与决策!BB56</f>
        <v>24</v>
      </c>
      <c r="BC56" s="12">
        <f>两日求解价格与决策!BC56</f>
        <v>24</v>
      </c>
      <c r="BD56" s="14">
        <f>两日求解价格与决策!BD56</f>
        <v>46235</v>
      </c>
      <c r="BE56" s="1" t="str">
        <f>两日求解价格与决策!BE56</f>
        <v>零头寸，无结算现金</v>
      </c>
      <c r="BF56" s="1" t="str">
        <f>两日求解价格与决策!BF56</f>
        <v>40.000000 MW × 66.224535 × 0.250000 h = 662.245345 EUR</v>
      </c>
      <c r="BG56" s="1" t="str">
        <f>两日求解价格与决策!BG56</f>
        <v>零头寸，无结算现金</v>
      </c>
      <c r="BH56" s="1" t="str">
        <f>两日求解价格与决策!BH56</f>
        <v>24.000000 MW × 3.007261 × 0.250000 h = 18.043565 EUR</v>
      </c>
      <c r="BI56" s="1" t="str">
        <f>两日求解价格与决策!BI56</f>
        <v>零上调激活电量</v>
      </c>
      <c r="BJ56" s="1" t="str">
        <f>两日求解价格与决策!BJ56</f>
        <v>−(0.394560 MWh × 55.663865) = -21.962735 EUR</v>
      </c>
      <c r="BK56" s="1" t="str">
        <f>两日求解价格与决策!BK56</f>
        <v>0.000000 + 662.245345 + 0.000000 + 18.043565 + 0.000000 + -21.962735 = 658.326176 EUR</v>
      </c>
    </row>
    <row r="57" spans="1:63" ht="21" customHeight="1" x14ac:dyDescent="0.45">
      <c r="A57" s="13">
        <f>两日求解价格与决策!A57</f>
        <v>46235.5</v>
      </c>
      <c r="B57" s="15">
        <f>两日求解价格与决策!B57</f>
        <v>90.74</v>
      </c>
      <c r="C57" s="15">
        <f>两日求解价格与决策!C57</f>
        <v>66.224534522516336</v>
      </c>
      <c r="D57" s="15">
        <f>两日求解价格与决策!D57</f>
        <v>5.2274503077773327</v>
      </c>
      <c r="E57" s="15">
        <f>两日求解价格与决策!E57</f>
        <v>6.8740113963371634</v>
      </c>
      <c r="F57" s="15">
        <f>两日求解价格与决策!F57</f>
        <v>0</v>
      </c>
      <c r="G57" s="15">
        <f>两日求解价格与决策!G57</f>
        <v>61.805499971413873</v>
      </c>
      <c r="H57" s="15" t="str">
        <f>两日求解价格与决策!H57</f>
        <v>未模拟</v>
      </c>
      <c r="I57" s="16">
        <f>两日求解价格与决策!I57</f>
        <v>51.627652173913098</v>
      </c>
      <c r="J57" s="16">
        <f>两日求解价格与决策!J57</f>
        <v>41.291341614906891</v>
      </c>
      <c r="K57" s="16">
        <f>两日求解价格与决策!K57</f>
        <v>43</v>
      </c>
      <c r="L57" s="16">
        <f>两日求解价格与决策!L57</f>
        <v>40</v>
      </c>
      <c r="M57" s="16">
        <f>两日求解价格与决策!M57</f>
        <v>17</v>
      </c>
      <c r="N57" s="16">
        <f>两日求解价格与决策!N57</f>
        <v>24</v>
      </c>
      <c r="O57" s="16">
        <f>两日求解价格与决策!O57</f>
        <v>0</v>
      </c>
      <c r="P57" s="16">
        <f>两日求解价格与决策!P57</f>
        <v>1.2405942857142858</v>
      </c>
      <c r="Q57" s="17">
        <f>两日求解价格与决策!Q57</f>
        <v>975.45499999999993</v>
      </c>
      <c r="R57" s="17">
        <f>两日求解价格与决策!R57</f>
        <v>662.24534522516342</v>
      </c>
      <c r="S57" s="17">
        <f>两日求解价格与决策!S57</f>
        <v>22.216663808053664</v>
      </c>
      <c r="T57" s="17">
        <f>两日求解价格与决策!T57</f>
        <v>41.24406837802298</v>
      </c>
      <c r="U57" s="17">
        <f>两日求解价格与决策!U57</f>
        <v>0</v>
      </c>
      <c r="V57" s="17">
        <f>两日求解价格与决策!V57</f>
        <v>-76.675550090250496</v>
      </c>
      <c r="W57" s="17">
        <f>两日求解价格与决策!W57</f>
        <v>1624.4855273209896</v>
      </c>
      <c r="X57" s="12">
        <f>两日求解价格与决策!X57</f>
        <v>1624.4855273209896</v>
      </c>
      <c r="Y57" s="19">
        <f>两日求解价格与决策!Y57</f>
        <v>0</v>
      </c>
      <c r="Z57" s="12" t="str">
        <f t="shared" si="1"/>
        <v>正式执行</v>
      </c>
      <c r="AA57" s="12">
        <f>两日求解价格与决策!AA57</f>
        <v>1</v>
      </c>
      <c r="AB57" s="12">
        <f>两日求解价格与决策!AB57</f>
        <v>1</v>
      </c>
      <c r="AC57" s="12">
        <f>两日求解价格与决策!AC57</f>
        <v>0.25</v>
      </c>
      <c r="AD57" s="18">
        <f>两日求解价格与决策!AD57</f>
        <v>0.3125</v>
      </c>
      <c r="AE57" s="18">
        <f>两日求解价格与决策!AE57</f>
        <v>0.13714285714285715</v>
      </c>
      <c r="AF57" s="18">
        <f>两日求解价格与决策!AF57</f>
        <v>0</v>
      </c>
      <c r="AG57" s="18">
        <f>两日求解价格与决策!AG57</f>
        <v>0.20676571428571427</v>
      </c>
      <c r="AH57" s="12">
        <f>两日求解价格与决策!AH57</f>
        <v>175</v>
      </c>
      <c r="AI57" s="12">
        <f>两日求解价格与决策!AI57</f>
        <v>175</v>
      </c>
      <c r="AJ57" s="12">
        <f>两日求解价格与决策!AJ57</f>
        <v>0</v>
      </c>
      <c r="AK57" s="12">
        <f>两日求解价格与决策!AK57</f>
        <v>9.0459999999999994</v>
      </c>
      <c r="AL57" s="12">
        <f>两日求解价格与决策!AL57</f>
        <v>91.903999999999996</v>
      </c>
      <c r="AM57" s="12">
        <f>两日求解价格与决策!AM57</f>
        <v>2.8711973775017254E-2</v>
      </c>
      <c r="AN57" s="12">
        <f>两日求解价格与决策!AN57</f>
        <v>0</v>
      </c>
      <c r="AO57" s="12">
        <f>两日求解价格与决策!AO57</f>
        <v>9.5094057142857142</v>
      </c>
      <c r="AP57" s="12">
        <f>两日求解价格与决策!AP57</f>
        <v>41.291341614906898</v>
      </c>
      <c r="AQ57" s="19">
        <f>两日求解价格与决策!AQ57</f>
        <v>0</v>
      </c>
      <c r="AR57" s="12">
        <f>两日求解价格与决策!AR57</f>
        <v>5.2473000000000001</v>
      </c>
      <c r="AS57" s="14">
        <f>两日求解价格与决策!AS57</f>
        <v>46234</v>
      </c>
      <c r="AT57" s="13">
        <f>两日求解价格与决策!AT57</f>
        <v>46235.375</v>
      </c>
      <c r="AU57" s="12" t="str">
        <f>两日求解价格与决策!AU57</f>
        <v>2026-08-01_45</v>
      </c>
      <c r="AV57" s="12">
        <f>两日求解价格与决策!AV57</f>
        <v>15</v>
      </c>
      <c r="AW57" s="12" t="str">
        <f>两日求解价格与决策!AW57</f>
        <v>OK</v>
      </c>
      <c r="AX57" s="12">
        <f>两日求解价格与决策!AX57</f>
        <v>128</v>
      </c>
      <c r="AY57" s="12">
        <f>两日求解价格与决策!AY57</f>
        <v>175</v>
      </c>
      <c r="AZ57" s="12">
        <f>两日求解价格与决策!AZ57</f>
        <v>175</v>
      </c>
      <c r="BA57" s="12">
        <f>两日求解价格与决策!BA57</f>
        <v>40</v>
      </c>
      <c r="BB57" s="12">
        <f>两日求解价格与决策!BB57</f>
        <v>24</v>
      </c>
      <c r="BC57" s="12">
        <f>两日求解价格与决策!BC57</f>
        <v>24</v>
      </c>
      <c r="BD57" s="14">
        <f>两日求解价格与决策!BD57</f>
        <v>46235</v>
      </c>
      <c r="BE57" s="1" t="str">
        <f>两日求解价格与决策!BE57</f>
        <v>43.000000 MW × 90.740000 × 0.250000 h = 975.455000 EUR</v>
      </c>
      <c r="BF57" s="1" t="str">
        <f>两日求解价格与决策!BF57</f>
        <v>40.000000 MW × 66.224535 × 0.250000 h = 662.245345 EUR</v>
      </c>
      <c r="BG57" s="1" t="str">
        <f>两日求解价格与决策!BG57</f>
        <v>17.000000 MW × 5.227450 × 0.250000 h = 22.216664 EUR</v>
      </c>
      <c r="BH57" s="1" t="str">
        <f>两日求解价格与决策!BH57</f>
        <v>24.000000 MW × 6.874011 × 0.250000 h = 41.244068 EUR</v>
      </c>
      <c r="BI57" s="1" t="str">
        <f>两日求解价格与决策!BI57</f>
        <v>零上调激活电量</v>
      </c>
      <c r="BJ57" s="1" t="str">
        <f>两日求解价格与决策!BJ57</f>
        <v>−(1.240594 MWh × 61.805500) = -76.675550 EUR</v>
      </c>
      <c r="BK57" s="1" t="str">
        <f>两日求解价格与决策!BK57</f>
        <v>975.455000 + 662.245345 + 22.216664 + 41.244068 + 0.000000 + -76.675550 = 1624.485527 EUR</v>
      </c>
    </row>
    <row r="58" spans="1:63" ht="21" customHeight="1" x14ac:dyDescent="0.45">
      <c r="A58" s="13">
        <f>两日求解价格与决策!A58</f>
        <v>46235.510416666664</v>
      </c>
      <c r="B58" s="15">
        <f>两日求解价格与决策!B58</f>
        <v>74.41</v>
      </c>
      <c r="C58" s="15">
        <f>两日求解价格与决策!C58</f>
        <v>66.224534522516336</v>
      </c>
      <c r="D58" s="15">
        <f>两日求解价格与决策!D58</f>
        <v>5.2274503077773327</v>
      </c>
      <c r="E58" s="15">
        <f>两日求解价格与决策!E58</f>
        <v>6.8740113963371634</v>
      </c>
      <c r="F58" s="15">
        <f>两日求解价格与决策!F58</f>
        <v>0</v>
      </c>
      <c r="G58" s="15">
        <f>两日求解价格与决策!G58</f>
        <v>52.376460274807989</v>
      </c>
      <c r="H58" s="15" t="str">
        <f>两日求解价格与决策!H58</f>
        <v>未模拟</v>
      </c>
      <c r="I58" s="16">
        <f>两日求解价格与决策!I58</f>
        <v>41.291341614906891</v>
      </c>
      <c r="J58" s="16">
        <f>两日求解价格与决策!J58</f>
        <v>31.73913043478267</v>
      </c>
      <c r="K58" s="16">
        <f>两日求解价格与决策!K58</f>
        <v>43</v>
      </c>
      <c r="L58" s="16">
        <f>两日求解价格与决策!L58</f>
        <v>40</v>
      </c>
      <c r="M58" s="16">
        <f>两日求解价格与决策!M58</f>
        <v>17</v>
      </c>
      <c r="N58" s="16">
        <f>两日求解价格与决策!N58</f>
        <v>24</v>
      </c>
      <c r="O58" s="16">
        <f>两日求解价格与决策!O58</f>
        <v>0</v>
      </c>
      <c r="P58" s="16">
        <f>两日求解价格与决策!P58</f>
        <v>1.9619657142857141</v>
      </c>
      <c r="Q58" s="17">
        <f>两日求解价格与决策!Q58</f>
        <v>799.90749999999991</v>
      </c>
      <c r="R58" s="17">
        <f>两日求解价格与决策!R58</f>
        <v>662.24534522516342</v>
      </c>
      <c r="S58" s="17">
        <f>两日求解价格与决策!S58</f>
        <v>22.216663808053664</v>
      </c>
      <c r="T58" s="17">
        <f>两日求解价格与决策!T58</f>
        <v>41.24406837802298</v>
      </c>
      <c r="U58" s="17">
        <f>两日求解价格与决策!U58</f>
        <v>0</v>
      </c>
      <c r="V58" s="17">
        <f>两日求解价格与决策!V58</f>
        <v>-102.76081929482099</v>
      </c>
      <c r="W58" s="17">
        <f>两日求解价格与决策!W58</f>
        <v>1422.852758116419</v>
      </c>
      <c r="X58" s="12">
        <f>两日求解价格与决策!X58</f>
        <v>1422.852758116419</v>
      </c>
      <c r="Y58" s="19">
        <f>两日求解价格与决策!Y58</f>
        <v>0</v>
      </c>
      <c r="Z58" s="12" t="str">
        <f t="shared" si="1"/>
        <v>正式执行</v>
      </c>
      <c r="AA58" s="12">
        <f>两日求解价格与决策!AA58</f>
        <v>1</v>
      </c>
      <c r="AB58" s="12">
        <f>两日求解价格与决策!AB58</f>
        <v>1</v>
      </c>
      <c r="AC58" s="12">
        <f>两日求解价格与决策!AC58</f>
        <v>0.25</v>
      </c>
      <c r="AD58" s="18">
        <f>两日求解价格与决策!AD58</f>
        <v>0.3125</v>
      </c>
      <c r="AE58" s="18">
        <f>两日求解价格与决策!AE58</f>
        <v>0.13714285714285715</v>
      </c>
      <c r="AF58" s="18">
        <f>两日求解价格与决策!AF58</f>
        <v>0</v>
      </c>
      <c r="AG58" s="18">
        <f>两日求解价格与决策!AG58</f>
        <v>0.32699428571428568</v>
      </c>
      <c r="AH58" s="12">
        <f>两日求解价格与决策!AH58</f>
        <v>175</v>
      </c>
      <c r="AI58" s="12">
        <f>两日求解价格与决策!AI58</f>
        <v>175</v>
      </c>
      <c r="AJ58" s="12">
        <f>两日求解价格与决策!AJ58</f>
        <v>0</v>
      </c>
      <c r="AK58" s="12">
        <f>两日求解价格与决策!AK58</f>
        <v>14.305999999999999</v>
      </c>
      <c r="AL58" s="12">
        <f>两日求解价格与决策!AL58</f>
        <v>91.903999999999996</v>
      </c>
      <c r="AM58" s="12">
        <f>两日求解价格与决策!AM58</f>
        <v>2.653391994478951E-2</v>
      </c>
      <c r="AN58" s="12">
        <f>两日求解价格与决策!AN58</f>
        <v>0</v>
      </c>
      <c r="AO58" s="12">
        <f>两日求解价格与决策!AO58</f>
        <v>8.7880342857142857</v>
      </c>
      <c r="AP58" s="12">
        <f>两日求解价格与决策!AP58</f>
        <v>31.739130434782677</v>
      </c>
      <c r="AQ58" s="19">
        <f>两日求解价格与决策!AQ58</f>
        <v>0</v>
      </c>
      <c r="AR58" s="12">
        <f>两日求解价格与决策!AR58</f>
        <v>5.2473000000000001</v>
      </c>
      <c r="AS58" s="14">
        <f>两日求解价格与决策!AS58</f>
        <v>46234</v>
      </c>
      <c r="AT58" s="13">
        <f>两日求解价格与决策!AT58</f>
        <v>46235.385416666664</v>
      </c>
      <c r="AU58" s="12" t="str">
        <f>两日求解价格与决策!AU58</f>
        <v>2026-08-01_46</v>
      </c>
      <c r="AV58" s="12">
        <f>两日求解价格与决策!AV58</f>
        <v>15</v>
      </c>
      <c r="AW58" s="12" t="str">
        <f>两日求解价格与决策!AW58</f>
        <v>OK</v>
      </c>
      <c r="AX58" s="12">
        <f>两日求解价格与决策!AX58</f>
        <v>128</v>
      </c>
      <c r="AY58" s="12">
        <f>两日求解价格与决策!AY58</f>
        <v>175</v>
      </c>
      <c r="AZ58" s="12">
        <f>两日求解价格与决策!AZ58</f>
        <v>175</v>
      </c>
      <c r="BA58" s="12">
        <f>两日求解价格与决策!BA58</f>
        <v>40</v>
      </c>
      <c r="BB58" s="12">
        <f>两日求解价格与决策!BB58</f>
        <v>24</v>
      </c>
      <c r="BC58" s="12">
        <f>两日求解价格与决策!BC58</f>
        <v>24</v>
      </c>
      <c r="BD58" s="14">
        <f>两日求解价格与决策!BD58</f>
        <v>46235</v>
      </c>
      <c r="BE58" s="1" t="str">
        <f>两日求解价格与决策!BE58</f>
        <v>43.000000 MW × 74.410000 × 0.250000 h = 799.907500 EUR</v>
      </c>
      <c r="BF58" s="1" t="str">
        <f>两日求解价格与决策!BF58</f>
        <v>40.000000 MW × 66.224535 × 0.250000 h = 662.245345 EUR</v>
      </c>
      <c r="BG58" s="1" t="str">
        <f>两日求解价格与决策!BG58</f>
        <v>17.000000 MW × 5.227450 × 0.250000 h = 22.216664 EUR</v>
      </c>
      <c r="BH58" s="1" t="str">
        <f>两日求解价格与决策!BH58</f>
        <v>24.000000 MW × 6.874011 × 0.250000 h = 41.244068 EUR</v>
      </c>
      <c r="BI58" s="1" t="str">
        <f>两日求解价格与决策!BI58</f>
        <v>零上调激活电量</v>
      </c>
      <c r="BJ58" s="1" t="str">
        <f>两日求解价格与决策!BJ58</f>
        <v>−(1.961966 MWh × 52.376460) = -102.760819 EUR</v>
      </c>
      <c r="BK58" s="1" t="str">
        <f>两日求解价格与决策!BK58</f>
        <v>799.907500 + 662.245345 + 22.216664 + 41.244068 + 0.000000 + -102.760819 = 1422.852758 EUR</v>
      </c>
    </row>
    <row r="59" spans="1:63" ht="21" customHeight="1" x14ac:dyDescent="0.45">
      <c r="A59" s="13">
        <f>两日求解价格与决策!A59</f>
        <v>46235.520833333336</v>
      </c>
      <c r="B59" s="15">
        <f>两日求解价格与决策!B59</f>
        <v>56.04</v>
      </c>
      <c r="C59" s="15">
        <f>两日求解价格与决策!C59</f>
        <v>66.224534522516336</v>
      </c>
      <c r="D59" s="15">
        <f>两日求解价格与决策!D59</f>
        <v>5.2274503077773327</v>
      </c>
      <c r="E59" s="15">
        <f>两日求解价格与决策!E59</f>
        <v>6.8740113963371634</v>
      </c>
      <c r="F59" s="15">
        <f>两日求解价格与决策!F59</f>
        <v>0</v>
      </c>
      <c r="G59" s="15">
        <f>两日求解价格与决策!G59</f>
        <v>47.699959979417983</v>
      </c>
      <c r="H59" s="15" t="str">
        <f>两日求解价格与决策!H59</f>
        <v>未模拟</v>
      </c>
      <c r="I59" s="16">
        <f>两日求解价格与决策!I59</f>
        <v>31.73913043478267</v>
      </c>
      <c r="J59" s="16">
        <f>两日求解价格与决策!J59</f>
        <v>31.739130434782673</v>
      </c>
      <c r="K59" s="16">
        <f>两日求解价格与决策!K59</f>
        <v>10.608940694005863</v>
      </c>
      <c r="L59" s="16">
        <f>两日求解价格与决策!L59</f>
        <v>40</v>
      </c>
      <c r="M59" s="16">
        <f>两日求解价格与决策!M59</f>
        <v>17</v>
      </c>
      <c r="N59" s="16">
        <f>两日求解价格与决策!N59</f>
        <v>24</v>
      </c>
      <c r="O59" s="16">
        <f>两日求解价格与决策!O59</f>
        <v>0</v>
      </c>
      <c r="P59" s="16">
        <f>两日求解价格与决策!P59</f>
        <v>2.9008457142857145</v>
      </c>
      <c r="Q59" s="17">
        <f>两日求解价格与决策!Q59</f>
        <v>148.63125912302215</v>
      </c>
      <c r="R59" s="17">
        <f>两日求解价格与决策!R59</f>
        <v>662.24534522516342</v>
      </c>
      <c r="S59" s="17">
        <f>两日求解价格与决策!S59</f>
        <v>22.216663808053664</v>
      </c>
      <c r="T59" s="17">
        <f>两日求解价格与决策!T59</f>
        <v>41.24406837802298</v>
      </c>
      <c r="U59" s="17">
        <f>两日求解价格与决策!U59</f>
        <v>0</v>
      </c>
      <c r="V59" s="17">
        <f>两日求解价格与决策!V59</f>
        <v>-138.37022447789477</v>
      </c>
      <c r="W59" s="17">
        <f>两日求解价格与决策!W59</f>
        <v>735.96711205636745</v>
      </c>
      <c r="X59" s="12">
        <f>两日求解价格与决策!X59</f>
        <v>735.96711205636745</v>
      </c>
      <c r="Y59" s="19">
        <f>两日求解价格与决策!Y59</f>
        <v>0</v>
      </c>
      <c r="Z59" s="12" t="str">
        <f t="shared" si="1"/>
        <v>正式执行</v>
      </c>
      <c r="AA59" s="12">
        <f>两日求解价格与决策!AA59</f>
        <v>1</v>
      </c>
      <c r="AB59" s="12">
        <f>两日求解价格与决策!AB59</f>
        <v>1</v>
      </c>
      <c r="AC59" s="12">
        <f>两日求解价格与决策!AC59</f>
        <v>0.25</v>
      </c>
      <c r="AD59" s="18">
        <f>两日求解价格与决策!AD59</f>
        <v>0.3125</v>
      </c>
      <c r="AE59" s="18">
        <f>两日求解价格与决策!AE59</f>
        <v>0.13714285714285715</v>
      </c>
      <c r="AF59" s="18">
        <f>两日求解价格与决策!AF59</f>
        <v>0</v>
      </c>
      <c r="AG59" s="18">
        <f>两日求解价格与决策!AG59</f>
        <v>0.48347428571428575</v>
      </c>
      <c r="AH59" s="12">
        <f>两日求解价格与决策!AH59</f>
        <v>175</v>
      </c>
      <c r="AI59" s="12">
        <f>两日求解价格与决策!AI59</f>
        <v>175</v>
      </c>
      <c r="AJ59" s="12">
        <f>两日求解价格与决策!AJ59</f>
        <v>0</v>
      </c>
      <c r="AK59" s="12">
        <f>两日求解价格与决策!AK59</f>
        <v>21.152000000000001</v>
      </c>
      <c r="AL59" s="12">
        <f>两日求解价格与决策!AL59</f>
        <v>91.903999999999996</v>
      </c>
      <c r="AM59" s="12">
        <f>两日求解价格与决策!AM59</f>
        <v>8.272630842068477E-3</v>
      </c>
      <c r="AN59" s="12">
        <f>两日求解价格与决策!AN59</f>
        <v>1.6185582082307886</v>
      </c>
      <c r="AO59" s="12">
        <f>两日求解价格与决策!AO59</f>
        <v>1.3699476674465398</v>
      </c>
      <c r="AP59" s="12">
        <f>两日求解价格与决策!AP59</f>
        <v>31.73913043478268</v>
      </c>
      <c r="AQ59" s="19">
        <f>两日求解价格与决策!AQ59</f>
        <v>0</v>
      </c>
      <c r="AR59" s="12">
        <f>两日求解价格与决策!AR59</f>
        <v>5.2473000000000001</v>
      </c>
      <c r="AS59" s="14">
        <f>两日求解价格与决策!AS59</f>
        <v>46234</v>
      </c>
      <c r="AT59" s="13">
        <f>两日求解价格与决策!AT59</f>
        <v>46235.395833333336</v>
      </c>
      <c r="AU59" s="12" t="str">
        <f>两日求解价格与决策!AU59</f>
        <v>2026-08-01_47</v>
      </c>
      <c r="AV59" s="12">
        <f>两日求解价格与决策!AV59</f>
        <v>15</v>
      </c>
      <c r="AW59" s="12" t="str">
        <f>两日求解价格与决策!AW59</f>
        <v>OK</v>
      </c>
      <c r="AX59" s="12">
        <f>两日求解价格与决策!AX59</f>
        <v>128</v>
      </c>
      <c r="AY59" s="12">
        <f>两日求解价格与决策!AY59</f>
        <v>175</v>
      </c>
      <c r="AZ59" s="12">
        <f>两日求解价格与决策!AZ59</f>
        <v>175</v>
      </c>
      <c r="BA59" s="12">
        <f>两日求解价格与决策!BA59</f>
        <v>40</v>
      </c>
      <c r="BB59" s="12">
        <f>两日求解价格与决策!BB59</f>
        <v>24</v>
      </c>
      <c r="BC59" s="12">
        <f>两日求解价格与决策!BC59</f>
        <v>24</v>
      </c>
      <c r="BD59" s="14">
        <f>两日求解价格与决策!BD59</f>
        <v>46235</v>
      </c>
      <c r="BE59" s="1" t="str">
        <f>两日求解价格与决策!BE59</f>
        <v>10.608941 MW × 56.040000 × 0.250000 h = 148.631259 EUR</v>
      </c>
      <c r="BF59" s="1" t="str">
        <f>两日求解价格与决策!BF59</f>
        <v>40.000000 MW × 66.224535 × 0.250000 h = 662.245345 EUR</v>
      </c>
      <c r="BG59" s="1" t="str">
        <f>两日求解价格与决策!BG59</f>
        <v>17.000000 MW × 5.227450 × 0.250000 h = 22.216664 EUR</v>
      </c>
      <c r="BH59" s="1" t="str">
        <f>两日求解价格与决策!BH59</f>
        <v>24.000000 MW × 6.874011 × 0.250000 h = 41.244068 EUR</v>
      </c>
      <c r="BI59" s="1" t="str">
        <f>两日求解价格与决策!BI59</f>
        <v>零上调激活电量</v>
      </c>
      <c r="BJ59" s="1" t="str">
        <f>两日求解价格与决策!BJ59</f>
        <v>−(2.900846 MWh × 47.699960) = -138.370224 EUR</v>
      </c>
      <c r="BK59" s="1" t="str">
        <f>两日求解价格与决策!BK59</f>
        <v>148.631259 + 662.245345 + 22.216664 + 41.244068 + 0.000000 + -138.370224 = 735.967112 EUR</v>
      </c>
    </row>
    <row r="60" spans="1:63" ht="21" customHeight="1" x14ac:dyDescent="0.45">
      <c r="A60" s="13">
        <f>两日求解价格与决策!A60</f>
        <v>46235.53125</v>
      </c>
      <c r="B60" s="15">
        <f>两日求解价格与决策!B60</f>
        <v>28.94</v>
      </c>
      <c r="C60" s="15">
        <f>两日求解价格与决策!C60</f>
        <v>66.224534522516336</v>
      </c>
      <c r="D60" s="15">
        <f>两日求解价格与决策!D60</f>
        <v>5.2274503077773327</v>
      </c>
      <c r="E60" s="15">
        <f>两日求解价格与决策!E60</f>
        <v>6.8740113963371634</v>
      </c>
      <c r="F60" s="15">
        <f>两日求解价格与决策!F60</f>
        <v>0</v>
      </c>
      <c r="G60" s="15">
        <f>两日求解价格与决策!G60</f>
        <v>35.267852038191073</v>
      </c>
      <c r="H60" s="15" t="str">
        <f>两日求解价格与决策!H60</f>
        <v>未模拟</v>
      </c>
      <c r="I60" s="16">
        <f>两日求解价格与决策!I60</f>
        <v>31.739130434782673</v>
      </c>
      <c r="J60" s="16">
        <f>两日求解价格与决策!J60</f>
        <v>37.175055900621189</v>
      </c>
      <c r="K60" s="16">
        <f>两日求解价格与决策!K60</f>
        <v>-11.084241404266832</v>
      </c>
      <c r="L60" s="16">
        <f>两日求解价格与决策!L60</f>
        <v>40</v>
      </c>
      <c r="M60" s="16">
        <f>两日求解价格与决策!M60</f>
        <v>17</v>
      </c>
      <c r="N60" s="16">
        <f>两日求解价格与决策!N60</f>
        <v>24</v>
      </c>
      <c r="O60" s="16">
        <f>两日求解价格与决策!O60</f>
        <v>0</v>
      </c>
      <c r="P60" s="16">
        <f>两日求解价格与决策!P60</f>
        <v>3.1375542857142857</v>
      </c>
      <c r="Q60" s="17">
        <f>两日求解价格与决策!Q60</f>
        <v>-80.194486559870526</v>
      </c>
      <c r="R60" s="17">
        <f>两日求解价格与决策!R60</f>
        <v>662.24534522516342</v>
      </c>
      <c r="S60" s="17">
        <f>两日求解价格与决策!S60</f>
        <v>22.216663808053664</v>
      </c>
      <c r="T60" s="17">
        <f>两日求解价格与决策!T60</f>
        <v>41.24406837802298</v>
      </c>
      <c r="U60" s="17">
        <f>两日求解价格与决策!U60</f>
        <v>0</v>
      </c>
      <c r="V60" s="17">
        <f>两日求解价格与决策!V60</f>
        <v>-110.65480031036371</v>
      </c>
      <c r="W60" s="17">
        <f>两日求解价格与决策!W60</f>
        <v>534.85679054100592</v>
      </c>
      <c r="X60" s="12">
        <f>两日求解价格与决策!X60</f>
        <v>534.85679054100581</v>
      </c>
      <c r="Y60" s="19">
        <f>两日求解价格与决策!Y60</f>
        <v>0</v>
      </c>
      <c r="Z60" s="12" t="str">
        <f t="shared" si="1"/>
        <v>正式执行</v>
      </c>
      <c r="AA60" s="12">
        <f>两日求解价格与决策!AA60</f>
        <v>1</v>
      </c>
      <c r="AB60" s="12">
        <f>两日求解价格与决策!AB60</f>
        <v>1</v>
      </c>
      <c r="AC60" s="12">
        <f>两日求解价格与决策!AC60</f>
        <v>0.25</v>
      </c>
      <c r="AD60" s="18">
        <f>两日求解价格与决策!AD60</f>
        <v>0.3125</v>
      </c>
      <c r="AE60" s="18">
        <f>两日求解价格与决策!AE60</f>
        <v>0.13714285714285715</v>
      </c>
      <c r="AF60" s="18">
        <f>两日求解价格与决策!AF60</f>
        <v>0</v>
      </c>
      <c r="AG60" s="18">
        <f>两日求解价格与决策!AG60</f>
        <v>0.52292571428571433</v>
      </c>
      <c r="AH60" s="12">
        <f>两日求解价格与决策!AH60</f>
        <v>175</v>
      </c>
      <c r="AI60" s="12">
        <f>两日求解价格与决策!AI60</f>
        <v>175</v>
      </c>
      <c r="AJ60" s="12">
        <f>两日求解价格与决策!AJ60</f>
        <v>0</v>
      </c>
      <c r="AK60" s="12">
        <f>两日求解价格与决策!AK60</f>
        <v>22.878</v>
      </c>
      <c r="AL60" s="12">
        <f>两日求解价格与决策!AL60</f>
        <v>91.903999999999996</v>
      </c>
      <c r="AM60" s="12">
        <f>两日求解价格与决策!AM60</f>
        <v>1.5099792960662543E-2</v>
      </c>
      <c r="AN60" s="12">
        <f>两日求解价格与决策!AN60</f>
        <v>5.9086146367809942</v>
      </c>
      <c r="AO60" s="12">
        <f>两日求解价格与决策!AO60</f>
        <v>0</v>
      </c>
      <c r="AP60" s="12">
        <f>两日求解价格与决策!AP60</f>
        <v>37.175055900621196</v>
      </c>
      <c r="AQ60" s="19">
        <f>两日求解价格与决策!AQ60</f>
        <v>0</v>
      </c>
      <c r="AR60" s="12">
        <f>两日求解价格与决策!AR60</f>
        <v>5.2473000000000001</v>
      </c>
      <c r="AS60" s="14">
        <f>两日求解价格与决策!AS60</f>
        <v>46234</v>
      </c>
      <c r="AT60" s="13">
        <f>两日求解价格与决策!AT60</f>
        <v>46235.40625</v>
      </c>
      <c r="AU60" s="12" t="str">
        <f>两日求解价格与决策!AU60</f>
        <v>2026-08-01_48</v>
      </c>
      <c r="AV60" s="12">
        <f>两日求解价格与决策!AV60</f>
        <v>15</v>
      </c>
      <c r="AW60" s="12" t="str">
        <f>两日求解价格与决策!AW60</f>
        <v>OK</v>
      </c>
      <c r="AX60" s="12">
        <f>两日求解价格与决策!AX60</f>
        <v>128</v>
      </c>
      <c r="AY60" s="12">
        <f>两日求解价格与决策!AY60</f>
        <v>175</v>
      </c>
      <c r="AZ60" s="12">
        <f>两日求解价格与决策!AZ60</f>
        <v>175</v>
      </c>
      <c r="BA60" s="12">
        <f>两日求解价格与决策!BA60</f>
        <v>40</v>
      </c>
      <c r="BB60" s="12">
        <f>两日求解价格与决策!BB60</f>
        <v>24</v>
      </c>
      <c r="BC60" s="12">
        <f>两日求解价格与决策!BC60</f>
        <v>24</v>
      </c>
      <c r="BD60" s="14">
        <f>两日求解价格与决策!BD60</f>
        <v>46235</v>
      </c>
      <c r="BE60" s="1" t="str">
        <f>两日求解价格与决策!BE60</f>
        <v>-11.084241 MW × 28.940000 × 0.250000 h = -80.194487 EUR</v>
      </c>
      <c r="BF60" s="1" t="str">
        <f>两日求解价格与决策!BF60</f>
        <v>40.000000 MW × 66.224535 × 0.250000 h = 662.245345 EUR</v>
      </c>
      <c r="BG60" s="1" t="str">
        <f>两日求解价格与决策!BG60</f>
        <v>17.000000 MW × 5.227450 × 0.250000 h = 22.216664 EUR</v>
      </c>
      <c r="BH60" s="1" t="str">
        <f>两日求解价格与决策!BH60</f>
        <v>24.000000 MW × 6.874011 × 0.250000 h = 41.244068 EUR</v>
      </c>
      <c r="BI60" s="1" t="str">
        <f>两日求解价格与决策!BI60</f>
        <v>零上调激活电量</v>
      </c>
      <c r="BJ60" s="1" t="str">
        <f>两日求解价格与决策!BJ60</f>
        <v>−(3.137554 MWh × 35.267852) = -110.654800 EUR</v>
      </c>
      <c r="BK60" s="1" t="str">
        <f>两日求解价格与决策!BK60</f>
        <v>-80.194487 + 662.245345 + 22.216664 + 41.244068 + 0.000000 + -110.654800 = 534.856791 EUR</v>
      </c>
    </row>
    <row r="61" spans="1:63" ht="21" customHeight="1" x14ac:dyDescent="0.45">
      <c r="A61" s="13">
        <f>两日求解价格与决策!A61</f>
        <v>46235.541666666664</v>
      </c>
      <c r="B61" s="15">
        <f>两日求解价格与决策!B61</f>
        <v>35.909999999999997</v>
      </c>
      <c r="C61" s="15">
        <f>两日求解价格与决策!C61</f>
        <v>66.224534522516336</v>
      </c>
      <c r="D61" s="15">
        <f>两日求解价格与决策!D61</f>
        <v>5.1626550797553028</v>
      </c>
      <c r="E61" s="15">
        <f>两日求解价格与决策!E61</f>
        <v>6.8606712023326279</v>
      </c>
      <c r="F61" s="15">
        <f>两日求解价格与决策!F61</f>
        <v>0</v>
      </c>
      <c r="G61" s="15">
        <f>两日求解价格与决策!G61</f>
        <v>-267.70948868942122</v>
      </c>
      <c r="H61" s="15" t="str">
        <f>两日求解价格与决策!H61</f>
        <v>未模拟</v>
      </c>
      <c r="I61" s="16">
        <f>两日求解价格与决策!I61</f>
        <v>37.175055900621189</v>
      </c>
      <c r="J61" s="16">
        <f>两日求解价格与决策!J61</f>
        <v>31.73913043478268</v>
      </c>
      <c r="K61" s="16">
        <f>两日求解价格与决策!K61</f>
        <v>36</v>
      </c>
      <c r="L61" s="16">
        <f>两日求解价格与决策!L61</f>
        <v>40</v>
      </c>
      <c r="M61" s="16">
        <f>两日求解价格与决策!M61</f>
        <v>24</v>
      </c>
      <c r="N61" s="16">
        <f>两日求解价格与决策!N61</f>
        <v>24</v>
      </c>
      <c r="O61" s="16">
        <f>两日求解价格与决策!O61</f>
        <v>0</v>
      </c>
      <c r="P61" s="16">
        <f>两日求解价格与决策!P61</f>
        <v>3.9989485714285711</v>
      </c>
      <c r="Q61" s="17">
        <f>两日求解价格与决策!Q61</f>
        <v>323.18999999999994</v>
      </c>
      <c r="R61" s="17">
        <f>两日求解价格与决策!R61</f>
        <v>662.24534522516342</v>
      </c>
      <c r="S61" s="17">
        <f>两日求解价格与决策!S61</f>
        <v>30.975930478531815</v>
      </c>
      <c r="T61" s="17">
        <f>两日求解价格与决策!T61</f>
        <v>41.164027213995766</v>
      </c>
      <c r="U61" s="17">
        <f>两日求解价格与决策!U61</f>
        <v>0</v>
      </c>
      <c r="V61" s="17">
        <f>两日求解价格与决策!V61</f>
        <v>1070.5564773524343</v>
      </c>
      <c r="W61" s="17">
        <f>两日求解价格与决策!W61</f>
        <v>2128.1317802701251</v>
      </c>
      <c r="X61" s="12">
        <f>两日求解价格与决策!X61</f>
        <v>2128.1317802701251</v>
      </c>
      <c r="Y61" s="19">
        <f>两日求解价格与决策!Y61</f>
        <v>0</v>
      </c>
      <c r="Z61" s="12" t="str">
        <f t="shared" si="1"/>
        <v>正式执行</v>
      </c>
      <c r="AA61" s="12">
        <f>两日求解价格与决策!AA61</f>
        <v>1</v>
      </c>
      <c r="AB61" s="12">
        <f>两日求解价格与决策!AB61</f>
        <v>1</v>
      </c>
      <c r="AC61" s="12">
        <f>两日求解价格与决策!AC61</f>
        <v>0.25</v>
      </c>
      <c r="AD61" s="18">
        <f>两日求解价格与决策!AD61</f>
        <v>0.3125</v>
      </c>
      <c r="AE61" s="18">
        <f>两日求解价格与决策!AE61</f>
        <v>0.13714285714285715</v>
      </c>
      <c r="AF61" s="18">
        <f>两日求解价格与决策!AF61</f>
        <v>0</v>
      </c>
      <c r="AG61" s="18">
        <f>两日求解价格与决策!AG61</f>
        <v>0.66649142857142851</v>
      </c>
      <c r="AH61" s="12">
        <f>两日求解价格与决策!AH61</f>
        <v>175</v>
      </c>
      <c r="AI61" s="12">
        <f>两日求解价格与决策!AI61</f>
        <v>175</v>
      </c>
      <c r="AJ61" s="12">
        <f>两日求解价格与决策!AJ61</f>
        <v>0</v>
      </c>
      <c r="AK61" s="12">
        <f>两日求解价格与决策!AK61</f>
        <v>29.158999999999999</v>
      </c>
      <c r="AL61" s="12">
        <f>两日求解价格与决策!AL61</f>
        <v>91.903999999999996</v>
      </c>
      <c r="AM61" s="12">
        <f>两日求解价格与决策!AM61</f>
        <v>1.5099792960662526E-2</v>
      </c>
      <c r="AN61" s="12">
        <f>两日求解价格与决策!AN61</f>
        <v>0</v>
      </c>
      <c r="AO61" s="12">
        <f>两日求解价格与决策!AO61</f>
        <v>5.0010514285714285</v>
      </c>
      <c r="AP61" s="12">
        <f>两日求解价格与决策!AP61</f>
        <v>31.739130434782687</v>
      </c>
      <c r="AQ61" s="19">
        <f>两日求解价格与决策!AQ61</f>
        <v>0</v>
      </c>
      <c r="AR61" s="12">
        <f>两日求解价格与决策!AR61</f>
        <v>5.2473000000000001</v>
      </c>
      <c r="AS61" s="14">
        <f>两日求解价格与决策!AS61</f>
        <v>46234</v>
      </c>
      <c r="AT61" s="13">
        <f>两日求解价格与决策!AT61</f>
        <v>46235.416666666664</v>
      </c>
      <c r="AU61" s="12" t="str">
        <f>两日求解价格与决策!AU61</f>
        <v>2026-08-01_49</v>
      </c>
      <c r="AV61" s="12">
        <f>两日求解价格与决策!AV61</f>
        <v>15</v>
      </c>
      <c r="AW61" s="12" t="str">
        <f>两日求解价格与决策!AW61</f>
        <v>OK</v>
      </c>
      <c r="AX61" s="12">
        <f>两日求解价格与决策!AX61</f>
        <v>128</v>
      </c>
      <c r="AY61" s="12">
        <f>两日求解价格与决策!AY61</f>
        <v>175</v>
      </c>
      <c r="AZ61" s="12">
        <f>两日求解价格与决策!AZ61</f>
        <v>175</v>
      </c>
      <c r="BA61" s="12">
        <f>两日求解价格与决策!BA61</f>
        <v>40</v>
      </c>
      <c r="BB61" s="12">
        <f>两日求解价格与决策!BB61</f>
        <v>24</v>
      </c>
      <c r="BC61" s="12">
        <f>两日求解价格与决策!BC61</f>
        <v>24</v>
      </c>
      <c r="BD61" s="14">
        <f>两日求解价格与决策!BD61</f>
        <v>46235</v>
      </c>
      <c r="BE61" s="1" t="str">
        <f>两日求解价格与决策!BE61</f>
        <v>36.000000 MW × 35.910000 × 0.250000 h = 323.190000 EUR</v>
      </c>
      <c r="BF61" s="1" t="str">
        <f>两日求解价格与决策!BF61</f>
        <v>40.000000 MW × 66.224535 × 0.250000 h = 662.245345 EUR</v>
      </c>
      <c r="BG61" s="1" t="str">
        <f>两日求解价格与决策!BG61</f>
        <v>24.000000 MW × 5.162655 × 0.250000 h = 30.975930 EUR</v>
      </c>
      <c r="BH61" s="1" t="str">
        <f>两日求解价格与决策!BH61</f>
        <v>24.000000 MW × 6.860671 × 0.250000 h = 41.164027 EUR</v>
      </c>
      <c r="BI61" s="1" t="str">
        <f>两日求解价格与决策!BI61</f>
        <v>零上调激活电量</v>
      </c>
      <c r="BJ61" s="1" t="str">
        <f>两日求解价格与决策!BJ61</f>
        <v>−(3.998949 MWh × -267.709489) = 1070.556477 EUR</v>
      </c>
      <c r="BK61" s="1" t="str">
        <f>两日求解价格与决策!BK61</f>
        <v>323.190000 + 662.245345 + 30.975930 + 41.164027 + 0.000000 + 1070.556477 = 2128.131780 EUR</v>
      </c>
    </row>
    <row r="62" spans="1:63" ht="21" customHeight="1" x14ac:dyDescent="0.45">
      <c r="A62" s="13">
        <f>两日求解价格与决策!A62</f>
        <v>46235.552083333336</v>
      </c>
      <c r="B62" s="15">
        <f>两日求解价格与决策!B62</f>
        <v>22.63</v>
      </c>
      <c r="C62" s="15">
        <f>两日求解价格与决策!C62</f>
        <v>66.224534522516336</v>
      </c>
      <c r="D62" s="15">
        <f>两日求解价格与决策!D62</f>
        <v>5.1626550797553028</v>
      </c>
      <c r="E62" s="15">
        <f>两日求解价格与决策!E62</f>
        <v>6.8606712023326279</v>
      </c>
      <c r="F62" s="15">
        <f>两日求解价格与决策!F62</f>
        <v>0</v>
      </c>
      <c r="G62" s="15">
        <f>两日求解价格与决策!G62</f>
        <v>-462.28498465877692</v>
      </c>
      <c r="H62" s="15" t="str">
        <f>两日求解价格与决策!H62</f>
        <v>未模拟</v>
      </c>
      <c r="I62" s="16">
        <f>两日求解价格与决策!I62</f>
        <v>31.73913043478268</v>
      </c>
      <c r="J62" s="16">
        <f>两日求解价格与决策!J62</f>
        <v>44.16058140621125</v>
      </c>
      <c r="K62" s="16">
        <f>两日求解价格与决策!K62</f>
        <v>-36</v>
      </c>
      <c r="L62" s="16">
        <f>两日求解价格与决策!L62</f>
        <v>40</v>
      </c>
      <c r="M62" s="16">
        <f>两日求解价格与决策!M62</f>
        <v>24</v>
      </c>
      <c r="N62" s="16">
        <f>两日求解价格与决策!N62</f>
        <v>24</v>
      </c>
      <c r="O62" s="16">
        <f>两日求解价格与决策!O62</f>
        <v>0</v>
      </c>
      <c r="P62" s="16">
        <f>两日求解价格与决策!P62</f>
        <v>4.5015771428571423</v>
      </c>
      <c r="Q62" s="17">
        <f>两日求解价格与决策!Q62</f>
        <v>-203.67</v>
      </c>
      <c r="R62" s="17">
        <f>两日求解价格与决策!R62</f>
        <v>662.24534522516342</v>
      </c>
      <c r="S62" s="17">
        <f>两日求解价格与决策!S62</f>
        <v>30.975930478531815</v>
      </c>
      <c r="T62" s="17">
        <f>两日求解价格与决策!T62</f>
        <v>41.164027213995766</v>
      </c>
      <c r="U62" s="17">
        <f>两日求解价格与决策!U62</f>
        <v>0</v>
      </c>
      <c r="V62" s="17">
        <f>两日求解价格与决策!V62</f>
        <v>2081.0115204260151</v>
      </c>
      <c r="W62" s="17">
        <f>两日求解价格与决策!W62</f>
        <v>2611.7268233437062</v>
      </c>
      <c r="X62" s="12">
        <f>两日求解价格与决策!X62</f>
        <v>2611.7268233437062</v>
      </c>
      <c r="Y62" s="19">
        <f>两日求解价格与决策!Y62</f>
        <v>0</v>
      </c>
      <c r="Z62" s="12" t="str">
        <f t="shared" si="1"/>
        <v>正式执行</v>
      </c>
      <c r="AA62" s="12">
        <f>两日求解价格与决策!AA62</f>
        <v>1</v>
      </c>
      <c r="AB62" s="12">
        <f>两日求解价格与决策!AB62</f>
        <v>1</v>
      </c>
      <c r="AC62" s="12">
        <f>两日求解价格与决策!AC62</f>
        <v>0.25</v>
      </c>
      <c r="AD62" s="18">
        <f>两日求解价格与决策!AD62</f>
        <v>0.3125</v>
      </c>
      <c r="AE62" s="18">
        <f>两日求解价格与决策!AE62</f>
        <v>0.13714285714285715</v>
      </c>
      <c r="AF62" s="18">
        <f>两日求解价格与决策!AF62</f>
        <v>0</v>
      </c>
      <c r="AG62" s="18">
        <f>两日求解价格与决策!AG62</f>
        <v>0.75026285714285712</v>
      </c>
      <c r="AH62" s="12">
        <f>两日求解价格与决策!AH62</f>
        <v>175</v>
      </c>
      <c r="AI62" s="12">
        <f>两日求解价格与决策!AI62</f>
        <v>175</v>
      </c>
      <c r="AJ62" s="12">
        <f>两日求解价格与决策!AJ62</f>
        <v>0</v>
      </c>
      <c r="AK62" s="12">
        <f>两日求解价格与决策!AK62</f>
        <v>32.823999999999998</v>
      </c>
      <c r="AL62" s="12">
        <f>两日求解价格与决策!AL62</f>
        <v>91.903999999999996</v>
      </c>
      <c r="AM62" s="12">
        <f>两日求解价格与决策!AM62</f>
        <v>3.4504030476190474E-2</v>
      </c>
      <c r="AN62" s="12">
        <f>两日求解价格与决策!AN62</f>
        <v>13.501577142857142</v>
      </c>
      <c r="AO62" s="12">
        <f>两日求解价格与决策!AO62</f>
        <v>0</v>
      </c>
      <c r="AP62" s="12">
        <f>两日求解价格与决策!AP62</f>
        <v>44.160581406211257</v>
      </c>
      <c r="AQ62" s="19">
        <f>两日求解价格与决策!AQ62</f>
        <v>0</v>
      </c>
      <c r="AR62" s="12">
        <f>两日求解价格与决策!AR62</f>
        <v>5.2473000000000001</v>
      </c>
      <c r="AS62" s="14">
        <f>两日求解价格与决策!AS62</f>
        <v>46234</v>
      </c>
      <c r="AT62" s="13">
        <f>两日求解价格与决策!AT62</f>
        <v>46235.427083333336</v>
      </c>
      <c r="AU62" s="12" t="str">
        <f>两日求解价格与决策!AU62</f>
        <v>2026-08-01_50</v>
      </c>
      <c r="AV62" s="12">
        <f>两日求解价格与决策!AV62</f>
        <v>15</v>
      </c>
      <c r="AW62" s="12" t="str">
        <f>两日求解价格与决策!AW62</f>
        <v>OK</v>
      </c>
      <c r="AX62" s="12">
        <f>两日求解价格与决策!AX62</f>
        <v>128</v>
      </c>
      <c r="AY62" s="12">
        <f>两日求解价格与决策!AY62</f>
        <v>175</v>
      </c>
      <c r="AZ62" s="12">
        <f>两日求解价格与决策!AZ62</f>
        <v>175</v>
      </c>
      <c r="BA62" s="12">
        <f>两日求解价格与决策!BA62</f>
        <v>40</v>
      </c>
      <c r="BB62" s="12">
        <f>两日求解价格与决策!BB62</f>
        <v>24</v>
      </c>
      <c r="BC62" s="12">
        <f>两日求解价格与决策!BC62</f>
        <v>24</v>
      </c>
      <c r="BD62" s="14">
        <f>两日求解价格与决策!BD62</f>
        <v>46235</v>
      </c>
      <c r="BE62" s="1" t="str">
        <f>两日求解价格与决策!BE62</f>
        <v>-36.000000 MW × 22.630000 × 0.250000 h = -203.670000 EUR</v>
      </c>
      <c r="BF62" s="1" t="str">
        <f>两日求解价格与决策!BF62</f>
        <v>40.000000 MW × 66.224535 × 0.250000 h = 662.245345 EUR</v>
      </c>
      <c r="BG62" s="1" t="str">
        <f>两日求解价格与决策!BG62</f>
        <v>24.000000 MW × 5.162655 × 0.250000 h = 30.975930 EUR</v>
      </c>
      <c r="BH62" s="1" t="str">
        <f>两日求解价格与决策!BH62</f>
        <v>24.000000 MW × 6.860671 × 0.250000 h = 41.164027 EUR</v>
      </c>
      <c r="BI62" s="1" t="str">
        <f>两日求解价格与决策!BI62</f>
        <v>零上调激活电量</v>
      </c>
      <c r="BJ62" s="1" t="str">
        <f>两日求解价格与决策!BJ62</f>
        <v>−(4.501577 MWh × -462.284985) = 2081.011520 EUR</v>
      </c>
      <c r="BK62" s="1" t="str">
        <f>两日求解价格与决策!BK62</f>
        <v>-203.670000 + 662.245345 + 30.975930 + 41.164027 + 0.000000 + 2081.011520 = 2611.726823 EUR</v>
      </c>
    </row>
    <row r="63" spans="1:63" ht="21" customHeight="1" x14ac:dyDescent="0.45">
      <c r="A63" s="13">
        <f>两日求解价格与决策!A63</f>
        <v>46235.5625</v>
      </c>
      <c r="B63" s="15">
        <f>两日求解价格与决策!B63</f>
        <v>14.99</v>
      </c>
      <c r="C63" s="15">
        <f>两日求解价格与决策!C63</f>
        <v>66.224534522516336</v>
      </c>
      <c r="D63" s="15">
        <f>两日求解价格与决策!D63</f>
        <v>5.1626550797553028</v>
      </c>
      <c r="E63" s="15">
        <f>两日求解价格与决策!E63</f>
        <v>6.8606712023326279</v>
      </c>
      <c r="F63" s="15">
        <f>两日求解价格与决策!F63</f>
        <v>0</v>
      </c>
      <c r="G63" s="15">
        <f>两日求解价格与决策!G63</f>
        <v>-6.6495149886608358</v>
      </c>
      <c r="H63" s="15" t="str">
        <f>两日求解价格与决策!H63</f>
        <v>未模拟</v>
      </c>
      <c r="I63" s="16">
        <f>两日求解价格与决策!I63</f>
        <v>44.16058140621125</v>
      </c>
      <c r="J63" s="16">
        <f>两日求解价格与决策!J63</f>
        <v>53.855720149068397</v>
      </c>
      <c r="K63" s="16">
        <f>两日求解价格与决策!K63</f>
        <v>-36</v>
      </c>
      <c r="L63" s="16">
        <f>两日求解价格与决策!L63</f>
        <v>40</v>
      </c>
      <c r="M63" s="16">
        <f>两日求解价格与决策!M63</f>
        <v>24</v>
      </c>
      <c r="N63" s="16">
        <f>两日求解价格与决策!N63</f>
        <v>24</v>
      </c>
      <c r="O63" s="16">
        <f>两日求解价格与决策!O63</f>
        <v>0</v>
      </c>
      <c r="P63" s="16">
        <f>两日求解价格与决策!P63</f>
        <v>1.5381942857142854</v>
      </c>
      <c r="Q63" s="17">
        <f>两日求解价格与决策!Q63</f>
        <v>-134.91</v>
      </c>
      <c r="R63" s="17">
        <f>两日求解价格与决策!R63</f>
        <v>662.24534522516342</v>
      </c>
      <c r="S63" s="17">
        <f>两日求解价格与决策!S63</f>
        <v>30.975930478531815</v>
      </c>
      <c r="T63" s="17">
        <f>两日求解价格与决策!T63</f>
        <v>41.164027213995766</v>
      </c>
      <c r="U63" s="17">
        <f>两日求解价格与决策!U63</f>
        <v>0</v>
      </c>
      <c r="V63" s="17">
        <f>两日求解价格与决策!V63</f>
        <v>10.228245958329589</v>
      </c>
      <c r="W63" s="17">
        <f>两日求解价格与决策!W63</f>
        <v>609.70354887602059</v>
      </c>
      <c r="X63" s="12">
        <f>两日求解价格与决策!X63</f>
        <v>609.70354887602059</v>
      </c>
      <c r="Y63" s="19">
        <f>两日求解价格与决策!Y63</f>
        <v>0</v>
      </c>
      <c r="Z63" s="12" t="str">
        <f t="shared" si="1"/>
        <v>正式执行</v>
      </c>
      <c r="AA63" s="12">
        <f>两日求解价格与决策!AA63</f>
        <v>1</v>
      </c>
      <c r="AB63" s="12">
        <f>两日求解价格与决策!AB63</f>
        <v>1</v>
      </c>
      <c r="AC63" s="12">
        <f>两日求解价格与决策!AC63</f>
        <v>0.25</v>
      </c>
      <c r="AD63" s="18">
        <f>两日求解价格与决策!AD63</f>
        <v>0.3125</v>
      </c>
      <c r="AE63" s="18">
        <f>两日求解价格与决策!AE63</f>
        <v>0.13714285714285715</v>
      </c>
      <c r="AF63" s="18">
        <f>两日求解价格与决策!AF63</f>
        <v>0</v>
      </c>
      <c r="AG63" s="18">
        <f>两日求解价格与决策!AG63</f>
        <v>0.25636571428571425</v>
      </c>
      <c r="AH63" s="12">
        <f>两日求解价格与决策!AH63</f>
        <v>175</v>
      </c>
      <c r="AI63" s="12">
        <f>两日求解价格与决策!AI63</f>
        <v>175</v>
      </c>
      <c r="AJ63" s="12">
        <f>两日求解价格与决策!AJ63</f>
        <v>0</v>
      </c>
      <c r="AK63" s="12">
        <f>两日求解价格与决策!AK63</f>
        <v>11.215999999999999</v>
      </c>
      <c r="AL63" s="12">
        <f>两日求解价格与决策!AL63</f>
        <v>91.903999999999996</v>
      </c>
      <c r="AM63" s="12">
        <f>两日求解价格与决策!AM63</f>
        <v>2.6930940952380952E-2</v>
      </c>
      <c r="AN63" s="12">
        <f>两日求解价格与决策!AN63</f>
        <v>10.538194285714285</v>
      </c>
      <c r="AO63" s="12">
        <f>两日求解价格与决策!AO63</f>
        <v>0</v>
      </c>
      <c r="AP63" s="12">
        <f>两日求解价格与决策!AP63</f>
        <v>53.855720149068404</v>
      </c>
      <c r="AQ63" s="19">
        <f>两日求解价格与决策!AQ63</f>
        <v>0</v>
      </c>
      <c r="AR63" s="12">
        <f>两日求解价格与决策!AR63</f>
        <v>5.2473000000000001</v>
      </c>
      <c r="AS63" s="14">
        <f>两日求解价格与决策!AS63</f>
        <v>46234</v>
      </c>
      <c r="AT63" s="13">
        <f>两日求解价格与决策!AT63</f>
        <v>46235.4375</v>
      </c>
      <c r="AU63" s="12" t="str">
        <f>两日求解价格与决策!AU63</f>
        <v>2026-08-01_51</v>
      </c>
      <c r="AV63" s="12">
        <f>两日求解价格与决策!AV63</f>
        <v>15</v>
      </c>
      <c r="AW63" s="12" t="str">
        <f>两日求解价格与决策!AW63</f>
        <v>OK</v>
      </c>
      <c r="AX63" s="12">
        <f>两日求解价格与决策!AX63</f>
        <v>128</v>
      </c>
      <c r="AY63" s="12">
        <f>两日求解价格与决策!AY63</f>
        <v>175</v>
      </c>
      <c r="AZ63" s="12">
        <f>两日求解价格与决策!AZ63</f>
        <v>175</v>
      </c>
      <c r="BA63" s="12">
        <f>两日求解价格与决策!BA63</f>
        <v>40</v>
      </c>
      <c r="BB63" s="12">
        <f>两日求解价格与决策!BB63</f>
        <v>24</v>
      </c>
      <c r="BC63" s="12">
        <f>两日求解价格与决策!BC63</f>
        <v>24</v>
      </c>
      <c r="BD63" s="14">
        <f>两日求解价格与决策!BD63</f>
        <v>46235</v>
      </c>
      <c r="BE63" s="1" t="str">
        <f>两日求解价格与决策!BE63</f>
        <v>-36.000000 MW × 14.990000 × 0.250000 h = -134.910000 EUR</v>
      </c>
      <c r="BF63" s="1" t="str">
        <f>两日求解价格与决策!BF63</f>
        <v>40.000000 MW × 66.224535 × 0.250000 h = 662.245345 EUR</v>
      </c>
      <c r="BG63" s="1" t="str">
        <f>两日求解价格与决策!BG63</f>
        <v>24.000000 MW × 5.162655 × 0.250000 h = 30.975930 EUR</v>
      </c>
      <c r="BH63" s="1" t="str">
        <f>两日求解价格与决策!BH63</f>
        <v>24.000000 MW × 6.860671 × 0.250000 h = 41.164027 EUR</v>
      </c>
      <c r="BI63" s="1" t="str">
        <f>两日求解价格与决策!BI63</f>
        <v>零上调激活电量</v>
      </c>
      <c r="BJ63" s="1" t="str">
        <f>两日求解价格与决策!BJ63</f>
        <v>−(1.538194 MWh × -6.649515) = 10.228246 EUR</v>
      </c>
      <c r="BK63" s="1" t="str">
        <f>两日求解价格与决策!BK63</f>
        <v>-134.910000 + 662.245345 + 30.975930 + 41.164027 + 0.000000 + 10.228246 = 609.703549 EUR</v>
      </c>
    </row>
    <row r="64" spans="1:63" ht="21" customHeight="1" x14ac:dyDescent="0.45">
      <c r="A64" s="13">
        <f>两日求解价格与决策!A64</f>
        <v>46235.572916666664</v>
      </c>
      <c r="B64" s="15">
        <f>两日求解价格与决策!B64</f>
        <v>13</v>
      </c>
      <c r="C64" s="15">
        <f>两日求解价格与决策!C64</f>
        <v>66.224534522516336</v>
      </c>
      <c r="D64" s="15">
        <f>两日求解价格与决策!D64</f>
        <v>5.1626550797553028</v>
      </c>
      <c r="E64" s="15">
        <f>两日求解价格与决策!E64</f>
        <v>6.8606712023326279</v>
      </c>
      <c r="F64" s="15">
        <f>两日求解价格与决策!F64</f>
        <v>0</v>
      </c>
      <c r="G64" s="15">
        <f>两日求解价格与决策!G64</f>
        <v>-20.246793589083911</v>
      </c>
      <c r="H64" s="15" t="str">
        <f>两日求解价格与决策!H64</f>
        <v>未模拟</v>
      </c>
      <c r="I64" s="16">
        <f>两日求解价格与决策!I64</f>
        <v>53.855720149068397</v>
      </c>
      <c r="J64" s="16">
        <f>两日求解价格与决策!J64</f>
        <v>64.500298891925539</v>
      </c>
      <c r="K64" s="16">
        <f>两日求解价格与决策!K64</f>
        <v>-36</v>
      </c>
      <c r="L64" s="16">
        <f>两日求解价格与决策!L64</f>
        <v>40</v>
      </c>
      <c r="M64" s="16">
        <f>两日求解价格与决策!M64</f>
        <v>24</v>
      </c>
      <c r="N64" s="16">
        <f>两日求解价格与决策!N64</f>
        <v>24</v>
      </c>
      <c r="O64" s="16">
        <f>两日求解价格与决策!O64</f>
        <v>0</v>
      </c>
      <c r="P64" s="16">
        <f>两日求解价格与决策!P64</f>
        <v>2.5701942857142859</v>
      </c>
      <c r="Q64" s="17">
        <f>两日求解价格与决策!Q64</f>
        <v>-117</v>
      </c>
      <c r="R64" s="17">
        <f>两日求解价格与决策!R64</f>
        <v>662.24534522516342</v>
      </c>
      <c r="S64" s="17">
        <f>两日求解价格与决策!S64</f>
        <v>30.975930478531815</v>
      </c>
      <c r="T64" s="17">
        <f>两日求解价格与决策!T64</f>
        <v>41.164027213995766</v>
      </c>
      <c r="U64" s="17">
        <f>两日求解价格与决策!U64</f>
        <v>0</v>
      </c>
      <c r="V64" s="17">
        <f>两日求解价格与决策!V64</f>
        <v>52.038193186700106</v>
      </c>
      <c r="W64" s="17">
        <f>两日求解价格与决策!W64</f>
        <v>669.42349610439112</v>
      </c>
      <c r="X64" s="12">
        <f>两日求解价格与决策!X64</f>
        <v>669.42349610439112</v>
      </c>
      <c r="Y64" s="19">
        <f>两日求解价格与决策!Y64</f>
        <v>0</v>
      </c>
      <c r="Z64" s="12" t="str">
        <f t="shared" si="1"/>
        <v>正式执行</v>
      </c>
      <c r="AA64" s="12">
        <f>两日求解价格与决策!AA64</f>
        <v>1</v>
      </c>
      <c r="AB64" s="12">
        <f>两日求解价格与决策!AB64</f>
        <v>1</v>
      </c>
      <c r="AC64" s="12">
        <f>两日求解价格与决策!AC64</f>
        <v>0.25</v>
      </c>
      <c r="AD64" s="18">
        <f>两日求解价格与决策!AD64</f>
        <v>0.3125</v>
      </c>
      <c r="AE64" s="18">
        <f>两日求解价格与决策!AE64</f>
        <v>0.13714285714285715</v>
      </c>
      <c r="AF64" s="18">
        <f>两日求解价格与决策!AF64</f>
        <v>0</v>
      </c>
      <c r="AG64" s="18">
        <f>两日求解价格与决策!AG64</f>
        <v>0.42836571428571429</v>
      </c>
      <c r="AH64" s="12">
        <f>两日求解价格与决策!AH64</f>
        <v>175</v>
      </c>
      <c r="AI64" s="12">
        <f>两日求解价格与决策!AI64</f>
        <v>175</v>
      </c>
      <c r="AJ64" s="12">
        <f>两日求解价格与决策!AJ64</f>
        <v>0</v>
      </c>
      <c r="AK64" s="12">
        <f>两日求解价格与决策!AK64</f>
        <v>18.741</v>
      </c>
      <c r="AL64" s="12">
        <f>两日求解价格与决策!AL64</f>
        <v>91.903999999999996</v>
      </c>
      <c r="AM64" s="12">
        <f>两日求解价格与决策!AM64</f>
        <v>2.9568274285714291E-2</v>
      </c>
      <c r="AN64" s="12">
        <f>两日求解价格与决策!AN64</f>
        <v>11.570194285714287</v>
      </c>
      <c r="AO64" s="12">
        <f>两日求解价格与决策!AO64</f>
        <v>0</v>
      </c>
      <c r="AP64" s="12">
        <f>两日求解价格与决策!AP64</f>
        <v>64.500298891925553</v>
      </c>
      <c r="AQ64" s="19">
        <f>两日求解价格与决策!AQ64</f>
        <v>0</v>
      </c>
      <c r="AR64" s="12">
        <f>两日求解价格与决策!AR64</f>
        <v>5.2473000000000001</v>
      </c>
      <c r="AS64" s="14">
        <f>两日求解价格与决策!AS64</f>
        <v>46234</v>
      </c>
      <c r="AT64" s="13">
        <f>两日求解价格与决策!AT64</f>
        <v>46235.447916666664</v>
      </c>
      <c r="AU64" s="12" t="str">
        <f>两日求解价格与决策!AU64</f>
        <v>2026-08-01_52</v>
      </c>
      <c r="AV64" s="12">
        <f>两日求解价格与决策!AV64</f>
        <v>15</v>
      </c>
      <c r="AW64" s="12" t="str">
        <f>两日求解价格与决策!AW64</f>
        <v>OK</v>
      </c>
      <c r="AX64" s="12">
        <f>两日求解价格与决策!AX64</f>
        <v>128</v>
      </c>
      <c r="AY64" s="12">
        <f>两日求解价格与决策!AY64</f>
        <v>175</v>
      </c>
      <c r="AZ64" s="12">
        <f>两日求解价格与决策!AZ64</f>
        <v>175</v>
      </c>
      <c r="BA64" s="12">
        <f>两日求解价格与决策!BA64</f>
        <v>40</v>
      </c>
      <c r="BB64" s="12">
        <f>两日求解价格与决策!BB64</f>
        <v>24</v>
      </c>
      <c r="BC64" s="12">
        <f>两日求解价格与决策!BC64</f>
        <v>24</v>
      </c>
      <c r="BD64" s="14">
        <f>两日求解价格与决策!BD64</f>
        <v>46235</v>
      </c>
      <c r="BE64" s="1" t="str">
        <f>两日求解价格与决策!BE64</f>
        <v>-36.000000 MW × 13.000000 × 0.250000 h = -117.000000 EUR</v>
      </c>
      <c r="BF64" s="1" t="str">
        <f>两日求解价格与决策!BF64</f>
        <v>40.000000 MW × 66.224535 × 0.250000 h = 662.245345 EUR</v>
      </c>
      <c r="BG64" s="1" t="str">
        <f>两日求解价格与决策!BG64</f>
        <v>24.000000 MW × 5.162655 × 0.250000 h = 30.975930 EUR</v>
      </c>
      <c r="BH64" s="1" t="str">
        <f>两日求解价格与决策!BH64</f>
        <v>24.000000 MW × 6.860671 × 0.250000 h = 41.164027 EUR</v>
      </c>
      <c r="BI64" s="1" t="str">
        <f>两日求解价格与决策!BI64</f>
        <v>零上调激活电量</v>
      </c>
      <c r="BJ64" s="1" t="str">
        <f>两日求解价格与决策!BJ64</f>
        <v>−(2.570194 MWh × -20.246794) = 52.038193 EUR</v>
      </c>
      <c r="BK64" s="1" t="str">
        <f>两日求解价格与决策!BK64</f>
        <v>-117.000000 + 662.245345 + 30.975930 + 41.164027 + 0.000000 + 52.038193 = 669.423496 EUR</v>
      </c>
    </row>
    <row r="65" spans="1:63" ht="21" customHeight="1" x14ac:dyDescent="0.45">
      <c r="A65" s="13">
        <f>两日求解价格与决策!A65</f>
        <v>46235.583333333336</v>
      </c>
      <c r="B65" s="15">
        <f>两日求解价格与决策!B65</f>
        <v>14.94</v>
      </c>
      <c r="C65" s="15">
        <f>两日求解价格与决策!C65</f>
        <v>66.224534522516336</v>
      </c>
      <c r="D65" s="15">
        <f>两日求解价格与决策!D65</f>
        <v>5.1626550797553028</v>
      </c>
      <c r="E65" s="15">
        <f>两日求解价格与决策!E65</f>
        <v>6.8606712023326279</v>
      </c>
      <c r="F65" s="15">
        <f>两日求解价格与决策!F65</f>
        <v>0</v>
      </c>
      <c r="G65" s="15">
        <f>两日求解价格与决策!G65</f>
        <v>6.8698187639357382</v>
      </c>
      <c r="H65" s="15" t="str">
        <f>两日求解价格与决策!H65</f>
        <v>未模拟</v>
      </c>
      <c r="I65" s="16">
        <f>两日求解价格与决策!I65</f>
        <v>64.500298891925539</v>
      </c>
      <c r="J65" s="16">
        <f>两日求解价格与决策!J65</f>
        <v>73.975773177639823</v>
      </c>
      <c r="K65" s="16">
        <f>两日求解价格与决策!K65</f>
        <v>-36</v>
      </c>
      <c r="L65" s="16">
        <f>两日求解价格与决策!L65</f>
        <v>40</v>
      </c>
      <c r="M65" s="16">
        <f>两日求解价格与决策!M65</f>
        <v>24</v>
      </c>
      <c r="N65" s="16">
        <f>两日求解价格与决策!N65</f>
        <v>24</v>
      </c>
      <c r="O65" s="16">
        <f>两日求解价格与决策!O65</f>
        <v>0</v>
      </c>
      <c r="P65" s="16">
        <f>两日求解价格与决策!P65</f>
        <v>1.2994285714285714</v>
      </c>
      <c r="Q65" s="17">
        <f>两日求解价格与决策!Q65</f>
        <v>-134.46</v>
      </c>
      <c r="R65" s="17">
        <f>两日求解价格与决策!R65</f>
        <v>662.24534522516342</v>
      </c>
      <c r="S65" s="17">
        <f>两日求解价格与决策!S65</f>
        <v>30.975930478531815</v>
      </c>
      <c r="T65" s="17">
        <f>两日求解价格与决策!T65</f>
        <v>41.164027213995766</v>
      </c>
      <c r="U65" s="17">
        <f>两日求解价格与决策!U65</f>
        <v>0</v>
      </c>
      <c r="V65" s="17">
        <f>两日求解价格与决策!V65</f>
        <v>-8.9268387823942099</v>
      </c>
      <c r="W65" s="17">
        <f>两日求解价格与决策!W65</f>
        <v>590.99846413529679</v>
      </c>
      <c r="X65" s="12">
        <f>两日求解价格与决策!X65</f>
        <v>590.99846413529679</v>
      </c>
      <c r="Y65" s="19">
        <f>两日求解价格与决策!Y65</f>
        <v>0</v>
      </c>
      <c r="Z65" s="12" t="str">
        <f t="shared" si="1"/>
        <v>正式执行</v>
      </c>
      <c r="AA65" s="12">
        <f>两日求解价格与决策!AA65</f>
        <v>1</v>
      </c>
      <c r="AB65" s="12">
        <f>两日求解价格与决策!AB65</f>
        <v>1</v>
      </c>
      <c r="AC65" s="12">
        <f>两日求解价格与决策!AC65</f>
        <v>0.25</v>
      </c>
      <c r="AD65" s="18">
        <f>两日求解价格与决策!AD65</f>
        <v>0.3125</v>
      </c>
      <c r="AE65" s="18">
        <f>两日求解价格与决策!AE65</f>
        <v>0.13714285714285715</v>
      </c>
      <c r="AF65" s="18">
        <f>两日求解价格与决策!AF65</f>
        <v>0</v>
      </c>
      <c r="AG65" s="18">
        <f>两日求解价格与决策!AG65</f>
        <v>0.21657142857142855</v>
      </c>
      <c r="AH65" s="12">
        <f>两日求解价格与决策!AH65</f>
        <v>175</v>
      </c>
      <c r="AI65" s="12">
        <f>两日求解价格与决策!AI65</f>
        <v>175</v>
      </c>
      <c r="AJ65" s="12">
        <f>两日求解价格与决策!AJ65</f>
        <v>0</v>
      </c>
      <c r="AK65" s="12">
        <f>两日求解价格与决策!AK65</f>
        <v>9.4749999999999996</v>
      </c>
      <c r="AL65" s="12">
        <f>两日求解价格与决策!AL65</f>
        <v>91.903999999999996</v>
      </c>
      <c r="AM65" s="12">
        <f>两日求解价格与决策!AM65</f>
        <v>2.6320761904761909E-2</v>
      </c>
      <c r="AN65" s="12">
        <f>两日求解价格与决策!AN65</f>
        <v>10.299428571428571</v>
      </c>
      <c r="AO65" s="12">
        <f>两日求解价格与决策!AO65</f>
        <v>0</v>
      </c>
      <c r="AP65" s="12">
        <f>两日求解价格与决策!AP65</f>
        <v>73.975773177639837</v>
      </c>
      <c r="AQ65" s="19">
        <f>两日求解价格与决策!AQ65</f>
        <v>0</v>
      </c>
      <c r="AR65" s="12">
        <f>两日求解价格与决策!AR65</f>
        <v>5.2473000000000001</v>
      </c>
      <c r="AS65" s="14">
        <f>两日求解价格与决策!AS65</f>
        <v>46234</v>
      </c>
      <c r="AT65" s="13">
        <f>两日求解价格与决策!AT65</f>
        <v>46235.458333333336</v>
      </c>
      <c r="AU65" s="12" t="str">
        <f>两日求解价格与决策!AU65</f>
        <v>2026-08-01_53</v>
      </c>
      <c r="AV65" s="12">
        <f>两日求解价格与决策!AV65</f>
        <v>15</v>
      </c>
      <c r="AW65" s="12" t="str">
        <f>两日求解价格与决策!AW65</f>
        <v>OK</v>
      </c>
      <c r="AX65" s="12">
        <f>两日求解价格与决策!AX65</f>
        <v>128</v>
      </c>
      <c r="AY65" s="12">
        <f>两日求解价格与决策!AY65</f>
        <v>175</v>
      </c>
      <c r="AZ65" s="12">
        <f>两日求解价格与决策!AZ65</f>
        <v>175</v>
      </c>
      <c r="BA65" s="12">
        <f>两日求解价格与决策!BA65</f>
        <v>40</v>
      </c>
      <c r="BB65" s="12">
        <f>两日求解价格与决策!BB65</f>
        <v>24</v>
      </c>
      <c r="BC65" s="12">
        <f>两日求解价格与决策!BC65</f>
        <v>24</v>
      </c>
      <c r="BD65" s="14">
        <f>两日求解价格与决策!BD65</f>
        <v>46235</v>
      </c>
      <c r="BE65" s="1" t="str">
        <f>两日求解价格与决策!BE65</f>
        <v>-36.000000 MW × 14.940000 × 0.250000 h = -134.460000 EUR</v>
      </c>
      <c r="BF65" s="1" t="str">
        <f>两日求解价格与决策!BF65</f>
        <v>40.000000 MW × 66.224535 × 0.250000 h = 662.245345 EUR</v>
      </c>
      <c r="BG65" s="1" t="str">
        <f>两日求解价格与决策!BG65</f>
        <v>24.000000 MW × 5.162655 × 0.250000 h = 30.975930 EUR</v>
      </c>
      <c r="BH65" s="1" t="str">
        <f>两日求解价格与决策!BH65</f>
        <v>24.000000 MW × 6.860671 × 0.250000 h = 41.164027 EUR</v>
      </c>
      <c r="BI65" s="1" t="str">
        <f>两日求解价格与决策!BI65</f>
        <v>零上调激活电量</v>
      </c>
      <c r="BJ65" s="1" t="str">
        <f>两日求解价格与决策!BJ65</f>
        <v>−(1.299429 MWh × 6.869819) = -8.926839 EUR</v>
      </c>
      <c r="BK65" s="1" t="str">
        <f>两日求解价格与决策!BK65</f>
        <v>-134.460000 + 662.245345 + 30.975930 + 41.164027 + 0.000000 + -8.926839 = 590.998464 EUR</v>
      </c>
    </row>
    <row r="66" spans="1:63" ht="21" customHeight="1" x14ac:dyDescent="0.45">
      <c r="A66" s="13">
        <f>两日求解价格与决策!A66</f>
        <v>46235.59375</v>
      </c>
      <c r="B66" s="15">
        <f>两日求解价格与决策!B66</f>
        <v>14.93</v>
      </c>
      <c r="C66" s="15">
        <f>两日求解价格与决策!C66</f>
        <v>66.224534522516336</v>
      </c>
      <c r="D66" s="15">
        <f>两日求解价格与决策!D66</f>
        <v>5.1626550797553028</v>
      </c>
      <c r="E66" s="15">
        <f>两日求解价格与决策!E66</f>
        <v>6.8606712023326279</v>
      </c>
      <c r="F66" s="15">
        <f>两日求解价格与决策!F66</f>
        <v>0</v>
      </c>
      <c r="G66" s="15">
        <f>两日求解价格与决策!G66</f>
        <v>-1.7111657423817961</v>
      </c>
      <c r="H66" s="15" t="str">
        <f>两日求解价格与决策!H66</f>
        <v>未模拟</v>
      </c>
      <c r="I66" s="16">
        <f>两日求解价格与决策!I66</f>
        <v>73.975773177639823</v>
      </c>
      <c r="J66" s="16">
        <f>两日求解价格与决策!J66</f>
        <v>83.099860034782679</v>
      </c>
      <c r="K66" s="16">
        <f>两日求解价格与决策!K66</f>
        <v>-36</v>
      </c>
      <c r="L66" s="16">
        <f>两日求解价格与决策!L66</f>
        <v>40</v>
      </c>
      <c r="M66" s="16">
        <f>两日求解价格与决策!M66</f>
        <v>24</v>
      </c>
      <c r="N66" s="16">
        <f>两日求解价格与决策!N66</f>
        <v>24</v>
      </c>
      <c r="O66" s="16">
        <f>两日求解价格与决策!O66</f>
        <v>0</v>
      </c>
      <c r="P66" s="16">
        <f>两日求解价格与决策!P66</f>
        <v>0.91748571428571435</v>
      </c>
      <c r="Q66" s="17">
        <f>两日求解价格与决策!Q66</f>
        <v>-134.37</v>
      </c>
      <c r="R66" s="17">
        <f>两日求解价格与决策!R66</f>
        <v>662.24534522516342</v>
      </c>
      <c r="S66" s="17">
        <f>两日求解价格与决策!S66</f>
        <v>30.975930478531815</v>
      </c>
      <c r="T66" s="17">
        <f>两日求解价格与决策!T66</f>
        <v>41.164027213995766</v>
      </c>
      <c r="U66" s="17">
        <f>两日求解价格与决策!U66</f>
        <v>0</v>
      </c>
      <c r="V66" s="17">
        <f>两日求解价格与决策!V66</f>
        <v>1.5699701234104069</v>
      </c>
      <c r="W66" s="17">
        <f>两日求解价格与决策!W66</f>
        <v>601.58527304110135</v>
      </c>
      <c r="X66" s="12">
        <f>两日求解价格与决策!X66</f>
        <v>601.58527304110135</v>
      </c>
      <c r="Y66" s="19">
        <f>两日求解价格与决策!Y66</f>
        <v>0</v>
      </c>
      <c r="Z66" s="12" t="str">
        <f t="shared" si="1"/>
        <v>正式执行</v>
      </c>
      <c r="AA66" s="12">
        <f>两日求解价格与决策!AA66</f>
        <v>1</v>
      </c>
      <c r="AB66" s="12">
        <f>两日求解价格与决策!AB66</f>
        <v>1</v>
      </c>
      <c r="AC66" s="12">
        <f>两日求解价格与决策!AC66</f>
        <v>0.25</v>
      </c>
      <c r="AD66" s="18">
        <f>两日求解价格与决策!AD66</f>
        <v>0.3125</v>
      </c>
      <c r="AE66" s="18">
        <f>两日求解价格与决策!AE66</f>
        <v>0.13714285714285715</v>
      </c>
      <c r="AF66" s="18">
        <f>两日求解价格与决策!AF66</f>
        <v>0</v>
      </c>
      <c r="AG66" s="18">
        <f>两日求解价格与决策!AG66</f>
        <v>0.15291428571428572</v>
      </c>
      <c r="AH66" s="12">
        <f>两日求解价格与决策!AH66</f>
        <v>175</v>
      </c>
      <c r="AI66" s="12">
        <f>两日求解价格与决策!AI66</f>
        <v>175</v>
      </c>
      <c r="AJ66" s="12">
        <f>两日求解价格与决策!AJ66</f>
        <v>0</v>
      </c>
      <c r="AK66" s="12">
        <f>两日求解价格与决策!AK66</f>
        <v>6.69</v>
      </c>
      <c r="AL66" s="12">
        <f>两日求解价格与决策!AL66</f>
        <v>91.903999999999996</v>
      </c>
      <c r="AM66" s="12">
        <f>两日求解价格与决策!AM66</f>
        <v>2.5344685714285716E-2</v>
      </c>
      <c r="AN66" s="12">
        <f>两日求解价格与决策!AN66</f>
        <v>9.9174857142857142</v>
      </c>
      <c r="AO66" s="12">
        <f>两日求解价格与决策!AO66</f>
        <v>0</v>
      </c>
      <c r="AP66" s="12">
        <f>两日求解价格与决策!AP66</f>
        <v>83.099860034782694</v>
      </c>
      <c r="AQ66" s="19">
        <f>两日求解价格与决策!AQ66</f>
        <v>0</v>
      </c>
      <c r="AR66" s="12">
        <f>两日求解价格与决策!AR66</f>
        <v>5.2473000000000001</v>
      </c>
      <c r="AS66" s="14">
        <f>两日求解价格与决策!AS66</f>
        <v>46234</v>
      </c>
      <c r="AT66" s="13">
        <f>两日求解价格与决策!AT66</f>
        <v>46235.46875</v>
      </c>
      <c r="AU66" s="12" t="str">
        <f>两日求解价格与决策!AU66</f>
        <v>2026-08-01_54</v>
      </c>
      <c r="AV66" s="12">
        <f>两日求解价格与决策!AV66</f>
        <v>15</v>
      </c>
      <c r="AW66" s="12" t="str">
        <f>两日求解价格与决策!AW66</f>
        <v>OK</v>
      </c>
      <c r="AX66" s="12">
        <f>两日求解价格与决策!AX66</f>
        <v>128</v>
      </c>
      <c r="AY66" s="12">
        <f>两日求解价格与决策!AY66</f>
        <v>175</v>
      </c>
      <c r="AZ66" s="12">
        <f>两日求解价格与决策!AZ66</f>
        <v>175</v>
      </c>
      <c r="BA66" s="12">
        <f>两日求解价格与决策!BA66</f>
        <v>40</v>
      </c>
      <c r="BB66" s="12">
        <f>两日求解价格与决策!BB66</f>
        <v>24</v>
      </c>
      <c r="BC66" s="12">
        <f>两日求解价格与决策!BC66</f>
        <v>24</v>
      </c>
      <c r="BD66" s="14">
        <f>两日求解价格与决策!BD66</f>
        <v>46235</v>
      </c>
      <c r="BE66" s="1" t="str">
        <f>两日求解价格与决策!BE66</f>
        <v>-36.000000 MW × 14.930000 × 0.250000 h = -134.370000 EUR</v>
      </c>
      <c r="BF66" s="1" t="str">
        <f>两日求解价格与决策!BF66</f>
        <v>40.000000 MW × 66.224535 × 0.250000 h = 662.245345 EUR</v>
      </c>
      <c r="BG66" s="1" t="str">
        <f>两日求解价格与决策!BG66</f>
        <v>24.000000 MW × 5.162655 × 0.250000 h = 30.975930 EUR</v>
      </c>
      <c r="BH66" s="1" t="str">
        <f>两日求解价格与决策!BH66</f>
        <v>24.000000 MW × 6.860671 × 0.250000 h = 41.164027 EUR</v>
      </c>
      <c r="BI66" s="1" t="str">
        <f>两日求解价格与决策!BI66</f>
        <v>零上调激活电量</v>
      </c>
      <c r="BJ66" s="1" t="str">
        <f>两日求解价格与决策!BJ66</f>
        <v>−(0.917486 MWh × -1.711166) = 1.569970 EUR</v>
      </c>
      <c r="BK66" s="1" t="str">
        <f>两日求解价格与决策!BK66</f>
        <v>-134.370000 + 662.245345 + 30.975930 + 41.164027 + 0.000000 + 1.569970 = 601.585273 EUR</v>
      </c>
    </row>
    <row r="67" spans="1:63" ht="21" customHeight="1" x14ac:dyDescent="0.45">
      <c r="A67" s="13">
        <f>两日求解价格与决策!A67</f>
        <v>46235.604166666664</v>
      </c>
      <c r="B67" s="15">
        <f>两日求解价格与决策!B67</f>
        <v>15.27</v>
      </c>
      <c r="C67" s="15">
        <f>两日求解价格与决策!C67</f>
        <v>66.224534522516336</v>
      </c>
      <c r="D67" s="15">
        <f>两日求解价格与决策!D67</f>
        <v>5.1626550797553028</v>
      </c>
      <c r="E67" s="15">
        <f>两日求解价格与决策!E67</f>
        <v>6.8606712023326279</v>
      </c>
      <c r="F67" s="15">
        <f>两日求解价格与决策!F67</f>
        <v>0</v>
      </c>
      <c r="G67" s="15">
        <f>两日求解价格与决策!G67</f>
        <v>-27.546357174165763</v>
      </c>
      <c r="H67" s="15" t="str">
        <f>两日求解价格与决策!H67</f>
        <v>未模拟</v>
      </c>
      <c r="I67" s="16">
        <f>两日求解价格与决策!I67</f>
        <v>83.099860034782679</v>
      </c>
      <c r="J67" s="16">
        <f>两日求解价格与决策!J67</f>
        <v>93.657759006211251</v>
      </c>
      <c r="K67" s="16">
        <f>两日求解价格与决策!K67</f>
        <v>-36</v>
      </c>
      <c r="L67" s="16">
        <f>两日求解价格与决策!L67</f>
        <v>40</v>
      </c>
      <c r="M67" s="16">
        <f>两日求解价格与决策!M67</f>
        <v>24</v>
      </c>
      <c r="N67" s="16">
        <f>两日求解价格与决策!N67</f>
        <v>24</v>
      </c>
      <c r="O67" s="16">
        <f>两日求解价格与决策!O67</f>
        <v>0</v>
      </c>
      <c r="P67" s="16">
        <f>两日求解价格与决策!P67</f>
        <v>2.4759771428571424</v>
      </c>
      <c r="Q67" s="17">
        <f>两日求解价格与决策!Q67</f>
        <v>-137.43</v>
      </c>
      <c r="R67" s="17">
        <f>两日求解价格与决策!R67</f>
        <v>662.24534522516342</v>
      </c>
      <c r="S67" s="17">
        <f>两日求解价格与决策!S67</f>
        <v>30.975930478531815</v>
      </c>
      <c r="T67" s="17">
        <f>两日求解价格与决策!T67</f>
        <v>41.164027213995766</v>
      </c>
      <c r="U67" s="17">
        <f>两日求解价格与决策!U67</f>
        <v>0</v>
      </c>
      <c r="V67" s="17">
        <f>两日求解价格与决策!V67</f>
        <v>68.204150732213293</v>
      </c>
      <c r="W67" s="17">
        <f>两日求解价格与决策!W67</f>
        <v>665.15945364990421</v>
      </c>
      <c r="X67" s="12">
        <f>两日求解价格与决策!X67</f>
        <v>665.15945364990432</v>
      </c>
      <c r="Y67" s="19">
        <f>两日求解价格与决策!Y67</f>
        <v>0</v>
      </c>
      <c r="Z67" s="12" t="str">
        <f t="shared" si="1"/>
        <v>正式执行</v>
      </c>
      <c r="AA67" s="12">
        <f>两日求解价格与决策!AA67</f>
        <v>1</v>
      </c>
      <c r="AB67" s="12">
        <f>两日求解价格与决策!AB67</f>
        <v>1</v>
      </c>
      <c r="AC67" s="12">
        <f>两日求解价格与决策!AC67</f>
        <v>0.25</v>
      </c>
      <c r="AD67" s="18">
        <f>两日求解价格与决策!AD67</f>
        <v>0.3125</v>
      </c>
      <c r="AE67" s="18">
        <f>两日求解价格与决策!AE67</f>
        <v>0.13714285714285715</v>
      </c>
      <c r="AF67" s="18">
        <f>两日求解价格与决策!AF67</f>
        <v>0</v>
      </c>
      <c r="AG67" s="18">
        <f>两日求解价格与决策!AG67</f>
        <v>0.41266285714285711</v>
      </c>
      <c r="AH67" s="12">
        <f>两日求解价格与决策!AH67</f>
        <v>175</v>
      </c>
      <c r="AI67" s="12">
        <f>两日求解价格与决策!AI67</f>
        <v>175</v>
      </c>
      <c r="AJ67" s="12">
        <f>两日求解价格与决策!AJ67</f>
        <v>0</v>
      </c>
      <c r="AK67" s="12">
        <f>两日求解价格与决策!AK67</f>
        <v>18.053999999999998</v>
      </c>
      <c r="AL67" s="12">
        <f>两日求解价格与决策!AL67</f>
        <v>91.903999999999996</v>
      </c>
      <c r="AM67" s="12">
        <f>两日求解价格与决策!AM67</f>
        <v>2.9327497142857144E-2</v>
      </c>
      <c r="AN67" s="12">
        <f>两日求解价格与决策!AN67</f>
        <v>11.475977142857143</v>
      </c>
      <c r="AO67" s="12">
        <f>两日求解价格与决策!AO67</f>
        <v>0</v>
      </c>
      <c r="AP67" s="12">
        <f>两日求解价格与决策!AP67</f>
        <v>93.657759006211265</v>
      </c>
      <c r="AQ67" s="19">
        <f>两日求解价格与决策!AQ67</f>
        <v>0</v>
      </c>
      <c r="AR67" s="12">
        <f>两日求解价格与决策!AR67</f>
        <v>5.2473000000000001</v>
      </c>
      <c r="AS67" s="14">
        <f>两日求解价格与决策!AS67</f>
        <v>46234</v>
      </c>
      <c r="AT67" s="13">
        <f>两日求解价格与决策!AT67</f>
        <v>46235.479166666664</v>
      </c>
      <c r="AU67" s="12" t="str">
        <f>两日求解价格与决策!AU67</f>
        <v>2026-08-01_55</v>
      </c>
      <c r="AV67" s="12">
        <f>两日求解价格与决策!AV67</f>
        <v>15</v>
      </c>
      <c r="AW67" s="12" t="str">
        <f>两日求解价格与决策!AW67</f>
        <v>OK</v>
      </c>
      <c r="AX67" s="12">
        <f>两日求解价格与决策!AX67</f>
        <v>128</v>
      </c>
      <c r="AY67" s="12">
        <f>两日求解价格与决策!AY67</f>
        <v>175</v>
      </c>
      <c r="AZ67" s="12">
        <f>两日求解价格与决策!AZ67</f>
        <v>175</v>
      </c>
      <c r="BA67" s="12">
        <f>两日求解价格与决策!BA67</f>
        <v>40</v>
      </c>
      <c r="BB67" s="12">
        <f>两日求解价格与决策!BB67</f>
        <v>24</v>
      </c>
      <c r="BC67" s="12">
        <f>两日求解价格与决策!BC67</f>
        <v>24</v>
      </c>
      <c r="BD67" s="14">
        <f>两日求解价格与决策!BD67</f>
        <v>46235</v>
      </c>
      <c r="BE67" s="1" t="str">
        <f>两日求解价格与决策!BE67</f>
        <v>-36.000000 MW × 15.270000 × 0.250000 h = -137.430000 EUR</v>
      </c>
      <c r="BF67" s="1" t="str">
        <f>两日求解价格与决策!BF67</f>
        <v>40.000000 MW × 66.224535 × 0.250000 h = 662.245345 EUR</v>
      </c>
      <c r="BG67" s="1" t="str">
        <f>两日求解价格与决策!BG67</f>
        <v>24.000000 MW × 5.162655 × 0.250000 h = 30.975930 EUR</v>
      </c>
      <c r="BH67" s="1" t="str">
        <f>两日求解价格与决策!BH67</f>
        <v>24.000000 MW × 6.860671 × 0.250000 h = 41.164027 EUR</v>
      </c>
      <c r="BI67" s="1" t="str">
        <f>两日求解价格与决策!BI67</f>
        <v>零上调激活电量</v>
      </c>
      <c r="BJ67" s="1" t="str">
        <f>两日求解价格与决策!BJ67</f>
        <v>−(2.475977 MWh × -27.546357) = 68.204151 EUR</v>
      </c>
      <c r="BK67" s="1" t="str">
        <f>两日求解价格与决策!BK67</f>
        <v>-137.430000 + 662.245345 + 30.975930 + 41.164027 + 0.000000 + 68.204151 = 665.159454 EUR</v>
      </c>
    </row>
    <row r="68" spans="1:63" ht="21" customHeight="1" x14ac:dyDescent="0.45">
      <c r="A68" s="13">
        <f>两日求解价格与决策!A68</f>
        <v>46235.614583333336</v>
      </c>
      <c r="B68" s="15">
        <f>两日求解价格与决策!B68</f>
        <v>15.26</v>
      </c>
      <c r="C68" s="15">
        <f>两日求解价格与决策!C68</f>
        <v>66.224534522516336</v>
      </c>
      <c r="D68" s="15">
        <f>两日求解价格与决策!D68</f>
        <v>5.1626550797553028</v>
      </c>
      <c r="E68" s="15">
        <f>两日求解价格与决策!E68</f>
        <v>6.8606712023326279</v>
      </c>
      <c r="F68" s="15">
        <f>两日求解价格与决策!F68</f>
        <v>0</v>
      </c>
      <c r="G68" s="15">
        <f>两日求解价格与决策!G68</f>
        <v>-12.386179559011302</v>
      </c>
      <c r="H68" s="15" t="str">
        <f>两日求解价格与决策!H68</f>
        <v>未模拟</v>
      </c>
      <c r="I68" s="16">
        <f>两日求解价格与决策!I68</f>
        <v>93.657759006211251</v>
      </c>
      <c r="J68" s="16">
        <f>两日求解价格与决策!J68</f>
        <v>103.48411603478269</v>
      </c>
      <c r="K68" s="16">
        <f>两日求解价格与决策!K68</f>
        <v>-36</v>
      </c>
      <c r="L68" s="16">
        <f>两日求解价格与决策!L68</f>
        <v>40</v>
      </c>
      <c r="M68" s="16">
        <f>两日求解价格与决策!M68</f>
        <v>24</v>
      </c>
      <c r="N68" s="16">
        <f>两日求解价格与决策!N68</f>
        <v>24</v>
      </c>
      <c r="O68" s="16">
        <f>两日求解价格与决策!O68</f>
        <v>0</v>
      </c>
      <c r="P68" s="16">
        <f>两日求解价格与决策!P68</f>
        <v>1.6808228571428572</v>
      </c>
      <c r="Q68" s="17">
        <f>两日求解价格与决策!Q68</f>
        <v>-137.34</v>
      </c>
      <c r="R68" s="17">
        <f>两日求解价格与决策!R68</f>
        <v>662.24534522516342</v>
      </c>
      <c r="S68" s="17">
        <f>两日求解价格与决策!S68</f>
        <v>30.975930478531815</v>
      </c>
      <c r="T68" s="17">
        <f>两日求解价格与决策!T68</f>
        <v>41.164027213995766</v>
      </c>
      <c r="U68" s="17">
        <f>两日求解价格与决策!U68</f>
        <v>0</v>
      </c>
      <c r="V68" s="17">
        <f>两日求解价格与决策!V68</f>
        <v>20.81897371546183</v>
      </c>
      <c r="W68" s="17">
        <f>两日求解价格与决策!W68</f>
        <v>617.86427663315283</v>
      </c>
      <c r="X68" s="12">
        <f>两日求解价格与决策!X68</f>
        <v>617.86427663315283</v>
      </c>
      <c r="Y68" s="19">
        <f>两日求解价格与决策!Y68</f>
        <v>0</v>
      </c>
      <c r="Z68" s="12" t="str">
        <f t="shared" si="1"/>
        <v>正式执行</v>
      </c>
      <c r="AA68" s="12">
        <f>两日求解价格与决策!AA68</f>
        <v>1</v>
      </c>
      <c r="AB68" s="12">
        <f>两日求解价格与决策!AB68</f>
        <v>1</v>
      </c>
      <c r="AC68" s="12">
        <f>两日求解价格与决策!AC68</f>
        <v>0.25</v>
      </c>
      <c r="AD68" s="18">
        <f>两日求解价格与决策!AD68</f>
        <v>0.3125</v>
      </c>
      <c r="AE68" s="18">
        <f>两日求解价格与决策!AE68</f>
        <v>0.13714285714285715</v>
      </c>
      <c r="AF68" s="18">
        <f>两日求解价格与决策!AF68</f>
        <v>0</v>
      </c>
      <c r="AG68" s="18">
        <f>两日求解价格与决策!AG68</f>
        <v>0.28013714285714286</v>
      </c>
      <c r="AH68" s="12">
        <f>两日求解价格与决策!AH68</f>
        <v>175</v>
      </c>
      <c r="AI68" s="12">
        <f>两日求解价格与决策!AI68</f>
        <v>175</v>
      </c>
      <c r="AJ68" s="12">
        <f>两日求解价格与决策!AJ68</f>
        <v>0</v>
      </c>
      <c r="AK68" s="12">
        <f>两日求解价格与决策!AK68</f>
        <v>12.256</v>
      </c>
      <c r="AL68" s="12">
        <f>两日求解价格与决策!AL68</f>
        <v>91.903999999999996</v>
      </c>
      <c r="AM68" s="12">
        <f>两日求解价格与决策!AM68</f>
        <v>2.729543619047619E-2</v>
      </c>
      <c r="AN68" s="12">
        <f>两日求解价格与决策!AN68</f>
        <v>10.680822857142857</v>
      </c>
      <c r="AO68" s="12">
        <f>两日求解价格与决策!AO68</f>
        <v>0</v>
      </c>
      <c r="AP68" s="12">
        <f>两日求解价格与决策!AP68</f>
        <v>103.4841160347827</v>
      </c>
      <c r="AQ68" s="19">
        <f>两日求解价格与决策!AQ68</f>
        <v>0</v>
      </c>
      <c r="AR68" s="12">
        <f>两日求解价格与决策!AR68</f>
        <v>5.2473000000000001</v>
      </c>
      <c r="AS68" s="14">
        <f>两日求解价格与决策!AS68</f>
        <v>46234</v>
      </c>
      <c r="AT68" s="13">
        <f>两日求解价格与决策!AT68</f>
        <v>46235.489583333336</v>
      </c>
      <c r="AU68" s="12" t="str">
        <f>两日求解价格与决策!AU68</f>
        <v>2026-08-01_56</v>
      </c>
      <c r="AV68" s="12">
        <f>两日求解价格与决策!AV68</f>
        <v>15</v>
      </c>
      <c r="AW68" s="12" t="str">
        <f>两日求解价格与决策!AW68</f>
        <v>OK</v>
      </c>
      <c r="AX68" s="12">
        <f>两日求解价格与决策!AX68</f>
        <v>128</v>
      </c>
      <c r="AY68" s="12">
        <f>两日求解价格与决策!AY68</f>
        <v>175</v>
      </c>
      <c r="AZ68" s="12">
        <f>两日求解价格与决策!AZ68</f>
        <v>175</v>
      </c>
      <c r="BA68" s="12">
        <f>两日求解价格与决策!BA68</f>
        <v>40</v>
      </c>
      <c r="BB68" s="12">
        <f>两日求解价格与决策!BB68</f>
        <v>24</v>
      </c>
      <c r="BC68" s="12">
        <f>两日求解价格与决策!BC68</f>
        <v>24</v>
      </c>
      <c r="BD68" s="14">
        <f>两日求解价格与决策!BD68</f>
        <v>46235</v>
      </c>
      <c r="BE68" s="1" t="str">
        <f>两日求解价格与决策!BE68</f>
        <v>-36.000000 MW × 15.260000 × 0.250000 h = -137.340000 EUR</v>
      </c>
      <c r="BF68" s="1" t="str">
        <f>两日求解价格与决策!BF68</f>
        <v>40.000000 MW × 66.224535 × 0.250000 h = 662.245345 EUR</v>
      </c>
      <c r="BG68" s="1" t="str">
        <f>两日求解价格与决策!BG68</f>
        <v>24.000000 MW × 5.162655 × 0.250000 h = 30.975930 EUR</v>
      </c>
      <c r="BH68" s="1" t="str">
        <f>两日求解价格与决策!BH68</f>
        <v>24.000000 MW × 6.860671 × 0.250000 h = 41.164027 EUR</v>
      </c>
      <c r="BI68" s="1" t="str">
        <f>两日求解价格与决策!BI68</f>
        <v>零上调激活电量</v>
      </c>
      <c r="BJ68" s="1" t="str">
        <f>两日求解价格与决策!BJ68</f>
        <v>−(1.680823 MWh × -12.386180) = 20.818974 EUR</v>
      </c>
      <c r="BK68" s="1" t="str">
        <f>两日求解价格与决策!BK68</f>
        <v>-137.340000 + 662.245345 + 30.975930 + 41.164027 + 0.000000 + 20.818974 = 617.864277 EUR</v>
      </c>
    </row>
    <row r="69" spans="1:63" ht="21" customHeight="1" x14ac:dyDescent="0.45">
      <c r="A69" s="13">
        <f>两日求解价格与决策!A69</f>
        <v>46235.625</v>
      </c>
      <c r="B69" s="15">
        <f>两日求解价格与决策!B69</f>
        <v>12.94</v>
      </c>
      <c r="C69" s="15">
        <f>两日求解价格与决策!C69</f>
        <v>66.224534522516336</v>
      </c>
      <c r="D69" s="15">
        <f>两日求解价格与决策!D69</f>
        <v>5.0654622377222571</v>
      </c>
      <c r="E69" s="15">
        <f>两日求解价格与决策!E69</f>
        <v>6.8606712023326279</v>
      </c>
      <c r="F69" s="15">
        <f>两日求解价格与决策!F69</f>
        <v>133.21136584529185</v>
      </c>
      <c r="G69" s="15">
        <f>两日求解价格与决策!G69</f>
        <v>45.676443123129992</v>
      </c>
      <c r="H69" s="15" t="str">
        <f>两日求解价格与决策!H69</f>
        <v>未模拟</v>
      </c>
      <c r="I69" s="16">
        <f>两日求解价格与决策!I69</f>
        <v>103.48411603478269</v>
      </c>
      <c r="J69" s="16">
        <f>两日求解价格与决策!J69</f>
        <v>112.19673683478268</v>
      </c>
      <c r="K69" s="16">
        <f>两日求解价格与决策!K69</f>
        <v>-37</v>
      </c>
      <c r="L69" s="16">
        <f>两日求解价格与决策!L69</f>
        <v>40</v>
      </c>
      <c r="M69" s="16">
        <f>两日求解价格与决策!M69</f>
        <v>24</v>
      </c>
      <c r="N69" s="16">
        <f>两日求解价格与决策!N69</f>
        <v>23</v>
      </c>
      <c r="O69" s="16">
        <f>两日求解价格与决策!O69</f>
        <v>7.1314285714285715E-3</v>
      </c>
      <c r="P69" s="16">
        <f>两日求解价格与决策!P69</f>
        <v>0.22737142857142859</v>
      </c>
      <c r="Q69" s="17">
        <f>两日求解价格与决策!Q69</f>
        <v>-119.69499999999999</v>
      </c>
      <c r="R69" s="17">
        <f>两日求解价格与决策!R69</f>
        <v>662.24534522516342</v>
      </c>
      <c r="S69" s="17">
        <f>两日求解价格与决策!S69</f>
        <v>30.392773426333541</v>
      </c>
      <c r="T69" s="17">
        <f>两日求解价格与决策!T69</f>
        <v>39.448859413412613</v>
      </c>
      <c r="U69" s="17">
        <f>两日求解价格与决策!U69</f>
        <v>0.94998734042813848</v>
      </c>
      <c r="V69" s="17">
        <f>两日求解价格与决策!V69</f>
        <v>-10.385518124967671</v>
      </c>
      <c r="W69" s="17">
        <f>两日求解价格与决策!W69</f>
        <v>602.95644728037007</v>
      </c>
      <c r="X69" s="12">
        <f>两日求解价格与决策!X69</f>
        <v>602.95644728037007</v>
      </c>
      <c r="Y69" s="19">
        <f>两日求解价格与决策!Y69</f>
        <v>0</v>
      </c>
      <c r="Z69" s="12" t="str">
        <f t="shared" si="1"/>
        <v>正式执行</v>
      </c>
      <c r="AA69" s="12">
        <f>两日求解价格与决策!AA69</f>
        <v>1</v>
      </c>
      <c r="AB69" s="12">
        <f>两日求解价格与决策!AB69</f>
        <v>1</v>
      </c>
      <c r="AC69" s="12">
        <f>两日求解价格与决策!AC69</f>
        <v>0.25</v>
      </c>
      <c r="AD69" s="18">
        <f>两日求解价格与决策!AD69</f>
        <v>0.3125</v>
      </c>
      <c r="AE69" s="18">
        <f>两日求解价格与决策!AE69</f>
        <v>0.13714285714285715</v>
      </c>
      <c r="AF69" s="18">
        <f>两日求解价格与决策!AF69</f>
        <v>1.1885714285714286E-3</v>
      </c>
      <c r="AG69" s="18">
        <f>两日求解价格与决策!AG69</f>
        <v>3.9542857142857143E-2</v>
      </c>
      <c r="AH69" s="12">
        <f>两日求解价格与决策!AH69</f>
        <v>175</v>
      </c>
      <c r="AI69" s="12">
        <f>两日求解价格与决策!AI69</f>
        <v>175</v>
      </c>
      <c r="AJ69" s="12">
        <f>两日求解价格与决策!AJ69</f>
        <v>5.1999999999999998E-2</v>
      </c>
      <c r="AK69" s="12">
        <f>两日求解价格与决策!AK69</f>
        <v>1.73</v>
      </c>
      <c r="AL69" s="12">
        <f>两日求解价格与决策!AL69</f>
        <v>91.903999999999996</v>
      </c>
      <c r="AM69" s="12">
        <f>两日求解价格与决策!AM69</f>
        <v>2.4201724444444444E-2</v>
      </c>
      <c r="AN69" s="12">
        <f>两日求解价格与决策!AN69</f>
        <v>9.4702400000000004</v>
      </c>
      <c r="AO69" s="12">
        <f>两日求解价格与决策!AO69</f>
        <v>0</v>
      </c>
      <c r="AP69" s="12">
        <f>两日求解价格与决策!AP69</f>
        <v>112.1967368347827</v>
      </c>
      <c r="AQ69" s="19">
        <f>两日求解价格与决策!AQ69</f>
        <v>0</v>
      </c>
      <c r="AR69" s="12">
        <f>两日求解价格与决策!AR69</f>
        <v>5.2473000000000001</v>
      </c>
      <c r="AS69" s="14">
        <f>两日求解价格与决策!AS69</f>
        <v>46234</v>
      </c>
      <c r="AT69" s="13">
        <f>两日求解价格与决策!AT69</f>
        <v>46235.5</v>
      </c>
      <c r="AU69" s="12" t="str">
        <f>两日求解价格与决策!AU69</f>
        <v>2026-08-01_57</v>
      </c>
      <c r="AV69" s="12">
        <f>两日求解价格与决策!AV69</f>
        <v>15</v>
      </c>
      <c r="AW69" s="12" t="str">
        <f>两日求解价格与决策!AW69</f>
        <v>OK</v>
      </c>
      <c r="AX69" s="12">
        <f>两日求解价格与决策!AX69</f>
        <v>128</v>
      </c>
      <c r="AY69" s="12">
        <f>两日求解价格与决策!AY69</f>
        <v>175</v>
      </c>
      <c r="AZ69" s="12">
        <f>两日求解价格与决策!AZ69</f>
        <v>175</v>
      </c>
      <c r="BA69" s="12">
        <f>两日求解价格与决策!BA69</f>
        <v>40</v>
      </c>
      <c r="BB69" s="12">
        <f>两日求解价格与决策!BB69</f>
        <v>24</v>
      </c>
      <c r="BC69" s="12">
        <f>两日求解价格与决策!BC69</f>
        <v>24</v>
      </c>
      <c r="BD69" s="14">
        <f>两日求解价格与决策!BD69</f>
        <v>46235</v>
      </c>
      <c r="BE69" s="1" t="str">
        <f>两日求解价格与决策!BE69</f>
        <v>-37.000000 MW × 12.940000 × 0.250000 h = -119.695000 EUR</v>
      </c>
      <c r="BF69" s="1" t="str">
        <f>两日求解价格与决策!BF69</f>
        <v>40.000000 MW × 66.224535 × 0.250000 h = 662.245345 EUR</v>
      </c>
      <c r="BG69" s="1" t="str">
        <f>两日求解价格与决策!BG69</f>
        <v>24.000000 MW × 5.065462 × 0.250000 h = 30.392773 EUR</v>
      </c>
      <c r="BH69" s="1" t="str">
        <f>两日求解价格与决策!BH69</f>
        <v>23.000000 MW × 6.860671 × 0.250000 h = 39.448859 EUR</v>
      </c>
      <c r="BI69" s="1" t="str">
        <f>两日求解价格与决策!BI69</f>
        <v>0.007131 MWh × 133.211366 = 0.949987 EUR</v>
      </c>
      <c r="BJ69" s="1" t="str">
        <f>两日求解价格与决策!BJ69</f>
        <v>−(0.227371 MWh × 45.676443) = -10.385518 EUR</v>
      </c>
      <c r="BK69" s="1" t="str">
        <f>两日求解价格与决策!BK69</f>
        <v>-119.695000 + 662.245345 + 30.392773 + 39.448859 + 0.949987 + -10.385518 = 602.956447 EUR</v>
      </c>
    </row>
    <row r="70" spans="1:63" ht="21" customHeight="1" x14ac:dyDescent="0.45">
      <c r="A70" s="13">
        <f>两日求解价格与决策!A70</f>
        <v>46235.635416666664</v>
      </c>
      <c r="B70" s="15">
        <f>两日求解价格与决策!B70</f>
        <v>12.93</v>
      </c>
      <c r="C70" s="15">
        <f>两日求解价格与决策!C70</f>
        <v>66.224534522516336</v>
      </c>
      <c r="D70" s="15">
        <f>两日求解价格与决策!D70</f>
        <v>5.0654622377222571</v>
      </c>
      <c r="E70" s="15">
        <f>两日求解价格与决策!E70</f>
        <v>6.8606712023326279</v>
      </c>
      <c r="F70" s="15">
        <f>两日求解价格与决策!F70</f>
        <v>0</v>
      </c>
      <c r="G70" s="15">
        <f>两日求解价格与决策!G70</f>
        <v>25.69321365273569</v>
      </c>
      <c r="H70" s="15" t="str">
        <f>两日求解价格与决策!H70</f>
        <v>未模拟</v>
      </c>
      <c r="I70" s="16">
        <f>两日求解价格与决策!I70</f>
        <v>112.19673683478268</v>
      </c>
      <c r="J70" s="16">
        <f>两日求解价格与决策!J70</f>
        <v>121.00696700621126</v>
      </c>
      <c r="K70" s="16">
        <f>两日求解价格与决策!K70</f>
        <v>-37</v>
      </c>
      <c r="L70" s="16">
        <f>两日求解价格与决策!L70</f>
        <v>40</v>
      </c>
      <c r="M70" s="16">
        <f>两日求解价格与决策!M70</f>
        <v>24</v>
      </c>
      <c r="N70" s="16">
        <f>两日求解价格与决策!N70</f>
        <v>23</v>
      </c>
      <c r="O70" s="16">
        <f>两日求解价格与决策!O70</f>
        <v>0</v>
      </c>
      <c r="P70" s="16">
        <f>两日求解价格与决策!P70</f>
        <v>0.32633714285714288</v>
      </c>
      <c r="Q70" s="17">
        <f>两日求解价格与决策!Q70</f>
        <v>-119.60249999999999</v>
      </c>
      <c r="R70" s="17">
        <f>两日求解价格与决策!R70</f>
        <v>662.24534522516342</v>
      </c>
      <c r="S70" s="17">
        <f>两日求解价格与决策!S70</f>
        <v>30.392773426333541</v>
      </c>
      <c r="T70" s="17">
        <f>两日求解价格与决策!T70</f>
        <v>39.448859413412613</v>
      </c>
      <c r="U70" s="17">
        <f>两日求解价格与决策!U70</f>
        <v>0</v>
      </c>
      <c r="V70" s="17">
        <f>两日求解价格与决策!V70</f>
        <v>-8.3846499342519003</v>
      </c>
      <c r="W70" s="17">
        <f>两日求解价格与决策!W70</f>
        <v>604.09982813065767</v>
      </c>
      <c r="X70" s="12">
        <f>两日求解价格与决策!X70</f>
        <v>604.09982813065767</v>
      </c>
      <c r="Y70" s="19">
        <f>两日求解价格与决策!Y70</f>
        <v>0</v>
      </c>
      <c r="Z70" s="12" t="str">
        <f t="shared" si="1"/>
        <v>正式执行</v>
      </c>
      <c r="AA70" s="12">
        <f>两日求解价格与决策!AA70</f>
        <v>1</v>
      </c>
      <c r="AB70" s="12">
        <f>两日求解价格与决策!AB70</f>
        <v>1</v>
      </c>
      <c r="AC70" s="12">
        <f>两日求解价格与决策!AC70</f>
        <v>0.25</v>
      </c>
      <c r="AD70" s="18">
        <f>两日求解价格与决策!AD70</f>
        <v>0.3125</v>
      </c>
      <c r="AE70" s="18">
        <f>两日求解价格与决策!AE70</f>
        <v>0.13714285714285715</v>
      </c>
      <c r="AF70" s="18">
        <f>两日求解价格与决策!AF70</f>
        <v>0</v>
      </c>
      <c r="AG70" s="18">
        <f>两日求解价格与决策!AG70</f>
        <v>5.6754285714285715E-2</v>
      </c>
      <c r="AH70" s="12">
        <f>两日求解价格与决策!AH70</f>
        <v>175</v>
      </c>
      <c r="AI70" s="12">
        <f>两日求解价格与决策!AI70</f>
        <v>175</v>
      </c>
      <c r="AJ70" s="12">
        <f>两日求解价格与决策!AJ70</f>
        <v>0</v>
      </c>
      <c r="AK70" s="12">
        <f>两日求解价格与决策!AK70</f>
        <v>2.4830000000000001</v>
      </c>
      <c r="AL70" s="12">
        <f>两日求解价格与决策!AL70</f>
        <v>91.903999999999996</v>
      </c>
      <c r="AM70" s="12">
        <f>两日求解价格与决策!AM70</f>
        <v>2.4472861587301584E-2</v>
      </c>
      <c r="AN70" s="12">
        <f>两日求解价格与决策!AN70</f>
        <v>9.5763371428571435</v>
      </c>
      <c r="AO70" s="12">
        <f>两日求解价格与决策!AO70</f>
        <v>0</v>
      </c>
      <c r="AP70" s="12">
        <f>两日求解价格与决策!AP70</f>
        <v>121.00696700621127</v>
      </c>
      <c r="AQ70" s="19">
        <f>两日求解价格与决策!AQ70</f>
        <v>0</v>
      </c>
      <c r="AR70" s="12">
        <f>两日求解价格与决策!AR70</f>
        <v>5.2473000000000001</v>
      </c>
      <c r="AS70" s="14">
        <f>两日求解价格与决策!AS70</f>
        <v>46234</v>
      </c>
      <c r="AT70" s="13">
        <f>两日求解价格与决策!AT70</f>
        <v>46235.510416666664</v>
      </c>
      <c r="AU70" s="12" t="str">
        <f>两日求解价格与决策!AU70</f>
        <v>2026-08-01_58</v>
      </c>
      <c r="AV70" s="12">
        <f>两日求解价格与决策!AV70</f>
        <v>15</v>
      </c>
      <c r="AW70" s="12" t="str">
        <f>两日求解价格与决策!AW70</f>
        <v>OK</v>
      </c>
      <c r="AX70" s="12">
        <f>两日求解价格与决策!AX70</f>
        <v>128</v>
      </c>
      <c r="AY70" s="12">
        <f>两日求解价格与决策!AY70</f>
        <v>175</v>
      </c>
      <c r="AZ70" s="12">
        <f>两日求解价格与决策!AZ70</f>
        <v>175</v>
      </c>
      <c r="BA70" s="12">
        <f>两日求解价格与决策!BA70</f>
        <v>40</v>
      </c>
      <c r="BB70" s="12">
        <f>两日求解价格与决策!BB70</f>
        <v>24</v>
      </c>
      <c r="BC70" s="12">
        <f>两日求解价格与决策!BC70</f>
        <v>24</v>
      </c>
      <c r="BD70" s="14">
        <f>两日求解价格与决策!BD70</f>
        <v>46235</v>
      </c>
      <c r="BE70" s="1" t="str">
        <f>两日求解价格与决策!BE70</f>
        <v>-37.000000 MW × 12.930000 × 0.250000 h = -119.602500 EUR</v>
      </c>
      <c r="BF70" s="1" t="str">
        <f>两日求解价格与决策!BF70</f>
        <v>40.000000 MW × 66.224535 × 0.250000 h = 662.245345 EUR</v>
      </c>
      <c r="BG70" s="1" t="str">
        <f>两日求解价格与决策!BG70</f>
        <v>24.000000 MW × 5.065462 × 0.250000 h = 30.392773 EUR</v>
      </c>
      <c r="BH70" s="1" t="str">
        <f>两日求解价格与决策!BH70</f>
        <v>23.000000 MW × 6.860671 × 0.250000 h = 39.448859 EUR</v>
      </c>
      <c r="BI70" s="1" t="str">
        <f>两日求解价格与决策!BI70</f>
        <v>零上调激活电量</v>
      </c>
      <c r="BJ70" s="1" t="str">
        <f>两日求解价格与决策!BJ70</f>
        <v>−(0.326337 MWh × 25.693214) = -8.384650 EUR</v>
      </c>
      <c r="BK70" s="1" t="str">
        <f>两日求解价格与决策!BK70</f>
        <v>-119.602500 + 662.245345 + 30.392773 + 39.448859 + 0.000000 + -8.384650 = 604.099828 EUR</v>
      </c>
    </row>
    <row r="71" spans="1:63" ht="21" customHeight="1" x14ac:dyDescent="0.45">
      <c r="A71" s="13">
        <f>两日求解价格与决策!A71</f>
        <v>46235.645833333336</v>
      </c>
      <c r="B71" s="15">
        <f>两日求解价格与决策!B71</f>
        <v>14.92</v>
      </c>
      <c r="C71" s="15">
        <f>两日求解价格与决策!C71</f>
        <v>66.224534522516336</v>
      </c>
      <c r="D71" s="15">
        <f>两日求解价格与决策!D71</f>
        <v>5.0654622377222571</v>
      </c>
      <c r="E71" s="15">
        <f>两日求解价格与决策!E71</f>
        <v>6.8606712023326279</v>
      </c>
      <c r="F71" s="15">
        <f>两日求解价格与决策!F71</f>
        <v>0</v>
      </c>
      <c r="G71" s="15">
        <f>两日求解价格与决策!G71</f>
        <v>-5.6400434509176147</v>
      </c>
      <c r="H71" s="15" t="str">
        <f>两日求解价格与决策!H71</f>
        <v>未模拟</v>
      </c>
      <c r="I71" s="16">
        <f>两日求解价格与决策!I71</f>
        <v>121.00696700621126</v>
      </c>
      <c r="J71" s="16">
        <f>两日求解价格与决策!J71</f>
        <v>130.52732677763981</v>
      </c>
      <c r="K71" s="16">
        <f>两日求解价格与决策!K71</f>
        <v>-37</v>
      </c>
      <c r="L71" s="16">
        <f>两日求解价格与决策!L71</f>
        <v>40</v>
      </c>
      <c r="M71" s="16">
        <f>两日求解价格与决策!M71</f>
        <v>24</v>
      </c>
      <c r="N71" s="16">
        <f>两日求解价格与决策!N71</f>
        <v>23</v>
      </c>
      <c r="O71" s="16">
        <f>两日求解价格与决策!O71</f>
        <v>0</v>
      </c>
      <c r="P71" s="16">
        <f>两日求解价格与决策!P71</f>
        <v>1.0982171428571428</v>
      </c>
      <c r="Q71" s="17">
        <f>两日求解价格与决策!Q71</f>
        <v>-138.01</v>
      </c>
      <c r="R71" s="17">
        <f>两日求解价格与决策!R71</f>
        <v>662.24534522516342</v>
      </c>
      <c r="S71" s="17">
        <f>两日求解价格与决策!S71</f>
        <v>30.392773426333541</v>
      </c>
      <c r="T71" s="17">
        <f>两日求解价格与决策!T71</f>
        <v>39.448859413412613</v>
      </c>
      <c r="U71" s="17">
        <f>两日求解价格与决策!U71</f>
        <v>0</v>
      </c>
      <c r="V71" s="17">
        <f>两日求解价格与决策!V71</f>
        <v>6.1939924042568828</v>
      </c>
      <c r="W71" s="17">
        <f>两日求解价格与决策!W71</f>
        <v>600.2709704691664</v>
      </c>
      <c r="X71" s="12">
        <f>两日求解价格与决策!X71</f>
        <v>600.27097046916651</v>
      </c>
      <c r="Y71" s="19">
        <f>两日求解价格与决策!Y71</f>
        <v>0</v>
      </c>
      <c r="Z71" s="12" t="str">
        <f t="shared" si="1"/>
        <v>正式执行</v>
      </c>
      <c r="AA71" s="12">
        <f>两日求解价格与决策!AA71</f>
        <v>1</v>
      </c>
      <c r="AB71" s="12">
        <f>两日求解价格与决策!AB71</f>
        <v>1</v>
      </c>
      <c r="AC71" s="12">
        <f>两日求解价格与决策!AC71</f>
        <v>0.25</v>
      </c>
      <c r="AD71" s="18">
        <f>两日求解价格与决策!AD71</f>
        <v>0.3125</v>
      </c>
      <c r="AE71" s="18">
        <f>两日求解价格与决策!AE71</f>
        <v>0.13714285714285715</v>
      </c>
      <c r="AF71" s="18">
        <f>两日求解价格与决策!AF71</f>
        <v>0</v>
      </c>
      <c r="AG71" s="18">
        <f>两日求解价格与决策!AG71</f>
        <v>0.1909942857142857</v>
      </c>
      <c r="AH71" s="12">
        <f>两日求解价格与决策!AH71</f>
        <v>175</v>
      </c>
      <c r="AI71" s="12">
        <f>两日求解价格与决策!AI71</f>
        <v>175</v>
      </c>
      <c r="AJ71" s="12">
        <f>两日求解价格与决策!AJ71</f>
        <v>0</v>
      </c>
      <c r="AK71" s="12">
        <f>两日求解价格与决策!AK71</f>
        <v>8.3559999999999999</v>
      </c>
      <c r="AL71" s="12">
        <f>两日求解价格与决策!AL71</f>
        <v>91.903999999999996</v>
      </c>
      <c r="AM71" s="12">
        <f>两日求解价格与决策!AM71</f>
        <v>2.6445443809523808E-2</v>
      </c>
      <c r="AN71" s="12">
        <f>两日求解价格与决策!AN71</f>
        <v>10.348217142857143</v>
      </c>
      <c r="AO71" s="12">
        <f>两日求解价格与决策!AO71</f>
        <v>0</v>
      </c>
      <c r="AP71" s="12">
        <f>两日求解价格与决策!AP71</f>
        <v>130.52732677763984</v>
      </c>
      <c r="AQ71" s="19">
        <f>两日求解价格与决策!AQ71</f>
        <v>0</v>
      </c>
      <c r="AR71" s="12">
        <f>两日求解价格与决策!AR71</f>
        <v>5.2473000000000001</v>
      </c>
      <c r="AS71" s="14">
        <f>两日求解价格与决策!AS71</f>
        <v>46234</v>
      </c>
      <c r="AT71" s="13">
        <f>两日求解价格与决策!AT71</f>
        <v>46235.520833333336</v>
      </c>
      <c r="AU71" s="12" t="str">
        <f>两日求解价格与决策!AU71</f>
        <v>2026-08-01_59</v>
      </c>
      <c r="AV71" s="12">
        <f>两日求解价格与决策!AV71</f>
        <v>15</v>
      </c>
      <c r="AW71" s="12" t="str">
        <f>两日求解价格与决策!AW71</f>
        <v>OK</v>
      </c>
      <c r="AX71" s="12">
        <f>两日求解价格与决策!AX71</f>
        <v>128</v>
      </c>
      <c r="AY71" s="12">
        <f>两日求解价格与决策!AY71</f>
        <v>175</v>
      </c>
      <c r="AZ71" s="12">
        <f>两日求解价格与决策!AZ71</f>
        <v>175</v>
      </c>
      <c r="BA71" s="12">
        <f>两日求解价格与决策!BA71</f>
        <v>40</v>
      </c>
      <c r="BB71" s="12">
        <f>两日求解价格与决策!BB71</f>
        <v>24</v>
      </c>
      <c r="BC71" s="12">
        <f>两日求解价格与决策!BC71</f>
        <v>24</v>
      </c>
      <c r="BD71" s="14">
        <f>两日求解价格与决策!BD71</f>
        <v>46235</v>
      </c>
      <c r="BE71" s="1" t="str">
        <f>两日求解价格与决策!BE71</f>
        <v>-37.000000 MW × 14.920000 × 0.250000 h = -138.010000 EUR</v>
      </c>
      <c r="BF71" s="1" t="str">
        <f>两日求解价格与决策!BF71</f>
        <v>40.000000 MW × 66.224535 × 0.250000 h = 662.245345 EUR</v>
      </c>
      <c r="BG71" s="1" t="str">
        <f>两日求解价格与决策!BG71</f>
        <v>24.000000 MW × 5.065462 × 0.250000 h = 30.392773 EUR</v>
      </c>
      <c r="BH71" s="1" t="str">
        <f>两日求解价格与决策!BH71</f>
        <v>23.000000 MW × 6.860671 × 0.250000 h = 39.448859 EUR</v>
      </c>
      <c r="BI71" s="1" t="str">
        <f>两日求解价格与决策!BI71</f>
        <v>零上调激活电量</v>
      </c>
      <c r="BJ71" s="1" t="str">
        <f>两日求解价格与决策!BJ71</f>
        <v>−(1.098217 MWh × -5.640043) = 6.193992 EUR</v>
      </c>
      <c r="BK71" s="1" t="str">
        <f>两日求解价格与决策!BK71</f>
        <v>-138.010000 + 662.245345 + 30.392773 + 39.448859 + 0.000000 + 6.193992 = 600.270970 EUR</v>
      </c>
    </row>
    <row r="72" spans="1:63" ht="21" customHeight="1" x14ac:dyDescent="0.45">
      <c r="A72" s="13">
        <f>两日求解价格与决策!A72</f>
        <v>46235.65625</v>
      </c>
      <c r="B72" s="15">
        <f>两日求解价格与决策!B72</f>
        <v>26.16</v>
      </c>
      <c r="C72" s="15">
        <f>两日求解价格与决策!C72</f>
        <v>66.224534522516336</v>
      </c>
      <c r="D72" s="15">
        <f>两日求解价格与决策!D72</f>
        <v>5.0654622377222571</v>
      </c>
      <c r="E72" s="15">
        <f>两日求解价格与决策!E72</f>
        <v>6.8606712023326279</v>
      </c>
      <c r="F72" s="15">
        <f>两日求解价格与决策!F72</f>
        <v>133.21136584529185</v>
      </c>
      <c r="G72" s="15">
        <f>两日求解价格与决策!G72</f>
        <v>21.842661940426503</v>
      </c>
      <c r="H72" s="15" t="str">
        <f>两日求解价格与决策!H72</f>
        <v>未模拟</v>
      </c>
      <c r="I72" s="16">
        <f>两日求解价格与决策!I72</f>
        <v>130.52732677763981</v>
      </c>
      <c r="J72" s="16">
        <f>两日求解价格与决策!J72</f>
        <v>130.81456666832304</v>
      </c>
      <c r="K72" s="16">
        <f>两日求解价格与决策!K72</f>
        <v>0</v>
      </c>
      <c r="L72" s="16">
        <f>两日求解价格与决策!L72</f>
        <v>40</v>
      </c>
      <c r="M72" s="16">
        <f>两日求解价格与决策!M72</f>
        <v>24</v>
      </c>
      <c r="N72" s="16">
        <f>两日求解价格与决策!N72</f>
        <v>23</v>
      </c>
      <c r="O72" s="16">
        <f>两日求解价格与决策!O72</f>
        <v>1.8514285714285716E-2</v>
      </c>
      <c r="P72" s="16">
        <f>两日求解价格与决策!P72</f>
        <v>0.33409142857142854</v>
      </c>
      <c r="Q72" s="17">
        <f>两日求解价格与决策!Q72</f>
        <v>0</v>
      </c>
      <c r="R72" s="17">
        <f>两日求解价格与决策!R72</f>
        <v>662.24534522516342</v>
      </c>
      <c r="S72" s="17">
        <f>两日求解价格与决策!S72</f>
        <v>30.392773426333541</v>
      </c>
      <c r="T72" s="17">
        <f>两日求解价格与决策!T72</f>
        <v>39.448859413412613</v>
      </c>
      <c r="U72" s="17">
        <f>两日求解价格与决策!U72</f>
        <v>2.4663132876499749</v>
      </c>
      <c r="V72" s="17">
        <f>两日求解价格与决策!V72</f>
        <v>-7.2974461314798615</v>
      </c>
      <c r="W72" s="17">
        <f>两日求解价格与决策!W72</f>
        <v>727.25584522107965</v>
      </c>
      <c r="X72" s="12">
        <f>两日求解价格与决策!X72</f>
        <v>727.25584522107965</v>
      </c>
      <c r="Y72" s="19">
        <f>两日求解价格与决策!Y72</f>
        <v>0</v>
      </c>
      <c r="Z72" s="12" t="str">
        <f t="shared" si="1"/>
        <v>正式执行</v>
      </c>
      <c r="AA72" s="12">
        <f>两日求解价格与决策!AA72</f>
        <v>1</v>
      </c>
      <c r="AB72" s="12">
        <f>两日求解价格与决策!AB72</f>
        <v>1</v>
      </c>
      <c r="AC72" s="12">
        <f>两日求解价格与决策!AC72</f>
        <v>0.25</v>
      </c>
      <c r="AD72" s="18">
        <f>两日求解价格与决策!AD72</f>
        <v>0.3125</v>
      </c>
      <c r="AE72" s="18">
        <f>两日求解价格与决策!AE72</f>
        <v>0.13714285714285715</v>
      </c>
      <c r="AF72" s="18">
        <f>两日求解价格与决策!AF72</f>
        <v>3.0857142857142858E-3</v>
      </c>
      <c r="AG72" s="18">
        <f>两日求解价格与决策!AG72</f>
        <v>5.8102857142857137E-2</v>
      </c>
      <c r="AH72" s="12">
        <f>两日求解价格与决策!AH72</f>
        <v>175</v>
      </c>
      <c r="AI72" s="12">
        <f>两日求解价格与决策!AI72</f>
        <v>175</v>
      </c>
      <c r="AJ72" s="12">
        <f>两日求解价格与决策!AJ72</f>
        <v>0.13500000000000001</v>
      </c>
      <c r="AK72" s="12">
        <f>两日求解价格与决策!AK72</f>
        <v>2.5419999999999998</v>
      </c>
      <c r="AL72" s="12">
        <f>两日求解价格与决策!AL72</f>
        <v>91.903999999999996</v>
      </c>
      <c r="AM72" s="12">
        <f>两日求解价格与决策!AM72</f>
        <v>9.0968982746721864E-4</v>
      </c>
      <c r="AN72" s="12">
        <f>两日求解价格与决策!AN72</f>
        <v>0.33409142857142854</v>
      </c>
      <c r="AO72" s="12">
        <f>两日求解价格与决策!AO72</f>
        <v>1.8514285714285716E-2</v>
      </c>
      <c r="AP72" s="12">
        <f>两日求解价格与决策!AP72</f>
        <v>130.81456666832307</v>
      </c>
      <c r="AQ72" s="19">
        <f>两日求解价格与决策!AQ72</f>
        <v>0</v>
      </c>
      <c r="AR72" s="12">
        <f>两日求解价格与决策!AR72</f>
        <v>5.2473000000000001</v>
      </c>
      <c r="AS72" s="14">
        <f>两日求解价格与决策!AS72</f>
        <v>46234</v>
      </c>
      <c r="AT72" s="13">
        <f>两日求解价格与决策!AT72</f>
        <v>46235.53125</v>
      </c>
      <c r="AU72" s="12" t="str">
        <f>两日求解价格与决策!AU72</f>
        <v>2026-08-01_60</v>
      </c>
      <c r="AV72" s="12">
        <f>两日求解价格与决策!AV72</f>
        <v>15</v>
      </c>
      <c r="AW72" s="12" t="str">
        <f>两日求解价格与决策!AW72</f>
        <v>OK</v>
      </c>
      <c r="AX72" s="12">
        <f>两日求解价格与决策!AX72</f>
        <v>128</v>
      </c>
      <c r="AY72" s="12">
        <f>两日求解价格与决策!AY72</f>
        <v>175</v>
      </c>
      <c r="AZ72" s="12">
        <f>两日求解价格与决策!AZ72</f>
        <v>175</v>
      </c>
      <c r="BA72" s="12">
        <f>两日求解价格与决策!BA72</f>
        <v>40</v>
      </c>
      <c r="BB72" s="12">
        <f>两日求解价格与决策!BB72</f>
        <v>24</v>
      </c>
      <c r="BC72" s="12">
        <f>两日求解价格与决策!BC72</f>
        <v>24</v>
      </c>
      <c r="BD72" s="14">
        <f>两日求解价格与决策!BD72</f>
        <v>46235</v>
      </c>
      <c r="BE72" s="1" t="str">
        <f>两日求解价格与决策!BE72</f>
        <v>零头寸，无结算现金</v>
      </c>
      <c r="BF72" s="1" t="str">
        <f>两日求解价格与决策!BF72</f>
        <v>40.000000 MW × 66.224535 × 0.250000 h = 662.245345 EUR</v>
      </c>
      <c r="BG72" s="1" t="str">
        <f>两日求解价格与决策!BG72</f>
        <v>24.000000 MW × 5.065462 × 0.250000 h = 30.392773 EUR</v>
      </c>
      <c r="BH72" s="1" t="str">
        <f>两日求解价格与决策!BH72</f>
        <v>23.000000 MW × 6.860671 × 0.250000 h = 39.448859 EUR</v>
      </c>
      <c r="BI72" s="1" t="str">
        <f>两日求解价格与决策!BI72</f>
        <v>0.018514 MWh × 133.211366 = 2.466313 EUR</v>
      </c>
      <c r="BJ72" s="1" t="str">
        <f>两日求解价格与决策!BJ72</f>
        <v>−(0.334091 MWh × 21.842662) = -7.297446 EUR</v>
      </c>
      <c r="BK72" s="1" t="str">
        <f>两日求解价格与决策!BK72</f>
        <v>0.000000 + 662.245345 + 30.392773 + 39.448859 + 2.466313 + -7.297446 = 727.255845 EUR</v>
      </c>
    </row>
    <row r="73" spans="1:63" ht="21" customHeight="1" x14ac:dyDescent="0.45">
      <c r="A73" s="13">
        <f>两日求解价格与决策!A73</f>
        <v>46235.666666666664</v>
      </c>
      <c r="B73" s="15">
        <f>两日求解价格与决策!B73</f>
        <v>11.26</v>
      </c>
      <c r="C73" s="15">
        <f>两日求解价格与决策!C73</f>
        <v>66.224534522516336</v>
      </c>
      <c r="D73" s="15">
        <f>两日求解价格与决策!D73</f>
        <v>4.9854210736950435</v>
      </c>
      <c r="E73" s="15">
        <f>两日求解价格与决策!E73</f>
        <v>3.0072608770224685</v>
      </c>
      <c r="F73" s="15">
        <f>两日求解价格与决策!F73</f>
        <v>133.21136584529185</v>
      </c>
      <c r="G73" s="15">
        <f>两日求解价格与决策!G73</f>
        <v>62.031902121090845</v>
      </c>
      <c r="H73" s="15" t="str">
        <f>两日求解价格与决策!H73</f>
        <v>未模拟</v>
      </c>
      <c r="I73" s="16">
        <f>两日求解价格与决策!I73</f>
        <v>130.81456666832304</v>
      </c>
      <c r="J73" s="16">
        <f>两日求解价格与决策!J73</f>
        <v>144.59135112546591</v>
      </c>
      <c r="K73" s="16">
        <f>两日求解价格与决策!K73</f>
        <v>-60</v>
      </c>
      <c r="L73" s="16">
        <f>两日求解价格与决策!L73</f>
        <v>40</v>
      </c>
      <c r="M73" s="16">
        <f>两日求解价格与决策!M73</f>
        <v>24</v>
      </c>
      <c r="N73" s="16">
        <f>两日求解价格与决策!N73</f>
        <v>0</v>
      </c>
      <c r="O73" s="16">
        <f>两日求解价格与决策!O73</f>
        <v>2.5234285714285716E-2</v>
      </c>
      <c r="P73" s="16">
        <f>两日求解价格与决策!P73</f>
        <v>0</v>
      </c>
      <c r="Q73" s="17">
        <f>两日求解价格与决策!Q73</f>
        <v>-168.9</v>
      </c>
      <c r="R73" s="17">
        <f>两日求解价格与决策!R73</f>
        <v>662.24534522516342</v>
      </c>
      <c r="S73" s="17">
        <f>两日求解价格与决策!S73</f>
        <v>29.912526442170261</v>
      </c>
      <c r="T73" s="17">
        <f>两日求解价格与决策!T73</f>
        <v>0</v>
      </c>
      <c r="U73" s="17">
        <f>两日求解价格与决策!U73</f>
        <v>3.3614936661303365</v>
      </c>
      <c r="V73" s="17">
        <f>两日求解价格与决策!V73</f>
        <v>0</v>
      </c>
      <c r="W73" s="17">
        <f>两日求解价格与决策!W73</f>
        <v>526.61936533346397</v>
      </c>
      <c r="X73" s="12">
        <f>两日求解价格与决策!X73</f>
        <v>526.61936533346397</v>
      </c>
      <c r="Y73" s="19">
        <f>两日求解价格与决策!Y73</f>
        <v>0</v>
      </c>
      <c r="Z73" s="12" t="str">
        <f t="shared" ref="Z73:Z104" si="2">"正式执行"</f>
        <v>正式执行</v>
      </c>
      <c r="AA73" s="12">
        <f>两日求解价格与决策!AA73</f>
        <v>1</v>
      </c>
      <c r="AB73" s="12">
        <f>两日求解价格与决策!AB73</f>
        <v>1</v>
      </c>
      <c r="AC73" s="12">
        <f>两日求解价格与决策!AC73</f>
        <v>0.25</v>
      </c>
      <c r="AD73" s="18">
        <f>两日求解价格与决策!AD73</f>
        <v>0.3125</v>
      </c>
      <c r="AE73" s="18">
        <f>两日求解价格与决策!AE73</f>
        <v>0.13714285714285715</v>
      </c>
      <c r="AF73" s="18">
        <f>两日求解价格与决策!AF73</f>
        <v>4.2057142857142857E-3</v>
      </c>
      <c r="AG73" s="18">
        <f>两日求解价格与决策!AG73</f>
        <v>5.2571428571428578E-3</v>
      </c>
      <c r="AH73" s="12">
        <f>两日求解价格与决策!AH73</f>
        <v>175</v>
      </c>
      <c r="AI73" s="12">
        <f>两日求解价格与决策!AI73</f>
        <v>175</v>
      </c>
      <c r="AJ73" s="12">
        <f>两日求解价格与决策!AJ73</f>
        <v>0.184</v>
      </c>
      <c r="AK73" s="12">
        <f>两日求解价格与决策!AK73</f>
        <v>0.23</v>
      </c>
      <c r="AL73" s="12">
        <f>两日求解价格与决策!AL73</f>
        <v>91.903999999999996</v>
      </c>
      <c r="AM73" s="12">
        <f>两日求解价格与决策!AM73</f>
        <v>3.8268845714285717E-2</v>
      </c>
      <c r="AN73" s="12">
        <f>两日求解价格与决策!AN73</f>
        <v>14.974765714285715</v>
      </c>
      <c r="AO73" s="12">
        <f>两日求解价格与决策!AO73</f>
        <v>0</v>
      </c>
      <c r="AP73" s="12">
        <f>两日求解价格与决策!AP73</f>
        <v>144.59135112546593</v>
      </c>
      <c r="AQ73" s="19">
        <f>两日求解价格与决策!AQ73</f>
        <v>0</v>
      </c>
      <c r="AR73" s="12">
        <f>两日求解价格与决策!AR73</f>
        <v>5.2473000000000001</v>
      </c>
      <c r="AS73" s="14">
        <f>两日求解价格与决策!AS73</f>
        <v>46234</v>
      </c>
      <c r="AT73" s="13">
        <f>两日求解价格与决策!AT73</f>
        <v>46235.541666666664</v>
      </c>
      <c r="AU73" s="12" t="str">
        <f>两日求解价格与决策!AU73</f>
        <v>2026-08-01_61</v>
      </c>
      <c r="AV73" s="12">
        <f>两日求解价格与决策!AV73</f>
        <v>15</v>
      </c>
      <c r="AW73" s="12" t="str">
        <f>两日求解价格与决策!AW73</f>
        <v>OK</v>
      </c>
      <c r="AX73" s="12">
        <f>两日求解价格与决策!AX73</f>
        <v>128</v>
      </c>
      <c r="AY73" s="12">
        <f>两日求解价格与决策!AY73</f>
        <v>175</v>
      </c>
      <c r="AZ73" s="12">
        <f>两日求解价格与决策!AZ73</f>
        <v>175</v>
      </c>
      <c r="BA73" s="12">
        <f>两日求解价格与决策!BA73</f>
        <v>40</v>
      </c>
      <c r="BB73" s="12">
        <f>两日求解价格与决策!BB73</f>
        <v>24</v>
      </c>
      <c r="BC73" s="12">
        <f>两日求解价格与决策!BC73</f>
        <v>24</v>
      </c>
      <c r="BD73" s="14">
        <f>两日求解价格与决策!BD73</f>
        <v>46235</v>
      </c>
      <c r="BE73" s="1" t="str">
        <f>两日求解价格与决策!BE73</f>
        <v>-60.000000 MW × 11.260000 × 0.250000 h = -168.900000 EUR</v>
      </c>
      <c r="BF73" s="1" t="str">
        <f>两日求解价格与决策!BF73</f>
        <v>40.000000 MW × 66.224535 × 0.250000 h = 662.245345 EUR</v>
      </c>
      <c r="BG73" s="1" t="str">
        <f>两日求解价格与决策!BG73</f>
        <v>24.000000 MW × 4.985421 × 0.250000 h = 29.912526 EUR</v>
      </c>
      <c r="BH73" s="1" t="str">
        <f>两日求解价格与决策!BH73</f>
        <v>零头寸，无结算现金</v>
      </c>
      <c r="BI73" s="1" t="str">
        <f>两日求解价格与决策!BI73</f>
        <v>0.025234 MWh × 133.211366 = 3.361494 EUR</v>
      </c>
      <c r="BJ73" s="1" t="str">
        <f>两日求解价格与决策!BJ73</f>
        <v>零下调激活电量</v>
      </c>
      <c r="BK73" s="1" t="str">
        <f>两日求解价格与决策!BK73</f>
        <v>-168.900000 + 662.245345 + 29.912526 + 0.000000 + 3.361494 + 0.000000 = 526.619365 EUR</v>
      </c>
    </row>
    <row r="74" spans="1:63" ht="21" customHeight="1" x14ac:dyDescent="0.45">
      <c r="A74" s="13">
        <f>两日求解价格与决策!A74</f>
        <v>46235.677083333336</v>
      </c>
      <c r="B74" s="15">
        <f>两日求解价格与决策!B74</f>
        <v>13.64</v>
      </c>
      <c r="C74" s="15">
        <f>两日求解价格与决策!C74</f>
        <v>66.224534522516336</v>
      </c>
      <c r="D74" s="15">
        <f>两日求解价格与决策!D74</f>
        <v>4.9854210736950435</v>
      </c>
      <c r="E74" s="15">
        <f>两日求解价格与决策!E74</f>
        <v>3.0072608770224685</v>
      </c>
      <c r="F74" s="15">
        <f>两日求解价格与决策!F74</f>
        <v>137.18560021344311</v>
      </c>
      <c r="G74" s="15">
        <f>两日求解价格与决策!G74</f>
        <v>76.229680025918086</v>
      </c>
      <c r="H74" s="15" t="str">
        <f>两日求解价格与决策!H74</f>
        <v>未模拟</v>
      </c>
      <c r="I74" s="16">
        <f>两日求解价格与决策!I74</f>
        <v>144.59135112546591</v>
      </c>
      <c r="J74" s="16">
        <f>两日求解价格与决策!J74</f>
        <v>158.08790883975163</v>
      </c>
      <c r="K74" s="16">
        <f>两日求解价格与决策!K74</f>
        <v>-60</v>
      </c>
      <c r="L74" s="16">
        <f>两日求解价格与决策!L74</f>
        <v>40</v>
      </c>
      <c r="M74" s="16">
        <f>两日求解价格与决策!M74</f>
        <v>24</v>
      </c>
      <c r="N74" s="16">
        <f>两日求解价格与决策!N74</f>
        <v>0</v>
      </c>
      <c r="O74" s="16">
        <f>两日求解价格与决策!O74</f>
        <v>0.32982857142857142</v>
      </c>
      <c r="P74" s="16">
        <f>两日求解价格与决策!P74</f>
        <v>0</v>
      </c>
      <c r="Q74" s="17">
        <f>两日求解价格与决策!Q74</f>
        <v>-204.60000000000002</v>
      </c>
      <c r="R74" s="17">
        <f>两日求解价格与决策!R74</f>
        <v>662.24534522516342</v>
      </c>
      <c r="S74" s="17">
        <f>两日求解价格与决策!S74</f>
        <v>29.912526442170261</v>
      </c>
      <c r="T74" s="17">
        <f>两日求解价格与决策!T74</f>
        <v>0</v>
      </c>
      <c r="U74" s="17">
        <f>两日求解价格与决策!U74</f>
        <v>45.247730538971062</v>
      </c>
      <c r="V74" s="17">
        <f>两日求解价格与决策!V74</f>
        <v>0</v>
      </c>
      <c r="W74" s="17">
        <f>两日求解价格与决策!W74</f>
        <v>532.80560220630468</v>
      </c>
      <c r="X74" s="12">
        <f>两日求解价格与决策!X74</f>
        <v>532.80560220630468</v>
      </c>
      <c r="Y74" s="19">
        <f>两日求解价格与决策!Y74</f>
        <v>0</v>
      </c>
      <c r="Z74" s="12" t="str">
        <f t="shared" si="2"/>
        <v>正式执行</v>
      </c>
      <c r="AA74" s="12">
        <f>两日求解价格与决策!AA74</f>
        <v>1</v>
      </c>
      <c r="AB74" s="12">
        <f>两日求解价格与决策!AB74</f>
        <v>1</v>
      </c>
      <c r="AC74" s="12">
        <f>两日求解价格与决策!AC74</f>
        <v>0.25</v>
      </c>
      <c r="AD74" s="18">
        <f>两日求解价格与决策!AD74</f>
        <v>0.3125</v>
      </c>
      <c r="AE74" s="18">
        <f>两日求解价格与决策!AE74</f>
        <v>0.13714285714285715</v>
      </c>
      <c r="AF74" s="18">
        <f>两日求解价格与决策!AF74</f>
        <v>5.4971428571428567E-2</v>
      </c>
      <c r="AG74" s="18">
        <f>两日求解价格与决策!AG74</f>
        <v>2.4457142857142859E-3</v>
      </c>
      <c r="AH74" s="12">
        <f>两日求解价格与决策!AH74</f>
        <v>175</v>
      </c>
      <c r="AI74" s="12">
        <f>两日求解价格与决策!AI74</f>
        <v>175</v>
      </c>
      <c r="AJ74" s="12">
        <f>两日求解价格与决策!AJ74</f>
        <v>2.4049999999999998</v>
      </c>
      <c r="AK74" s="12">
        <f>两日求解价格与决策!AK74</f>
        <v>0.107</v>
      </c>
      <c r="AL74" s="12">
        <f>两日求解价格与决策!AL74</f>
        <v>91.903999999999996</v>
      </c>
      <c r="AM74" s="12">
        <f>两日求解价格与决策!AM74</f>
        <v>3.7490438095238096E-2</v>
      </c>
      <c r="AN74" s="12">
        <f>两日求解价格与决策!AN74</f>
        <v>14.670171428571429</v>
      </c>
      <c r="AO74" s="12">
        <f>两日求解价格与决策!AO74</f>
        <v>0</v>
      </c>
      <c r="AP74" s="12">
        <f>两日求解价格与决策!AP74</f>
        <v>158.08790883975166</v>
      </c>
      <c r="AQ74" s="19">
        <f>两日求解价格与决策!AQ74</f>
        <v>0</v>
      </c>
      <c r="AR74" s="12">
        <f>两日求解价格与决策!AR74</f>
        <v>5.2473000000000001</v>
      </c>
      <c r="AS74" s="14">
        <f>两日求解价格与决策!AS74</f>
        <v>46234</v>
      </c>
      <c r="AT74" s="13">
        <f>两日求解价格与决策!AT74</f>
        <v>46235.552083333336</v>
      </c>
      <c r="AU74" s="12" t="str">
        <f>两日求解价格与决策!AU74</f>
        <v>2026-08-01_62</v>
      </c>
      <c r="AV74" s="12">
        <f>两日求解价格与决策!AV74</f>
        <v>15</v>
      </c>
      <c r="AW74" s="12" t="str">
        <f>两日求解价格与决策!AW74</f>
        <v>OK</v>
      </c>
      <c r="AX74" s="12">
        <f>两日求解价格与决策!AX74</f>
        <v>128</v>
      </c>
      <c r="AY74" s="12">
        <f>两日求解价格与决策!AY74</f>
        <v>175</v>
      </c>
      <c r="AZ74" s="12">
        <f>两日求解价格与决策!AZ74</f>
        <v>175</v>
      </c>
      <c r="BA74" s="12">
        <f>两日求解价格与决策!BA74</f>
        <v>40</v>
      </c>
      <c r="BB74" s="12">
        <f>两日求解价格与决策!BB74</f>
        <v>24</v>
      </c>
      <c r="BC74" s="12">
        <f>两日求解价格与决策!BC74</f>
        <v>24</v>
      </c>
      <c r="BD74" s="14">
        <f>两日求解价格与决策!BD74</f>
        <v>46235</v>
      </c>
      <c r="BE74" s="1" t="str">
        <f>两日求解价格与决策!BE74</f>
        <v>-60.000000 MW × 13.640000 × 0.250000 h = -204.600000 EUR</v>
      </c>
      <c r="BF74" s="1" t="str">
        <f>两日求解价格与决策!BF74</f>
        <v>40.000000 MW × 66.224535 × 0.250000 h = 662.245345 EUR</v>
      </c>
      <c r="BG74" s="1" t="str">
        <f>两日求解价格与决策!BG74</f>
        <v>24.000000 MW × 4.985421 × 0.250000 h = 29.912526 EUR</v>
      </c>
      <c r="BH74" s="1" t="str">
        <f>两日求解价格与决策!BH74</f>
        <v>零头寸，无结算现金</v>
      </c>
      <c r="BI74" s="1" t="str">
        <f>两日求解价格与决策!BI74</f>
        <v>0.329829 MWh × 137.185600 = 45.247731 EUR</v>
      </c>
      <c r="BJ74" s="1" t="str">
        <f>两日求解价格与决策!BJ74</f>
        <v>零下调激活电量</v>
      </c>
      <c r="BK74" s="1" t="str">
        <f>两日求解价格与决策!BK74</f>
        <v>-204.600000 + 662.245345 + 29.912526 + 0.000000 + 45.247731 + 0.000000 = 532.805602 EUR</v>
      </c>
    </row>
    <row r="75" spans="1:63" ht="21" customHeight="1" x14ac:dyDescent="0.45">
      <c r="A75" s="13">
        <f>两日求解价格与决策!A75</f>
        <v>46235.6875</v>
      </c>
      <c r="B75" s="15">
        <f>两日求解价格与决策!B75</f>
        <v>23.93</v>
      </c>
      <c r="C75" s="15">
        <f>两日求解价格与决策!C75</f>
        <v>66.224534522516336</v>
      </c>
      <c r="D75" s="15">
        <f>两日求解价格与决策!D75</f>
        <v>4.9854210736950435</v>
      </c>
      <c r="E75" s="15">
        <f>两日求解价格与决策!E75</f>
        <v>3.0072608770224685</v>
      </c>
      <c r="F75" s="15">
        <f>两日求解价格与决策!F75</f>
        <v>133.27654222171401</v>
      </c>
      <c r="G75" s="15">
        <f>两日求解价格与决策!G75</f>
        <v>75.04659539191583</v>
      </c>
      <c r="H75" s="15" t="str">
        <f>两日求解价格与决策!H75</f>
        <v>未模拟</v>
      </c>
      <c r="I75" s="16">
        <f>两日求解价格与决策!I75</f>
        <v>158.08790883975163</v>
      </c>
      <c r="J75" s="16">
        <f>两日求解价格与决策!J75</f>
        <v>171.60000000000005</v>
      </c>
      <c r="K75" s="16">
        <f>两日求解价格与决策!K75</f>
        <v>-59.794896721576919</v>
      </c>
      <c r="L75" s="16">
        <f>两日求解价格与决策!L75</f>
        <v>40</v>
      </c>
      <c r="M75" s="16">
        <f>两日求解价格与决策!M75</f>
        <v>24</v>
      </c>
      <c r="N75" s="16">
        <f>两日求解价格与决策!N75</f>
        <v>0</v>
      </c>
      <c r="O75" s="16">
        <f>两日求解价格与决策!O75</f>
        <v>0.26166857142857142</v>
      </c>
      <c r="P75" s="16">
        <f>两日求解价格与决策!P75</f>
        <v>0</v>
      </c>
      <c r="Q75" s="17">
        <f>两日求解价格与决策!Q75</f>
        <v>-357.72296963683391</v>
      </c>
      <c r="R75" s="17">
        <f>两日求解价格与决策!R75</f>
        <v>662.24534522516342</v>
      </c>
      <c r="S75" s="17">
        <f>两日求解价格与决策!S75</f>
        <v>29.912526442170261</v>
      </c>
      <c r="T75" s="17">
        <f>两日求解价格与决策!T75</f>
        <v>0</v>
      </c>
      <c r="U75" s="17">
        <f>两日求解价格与决策!U75</f>
        <v>34.874282408095588</v>
      </c>
      <c r="V75" s="17">
        <f>两日求解价格与决策!V75</f>
        <v>0</v>
      </c>
      <c r="W75" s="17">
        <f>两日求解价格与决策!W75</f>
        <v>369.30918443859537</v>
      </c>
      <c r="X75" s="12">
        <f>两日求解价格与决策!X75</f>
        <v>369.30918443859537</v>
      </c>
      <c r="Y75" s="19">
        <f>两日求解价格与决策!Y75</f>
        <v>0</v>
      </c>
      <c r="Z75" s="12" t="str">
        <f t="shared" si="2"/>
        <v>正式执行</v>
      </c>
      <c r="AA75" s="12">
        <f>两日求解价格与决策!AA75</f>
        <v>1</v>
      </c>
      <c r="AB75" s="12">
        <f>两日求解价格与决策!AB75</f>
        <v>1</v>
      </c>
      <c r="AC75" s="12">
        <f>两日求解价格与决策!AC75</f>
        <v>0.25</v>
      </c>
      <c r="AD75" s="18">
        <f>两日求解价格与决策!AD75</f>
        <v>0.3125</v>
      </c>
      <c r="AE75" s="18">
        <f>两日求解价格与决策!AE75</f>
        <v>0.13714285714285715</v>
      </c>
      <c r="AF75" s="18">
        <f>两日求解价格与决策!AF75</f>
        <v>4.3611428571428572E-2</v>
      </c>
      <c r="AG75" s="18">
        <f>两日求解价格与决策!AG75</f>
        <v>2.1942857142857142E-3</v>
      </c>
      <c r="AH75" s="12">
        <f>两日求解价格与决策!AH75</f>
        <v>175</v>
      </c>
      <c r="AI75" s="12">
        <f>两日求解价格与决策!AI75</f>
        <v>175</v>
      </c>
      <c r="AJ75" s="12">
        <f>两日求解价格与决策!AJ75</f>
        <v>1.9079999999999999</v>
      </c>
      <c r="AK75" s="12">
        <f>两日求解价格与决策!AK75</f>
        <v>9.6000000000000002E-2</v>
      </c>
      <c r="AL75" s="12">
        <f>两日求解价格与决策!AL75</f>
        <v>91.903999999999996</v>
      </c>
      <c r="AM75" s="12">
        <f>两日求解价格与决策!AM75</f>
        <v>3.7533586556245578E-2</v>
      </c>
      <c r="AN75" s="12">
        <f>两日求解价格与决策!AN75</f>
        <v>14.687055608965657</v>
      </c>
      <c r="AO75" s="12">
        <f>两日求解价格与决策!AO75</f>
        <v>0</v>
      </c>
      <c r="AP75" s="12">
        <f>两日求解价格与决策!AP75</f>
        <v>171.60000000000008</v>
      </c>
      <c r="AQ75" s="19">
        <f>两日求解价格与决策!AQ75</f>
        <v>0</v>
      </c>
      <c r="AR75" s="12">
        <f>两日求解价格与决策!AR75</f>
        <v>5.2473000000000001</v>
      </c>
      <c r="AS75" s="14">
        <f>两日求解价格与决策!AS75</f>
        <v>46234</v>
      </c>
      <c r="AT75" s="13">
        <f>两日求解价格与决策!AT75</f>
        <v>46235.5625</v>
      </c>
      <c r="AU75" s="12" t="str">
        <f>两日求解价格与决策!AU75</f>
        <v>2026-08-01_63</v>
      </c>
      <c r="AV75" s="12">
        <f>两日求解价格与决策!AV75</f>
        <v>15</v>
      </c>
      <c r="AW75" s="12" t="str">
        <f>两日求解价格与决策!AW75</f>
        <v>OK</v>
      </c>
      <c r="AX75" s="12">
        <f>两日求解价格与决策!AX75</f>
        <v>128</v>
      </c>
      <c r="AY75" s="12">
        <f>两日求解价格与决策!AY75</f>
        <v>175</v>
      </c>
      <c r="AZ75" s="12">
        <f>两日求解价格与决策!AZ75</f>
        <v>175</v>
      </c>
      <c r="BA75" s="12">
        <f>两日求解价格与决策!BA75</f>
        <v>40</v>
      </c>
      <c r="BB75" s="12">
        <f>两日求解价格与决策!BB75</f>
        <v>24</v>
      </c>
      <c r="BC75" s="12">
        <f>两日求解价格与决策!BC75</f>
        <v>24</v>
      </c>
      <c r="BD75" s="14">
        <f>两日求解价格与决策!BD75</f>
        <v>46235</v>
      </c>
      <c r="BE75" s="1" t="str">
        <f>两日求解价格与决策!BE75</f>
        <v>-59.794897 MW × 23.930000 × 0.250000 h = -357.722970 EUR</v>
      </c>
      <c r="BF75" s="1" t="str">
        <f>两日求解价格与决策!BF75</f>
        <v>40.000000 MW × 66.224535 × 0.250000 h = 662.245345 EUR</v>
      </c>
      <c r="BG75" s="1" t="str">
        <f>两日求解价格与决策!BG75</f>
        <v>24.000000 MW × 4.985421 × 0.250000 h = 29.912526 EUR</v>
      </c>
      <c r="BH75" s="1" t="str">
        <f>两日求解价格与决策!BH75</f>
        <v>零头寸，无结算现金</v>
      </c>
      <c r="BI75" s="1" t="str">
        <f>两日求解价格与决策!BI75</f>
        <v>0.261669 MWh × 133.276542 = 34.874282 EUR</v>
      </c>
      <c r="BJ75" s="1" t="str">
        <f>两日求解价格与决策!BJ75</f>
        <v>零下调激活电量</v>
      </c>
      <c r="BK75" s="1" t="str">
        <f>两日求解价格与决策!BK75</f>
        <v>-357.722970 + 662.245345 + 29.912526 + 0.000000 + 34.874282 + 0.000000 = 369.309184 EUR</v>
      </c>
    </row>
    <row r="76" spans="1:63" ht="21" customHeight="1" x14ac:dyDescent="0.45">
      <c r="A76" s="13">
        <f>两日求解价格与决策!A76</f>
        <v>46235.697916666664</v>
      </c>
      <c r="B76" s="15">
        <f>两日求解价格与决策!B76</f>
        <v>62.7</v>
      </c>
      <c r="C76" s="15">
        <f>两日求解价格与决策!C76</f>
        <v>66.224534522516336</v>
      </c>
      <c r="D76" s="15">
        <f>两日求解价格与决策!D76</f>
        <v>4.9854210736950435</v>
      </c>
      <c r="E76" s="15">
        <f>两日求解价格与决策!E76</f>
        <v>3.0072608770224685</v>
      </c>
      <c r="F76" s="15">
        <f>两日求解价格与决策!F76</f>
        <v>133.21136584529185</v>
      </c>
      <c r="G76" s="15">
        <f>两日求解价格与决策!G76</f>
        <v>68.87656509061803</v>
      </c>
      <c r="H76" s="15" t="str">
        <f>两日求解价格与决策!H76</f>
        <v>未模拟</v>
      </c>
      <c r="I76" s="16">
        <f>两日求解价格与决策!I76</f>
        <v>171.60000000000005</v>
      </c>
      <c r="J76" s="16">
        <f>两日求解价格与决策!J76</f>
        <v>161.9104149503948</v>
      </c>
      <c r="K76" s="16">
        <f>两日求解价格与决策!K76</f>
        <v>35.598427268261688</v>
      </c>
      <c r="L76" s="16">
        <f>两日求解价格与决策!L76</f>
        <v>40</v>
      </c>
      <c r="M76" s="16">
        <f>两日求解价格与决策!M76</f>
        <v>24</v>
      </c>
      <c r="N76" s="16">
        <f>两日求解价格与决策!N76</f>
        <v>0</v>
      </c>
      <c r="O76" s="16">
        <f>两日求解价格与决策!O76</f>
        <v>1.4811428571428571E-2</v>
      </c>
      <c r="P76" s="16">
        <f>两日求解价格与决策!P76</f>
        <v>0</v>
      </c>
      <c r="Q76" s="17">
        <f>两日求解价格与决策!Q76</f>
        <v>558.00534743000196</v>
      </c>
      <c r="R76" s="17">
        <f>两日求解价格与决策!R76</f>
        <v>662.24534522516342</v>
      </c>
      <c r="S76" s="17">
        <f>两日求解价格与决策!S76</f>
        <v>29.912526442170261</v>
      </c>
      <c r="T76" s="17">
        <f>两日求解价格与决策!T76</f>
        <v>0</v>
      </c>
      <c r="U76" s="17">
        <f>两日求解价格与决策!U76</f>
        <v>1.9730506301199797</v>
      </c>
      <c r="V76" s="17">
        <f>两日求解价格与决策!V76</f>
        <v>0</v>
      </c>
      <c r="W76" s="17">
        <f>两日求解价格与决策!W76</f>
        <v>1252.1362697274558</v>
      </c>
      <c r="X76" s="12">
        <f>两日求解价格与决策!X76</f>
        <v>1252.1362697274556</v>
      </c>
      <c r="Y76" s="19">
        <f>两日求解价格与决策!Y76</f>
        <v>0</v>
      </c>
      <c r="Z76" s="12" t="str">
        <f t="shared" si="2"/>
        <v>正式执行</v>
      </c>
      <c r="AA76" s="12">
        <f>两日求解价格与决策!AA76</f>
        <v>1</v>
      </c>
      <c r="AB76" s="12">
        <f>两日求解价格与决策!AB76</f>
        <v>1</v>
      </c>
      <c r="AC76" s="12">
        <f>两日求解价格与决策!AC76</f>
        <v>0.25</v>
      </c>
      <c r="AD76" s="18">
        <f>两日求解价格与决策!AD76</f>
        <v>0.3125</v>
      </c>
      <c r="AE76" s="18">
        <f>两日求解价格与决策!AE76</f>
        <v>0.13714285714285715</v>
      </c>
      <c r="AF76" s="18">
        <f>两日求解价格与决策!AF76</f>
        <v>2.4685714285714285E-3</v>
      </c>
      <c r="AG76" s="18">
        <f>两日求解价格与决策!AG76</f>
        <v>8.2971428571428571E-3</v>
      </c>
      <c r="AH76" s="12">
        <f>两日求解价格与决策!AH76</f>
        <v>175</v>
      </c>
      <c r="AI76" s="12">
        <f>两日求解价格与决策!AI76</f>
        <v>175</v>
      </c>
      <c r="AJ76" s="12">
        <f>两日求解价格与决策!AJ76</f>
        <v>0.108</v>
      </c>
      <c r="AK76" s="12">
        <f>两日求解价格与决策!AK76</f>
        <v>0.36299999999999999</v>
      </c>
      <c r="AL76" s="12">
        <f>两日求解价格与决策!AL76</f>
        <v>91.903999999999996</v>
      </c>
      <c r="AM76" s="12">
        <f>两日求解价格与决策!AM76</f>
        <v>2.6915514026681311E-2</v>
      </c>
      <c r="AN76" s="12">
        <f>两日求解价格与决策!AN76</f>
        <v>0</v>
      </c>
      <c r="AO76" s="12">
        <f>两日求解价格与决策!AO76</f>
        <v>8.914418245636849</v>
      </c>
      <c r="AP76" s="12">
        <f>两日求解价格与决策!AP76</f>
        <v>161.91041495039482</v>
      </c>
      <c r="AQ76" s="19">
        <f>两日求解价格与决策!AQ76</f>
        <v>0</v>
      </c>
      <c r="AR76" s="12">
        <f>两日求解价格与决策!AR76</f>
        <v>5.2473000000000001</v>
      </c>
      <c r="AS76" s="14">
        <f>两日求解价格与决策!AS76</f>
        <v>46234</v>
      </c>
      <c r="AT76" s="13">
        <f>两日求解价格与决策!AT76</f>
        <v>46235.572916666664</v>
      </c>
      <c r="AU76" s="12" t="str">
        <f>两日求解价格与决策!AU76</f>
        <v>2026-08-01_64</v>
      </c>
      <c r="AV76" s="12">
        <f>两日求解价格与决策!AV76</f>
        <v>15</v>
      </c>
      <c r="AW76" s="12" t="str">
        <f>两日求解价格与决策!AW76</f>
        <v>OK</v>
      </c>
      <c r="AX76" s="12">
        <f>两日求解价格与决策!AX76</f>
        <v>128</v>
      </c>
      <c r="AY76" s="12">
        <f>两日求解价格与决策!AY76</f>
        <v>175</v>
      </c>
      <c r="AZ76" s="12">
        <f>两日求解价格与决策!AZ76</f>
        <v>175</v>
      </c>
      <c r="BA76" s="12">
        <f>两日求解价格与决策!BA76</f>
        <v>40</v>
      </c>
      <c r="BB76" s="12">
        <f>两日求解价格与决策!BB76</f>
        <v>24</v>
      </c>
      <c r="BC76" s="12">
        <f>两日求解价格与决策!BC76</f>
        <v>24</v>
      </c>
      <c r="BD76" s="14">
        <f>两日求解价格与决策!BD76</f>
        <v>46235</v>
      </c>
      <c r="BE76" s="1" t="str">
        <f>两日求解价格与决策!BE76</f>
        <v>35.598427 MW × 62.700000 × 0.250000 h = 558.005347 EUR</v>
      </c>
      <c r="BF76" s="1" t="str">
        <f>两日求解价格与决策!BF76</f>
        <v>40.000000 MW × 66.224535 × 0.250000 h = 662.245345 EUR</v>
      </c>
      <c r="BG76" s="1" t="str">
        <f>两日求解价格与决策!BG76</f>
        <v>24.000000 MW × 4.985421 × 0.250000 h = 29.912526 EUR</v>
      </c>
      <c r="BH76" s="1" t="str">
        <f>两日求解价格与决策!BH76</f>
        <v>零头寸，无结算现金</v>
      </c>
      <c r="BI76" s="1" t="str">
        <f>两日求解价格与决策!BI76</f>
        <v>0.014811 MWh × 133.211366 = 1.973051 EUR</v>
      </c>
      <c r="BJ76" s="1" t="str">
        <f>两日求解价格与决策!BJ76</f>
        <v>零下调激活电量</v>
      </c>
      <c r="BK76" s="1" t="str">
        <f>两日求解价格与决策!BK76</f>
        <v>558.005347 + 662.245345 + 29.912526 + 0.000000 + 1.973051 + 0.000000 = 1252.136270 EUR</v>
      </c>
    </row>
    <row r="77" spans="1:63" ht="21" customHeight="1" x14ac:dyDescent="0.45">
      <c r="A77" s="13">
        <f>两日求解价格与决策!A77</f>
        <v>46235.708333333336</v>
      </c>
      <c r="B77" s="15">
        <f>两日求解价格与决策!B77</f>
        <v>24.29</v>
      </c>
      <c r="C77" s="15">
        <f>两日求解价格与决策!C77</f>
        <v>66.224534522516336</v>
      </c>
      <c r="D77" s="15">
        <f>两日求解价格与决策!D77</f>
        <v>5.6505250319211777</v>
      </c>
      <c r="E77" s="15">
        <f>两日求解价格与决策!E77</f>
        <v>3.0072608770224685</v>
      </c>
      <c r="F77" s="15">
        <f>两日求解价格与决策!F77</f>
        <v>133.21136584529185</v>
      </c>
      <c r="G77" s="15">
        <f>两日求解价格与决策!G77</f>
        <v>55.38772321003183</v>
      </c>
      <c r="H77" s="15" t="str">
        <f>两日求解价格与决策!H77</f>
        <v>未模拟</v>
      </c>
      <c r="I77" s="16">
        <f>两日求解价格与决策!I77</f>
        <v>161.9104149503948</v>
      </c>
      <c r="J77" s="16">
        <f>两日求解价格与决策!J77</f>
        <v>170.9969342646805</v>
      </c>
      <c r="K77" s="16">
        <f>两日求解价格与决策!K77</f>
        <v>-38.999999999999979</v>
      </c>
      <c r="L77" s="16">
        <f>两日求解价格与决策!L77</f>
        <v>40</v>
      </c>
      <c r="M77" s="16">
        <f>两日求解价格与决策!M77</f>
        <v>24</v>
      </c>
      <c r="N77" s="16">
        <f>两日求解价格与决策!N77</f>
        <v>21</v>
      </c>
      <c r="O77" s="16">
        <f>两日求解价格与决策!O77</f>
        <v>8.2285714285714288E-3</v>
      </c>
      <c r="P77" s="16">
        <f>两日求解价格与决策!P77</f>
        <v>0.13488</v>
      </c>
      <c r="Q77" s="17">
        <f>两日求解价格与决策!Q77</f>
        <v>-236.82749999999987</v>
      </c>
      <c r="R77" s="17">
        <f>两日求解价格与决策!R77</f>
        <v>662.24534522516342</v>
      </c>
      <c r="S77" s="17">
        <f>两日求解价格与决策!S77</f>
        <v>33.903150191527068</v>
      </c>
      <c r="T77" s="17">
        <f>两日求解价格与决策!T77</f>
        <v>15.78811960436796</v>
      </c>
      <c r="U77" s="17">
        <f>两日求解价格与决策!U77</f>
        <v>1.0961392389555444</v>
      </c>
      <c r="V77" s="17">
        <f>两日求解价格与决策!V77</f>
        <v>-7.4706961065690933</v>
      </c>
      <c r="W77" s="17">
        <f>两日求解价格与决策!W77</f>
        <v>468.73455815344505</v>
      </c>
      <c r="X77" s="12">
        <f>两日求解价格与决策!X77</f>
        <v>468.73455815344505</v>
      </c>
      <c r="Y77" s="19">
        <f>两日求解价格与决策!Y77</f>
        <v>0</v>
      </c>
      <c r="Z77" s="12" t="str">
        <f t="shared" si="2"/>
        <v>正式执行</v>
      </c>
      <c r="AA77" s="12">
        <f>两日求解价格与决策!AA77</f>
        <v>1</v>
      </c>
      <c r="AB77" s="12">
        <f>两日求解价格与决策!AB77</f>
        <v>1</v>
      </c>
      <c r="AC77" s="12">
        <f>两日求解价格与决策!AC77</f>
        <v>0.25</v>
      </c>
      <c r="AD77" s="18">
        <f>两日求解价格与决策!AD77</f>
        <v>0.3125</v>
      </c>
      <c r="AE77" s="18">
        <f>两日求解价格与决策!AE77</f>
        <v>0.13714285714285715</v>
      </c>
      <c r="AF77" s="18">
        <f>两日求解价格与决策!AF77</f>
        <v>1.3714285714285714E-3</v>
      </c>
      <c r="AG77" s="18">
        <f>两日求解价格与决策!AG77</f>
        <v>2.5691428571428573E-2</v>
      </c>
      <c r="AH77" s="12">
        <f>两日求解价格与决策!AH77</f>
        <v>175</v>
      </c>
      <c r="AI77" s="12">
        <f>两日求解价格与决策!AI77</f>
        <v>175</v>
      </c>
      <c r="AJ77" s="12">
        <f>两日求解价格与决策!AJ77</f>
        <v>0.06</v>
      </c>
      <c r="AK77" s="12">
        <f>两日求解价格与决策!AK77</f>
        <v>1.1240000000000001</v>
      </c>
      <c r="AL77" s="12">
        <f>两日求解价格与决策!AL77</f>
        <v>91.903999999999996</v>
      </c>
      <c r="AM77" s="12">
        <f>两日求解价格与决策!AM77</f>
        <v>2.5240331428571412E-2</v>
      </c>
      <c r="AN77" s="12">
        <f>两日求解价格与决策!AN77</f>
        <v>9.8766514285714226</v>
      </c>
      <c r="AO77" s="12">
        <f>两日求解价格与决策!AO77</f>
        <v>0</v>
      </c>
      <c r="AP77" s="12">
        <f>两日求解价格与决策!AP77</f>
        <v>170.99693426468053</v>
      </c>
      <c r="AQ77" s="19">
        <f>两日求解价格与决策!AQ77</f>
        <v>0</v>
      </c>
      <c r="AR77" s="12">
        <f>两日求解价格与决策!AR77</f>
        <v>5.2473000000000001</v>
      </c>
      <c r="AS77" s="14">
        <f>两日求解价格与决策!AS77</f>
        <v>46234</v>
      </c>
      <c r="AT77" s="13">
        <f>两日求解价格与决策!AT77</f>
        <v>46235.583333333336</v>
      </c>
      <c r="AU77" s="12" t="str">
        <f>两日求解价格与决策!AU77</f>
        <v>2026-08-01_65</v>
      </c>
      <c r="AV77" s="12">
        <f>两日求解价格与决策!AV77</f>
        <v>15</v>
      </c>
      <c r="AW77" s="12" t="str">
        <f>两日求解价格与决策!AW77</f>
        <v>OK</v>
      </c>
      <c r="AX77" s="12">
        <f>两日求解价格与决策!AX77</f>
        <v>128</v>
      </c>
      <c r="AY77" s="12">
        <f>两日求解价格与决策!AY77</f>
        <v>175</v>
      </c>
      <c r="AZ77" s="12">
        <f>两日求解价格与决策!AZ77</f>
        <v>175</v>
      </c>
      <c r="BA77" s="12">
        <f>两日求解价格与决策!BA77</f>
        <v>40</v>
      </c>
      <c r="BB77" s="12">
        <f>两日求解价格与决策!BB77</f>
        <v>24</v>
      </c>
      <c r="BC77" s="12">
        <f>两日求解价格与决策!BC77</f>
        <v>24</v>
      </c>
      <c r="BD77" s="14">
        <f>两日求解价格与决策!BD77</f>
        <v>46235</v>
      </c>
      <c r="BE77" s="1" t="str">
        <f>两日求解价格与决策!BE77</f>
        <v>-39.000000 MW × 24.290000 × 0.250000 h = -236.827500 EUR</v>
      </c>
      <c r="BF77" s="1" t="str">
        <f>两日求解价格与决策!BF77</f>
        <v>40.000000 MW × 66.224535 × 0.250000 h = 662.245345 EUR</v>
      </c>
      <c r="BG77" s="1" t="str">
        <f>两日求解价格与决策!BG77</f>
        <v>24.000000 MW × 5.650525 × 0.250000 h = 33.903150 EUR</v>
      </c>
      <c r="BH77" s="1" t="str">
        <f>两日求解价格与决策!BH77</f>
        <v>21.000000 MW × 3.007261 × 0.250000 h = 15.788120 EUR</v>
      </c>
      <c r="BI77" s="1" t="str">
        <f>两日求解价格与决策!BI77</f>
        <v>0.008229 MWh × 133.211366 = 1.096139 EUR</v>
      </c>
      <c r="BJ77" s="1" t="str">
        <f>两日求解价格与决策!BJ77</f>
        <v>−(0.134880 MWh × 55.387723) = -7.470696 EUR</v>
      </c>
      <c r="BK77" s="1" t="str">
        <f>两日求解价格与决策!BK77</f>
        <v>-236.827500 + 662.245345 + 33.903150 + 15.788120 + 1.096139 + -7.470696 = 468.734558 EUR</v>
      </c>
    </row>
    <row r="78" spans="1:63" ht="21" customHeight="1" x14ac:dyDescent="0.45">
      <c r="A78" s="13">
        <f>两日求解价格与决策!A78</f>
        <v>46235.71875</v>
      </c>
      <c r="B78" s="15">
        <f>两日求解价格与决策!B78</f>
        <v>69.88</v>
      </c>
      <c r="C78" s="15">
        <f>两日求解价格与决策!C78</f>
        <v>66.224534522516336</v>
      </c>
      <c r="D78" s="15">
        <f>两日求解价格与决策!D78</f>
        <v>5.6505250319211777</v>
      </c>
      <c r="E78" s="15">
        <f>两日求解价格与决策!E78</f>
        <v>3.0072608770224685</v>
      </c>
      <c r="F78" s="15">
        <f>两日求解价格与决策!F78</f>
        <v>133.24948068530483</v>
      </c>
      <c r="G78" s="15">
        <f>两日求解价格与决策!G78</f>
        <v>-0.21763573647399612</v>
      </c>
      <c r="H78" s="15" t="str">
        <f>两日求解价格与决策!H78</f>
        <v>未模拟</v>
      </c>
      <c r="I78" s="16">
        <f>两日求解价格与决策!I78</f>
        <v>170.9969342646805</v>
      </c>
      <c r="J78" s="16">
        <f>两日求解价格与决策!J78</f>
        <v>171.59291126689536</v>
      </c>
      <c r="K78" s="16">
        <f>两日求解价格与决策!K78</f>
        <v>-1.2399362073522855</v>
      </c>
      <c r="L78" s="16">
        <f>两日求解价格与决策!L78</f>
        <v>40</v>
      </c>
      <c r="M78" s="16">
        <f>两日求解价格与决策!M78</f>
        <v>24</v>
      </c>
      <c r="N78" s="16">
        <f>两日求解价格与决策!N78</f>
        <v>21</v>
      </c>
      <c r="O78" s="16">
        <f>两日求解价格与决策!O78</f>
        <v>0.23986285714285716</v>
      </c>
      <c r="P78" s="16">
        <f>两日求解价格与决策!P78</f>
        <v>0.61896000000000007</v>
      </c>
      <c r="Q78" s="17">
        <f>两日求解价格与决策!Q78</f>
        <v>-21.661685542444427</v>
      </c>
      <c r="R78" s="17">
        <f>两日求解价格与决策!R78</f>
        <v>662.24534522516342</v>
      </c>
      <c r="S78" s="17">
        <f>两日求解价格与决策!S78</f>
        <v>33.903150191527068</v>
      </c>
      <c r="T78" s="17">
        <f>两日求解价格与决策!T78</f>
        <v>15.78811960436796</v>
      </c>
      <c r="U78" s="17">
        <f>两日求解价格与决策!U78</f>
        <v>31.961601149979177</v>
      </c>
      <c r="V78" s="17">
        <f>两日求解价格与决策!V78</f>
        <v>0.13470781544794466</v>
      </c>
      <c r="W78" s="17">
        <f>两日求解价格与决策!W78</f>
        <v>722.37123844404118</v>
      </c>
      <c r="X78" s="12">
        <f>两日求解价格与决策!X78</f>
        <v>722.37123844404118</v>
      </c>
      <c r="Y78" s="19">
        <f>两日求解价格与决策!Y78</f>
        <v>0</v>
      </c>
      <c r="Z78" s="12" t="str">
        <f t="shared" si="2"/>
        <v>正式执行</v>
      </c>
      <c r="AA78" s="12">
        <f>两日求解价格与决策!AA78</f>
        <v>1</v>
      </c>
      <c r="AB78" s="12">
        <f>两日求解价格与决策!AB78</f>
        <v>1</v>
      </c>
      <c r="AC78" s="12">
        <f>两日求解价格与决策!AC78</f>
        <v>0.25</v>
      </c>
      <c r="AD78" s="18">
        <f>两日求解价格与决策!AD78</f>
        <v>0.3125</v>
      </c>
      <c r="AE78" s="18">
        <f>两日求解价格与决策!AE78</f>
        <v>0.13714285714285715</v>
      </c>
      <c r="AF78" s="18">
        <f>两日求解价格与决策!AF78</f>
        <v>3.9977142857142857E-2</v>
      </c>
      <c r="AG78" s="18">
        <f>两日求解价格与决策!AG78</f>
        <v>0.11789714285714287</v>
      </c>
      <c r="AH78" s="12">
        <f>两日求解价格与决策!AH78</f>
        <v>175</v>
      </c>
      <c r="AI78" s="12">
        <f>两日求解价格与决策!AI78</f>
        <v>175</v>
      </c>
      <c r="AJ78" s="12">
        <f>两日求解价格与决策!AJ78</f>
        <v>1.7490000000000001</v>
      </c>
      <c r="AK78" s="12">
        <f>两日求解价格与决策!AK78</f>
        <v>5.1580000000000004</v>
      </c>
      <c r="AL78" s="12">
        <f>两日求解价格与决策!AL78</f>
        <v>91.903999999999996</v>
      </c>
      <c r="AM78" s="12">
        <f>两日求解价格与决策!AM78</f>
        <v>3.0291062888763228E-3</v>
      </c>
      <c r="AN78" s="12">
        <f>两日求解价格与决策!AN78</f>
        <v>0.91655177511430486</v>
      </c>
      <c r="AO78" s="12">
        <f>两日求解价格与决策!AO78</f>
        <v>0.22747058041909057</v>
      </c>
      <c r="AP78" s="12">
        <f>两日求解价格与决策!AP78</f>
        <v>171.59291126689538</v>
      </c>
      <c r="AQ78" s="19">
        <f>两日求解价格与决策!AQ78</f>
        <v>0</v>
      </c>
      <c r="AR78" s="12">
        <f>两日求解价格与决策!AR78</f>
        <v>5.2473000000000001</v>
      </c>
      <c r="AS78" s="14">
        <f>两日求解价格与决策!AS78</f>
        <v>46234</v>
      </c>
      <c r="AT78" s="13">
        <f>两日求解价格与决策!AT78</f>
        <v>46235.59375</v>
      </c>
      <c r="AU78" s="12" t="str">
        <f>两日求解价格与决策!AU78</f>
        <v>2026-08-01_66</v>
      </c>
      <c r="AV78" s="12">
        <f>两日求解价格与决策!AV78</f>
        <v>15</v>
      </c>
      <c r="AW78" s="12" t="str">
        <f>两日求解价格与决策!AW78</f>
        <v>OK</v>
      </c>
      <c r="AX78" s="12">
        <f>两日求解价格与决策!AX78</f>
        <v>128</v>
      </c>
      <c r="AY78" s="12">
        <f>两日求解价格与决策!AY78</f>
        <v>175</v>
      </c>
      <c r="AZ78" s="12">
        <f>两日求解价格与决策!AZ78</f>
        <v>175</v>
      </c>
      <c r="BA78" s="12">
        <f>两日求解价格与决策!BA78</f>
        <v>40</v>
      </c>
      <c r="BB78" s="12">
        <f>两日求解价格与决策!BB78</f>
        <v>24</v>
      </c>
      <c r="BC78" s="12">
        <f>两日求解价格与决策!BC78</f>
        <v>24</v>
      </c>
      <c r="BD78" s="14">
        <f>两日求解价格与决策!BD78</f>
        <v>46235</v>
      </c>
      <c r="BE78" s="1" t="str">
        <f>两日求解价格与决策!BE78</f>
        <v>-1.239936 MW × 69.880000 × 0.250000 h = -21.661686 EUR</v>
      </c>
      <c r="BF78" s="1" t="str">
        <f>两日求解价格与决策!BF78</f>
        <v>40.000000 MW × 66.224535 × 0.250000 h = 662.245345 EUR</v>
      </c>
      <c r="BG78" s="1" t="str">
        <f>两日求解价格与决策!BG78</f>
        <v>24.000000 MW × 5.650525 × 0.250000 h = 33.903150 EUR</v>
      </c>
      <c r="BH78" s="1" t="str">
        <f>两日求解价格与决策!BH78</f>
        <v>21.000000 MW × 3.007261 × 0.250000 h = 15.788120 EUR</v>
      </c>
      <c r="BI78" s="1" t="str">
        <f>两日求解价格与决策!BI78</f>
        <v>0.239863 MWh × 133.249481 = 31.961601 EUR</v>
      </c>
      <c r="BJ78" s="1" t="str">
        <f>两日求解价格与决策!BJ78</f>
        <v>−(0.618960 MWh × -0.217636) = 0.134708 EUR</v>
      </c>
      <c r="BK78" s="1" t="str">
        <f>两日求解价格与决策!BK78</f>
        <v>-21.661686 + 662.245345 + 33.903150 + 15.788120 + 31.961601 + 0.134708 = 722.371238 EUR</v>
      </c>
    </row>
    <row r="79" spans="1:63" ht="21" customHeight="1" x14ac:dyDescent="0.45">
      <c r="A79" s="13">
        <f>两日求解价格与决策!A79</f>
        <v>46235.729166666664</v>
      </c>
      <c r="B79" s="15">
        <f>两日求解价格与决策!B79</f>
        <v>131.37</v>
      </c>
      <c r="C79" s="15">
        <f>两日求解价格与决策!C79</f>
        <v>66.224534522516336</v>
      </c>
      <c r="D79" s="15">
        <f>两日求解价格与决策!D79</f>
        <v>5.6505250319211777</v>
      </c>
      <c r="E79" s="15">
        <f>两日求解价格与决策!E79</f>
        <v>3.0072608770224685</v>
      </c>
      <c r="F79" s="15">
        <f>两日求解价格与决策!F79</f>
        <v>159.05494254187869</v>
      </c>
      <c r="G79" s="15">
        <f>两日求解价格与决策!G79</f>
        <v>73.550778495607261</v>
      </c>
      <c r="H79" s="15" t="str">
        <f>两日求解价格与决策!H79</f>
        <v>未模拟</v>
      </c>
      <c r="I79" s="16">
        <f>两日求解价格与决策!I79</f>
        <v>171.59291126689536</v>
      </c>
      <c r="J79" s="16">
        <f>两日求解价格与决策!J79</f>
        <v>170.55661478925222</v>
      </c>
      <c r="K79" s="16">
        <f>两日求解价格与决策!K79</f>
        <v>-4.441515449637027</v>
      </c>
      <c r="L79" s="16">
        <f>两日求解价格与决策!L79</f>
        <v>40</v>
      </c>
      <c r="M79" s="16">
        <f>两日求解价格与决策!M79</f>
        <v>24</v>
      </c>
      <c r="N79" s="16">
        <f>两日求解价格与决策!N79</f>
        <v>21</v>
      </c>
      <c r="O79" s="16">
        <f>两日求解价格与决策!O79</f>
        <v>1.9541485714285716</v>
      </c>
      <c r="P79" s="16">
        <f>两日求解价格与决策!P79</f>
        <v>6.3600000000000002E-3</v>
      </c>
      <c r="Q79" s="17">
        <f>两日求解价格与决策!Q79</f>
        <v>-145.87047115470406</v>
      </c>
      <c r="R79" s="17">
        <f>两日求解价格与决策!R79</f>
        <v>662.24534522516342</v>
      </c>
      <c r="S79" s="17">
        <f>两日求解价格与决策!S79</f>
        <v>33.903150191527068</v>
      </c>
      <c r="T79" s="17">
        <f>两日求解价格与决策!T79</f>
        <v>15.78811960436796</v>
      </c>
      <c r="U79" s="17">
        <f>两日求解价格与决策!U79</f>
        <v>310.81698874686577</v>
      </c>
      <c r="V79" s="17">
        <f>两日求解价格与决策!V79</f>
        <v>-0.46778295123206221</v>
      </c>
      <c r="W79" s="17">
        <f>两日求解价格与决策!W79</f>
        <v>876.4153496619881</v>
      </c>
      <c r="X79" s="12">
        <f>两日求解价格与决策!X79</f>
        <v>876.4153496619881</v>
      </c>
      <c r="Y79" s="19">
        <f>两日求解价格与决策!Y79</f>
        <v>0</v>
      </c>
      <c r="Z79" s="12" t="str">
        <f t="shared" si="2"/>
        <v>正式执行</v>
      </c>
      <c r="AA79" s="12">
        <f>两日求解价格与决策!AA79</f>
        <v>1</v>
      </c>
      <c r="AB79" s="12">
        <f>两日求解价格与决策!AB79</f>
        <v>1</v>
      </c>
      <c r="AC79" s="12">
        <f>两日求解价格与决策!AC79</f>
        <v>0.25</v>
      </c>
      <c r="AD79" s="18">
        <f>两日求解价格与决策!AD79</f>
        <v>0.3125</v>
      </c>
      <c r="AE79" s="18">
        <f>两日求解价格与决策!AE79</f>
        <v>0.13714285714285715</v>
      </c>
      <c r="AF79" s="18">
        <f>两日求解价格与决策!AF79</f>
        <v>0.32569142857142858</v>
      </c>
      <c r="AG79" s="18">
        <f>两日求解价格与决策!AG79</f>
        <v>1.2114285714285714E-3</v>
      </c>
      <c r="AH79" s="12">
        <f>两日求解价格与决策!AH79</f>
        <v>175</v>
      </c>
      <c r="AI79" s="12">
        <f>两日求解价格与决策!AI79</f>
        <v>175</v>
      </c>
      <c r="AJ79" s="12">
        <f>两日求解价格与决策!AJ79</f>
        <v>14.249000000000001</v>
      </c>
      <c r="AK79" s="12">
        <f>两日求解价格与决策!AK79</f>
        <v>5.2999999999999999E-2</v>
      </c>
      <c r="AL79" s="12">
        <f>两日求解价格与决策!AL79</f>
        <v>91.903999999999996</v>
      </c>
      <c r="AM79" s="12">
        <f>两日求解价格与决策!AM79</f>
        <v>6.7379910251155212E-3</v>
      </c>
      <c r="AN79" s="12">
        <f>两日求解价格与决策!AN79</f>
        <v>0.75509798445566834</v>
      </c>
      <c r="AO79" s="12">
        <f>两日求解价格与决策!AO79</f>
        <v>1.5925076934749829</v>
      </c>
      <c r="AP79" s="12">
        <f>两日求解价格与决策!AP79</f>
        <v>170.55661478925225</v>
      </c>
      <c r="AQ79" s="19">
        <f>两日求解价格与决策!AQ79</f>
        <v>0</v>
      </c>
      <c r="AR79" s="12">
        <f>两日求解价格与决策!AR79</f>
        <v>5.2473000000000001</v>
      </c>
      <c r="AS79" s="14">
        <f>两日求解价格与决策!AS79</f>
        <v>46234</v>
      </c>
      <c r="AT79" s="13">
        <f>两日求解价格与决策!AT79</f>
        <v>46235.604166666664</v>
      </c>
      <c r="AU79" s="12" t="str">
        <f>两日求解价格与决策!AU79</f>
        <v>2026-08-01_67</v>
      </c>
      <c r="AV79" s="12">
        <f>两日求解价格与决策!AV79</f>
        <v>15</v>
      </c>
      <c r="AW79" s="12" t="str">
        <f>两日求解价格与决策!AW79</f>
        <v>OK</v>
      </c>
      <c r="AX79" s="12">
        <f>两日求解价格与决策!AX79</f>
        <v>128</v>
      </c>
      <c r="AY79" s="12">
        <f>两日求解价格与决策!AY79</f>
        <v>175</v>
      </c>
      <c r="AZ79" s="12">
        <f>两日求解价格与决策!AZ79</f>
        <v>175</v>
      </c>
      <c r="BA79" s="12">
        <f>两日求解价格与决策!BA79</f>
        <v>40</v>
      </c>
      <c r="BB79" s="12">
        <f>两日求解价格与决策!BB79</f>
        <v>24</v>
      </c>
      <c r="BC79" s="12">
        <f>两日求解价格与决策!BC79</f>
        <v>24</v>
      </c>
      <c r="BD79" s="14">
        <f>两日求解价格与决策!BD79</f>
        <v>46235</v>
      </c>
      <c r="BE79" s="1" t="str">
        <f>两日求解价格与决策!BE79</f>
        <v>-4.441515 MW × 131.370000 × 0.250000 h = -145.870471 EUR</v>
      </c>
      <c r="BF79" s="1" t="str">
        <f>两日求解价格与决策!BF79</f>
        <v>40.000000 MW × 66.224535 × 0.250000 h = 662.245345 EUR</v>
      </c>
      <c r="BG79" s="1" t="str">
        <f>两日求解价格与决策!BG79</f>
        <v>24.000000 MW × 5.650525 × 0.250000 h = 33.903150 EUR</v>
      </c>
      <c r="BH79" s="1" t="str">
        <f>两日求解价格与决策!BH79</f>
        <v>21.000000 MW × 3.007261 × 0.250000 h = 15.788120 EUR</v>
      </c>
      <c r="BI79" s="1" t="str">
        <f>两日求解价格与决策!BI79</f>
        <v>1.954149 MWh × 159.054943 = 310.816989 EUR</v>
      </c>
      <c r="BJ79" s="1" t="str">
        <f>两日求解价格与决策!BJ79</f>
        <v>−(0.006360 MWh × 73.550778) = -0.467783 EUR</v>
      </c>
      <c r="BK79" s="1" t="str">
        <f>两日求解价格与决策!BK79</f>
        <v>-145.870471 + 662.245345 + 33.903150 + 15.788120 + 310.816989 + -0.467783 = 876.415350 EUR</v>
      </c>
    </row>
    <row r="80" spans="1:63" ht="21" customHeight="1" x14ac:dyDescent="0.45">
      <c r="A80" s="13">
        <f>两日求解价格与决策!A80</f>
        <v>46235.739583333336</v>
      </c>
      <c r="B80" s="15">
        <f>两日求解价格与决策!B80</f>
        <v>153.38999999999999</v>
      </c>
      <c r="C80" s="15">
        <f>两日求解价格与决策!C80</f>
        <v>66.224534522516336</v>
      </c>
      <c r="D80" s="15">
        <f>两日求解价格与决策!D80</f>
        <v>5.6505250319211777</v>
      </c>
      <c r="E80" s="15">
        <f>两日求解价格与决策!E80</f>
        <v>3.0072608770224685</v>
      </c>
      <c r="F80" s="15">
        <f>两日求解价格与决策!F80</f>
        <v>186.6485621176605</v>
      </c>
      <c r="G80" s="15">
        <f>两日求解价格与决策!G80</f>
        <v>0</v>
      </c>
      <c r="H80" s="15" t="str">
        <f>两日求解价格与决策!H80</f>
        <v>未模拟</v>
      </c>
      <c r="I80" s="16">
        <f>两日求解价格与决策!I80</f>
        <v>170.55661478925222</v>
      </c>
      <c r="J80" s="16">
        <f>两日求解价格与决策!J80</f>
        <v>158.79750919919013</v>
      </c>
      <c r="K80" s="16">
        <f>两日求解价格与决策!K80</f>
        <v>36</v>
      </c>
      <c r="L80" s="16">
        <f>两日求解价格与决策!L80</f>
        <v>40</v>
      </c>
      <c r="M80" s="16">
        <f>两日求解价格与决策!M80</f>
        <v>24</v>
      </c>
      <c r="N80" s="16">
        <f>两日求解价格与决策!N80</f>
        <v>21</v>
      </c>
      <c r="O80" s="16">
        <f>两日求解价格与决策!O80</f>
        <v>1.8183771428571429</v>
      </c>
      <c r="P80" s="16">
        <f>两日求解价格与决策!P80</f>
        <v>0</v>
      </c>
      <c r="Q80" s="17">
        <f>两日求解价格与决策!Q80</f>
        <v>1380.5099999999998</v>
      </c>
      <c r="R80" s="17">
        <f>两日求解价格与决策!R80</f>
        <v>662.24534522516342</v>
      </c>
      <c r="S80" s="17">
        <f>两日求解价格与决策!S80</f>
        <v>33.903150191527068</v>
      </c>
      <c r="T80" s="17">
        <f>两日求解价格与决策!T80</f>
        <v>15.78811960436796</v>
      </c>
      <c r="U80" s="17">
        <f>两日求解价格与决策!U80</f>
        <v>339.39747910190545</v>
      </c>
      <c r="V80" s="17">
        <f>两日求解价格与决策!V80</f>
        <v>0</v>
      </c>
      <c r="W80" s="17">
        <f>两日求解价格与决策!W80</f>
        <v>2431.8440941229637</v>
      </c>
      <c r="X80" s="12">
        <f>两日求解价格与决策!X80</f>
        <v>2431.8440941229637</v>
      </c>
      <c r="Y80" s="19">
        <f>两日求解价格与决策!Y80</f>
        <v>0</v>
      </c>
      <c r="Z80" s="12" t="str">
        <f t="shared" si="2"/>
        <v>正式执行</v>
      </c>
      <c r="AA80" s="12">
        <f>两日求解价格与决策!AA80</f>
        <v>1</v>
      </c>
      <c r="AB80" s="12">
        <f>两日求解价格与决策!AB80</f>
        <v>1</v>
      </c>
      <c r="AC80" s="12">
        <f>两日求解价格与决策!AC80</f>
        <v>0.25</v>
      </c>
      <c r="AD80" s="18">
        <f>两日求解价格与决策!AD80</f>
        <v>0.3125</v>
      </c>
      <c r="AE80" s="18">
        <f>两日求解价格与决策!AE80</f>
        <v>0.13714285714285715</v>
      </c>
      <c r="AF80" s="18">
        <f>两日求解价格与决策!AF80</f>
        <v>0.30306285714285713</v>
      </c>
      <c r="AG80" s="18">
        <f>两日求解价格与决策!AG80</f>
        <v>0</v>
      </c>
      <c r="AH80" s="12">
        <f>两日求解价格与决策!AH80</f>
        <v>175</v>
      </c>
      <c r="AI80" s="12">
        <f>两日求解价格与决策!AI80</f>
        <v>175</v>
      </c>
      <c r="AJ80" s="12">
        <f>两日求解价格与决策!AJ80</f>
        <v>13.259</v>
      </c>
      <c r="AK80" s="12">
        <f>两日求解价格与决策!AK80</f>
        <v>0</v>
      </c>
      <c r="AL80" s="12">
        <f>两日求解价格与决策!AL80</f>
        <v>91.903999999999996</v>
      </c>
      <c r="AM80" s="12">
        <f>两日求解价格与决策!AM80</f>
        <v>3.2664182194616982E-2</v>
      </c>
      <c r="AN80" s="12">
        <f>两日求解价格与决策!AN80</f>
        <v>0</v>
      </c>
      <c r="AO80" s="12">
        <f>两日求解价格与决策!AO80</f>
        <v>10.818377142857145</v>
      </c>
      <c r="AP80" s="12">
        <f>两日求解价格与决策!AP80</f>
        <v>158.79750919919016</v>
      </c>
      <c r="AQ80" s="19">
        <f>两日求解价格与决策!AQ80</f>
        <v>0</v>
      </c>
      <c r="AR80" s="12">
        <f>两日求解价格与决策!AR80</f>
        <v>5.2473000000000001</v>
      </c>
      <c r="AS80" s="14">
        <f>两日求解价格与决策!AS80</f>
        <v>46234</v>
      </c>
      <c r="AT80" s="13">
        <f>两日求解价格与决策!AT80</f>
        <v>46235.614583333336</v>
      </c>
      <c r="AU80" s="12" t="str">
        <f>两日求解价格与决策!AU80</f>
        <v>2026-08-01_68</v>
      </c>
      <c r="AV80" s="12">
        <f>两日求解价格与决策!AV80</f>
        <v>15</v>
      </c>
      <c r="AW80" s="12" t="str">
        <f>两日求解价格与决策!AW80</f>
        <v>OK</v>
      </c>
      <c r="AX80" s="12">
        <f>两日求解价格与决策!AX80</f>
        <v>128</v>
      </c>
      <c r="AY80" s="12">
        <f>两日求解价格与决策!AY80</f>
        <v>175</v>
      </c>
      <c r="AZ80" s="12">
        <f>两日求解价格与决策!AZ80</f>
        <v>175</v>
      </c>
      <c r="BA80" s="12">
        <f>两日求解价格与决策!BA80</f>
        <v>40</v>
      </c>
      <c r="BB80" s="12">
        <f>两日求解价格与决策!BB80</f>
        <v>24</v>
      </c>
      <c r="BC80" s="12">
        <f>两日求解价格与决策!BC80</f>
        <v>24</v>
      </c>
      <c r="BD80" s="14">
        <f>两日求解价格与决策!BD80</f>
        <v>46235</v>
      </c>
      <c r="BE80" s="1" t="str">
        <f>两日求解价格与决策!BE80</f>
        <v>36.000000 MW × 153.390000 × 0.250000 h = 1380.510000 EUR</v>
      </c>
      <c r="BF80" s="1" t="str">
        <f>两日求解价格与决策!BF80</f>
        <v>40.000000 MW × 66.224535 × 0.250000 h = 662.245345 EUR</v>
      </c>
      <c r="BG80" s="1" t="str">
        <f>两日求解价格与决策!BG80</f>
        <v>24.000000 MW × 5.650525 × 0.250000 h = 33.903150 EUR</v>
      </c>
      <c r="BH80" s="1" t="str">
        <f>两日求解价格与决策!BH80</f>
        <v>21.000000 MW × 3.007261 × 0.250000 h = 15.788120 EUR</v>
      </c>
      <c r="BI80" s="1" t="str">
        <f>两日求解价格与决策!BI80</f>
        <v>1.818377 MWh × 186.648562 = 339.397479 EUR</v>
      </c>
      <c r="BJ80" s="1" t="str">
        <f>两日求解价格与决策!BJ80</f>
        <v>零下调激活电量</v>
      </c>
      <c r="BK80" s="1" t="str">
        <f>两日求解价格与决策!BK80</f>
        <v>1380.510000 + 662.245345 + 33.903150 + 15.788120 + 339.397479 + 0.000000 = 2431.844094 EUR</v>
      </c>
    </row>
    <row r="81" spans="1:63" ht="21" customHeight="1" x14ac:dyDescent="0.45">
      <c r="A81" s="13">
        <f>两日求解价格与决策!A81</f>
        <v>46235.75</v>
      </c>
      <c r="B81" s="15">
        <f>两日求解价格与决策!B81</f>
        <v>105.85</v>
      </c>
      <c r="C81" s="15">
        <f>两日求解价格与决策!C81</f>
        <v>66.224534522516336</v>
      </c>
      <c r="D81" s="15">
        <f>两日求解价格与决策!D81</f>
        <v>7.1274750824233415</v>
      </c>
      <c r="E81" s="15">
        <f>两日求解价格与决策!E81</f>
        <v>2.5937148628818627</v>
      </c>
      <c r="F81" s="15">
        <f>两日求解价格与决策!F81</f>
        <v>208.17144055037829</v>
      </c>
      <c r="G81" s="15">
        <f>两日求解价格与决策!G81</f>
        <v>9.0505593352771907</v>
      </c>
      <c r="H81" s="15" t="str">
        <f>两日求解价格与决策!H81</f>
        <v>未模拟</v>
      </c>
      <c r="I81" s="16">
        <f>两日求解价格与决策!I81</f>
        <v>158.79750919919013</v>
      </c>
      <c r="J81" s="16">
        <f>两日求解价格与决策!J81</f>
        <v>169.29358417061871</v>
      </c>
      <c r="K81" s="16">
        <f>两日求解价格与决策!K81</f>
        <v>-36</v>
      </c>
      <c r="L81" s="16">
        <f>两日求解价格与决策!L81</f>
        <v>40</v>
      </c>
      <c r="M81" s="16">
        <f>两日求解价格与决策!M81</f>
        <v>24</v>
      </c>
      <c r="N81" s="16">
        <f>两日求解价格与决策!N81</f>
        <v>24</v>
      </c>
      <c r="O81" s="16">
        <f>两日求解价格与决策!O81</f>
        <v>0.14166857142857142</v>
      </c>
      <c r="P81" s="16">
        <f>两日求解价格与决策!P81</f>
        <v>2.5504457142857144</v>
      </c>
      <c r="Q81" s="17">
        <f>两日求解价格与决策!Q81</f>
        <v>-952.65</v>
      </c>
      <c r="R81" s="17">
        <f>两日求解价格与决策!R81</f>
        <v>662.24534522516342</v>
      </c>
      <c r="S81" s="17">
        <f>两日求解价格与决策!S81</f>
        <v>42.764850494540049</v>
      </c>
      <c r="T81" s="17">
        <f>两日求解价格与决策!T81</f>
        <v>15.562289177291177</v>
      </c>
      <c r="U81" s="17">
        <f>两日求解价格与决策!U81</f>
        <v>29.491350594999876</v>
      </c>
      <c r="V81" s="17">
        <f>两日求解价格与决策!V81</f>
        <v>-23.082960268546277</v>
      </c>
      <c r="W81" s="17">
        <f>两日求解价格与决策!W81</f>
        <v>-225.66912477655174</v>
      </c>
      <c r="X81" s="12">
        <f>两日求解价格与决策!X81</f>
        <v>-225.66912477655174</v>
      </c>
      <c r="Y81" s="19">
        <f>两日求解价格与决策!Y81</f>
        <v>0</v>
      </c>
      <c r="Z81" s="12" t="str">
        <f t="shared" si="2"/>
        <v>正式执行</v>
      </c>
      <c r="AA81" s="12">
        <f>两日求解价格与决策!AA81</f>
        <v>1</v>
      </c>
      <c r="AB81" s="12">
        <f>两日求解价格与决策!AB81</f>
        <v>1</v>
      </c>
      <c r="AC81" s="12">
        <f>两日求解价格与决策!AC81</f>
        <v>0.25</v>
      </c>
      <c r="AD81" s="18">
        <f>两日求解价格与决策!AD81</f>
        <v>0.3125</v>
      </c>
      <c r="AE81" s="18">
        <f>两日求解价格与决策!AE81</f>
        <v>0.13714285714285715</v>
      </c>
      <c r="AF81" s="18">
        <f>两日求解价格与决策!AF81</f>
        <v>2.3611428571428568E-2</v>
      </c>
      <c r="AG81" s="18">
        <f>两日求解价格与决策!AG81</f>
        <v>0.42507428571428574</v>
      </c>
      <c r="AH81" s="12">
        <f>两日求解价格与决策!AH81</f>
        <v>175</v>
      </c>
      <c r="AI81" s="12">
        <f>两日求解价格与决策!AI81</f>
        <v>175</v>
      </c>
      <c r="AJ81" s="12">
        <f>两日求解价格与决策!AJ81</f>
        <v>1.0329999999999999</v>
      </c>
      <c r="AK81" s="12">
        <f>两日求解价格与决策!AK81</f>
        <v>18.597000000000001</v>
      </c>
      <c r="AL81" s="12">
        <f>两日求解价格与决策!AL81</f>
        <v>128</v>
      </c>
      <c r="AM81" s="12">
        <f>两日求解价格与决策!AM81</f>
        <v>2.915576380952381E-2</v>
      </c>
      <c r="AN81" s="12">
        <f>两日求解价格与决策!AN81</f>
        <v>11.408777142857144</v>
      </c>
      <c r="AO81" s="12">
        <f>两日求解价格与决策!AO81</f>
        <v>0</v>
      </c>
      <c r="AP81" s="12">
        <f>两日求解价格与决策!AP81</f>
        <v>169.29358417061874</v>
      </c>
      <c r="AQ81" s="19">
        <f>两日求解价格与决策!AQ81</f>
        <v>0</v>
      </c>
      <c r="AR81" s="12">
        <f>两日求解价格与决策!AR81</f>
        <v>5.2473000000000001</v>
      </c>
      <c r="AS81" s="14">
        <f>两日求解价格与决策!AS81</f>
        <v>46234</v>
      </c>
      <c r="AT81" s="13">
        <f>两日求解价格与决策!AT81</f>
        <v>46235.625</v>
      </c>
      <c r="AU81" s="12" t="str">
        <f>两日求解价格与决策!AU81</f>
        <v>2026-08-01_69</v>
      </c>
      <c r="AV81" s="12">
        <f>两日求解价格与决策!AV81</f>
        <v>15</v>
      </c>
      <c r="AW81" s="12" t="str">
        <f>两日求解价格与决策!AW81</f>
        <v>OK</v>
      </c>
      <c r="AX81" s="12">
        <f>两日求解价格与决策!AX81</f>
        <v>128</v>
      </c>
      <c r="AY81" s="12">
        <f>两日求解价格与决策!AY81</f>
        <v>175</v>
      </c>
      <c r="AZ81" s="12">
        <f>两日求解价格与决策!AZ81</f>
        <v>175</v>
      </c>
      <c r="BA81" s="12">
        <f>两日求解价格与决策!BA81</f>
        <v>40</v>
      </c>
      <c r="BB81" s="12">
        <f>两日求解价格与决策!BB81</f>
        <v>24</v>
      </c>
      <c r="BC81" s="12">
        <f>两日求解价格与决策!BC81</f>
        <v>24</v>
      </c>
      <c r="BD81" s="14">
        <f>两日求解价格与决策!BD81</f>
        <v>46235</v>
      </c>
      <c r="BE81" s="1" t="str">
        <f>两日求解价格与决策!BE81</f>
        <v>-36.000000 MW × 105.850000 × 0.250000 h = -952.650000 EUR</v>
      </c>
      <c r="BF81" s="1" t="str">
        <f>两日求解价格与决策!BF81</f>
        <v>40.000000 MW × 66.224535 × 0.250000 h = 662.245345 EUR</v>
      </c>
      <c r="BG81" s="1" t="str">
        <f>两日求解价格与决策!BG81</f>
        <v>24.000000 MW × 7.127475 × 0.250000 h = 42.764850 EUR</v>
      </c>
      <c r="BH81" s="1" t="str">
        <f>两日求解价格与决策!BH81</f>
        <v>24.000000 MW × 2.593715 × 0.250000 h = 15.562289 EUR</v>
      </c>
      <c r="BI81" s="1" t="str">
        <f>两日求解价格与决策!BI81</f>
        <v>0.141669 MWh × 208.171441 = 29.491351 EUR</v>
      </c>
      <c r="BJ81" s="1" t="str">
        <f>两日求解价格与决策!BJ81</f>
        <v>−(2.550446 MWh × 9.050559) = -23.082960 EUR</v>
      </c>
      <c r="BK81" s="1" t="str">
        <f>两日求解价格与决策!BK81</f>
        <v>-952.650000 + 662.245345 + 42.764850 + 15.562289 + 29.491351 + -23.082960 = -225.669125 EUR</v>
      </c>
    </row>
    <row r="82" spans="1:63" ht="21" customHeight="1" x14ac:dyDescent="0.45">
      <c r="A82" s="13">
        <f>两日求解价格与决策!A82</f>
        <v>46235.760416666664</v>
      </c>
      <c r="B82" s="15">
        <f>两日求解价格与决策!B82</f>
        <v>130.5</v>
      </c>
      <c r="C82" s="15">
        <f>两日求解价格与决策!C82</f>
        <v>66.224534522516336</v>
      </c>
      <c r="D82" s="15">
        <f>两日求解价格与决策!D82</f>
        <v>7.1274750824233415</v>
      </c>
      <c r="E82" s="15">
        <f>两日求解价格与决策!E82</f>
        <v>2.5937148628818627</v>
      </c>
      <c r="F82" s="15">
        <f>两日求解价格与决策!F82</f>
        <v>0</v>
      </c>
      <c r="G82" s="15">
        <f>两日求解价格与决策!G82</f>
        <v>50.190764774264856</v>
      </c>
      <c r="H82" s="15" t="str">
        <f>两日求解价格与决策!H82</f>
        <v>未模拟</v>
      </c>
      <c r="I82" s="16">
        <f>两日求解价格与决策!I82</f>
        <v>169.29358417061871</v>
      </c>
      <c r="J82" s="16">
        <f>两日求解价格与决策!J82</f>
        <v>170.27860451347587</v>
      </c>
      <c r="K82" s="16">
        <f>两日求解价格与决策!K82</f>
        <v>0</v>
      </c>
      <c r="L82" s="16">
        <f>两日求解价格与决策!L82</f>
        <v>40</v>
      </c>
      <c r="M82" s="16">
        <f>两日求解价格与决策!M82</f>
        <v>24</v>
      </c>
      <c r="N82" s="16">
        <f>两日求解价格与决策!N82</f>
        <v>24</v>
      </c>
      <c r="O82" s="16">
        <f>两日求解价格与决策!O82</f>
        <v>0</v>
      </c>
      <c r="P82" s="16">
        <f>两日求解价格与决策!P82</f>
        <v>1.0706742857142857</v>
      </c>
      <c r="Q82" s="17">
        <f>两日求解价格与决策!Q82</f>
        <v>0</v>
      </c>
      <c r="R82" s="17">
        <f>两日求解价格与决策!R82</f>
        <v>662.24534522516342</v>
      </c>
      <c r="S82" s="17">
        <f>两日求解价格与决策!S82</f>
        <v>42.764850494540049</v>
      </c>
      <c r="T82" s="17">
        <f>两日求解价格与决策!T82</f>
        <v>15.562289177291177</v>
      </c>
      <c r="U82" s="17">
        <f>两日求解价格与决策!U82</f>
        <v>0</v>
      </c>
      <c r="V82" s="17">
        <f>两日求解价格与决策!V82</f>
        <v>-53.73796122413976</v>
      </c>
      <c r="W82" s="17">
        <f>两日求解价格与决策!W82</f>
        <v>666.83452367285486</v>
      </c>
      <c r="X82" s="12">
        <f>两日求解价格与决策!X82</f>
        <v>666.83452367285486</v>
      </c>
      <c r="Y82" s="19">
        <f>两日求解价格与决策!Y82</f>
        <v>0</v>
      </c>
      <c r="Z82" s="12" t="str">
        <f t="shared" si="2"/>
        <v>正式执行</v>
      </c>
      <c r="AA82" s="12">
        <f>两日求解价格与决策!AA82</f>
        <v>1</v>
      </c>
      <c r="AB82" s="12">
        <f>两日求解价格与决策!AB82</f>
        <v>1</v>
      </c>
      <c r="AC82" s="12">
        <f>两日求解价格与决策!AC82</f>
        <v>0.25</v>
      </c>
      <c r="AD82" s="18">
        <f>两日求解价格与决策!AD82</f>
        <v>0.3125</v>
      </c>
      <c r="AE82" s="18">
        <f>两日求解价格与决策!AE82</f>
        <v>0.13714285714285715</v>
      </c>
      <c r="AF82" s="18">
        <f>两日求解价格与决策!AF82</f>
        <v>0</v>
      </c>
      <c r="AG82" s="18">
        <f>两日求解价格与决策!AG82</f>
        <v>0.17844571428571429</v>
      </c>
      <c r="AH82" s="12">
        <f>两日求解价格与决策!AH82</f>
        <v>175</v>
      </c>
      <c r="AI82" s="12">
        <f>两日求解价格与决策!AI82</f>
        <v>175</v>
      </c>
      <c r="AJ82" s="12">
        <f>两日求解价格与决策!AJ82</f>
        <v>0</v>
      </c>
      <c r="AK82" s="12">
        <f>两日求解价格与决策!AK82</f>
        <v>7.8070000000000004</v>
      </c>
      <c r="AL82" s="12">
        <f>两日求解价格与决策!AL82</f>
        <v>128</v>
      </c>
      <c r="AM82" s="12">
        <f>两日求解价格与决策!AM82</f>
        <v>2.7361676190476194E-3</v>
      </c>
      <c r="AN82" s="12">
        <f>两日求解价格与决策!AN82</f>
        <v>1.0706742857142857</v>
      </c>
      <c r="AO82" s="12">
        <f>两日求解价格与决策!AO82</f>
        <v>0</v>
      </c>
      <c r="AP82" s="12">
        <f>两日求解价格与决策!AP82</f>
        <v>170.2786045134759</v>
      </c>
      <c r="AQ82" s="19">
        <f>两日求解价格与决策!AQ82</f>
        <v>0</v>
      </c>
      <c r="AR82" s="12">
        <f>两日求解价格与决策!AR82</f>
        <v>5.2473000000000001</v>
      </c>
      <c r="AS82" s="14">
        <f>两日求解价格与决策!AS82</f>
        <v>46234</v>
      </c>
      <c r="AT82" s="13">
        <f>两日求解价格与决策!AT82</f>
        <v>46235.635416666664</v>
      </c>
      <c r="AU82" s="12" t="str">
        <f>两日求解价格与决策!AU82</f>
        <v>2026-08-01_70</v>
      </c>
      <c r="AV82" s="12">
        <f>两日求解价格与决策!AV82</f>
        <v>15</v>
      </c>
      <c r="AW82" s="12" t="str">
        <f>两日求解价格与决策!AW82</f>
        <v>OK</v>
      </c>
      <c r="AX82" s="12">
        <f>两日求解价格与决策!AX82</f>
        <v>128</v>
      </c>
      <c r="AY82" s="12">
        <f>两日求解价格与决策!AY82</f>
        <v>175</v>
      </c>
      <c r="AZ82" s="12">
        <f>两日求解价格与决策!AZ82</f>
        <v>175</v>
      </c>
      <c r="BA82" s="12">
        <f>两日求解价格与决策!BA82</f>
        <v>40</v>
      </c>
      <c r="BB82" s="12">
        <f>两日求解价格与决策!BB82</f>
        <v>24</v>
      </c>
      <c r="BC82" s="12">
        <f>两日求解价格与决策!BC82</f>
        <v>24</v>
      </c>
      <c r="BD82" s="14">
        <f>两日求解价格与决策!BD82</f>
        <v>46235</v>
      </c>
      <c r="BE82" s="1" t="str">
        <f>两日求解价格与决策!BE82</f>
        <v>零头寸，无结算现金</v>
      </c>
      <c r="BF82" s="1" t="str">
        <f>两日求解价格与决策!BF82</f>
        <v>40.000000 MW × 66.224535 × 0.250000 h = 662.245345 EUR</v>
      </c>
      <c r="BG82" s="1" t="str">
        <f>两日求解价格与决策!BG82</f>
        <v>24.000000 MW × 7.127475 × 0.250000 h = 42.764850 EUR</v>
      </c>
      <c r="BH82" s="1" t="str">
        <f>两日求解价格与决策!BH82</f>
        <v>24.000000 MW × 2.593715 × 0.250000 h = 15.562289 EUR</v>
      </c>
      <c r="BI82" s="1" t="str">
        <f>两日求解价格与决策!BI82</f>
        <v>零上调激活电量</v>
      </c>
      <c r="BJ82" s="1" t="str">
        <f>两日求解价格与决策!BJ82</f>
        <v>−(1.070674 MWh × 50.190765) = -53.737961 EUR</v>
      </c>
      <c r="BK82" s="1" t="str">
        <f>两日求解价格与决策!BK82</f>
        <v>0.000000 + 662.245345 + 42.764850 + 15.562289 + 0.000000 + -53.737961 = 666.834524 EUR</v>
      </c>
    </row>
    <row r="83" spans="1:63" ht="21" customHeight="1" x14ac:dyDescent="0.45">
      <c r="A83" s="13">
        <f>两日求解价格与决策!A83</f>
        <v>46235.770833333336</v>
      </c>
      <c r="B83" s="15">
        <f>两日求解价格与决策!B83</f>
        <v>166.54</v>
      </c>
      <c r="C83" s="15">
        <f>两日求解价格与决策!C83</f>
        <v>66.224534522516336</v>
      </c>
      <c r="D83" s="15">
        <f>两日求解价格与决策!D83</f>
        <v>7.1274750824233415</v>
      </c>
      <c r="E83" s="15">
        <f>两日求解价格与决策!E83</f>
        <v>2.5937148628818627</v>
      </c>
      <c r="F83" s="15">
        <f>两日求解价格与决策!F83</f>
        <v>0</v>
      </c>
      <c r="G83" s="15">
        <f>两日求解价格与决策!G83</f>
        <v>41.101709450574582</v>
      </c>
      <c r="H83" s="15" t="str">
        <f>两日求解价格与决策!H83</f>
        <v>未模拟</v>
      </c>
      <c r="I83" s="16">
        <f>两日求解价格与决策!I83</f>
        <v>170.27860451347587</v>
      </c>
      <c r="J83" s="16">
        <f>两日求解价格与决策!J83</f>
        <v>171.51483428571444</v>
      </c>
      <c r="K83" s="16">
        <f>两日求解价格与决策!K83</f>
        <v>0.4143377753602967</v>
      </c>
      <c r="L83" s="16">
        <f>两日求解价格与决策!L83</f>
        <v>40</v>
      </c>
      <c r="M83" s="16">
        <f>两日求解价格与决策!M83</f>
        <v>24</v>
      </c>
      <c r="N83" s="16">
        <f>两日求解价格与决策!N83</f>
        <v>24</v>
      </c>
      <c r="O83" s="16">
        <f>两日求解价格与决策!O83</f>
        <v>0</v>
      </c>
      <c r="P83" s="16">
        <f>两日求解价格与决策!P83</f>
        <v>1.4615314285714285</v>
      </c>
      <c r="Q83" s="17">
        <f>两日求解价格与决策!Q83</f>
        <v>17.250953277125952</v>
      </c>
      <c r="R83" s="17">
        <f>两日求解价格与决策!R83</f>
        <v>662.24534522516342</v>
      </c>
      <c r="S83" s="17">
        <f>两日求解价格与决策!S83</f>
        <v>42.764850494540049</v>
      </c>
      <c r="T83" s="17">
        <f>两日求解价格与决策!T83</f>
        <v>15.562289177291177</v>
      </c>
      <c r="U83" s="17">
        <f>两日求解价格与决策!U83</f>
        <v>0</v>
      </c>
      <c r="V83" s="17">
        <f>两日求解价格与决策!V83</f>
        <v>-60.071440130026055</v>
      </c>
      <c r="W83" s="17">
        <f>两日求解价格与决策!W83</f>
        <v>677.75199804409453</v>
      </c>
      <c r="X83" s="12">
        <f>两日求解价格与决策!X83</f>
        <v>677.75199804409453</v>
      </c>
      <c r="Y83" s="19">
        <f>两日求解价格与决策!Y83</f>
        <v>0</v>
      </c>
      <c r="Z83" s="12" t="str">
        <f t="shared" si="2"/>
        <v>正式执行</v>
      </c>
      <c r="AA83" s="12">
        <f>两日求解价格与决策!AA83</f>
        <v>1</v>
      </c>
      <c r="AB83" s="12">
        <f>两日求解价格与决策!AB83</f>
        <v>1</v>
      </c>
      <c r="AC83" s="12">
        <f>两日求解价格与决策!AC83</f>
        <v>0.25</v>
      </c>
      <c r="AD83" s="18">
        <f>两日求解价格与决策!AD83</f>
        <v>0.3125</v>
      </c>
      <c r="AE83" s="18">
        <f>两日求解价格与决策!AE83</f>
        <v>0.13714285714285715</v>
      </c>
      <c r="AF83" s="18">
        <f>两日求解价格与决策!AF83</f>
        <v>0</v>
      </c>
      <c r="AG83" s="18">
        <f>两日求解价格与决策!AG83</f>
        <v>0.24358857142857143</v>
      </c>
      <c r="AH83" s="12">
        <f>两日求解价格与决策!AH83</f>
        <v>175</v>
      </c>
      <c r="AI83" s="12">
        <f>两日求解价格与决策!AI83</f>
        <v>175</v>
      </c>
      <c r="AJ83" s="12">
        <f>两日求解价格与决策!AJ83</f>
        <v>0</v>
      </c>
      <c r="AK83" s="12">
        <f>两日求解价格与决策!AK83</f>
        <v>10.657</v>
      </c>
      <c r="AL83" s="12">
        <f>两日求解价格与决策!AL83</f>
        <v>128</v>
      </c>
      <c r="AM83" s="12">
        <f>两日求解价格与决策!AM83</f>
        <v>3.90711444669436E-3</v>
      </c>
      <c r="AN83" s="12">
        <f>两日求解价格与决策!AN83</f>
        <v>1.4362994418742017</v>
      </c>
      <c r="AO83" s="12">
        <f>两日求解价格与决策!AO83</f>
        <v>7.8352457142847415E-2</v>
      </c>
      <c r="AP83" s="12">
        <f>两日求解价格与决策!AP83</f>
        <v>171.51483428571447</v>
      </c>
      <c r="AQ83" s="19">
        <f>两日求解价格与决策!AQ83</f>
        <v>0</v>
      </c>
      <c r="AR83" s="12">
        <f>两日求解价格与决策!AR83</f>
        <v>5.2473000000000001</v>
      </c>
      <c r="AS83" s="14">
        <f>两日求解价格与决策!AS83</f>
        <v>46234</v>
      </c>
      <c r="AT83" s="13">
        <f>两日求解价格与决策!AT83</f>
        <v>46235.645833333336</v>
      </c>
      <c r="AU83" s="12" t="str">
        <f>两日求解价格与决策!AU83</f>
        <v>2026-08-01_71</v>
      </c>
      <c r="AV83" s="12">
        <f>两日求解价格与决策!AV83</f>
        <v>15</v>
      </c>
      <c r="AW83" s="12" t="str">
        <f>两日求解价格与决策!AW83</f>
        <v>OK</v>
      </c>
      <c r="AX83" s="12">
        <f>两日求解价格与决策!AX83</f>
        <v>128</v>
      </c>
      <c r="AY83" s="12">
        <f>两日求解价格与决策!AY83</f>
        <v>175</v>
      </c>
      <c r="AZ83" s="12">
        <f>两日求解价格与决策!AZ83</f>
        <v>175</v>
      </c>
      <c r="BA83" s="12">
        <f>两日求解价格与决策!BA83</f>
        <v>40</v>
      </c>
      <c r="BB83" s="12">
        <f>两日求解价格与决策!BB83</f>
        <v>24</v>
      </c>
      <c r="BC83" s="12">
        <f>两日求解价格与决策!BC83</f>
        <v>24</v>
      </c>
      <c r="BD83" s="14">
        <f>两日求解价格与决策!BD83</f>
        <v>46235</v>
      </c>
      <c r="BE83" s="1" t="str">
        <f>两日求解价格与决策!BE83</f>
        <v>0.414338 MW × 166.540000 × 0.250000 h = 17.250953 EUR</v>
      </c>
      <c r="BF83" s="1" t="str">
        <f>两日求解价格与决策!BF83</f>
        <v>40.000000 MW × 66.224535 × 0.250000 h = 662.245345 EUR</v>
      </c>
      <c r="BG83" s="1" t="str">
        <f>两日求解价格与决策!BG83</f>
        <v>24.000000 MW × 7.127475 × 0.250000 h = 42.764850 EUR</v>
      </c>
      <c r="BH83" s="1" t="str">
        <f>两日求解价格与决策!BH83</f>
        <v>24.000000 MW × 2.593715 × 0.250000 h = 15.562289 EUR</v>
      </c>
      <c r="BI83" s="1" t="str">
        <f>两日求解价格与决策!BI83</f>
        <v>零上调激活电量</v>
      </c>
      <c r="BJ83" s="1" t="str">
        <f>两日求解价格与决策!BJ83</f>
        <v>−(1.461531 MWh × 41.101709) = -60.071440 EUR</v>
      </c>
      <c r="BK83" s="1" t="str">
        <f>两日求解价格与决策!BK83</f>
        <v>17.250953 + 662.245345 + 42.764850 + 15.562289 + 0.000000 + -60.071440 = 677.751998 EUR</v>
      </c>
    </row>
    <row r="84" spans="1:63" ht="21" customHeight="1" x14ac:dyDescent="0.45">
      <c r="A84" s="13">
        <f>两日求解价格与决策!A84</f>
        <v>46235.78125</v>
      </c>
      <c r="B84" s="15">
        <f>两日求解价格与决策!B84</f>
        <v>179.42</v>
      </c>
      <c r="C84" s="15">
        <f>两日求解价格与决策!C84</f>
        <v>66.224534522516336</v>
      </c>
      <c r="D84" s="15">
        <f>两日求解价格与决策!D84</f>
        <v>7.1274750824233415</v>
      </c>
      <c r="E84" s="15">
        <f>两日求解价格与决策!E84</f>
        <v>2.5937148628818627</v>
      </c>
      <c r="F84" s="15">
        <f>两日求解价格与决策!F84</f>
        <v>205.5828711908982</v>
      </c>
      <c r="G84" s="15">
        <f>两日求解价格与决策!G84</f>
        <v>67.481371371943666</v>
      </c>
      <c r="H84" s="15" t="str">
        <f>两日求解价格与决策!H84</f>
        <v>未模拟</v>
      </c>
      <c r="I84" s="16">
        <f>两日求解价格与决策!I84</f>
        <v>171.51483428571444</v>
      </c>
      <c r="J84" s="16">
        <f>两日求解价格与决策!J84</f>
        <v>171.10718012422376</v>
      </c>
      <c r="K84" s="16">
        <f>两日求解价格与决策!K84</f>
        <v>0</v>
      </c>
      <c r="L84" s="16">
        <f>两日求解价格与决策!L84</f>
        <v>40</v>
      </c>
      <c r="M84" s="16">
        <f>两日求解价格与决策!M84</f>
        <v>24</v>
      </c>
      <c r="N84" s="16">
        <f>两日求解价格与决策!N84</f>
        <v>24</v>
      </c>
      <c r="O84" s="16">
        <f>两日求解价格与决策!O84</f>
        <v>0.45339428571428575</v>
      </c>
      <c r="P84" s="16">
        <f>两日求解价格与决策!P84</f>
        <v>9.2571428571428582E-2</v>
      </c>
      <c r="Q84" s="17">
        <f>两日求解价格与决策!Q84</f>
        <v>0</v>
      </c>
      <c r="R84" s="17">
        <f>两日求解价格与决策!R84</f>
        <v>662.24534522516342</v>
      </c>
      <c r="S84" s="17">
        <f>两日求解价格与决策!S84</f>
        <v>42.764850494540049</v>
      </c>
      <c r="T84" s="17">
        <f>两日求解价格与决策!T84</f>
        <v>15.562289177291177</v>
      </c>
      <c r="U84" s="17">
        <f>两日求解价格与决策!U84</f>
        <v>93.210099038689307</v>
      </c>
      <c r="V84" s="17">
        <f>两日求解价格与决策!V84</f>
        <v>-6.2468469498599291</v>
      </c>
      <c r="W84" s="17">
        <f>两日求解价格与决策!W84</f>
        <v>807.53573698582409</v>
      </c>
      <c r="X84" s="12">
        <f>两日求解价格与决策!X84</f>
        <v>807.53573698582397</v>
      </c>
      <c r="Y84" s="19">
        <f>两日求解价格与决策!Y84</f>
        <v>0</v>
      </c>
      <c r="Z84" s="12" t="str">
        <f t="shared" si="2"/>
        <v>正式执行</v>
      </c>
      <c r="AA84" s="12">
        <f>两日求解价格与决策!AA84</f>
        <v>1</v>
      </c>
      <c r="AB84" s="12">
        <f>两日求解价格与决策!AB84</f>
        <v>1</v>
      </c>
      <c r="AC84" s="12">
        <f>两日求解价格与决策!AC84</f>
        <v>0.25</v>
      </c>
      <c r="AD84" s="18">
        <f>两日求解价格与决策!AD84</f>
        <v>0.3125</v>
      </c>
      <c r="AE84" s="18">
        <f>两日求解价格与决策!AE84</f>
        <v>0.13714285714285715</v>
      </c>
      <c r="AF84" s="18">
        <f>两日求解价格与决策!AF84</f>
        <v>7.5565714285714292E-2</v>
      </c>
      <c r="AG84" s="18">
        <f>两日求解价格与决策!AG84</f>
        <v>1.542857142857143E-2</v>
      </c>
      <c r="AH84" s="12">
        <f>两日求解价格与决策!AH84</f>
        <v>175</v>
      </c>
      <c r="AI84" s="12">
        <f>两日求解价格与决策!AI84</f>
        <v>175</v>
      </c>
      <c r="AJ84" s="12">
        <f>两日求解价格与决策!AJ84</f>
        <v>3.306</v>
      </c>
      <c r="AK84" s="12">
        <f>两日求解价格与决策!AK84</f>
        <v>0.67500000000000004</v>
      </c>
      <c r="AL84" s="12">
        <f>两日求解价格与决策!AL84</f>
        <v>128</v>
      </c>
      <c r="AM84" s="12">
        <f>两日求解价格与决策!AM84</f>
        <v>1.6055155279503107E-3</v>
      </c>
      <c r="AN84" s="12">
        <f>两日求解价格与决策!AN84</f>
        <v>9.2571428571428582E-2</v>
      </c>
      <c r="AO84" s="12">
        <f>两日求解价格与决策!AO84</f>
        <v>0.45339428571428575</v>
      </c>
      <c r="AP84" s="12">
        <f>两日求解价格与决策!AP84</f>
        <v>171.10718012422379</v>
      </c>
      <c r="AQ84" s="19">
        <f>两日求解价格与决策!AQ84</f>
        <v>0</v>
      </c>
      <c r="AR84" s="12">
        <f>两日求解价格与决策!AR84</f>
        <v>5.2473000000000001</v>
      </c>
      <c r="AS84" s="14">
        <f>两日求解价格与决策!AS84</f>
        <v>46234</v>
      </c>
      <c r="AT84" s="13">
        <f>两日求解价格与决策!AT84</f>
        <v>46235.65625</v>
      </c>
      <c r="AU84" s="12" t="str">
        <f>两日求解价格与决策!AU84</f>
        <v>2026-08-01_72</v>
      </c>
      <c r="AV84" s="12">
        <f>两日求解价格与决策!AV84</f>
        <v>15</v>
      </c>
      <c r="AW84" s="12" t="str">
        <f>两日求解价格与决策!AW84</f>
        <v>OK</v>
      </c>
      <c r="AX84" s="12">
        <f>两日求解价格与决策!AX84</f>
        <v>128</v>
      </c>
      <c r="AY84" s="12">
        <f>两日求解价格与决策!AY84</f>
        <v>175</v>
      </c>
      <c r="AZ84" s="12">
        <f>两日求解价格与决策!AZ84</f>
        <v>175</v>
      </c>
      <c r="BA84" s="12">
        <f>两日求解价格与决策!BA84</f>
        <v>40</v>
      </c>
      <c r="BB84" s="12">
        <f>两日求解价格与决策!BB84</f>
        <v>24</v>
      </c>
      <c r="BC84" s="12">
        <f>两日求解价格与决策!BC84</f>
        <v>24</v>
      </c>
      <c r="BD84" s="14">
        <f>两日求解价格与决策!BD84</f>
        <v>46235</v>
      </c>
      <c r="BE84" s="1" t="str">
        <f>两日求解价格与决策!BE84</f>
        <v>零头寸，无结算现金</v>
      </c>
      <c r="BF84" s="1" t="str">
        <f>两日求解价格与决策!BF84</f>
        <v>40.000000 MW × 66.224535 × 0.250000 h = 662.245345 EUR</v>
      </c>
      <c r="BG84" s="1" t="str">
        <f>两日求解价格与决策!BG84</f>
        <v>24.000000 MW × 7.127475 × 0.250000 h = 42.764850 EUR</v>
      </c>
      <c r="BH84" s="1" t="str">
        <f>两日求解价格与决策!BH84</f>
        <v>24.000000 MW × 2.593715 × 0.250000 h = 15.562289 EUR</v>
      </c>
      <c r="BI84" s="1" t="str">
        <f>两日求解价格与决策!BI84</f>
        <v>0.453394 MWh × 205.582871 = 93.210099 EUR</v>
      </c>
      <c r="BJ84" s="1" t="str">
        <f>两日求解价格与决策!BJ84</f>
        <v>−(0.092571 MWh × 67.481371) = -6.246847 EUR</v>
      </c>
      <c r="BK84" s="1" t="str">
        <f>两日求解价格与决策!BK84</f>
        <v>0.000000 + 662.245345 + 42.764850 + 15.562289 + 93.210099 + -6.246847 = 807.535737 EUR</v>
      </c>
    </row>
    <row r="85" spans="1:63" ht="21" customHeight="1" x14ac:dyDescent="0.45">
      <c r="A85" s="13">
        <f>两日求解价格与决策!A85</f>
        <v>46235.791666666664</v>
      </c>
      <c r="B85" s="15">
        <f>两日求解价格与决策!B85</f>
        <v>187.32</v>
      </c>
      <c r="C85" s="15">
        <f>两日求解价格与决策!C85</f>
        <v>66.224534522516336</v>
      </c>
      <c r="D85" s="15">
        <f>两日求解价格与决策!D85</f>
        <v>7.1027004364149189</v>
      </c>
      <c r="E85" s="15">
        <f>两日求解价格与决策!E85</f>
        <v>2.5937148628818627</v>
      </c>
      <c r="F85" s="15">
        <f>两日求解价格与决策!F85</f>
        <v>0</v>
      </c>
      <c r="G85" s="15">
        <f>两日求解价格与决策!G85</f>
        <v>11.283707811636461</v>
      </c>
      <c r="H85" s="15" t="str">
        <f>两日求解价格与决策!H85</f>
        <v>未模拟</v>
      </c>
      <c r="I85" s="16">
        <f>两日求解价格与决策!I85</f>
        <v>171.10718012422376</v>
      </c>
      <c r="J85" s="16">
        <f>两日求解价格与决策!J85</f>
        <v>166.73008695652189</v>
      </c>
      <c r="K85" s="16">
        <f>两日求解价格与决策!K85</f>
        <v>24</v>
      </c>
      <c r="L85" s="16">
        <f>两日求解价格与决策!L85</f>
        <v>40</v>
      </c>
      <c r="M85" s="16">
        <f>两日求解价格与决策!M85</f>
        <v>0</v>
      </c>
      <c r="N85" s="16">
        <f>两日求解价格与决策!N85</f>
        <v>24</v>
      </c>
      <c r="O85" s="16">
        <f>两日求解价格与决策!O85</f>
        <v>0</v>
      </c>
      <c r="P85" s="16">
        <f>两日求解价格与决策!P85</f>
        <v>1.9730742857142858</v>
      </c>
      <c r="Q85" s="17">
        <f>两日求解价格与决策!Q85</f>
        <v>1123.92</v>
      </c>
      <c r="R85" s="17">
        <f>两日求解价格与决策!R85</f>
        <v>662.24534522516342</v>
      </c>
      <c r="S85" s="17">
        <f>两日求解价格与决策!S85</f>
        <v>0</v>
      </c>
      <c r="T85" s="17">
        <f>两日求解价格与决策!T85</f>
        <v>15.562289177291177</v>
      </c>
      <c r="U85" s="17">
        <f>两日求解价格与决策!U85</f>
        <v>0</v>
      </c>
      <c r="V85" s="17">
        <f>两日求解价格与决策!V85</f>
        <v>-22.263593730653316</v>
      </c>
      <c r="W85" s="17">
        <f>两日求解价格与决策!W85</f>
        <v>1779.4640406718013</v>
      </c>
      <c r="X85" s="12">
        <f>两日求解价格与决策!X85</f>
        <v>1779.4640406718013</v>
      </c>
      <c r="Y85" s="19">
        <f>两日求解价格与决策!Y85</f>
        <v>0</v>
      </c>
      <c r="Z85" s="12" t="str">
        <f t="shared" si="2"/>
        <v>正式执行</v>
      </c>
      <c r="AA85" s="12">
        <f>两日求解价格与决策!AA85</f>
        <v>1</v>
      </c>
      <c r="AB85" s="12">
        <f>两日求解价格与决策!AB85</f>
        <v>1</v>
      </c>
      <c r="AC85" s="12">
        <f>两日求解价格与决策!AC85</f>
        <v>0.25</v>
      </c>
      <c r="AD85" s="18">
        <f>两日求解价格与决策!AD85</f>
        <v>0.3125</v>
      </c>
      <c r="AE85" s="18">
        <f>两日求解价格与决策!AE85</f>
        <v>0.13714285714285715</v>
      </c>
      <c r="AF85" s="18">
        <f>两日求解价格与决策!AF85</f>
        <v>0</v>
      </c>
      <c r="AG85" s="18">
        <f>两日求解价格与决策!AG85</f>
        <v>0.3288457142857143</v>
      </c>
      <c r="AH85" s="12">
        <f>两日求解价格与决策!AH85</f>
        <v>175</v>
      </c>
      <c r="AI85" s="12">
        <f>两日求解价格与决策!AI85</f>
        <v>175</v>
      </c>
      <c r="AJ85" s="12">
        <f>两日求解价格与决策!AJ85</f>
        <v>0</v>
      </c>
      <c r="AK85" s="12">
        <f>两日求解价格与决策!AK85</f>
        <v>14.387</v>
      </c>
      <c r="AL85" s="12">
        <f>两日求解价格与决策!AL85</f>
        <v>131.96799999999999</v>
      </c>
      <c r="AM85" s="12">
        <f>两日求解价格与决策!AM85</f>
        <v>1.2158592132505176E-2</v>
      </c>
      <c r="AN85" s="12">
        <f>两日求解价格与决策!AN85</f>
        <v>0</v>
      </c>
      <c r="AO85" s="12">
        <f>两日求解价格与决策!AO85</f>
        <v>4.0269257142857144</v>
      </c>
      <c r="AP85" s="12">
        <f>两日求解价格与决策!AP85</f>
        <v>166.73008695652192</v>
      </c>
      <c r="AQ85" s="19">
        <f>两日求解价格与决策!AQ85</f>
        <v>0</v>
      </c>
      <c r="AR85" s="12">
        <f>两日求解价格与决策!AR85</f>
        <v>5.2473000000000001</v>
      </c>
      <c r="AS85" s="14">
        <f>两日求解价格与决策!AS85</f>
        <v>46234</v>
      </c>
      <c r="AT85" s="13">
        <f>两日求解价格与决策!AT85</f>
        <v>46235.666666666664</v>
      </c>
      <c r="AU85" s="12" t="str">
        <f>两日求解价格与决策!AU85</f>
        <v>2026-08-01_73</v>
      </c>
      <c r="AV85" s="12">
        <f>两日求解价格与决策!AV85</f>
        <v>15</v>
      </c>
      <c r="AW85" s="12" t="str">
        <f>两日求解价格与决策!AW85</f>
        <v>OK</v>
      </c>
      <c r="AX85" s="12">
        <f>两日求解价格与决策!AX85</f>
        <v>128</v>
      </c>
      <c r="AY85" s="12">
        <f>两日求解价格与决策!AY85</f>
        <v>175</v>
      </c>
      <c r="AZ85" s="12">
        <f>两日求解价格与决策!AZ85</f>
        <v>175</v>
      </c>
      <c r="BA85" s="12">
        <f>两日求解价格与决策!BA85</f>
        <v>40</v>
      </c>
      <c r="BB85" s="12">
        <f>两日求解价格与决策!BB85</f>
        <v>24</v>
      </c>
      <c r="BC85" s="12">
        <f>两日求解价格与决策!BC85</f>
        <v>24</v>
      </c>
      <c r="BD85" s="14">
        <f>两日求解价格与决策!BD85</f>
        <v>46235</v>
      </c>
      <c r="BE85" s="1" t="str">
        <f>两日求解价格与决策!BE85</f>
        <v>24.000000 MW × 187.320000 × 0.250000 h = 1123.920000 EUR</v>
      </c>
      <c r="BF85" s="1" t="str">
        <f>两日求解价格与决策!BF85</f>
        <v>40.000000 MW × 66.224535 × 0.250000 h = 662.245345 EUR</v>
      </c>
      <c r="BG85" s="1" t="str">
        <f>两日求解价格与决策!BG85</f>
        <v>零头寸，无结算现金</v>
      </c>
      <c r="BH85" s="1" t="str">
        <f>两日求解价格与决策!BH85</f>
        <v>24.000000 MW × 2.593715 × 0.250000 h = 15.562289 EUR</v>
      </c>
      <c r="BI85" s="1" t="str">
        <f>两日求解价格与决策!BI85</f>
        <v>零上调激活电量</v>
      </c>
      <c r="BJ85" s="1" t="str">
        <f>两日求解价格与决策!BJ85</f>
        <v>−(1.973074 MWh × 11.283708) = -22.263594 EUR</v>
      </c>
      <c r="BK85" s="1" t="str">
        <f>两日求解价格与决策!BK85</f>
        <v>1123.920000 + 662.245345 + 0.000000 + 15.562289 + 0.000000 + -22.263594 = 1779.464041 EUR</v>
      </c>
    </row>
    <row r="86" spans="1:63" ht="21" customHeight="1" x14ac:dyDescent="0.45">
      <c r="A86" s="13">
        <f>两日求解价格与决策!A86</f>
        <v>46235.802083333336</v>
      </c>
      <c r="B86" s="15">
        <f>两日求解价格与决策!B86</f>
        <v>194.64</v>
      </c>
      <c r="C86" s="15">
        <f>两日求解价格与决策!C86</f>
        <v>66.224534522516336</v>
      </c>
      <c r="D86" s="15">
        <f>两日求解价格与决策!D86</f>
        <v>7.1027004364149189</v>
      </c>
      <c r="E86" s="15">
        <f>两日求解价格与决策!E86</f>
        <v>2.5937148628818627</v>
      </c>
      <c r="F86" s="15">
        <f>两日求解价格与决策!F86</f>
        <v>189.8326758523431</v>
      </c>
      <c r="G86" s="15">
        <f>两日求解价格与决策!G86</f>
        <v>48.855030206010717</v>
      </c>
      <c r="H86" s="15" t="str">
        <f>两日求解价格与决策!H86</f>
        <v>未模拟</v>
      </c>
      <c r="I86" s="16">
        <f>两日求解价格与决策!I86</f>
        <v>166.73008695652189</v>
      </c>
      <c r="J86" s="16">
        <f>两日求解价格与决策!J86</f>
        <v>151.33028571428591</v>
      </c>
      <c r="K86" s="16">
        <f>两日求解价格与决策!K86</f>
        <v>59.999999999999837</v>
      </c>
      <c r="L86" s="16">
        <f>两日求解价格与决策!L86</f>
        <v>40</v>
      </c>
      <c r="M86" s="16">
        <f>两日求解价格与决策!M86</f>
        <v>0</v>
      </c>
      <c r="N86" s="16">
        <f>两日求解价格与决策!N86</f>
        <v>24</v>
      </c>
      <c r="O86" s="16">
        <f>两日求解价格与决策!O86</f>
        <v>0</v>
      </c>
      <c r="P86" s="16">
        <f>两日求解价格与决策!P86</f>
        <v>0.83218285714285711</v>
      </c>
      <c r="Q86" s="17">
        <f>两日求解价格与决策!Q86</f>
        <v>2919.5999999999917</v>
      </c>
      <c r="R86" s="17">
        <f>两日求解价格与决策!R86</f>
        <v>662.24534522516342</v>
      </c>
      <c r="S86" s="17">
        <f>两日求解价格与决策!S86</f>
        <v>0</v>
      </c>
      <c r="T86" s="17">
        <f>两日求解价格与决策!T86</f>
        <v>15.562289177291177</v>
      </c>
      <c r="U86" s="17">
        <f>两日求解价格与决策!U86</f>
        <v>0</v>
      </c>
      <c r="V86" s="17">
        <f>两日求解价格与决策!V86</f>
        <v>-40.656318622638587</v>
      </c>
      <c r="W86" s="17">
        <f>两日求解价格与决策!W86</f>
        <v>3556.7513157798076</v>
      </c>
      <c r="X86" s="12">
        <f>两日求解价格与决策!X86</f>
        <v>3556.7513157798076</v>
      </c>
      <c r="Y86" s="19">
        <f>两日求解价格与决策!Y86</f>
        <v>0</v>
      </c>
      <c r="Z86" s="12" t="str">
        <f t="shared" si="2"/>
        <v>正式执行</v>
      </c>
      <c r="AA86" s="12">
        <f>两日求解价格与决策!AA86</f>
        <v>1</v>
      </c>
      <c r="AB86" s="12">
        <f>两日求解价格与决策!AB86</f>
        <v>1</v>
      </c>
      <c r="AC86" s="12">
        <f>两日求解价格与决策!AC86</f>
        <v>0.25</v>
      </c>
      <c r="AD86" s="18">
        <f>两日求解价格与决策!AD86</f>
        <v>0.3125</v>
      </c>
      <c r="AE86" s="18">
        <f>两日求解价格与决策!AE86</f>
        <v>0.13714285714285715</v>
      </c>
      <c r="AF86" s="18">
        <f>两日求解价格与决策!AF86</f>
        <v>9.6685714285714274E-3</v>
      </c>
      <c r="AG86" s="18">
        <f>两日求解价格与决策!AG86</f>
        <v>0.13869714285714285</v>
      </c>
      <c r="AH86" s="12">
        <f>两日求解价格与决策!AH86</f>
        <v>175</v>
      </c>
      <c r="AI86" s="12">
        <f>两日求解价格与决策!AI86</f>
        <v>175</v>
      </c>
      <c r="AJ86" s="12">
        <f>两日求解价格与决策!AJ86</f>
        <v>0.42299999999999999</v>
      </c>
      <c r="AK86" s="12">
        <f>两日求解价格与决策!AK86</f>
        <v>6.0679999999999996</v>
      </c>
      <c r="AL86" s="12">
        <f>两日求解价格与决策!AL86</f>
        <v>131.96799999999999</v>
      </c>
      <c r="AM86" s="12">
        <f>两日求解价格与决策!AM86</f>
        <v>4.2777225672877721E-2</v>
      </c>
      <c r="AN86" s="12">
        <f>两日求解价格与决策!AN86</f>
        <v>0</v>
      </c>
      <c r="AO86" s="12">
        <f>两日求解价格与决策!AO86</f>
        <v>14.167817142857102</v>
      </c>
      <c r="AP86" s="12">
        <f>两日求解价格与决策!AP86</f>
        <v>151.33028571428594</v>
      </c>
      <c r="AQ86" s="19">
        <f>两日求解价格与决策!AQ86</f>
        <v>0</v>
      </c>
      <c r="AR86" s="12">
        <f>两日求解价格与决策!AR86</f>
        <v>5.2473000000000001</v>
      </c>
      <c r="AS86" s="14">
        <f>两日求解价格与决策!AS86</f>
        <v>46234</v>
      </c>
      <c r="AT86" s="13">
        <f>两日求解价格与决策!AT86</f>
        <v>46235.677083333336</v>
      </c>
      <c r="AU86" s="12" t="str">
        <f>两日求解价格与决策!AU86</f>
        <v>2026-08-01_74</v>
      </c>
      <c r="AV86" s="12">
        <f>两日求解价格与决策!AV86</f>
        <v>15</v>
      </c>
      <c r="AW86" s="12" t="str">
        <f>两日求解价格与决策!AW86</f>
        <v>OK</v>
      </c>
      <c r="AX86" s="12">
        <f>两日求解价格与决策!AX86</f>
        <v>128</v>
      </c>
      <c r="AY86" s="12">
        <f>两日求解价格与决策!AY86</f>
        <v>175</v>
      </c>
      <c r="AZ86" s="12">
        <f>两日求解价格与决策!AZ86</f>
        <v>175</v>
      </c>
      <c r="BA86" s="12">
        <f>两日求解价格与决策!BA86</f>
        <v>40</v>
      </c>
      <c r="BB86" s="12">
        <f>两日求解价格与决策!BB86</f>
        <v>24</v>
      </c>
      <c r="BC86" s="12">
        <f>两日求解价格与决策!BC86</f>
        <v>24</v>
      </c>
      <c r="BD86" s="14">
        <f>两日求解价格与决策!BD86</f>
        <v>46235</v>
      </c>
      <c r="BE86" s="1" t="str">
        <f>两日求解价格与决策!BE86</f>
        <v>60.000000 MW × 194.640000 × 0.250000 h = 2919.600000 EUR</v>
      </c>
      <c r="BF86" s="1" t="str">
        <f>两日求解价格与决策!BF86</f>
        <v>40.000000 MW × 66.224535 × 0.250000 h = 662.245345 EUR</v>
      </c>
      <c r="BG86" s="1" t="str">
        <f>两日求解价格与决策!BG86</f>
        <v>零头寸，无结算现金</v>
      </c>
      <c r="BH86" s="1" t="str">
        <f>两日求解价格与决策!BH86</f>
        <v>24.000000 MW × 2.593715 × 0.250000 h = 15.562289 EUR</v>
      </c>
      <c r="BI86" s="1" t="str">
        <f>两日求解价格与决策!BI86</f>
        <v>零上调激活电量</v>
      </c>
      <c r="BJ86" s="1" t="str">
        <f>两日求解价格与决策!BJ86</f>
        <v>−(0.832183 MWh × 48.855030) = -40.656319 EUR</v>
      </c>
      <c r="BK86" s="1" t="str">
        <f>两日求解价格与决策!BK86</f>
        <v>2919.600000 + 662.245345 + 0.000000 + 15.562289 + 0.000000 + -40.656319 = 3556.751316 EUR</v>
      </c>
    </row>
    <row r="87" spans="1:63" ht="21" customHeight="1" x14ac:dyDescent="0.45">
      <c r="A87" s="13">
        <f>两日求解价格与决策!A87</f>
        <v>46235.8125</v>
      </c>
      <c r="B87" s="15">
        <f>两日求解价格与决策!B87</f>
        <v>192.96</v>
      </c>
      <c r="C87" s="15">
        <f>两日求解价格与决策!C87</f>
        <v>66.224534522516336</v>
      </c>
      <c r="D87" s="15">
        <f>两日求解价格与决策!D87</f>
        <v>7.1027004364149189</v>
      </c>
      <c r="E87" s="15">
        <f>两日求解价格与决策!E87</f>
        <v>2.5937148628818627</v>
      </c>
      <c r="F87" s="15">
        <f>两日求解价格与决策!F87</f>
        <v>222.2615440321689</v>
      </c>
      <c r="G87" s="15">
        <f>两日求解价格与决策!G87</f>
        <v>76.420254225982887</v>
      </c>
      <c r="H87" s="15" t="str">
        <f>两日求解价格与决策!H87</f>
        <v>未模拟</v>
      </c>
      <c r="I87" s="16">
        <f>两日求解价格与决策!I87</f>
        <v>151.33028571428591</v>
      </c>
      <c r="J87" s="16">
        <f>两日求解价格与决策!J87</f>
        <v>151.33041188571448</v>
      </c>
      <c r="K87" s="16">
        <f>两日求解价格与决策!K87</f>
        <v>0</v>
      </c>
      <c r="L87" s="16">
        <f>两日求解价格与决策!L87</f>
        <v>40</v>
      </c>
      <c r="M87" s="16">
        <f>两日求解价格与决策!M87</f>
        <v>0</v>
      </c>
      <c r="N87" s="16">
        <f>两日求解价格与决策!N87</f>
        <v>24</v>
      </c>
      <c r="O87" s="16">
        <f>两日求解价格与决策!O87</f>
        <v>0</v>
      </c>
      <c r="P87" s="16">
        <f>两日求解价格与决策!P87</f>
        <v>1.3714285714285716E-4</v>
      </c>
      <c r="Q87" s="17">
        <f>两日求解价格与决策!Q87</f>
        <v>0</v>
      </c>
      <c r="R87" s="17">
        <f>两日求解价格与决策!R87</f>
        <v>662.24534522516342</v>
      </c>
      <c r="S87" s="17">
        <f>两日求解价格与决策!S87</f>
        <v>0</v>
      </c>
      <c r="T87" s="17">
        <f>两日求解价格与决策!T87</f>
        <v>15.562289177291177</v>
      </c>
      <c r="U87" s="17">
        <f>两日求解价格与决策!U87</f>
        <v>0</v>
      </c>
      <c r="V87" s="17">
        <f>两日求解价格与决策!V87</f>
        <v>-1.0480492008134798E-2</v>
      </c>
      <c r="W87" s="17">
        <f>两日求解价格与决策!W87</f>
        <v>677.79715391044647</v>
      </c>
      <c r="X87" s="12">
        <f>两日求解价格与决策!X87</f>
        <v>677.79715391044647</v>
      </c>
      <c r="Y87" s="19">
        <f>两日求解价格与决策!Y87</f>
        <v>0</v>
      </c>
      <c r="Z87" s="12" t="str">
        <f t="shared" si="2"/>
        <v>正式执行</v>
      </c>
      <c r="AA87" s="12">
        <f>两日求解价格与决策!AA87</f>
        <v>1</v>
      </c>
      <c r="AB87" s="12">
        <f>两日求解价格与决策!AB87</f>
        <v>1</v>
      </c>
      <c r="AC87" s="12">
        <f>两日求解价格与决策!AC87</f>
        <v>0.25</v>
      </c>
      <c r="AD87" s="18">
        <f>两日求解价格与决策!AD87</f>
        <v>0.3125</v>
      </c>
      <c r="AE87" s="18">
        <f>两日求解价格与决策!AE87</f>
        <v>0.13714285714285715</v>
      </c>
      <c r="AF87" s="18">
        <f>两日求解价格与决策!AF87</f>
        <v>3.9062857142857142E-2</v>
      </c>
      <c r="AG87" s="18">
        <f>两日求解价格与决策!AG87</f>
        <v>2.2857142857142858E-5</v>
      </c>
      <c r="AH87" s="12">
        <f>两日求解价格与决策!AH87</f>
        <v>175</v>
      </c>
      <c r="AI87" s="12">
        <f>两日求解价格与决策!AI87</f>
        <v>175</v>
      </c>
      <c r="AJ87" s="12">
        <f>两日求解价格与决策!AJ87</f>
        <v>1.7090000000000001</v>
      </c>
      <c r="AK87" s="12">
        <f>两日求解价格与决策!AK87</f>
        <v>1E-3</v>
      </c>
      <c r="AL87" s="12">
        <f>两日求解价格与决策!AL87</f>
        <v>131.96799999999999</v>
      </c>
      <c r="AM87" s="12">
        <f>两日求解价格与决策!AM87</f>
        <v>3.5047619047619054E-7</v>
      </c>
      <c r="AN87" s="12">
        <f>两日求解价格与决策!AN87</f>
        <v>1.3714285714285716E-4</v>
      </c>
      <c r="AO87" s="12">
        <f>两日求解价格与决策!AO87</f>
        <v>0</v>
      </c>
      <c r="AP87" s="12">
        <f>两日求解价格与决策!AP87</f>
        <v>151.33041188571451</v>
      </c>
      <c r="AQ87" s="19">
        <f>两日求解价格与决策!AQ87</f>
        <v>0</v>
      </c>
      <c r="AR87" s="12">
        <f>两日求解价格与决策!AR87</f>
        <v>5.2473000000000001</v>
      </c>
      <c r="AS87" s="14">
        <f>两日求解价格与决策!AS87</f>
        <v>46234</v>
      </c>
      <c r="AT87" s="13">
        <f>两日求解价格与决策!AT87</f>
        <v>46235.6875</v>
      </c>
      <c r="AU87" s="12" t="str">
        <f>两日求解价格与决策!AU87</f>
        <v>2026-08-01_75</v>
      </c>
      <c r="AV87" s="12">
        <f>两日求解价格与决策!AV87</f>
        <v>15</v>
      </c>
      <c r="AW87" s="12" t="str">
        <f>两日求解价格与决策!AW87</f>
        <v>OK</v>
      </c>
      <c r="AX87" s="12">
        <f>两日求解价格与决策!AX87</f>
        <v>128</v>
      </c>
      <c r="AY87" s="12">
        <f>两日求解价格与决策!AY87</f>
        <v>175</v>
      </c>
      <c r="AZ87" s="12">
        <f>两日求解价格与决策!AZ87</f>
        <v>175</v>
      </c>
      <c r="BA87" s="12">
        <f>两日求解价格与决策!BA87</f>
        <v>40</v>
      </c>
      <c r="BB87" s="12">
        <f>两日求解价格与决策!BB87</f>
        <v>24</v>
      </c>
      <c r="BC87" s="12">
        <f>两日求解价格与决策!BC87</f>
        <v>24</v>
      </c>
      <c r="BD87" s="14">
        <f>两日求解价格与决策!BD87</f>
        <v>46235</v>
      </c>
      <c r="BE87" s="1" t="str">
        <f>两日求解价格与决策!BE87</f>
        <v>零头寸，无结算现金</v>
      </c>
      <c r="BF87" s="1" t="str">
        <f>两日求解价格与决策!BF87</f>
        <v>40.000000 MW × 66.224535 × 0.250000 h = 662.245345 EUR</v>
      </c>
      <c r="BG87" s="1" t="str">
        <f>两日求解价格与决策!BG87</f>
        <v>零头寸，无结算现金</v>
      </c>
      <c r="BH87" s="1" t="str">
        <f>两日求解价格与决策!BH87</f>
        <v>24.000000 MW × 2.593715 × 0.250000 h = 15.562289 EUR</v>
      </c>
      <c r="BI87" s="1" t="str">
        <f>两日求解价格与决策!BI87</f>
        <v>零上调激活电量</v>
      </c>
      <c r="BJ87" s="1" t="str">
        <f>两日求解价格与决策!BJ87</f>
        <v>−(0.000137 MWh × 76.420254) = -0.010480 EUR</v>
      </c>
      <c r="BK87" s="1" t="str">
        <f>两日求解价格与决策!BK87</f>
        <v>0.000000 + 662.245345 + 0.000000 + 15.562289 + 0.000000 + -0.010480 = 677.797154 EUR</v>
      </c>
    </row>
    <row r="88" spans="1:63" ht="21" customHeight="1" x14ac:dyDescent="0.45">
      <c r="A88" s="13">
        <f>两日求解价格与决策!A88</f>
        <v>46235.822916666664</v>
      </c>
      <c r="B88" s="15">
        <f>两日求解价格与决策!B88</f>
        <v>235.85</v>
      </c>
      <c r="C88" s="15">
        <f>两日求解价格与决策!C88</f>
        <v>66.224534522516336</v>
      </c>
      <c r="D88" s="15">
        <f>两日求解价格与决策!D88</f>
        <v>7.1027004364149189</v>
      </c>
      <c r="E88" s="15">
        <f>两日求解价格与决策!E88</f>
        <v>2.5937148628818627</v>
      </c>
      <c r="F88" s="15">
        <f>两日求解价格与决策!F88</f>
        <v>229.3261296285709</v>
      </c>
      <c r="G88" s="15">
        <f>两日求解价格与决策!G88</f>
        <v>0</v>
      </c>
      <c r="H88" s="15" t="str">
        <f>两日求解价格与决策!H88</f>
        <v>未模拟</v>
      </c>
      <c r="I88" s="16">
        <f>两日求解价格与决策!I88</f>
        <v>151.33041188571448</v>
      </c>
      <c r="J88" s="16">
        <f>两日求解价格与决策!J88</f>
        <v>135.02606405962754</v>
      </c>
      <c r="K88" s="16">
        <f>两日求解价格与决策!K88</f>
        <v>60</v>
      </c>
      <c r="L88" s="16">
        <f>两日求解价格与决策!L88</f>
        <v>40</v>
      </c>
      <c r="M88" s="16">
        <f>两日求解价格与决策!M88</f>
        <v>0</v>
      </c>
      <c r="N88" s="16">
        <f>两日求解价格与决策!N88</f>
        <v>24</v>
      </c>
      <c r="O88" s="16">
        <f>两日求解价格与决策!O88</f>
        <v>0</v>
      </c>
      <c r="P88" s="16">
        <f>两日求解价格与决策!P88</f>
        <v>0</v>
      </c>
      <c r="Q88" s="17">
        <f>两日求解价格与决策!Q88</f>
        <v>3537.75</v>
      </c>
      <c r="R88" s="17">
        <f>两日求解价格与决策!R88</f>
        <v>662.24534522516342</v>
      </c>
      <c r="S88" s="17">
        <f>两日求解价格与决策!S88</f>
        <v>0</v>
      </c>
      <c r="T88" s="17">
        <f>两日求解价格与决策!T88</f>
        <v>15.562289177291177</v>
      </c>
      <c r="U88" s="17">
        <f>两日求解价格与决策!U88</f>
        <v>0</v>
      </c>
      <c r="V88" s="17">
        <f>两日求解价格与决策!V88</f>
        <v>0</v>
      </c>
      <c r="W88" s="17">
        <f>两日求解价格与决策!W88</f>
        <v>4215.5576344024539</v>
      </c>
      <c r="X88" s="12">
        <f>两日求解价格与决策!X88</f>
        <v>4215.5576344024548</v>
      </c>
      <c r="Y88" s="19">
        <f>两日求解价格与决策!Y88</f>
        <v>0</v>
      </c>
      <c r="Z88" s="12" t="str">
        <f t="shared" si="2"/>
        <v>正式执行</v>
      </c>
      <c r="AA88" s="12">
        <f>两日求解价格与决策!AA88</f>
        <v>1</v>
      </c>
      <c r="AB88" s="12">
        <f>两日求解价格与决策!AB88</f>
        <v>1</v>
      </c>
      <c r="AC88" s="12">
        <f>两日求解价格与决策!AC88</f>
        <v>0.25</v>
      </c>
      <c r="AD88" s="18">
        <f>两日求解价格与决策!AD88</f>
        <v>0.3125</v>
      </c>
      <c r="AE88" s="18">
        <f>两日求解价格与决策!AE88</f>
        <v>0.13714285714285715</v>
      </c>
      <c r="AF88" s="18">
        <f>两日求解价格与决策!AF88</f>
        <v>0.14493714285714285</v>
      </c>
      <c r="AG88" s="18">
        <f>两日求解价格与决策!AG88</f>
        <v>0</v>
      </c>
      <c r="AH88" s="12">
        <f>两日求解价格与决策!AH88</f>
        <v>175</v>
      </c>
      <c r="AI88" s="12">
        <f>两日求解价格与决策!AI88</f>
        <v>175</v>
      </c>
      <c r="AJ88" s="12">
        <f>两日求解价格与决策!AJ88</f>
        <v>6.3410000000000002</v>
      </c>
      <c r="AK88" s="12">
        <f>两日求解价格与决策!AK88</f>
        <v>0</v>
      </c>
      <c r="AL88" s="12">
        <f>两日求解价格与决策!AL88</f>
        <v>131.96799999999999</v>
      </c>
      <c r="AM88" s="12">
        <f>两日求解价格与决策!AM88</f>
        <v>4.5289855072463768E-2</v>
      </c>
      <c r="AN88" s="12">
        <f>两日求解价格与决策!AN88</f>
        <v>0</v>
      </c>
      <c r="AO88" s="12">
        <f>两日求解价格与决策!AO88</f>
        <v>15</v>
      </c>
      <c r="AP88" s="12">
        <f>两日求解价格与决策!AP88</f>
        <v>135.02606405962757</v>
      </c>
      <c r="AQ88" s="19">
        <f>两日求解价格与决策!AQ88</f>
        <v>0</v>
      </c>
      <c r="AR88" s="12">
        <f>两日求解价格与决策!AR88</f>
        <v>5.2473000000000001</v>
      </c>
      <c r="AS88" s="14">
        <f>两日求解价格与决策!AS88</f>
        <v>46234</v>
      </c>
      <c r="AT88" s="13">
        <f>两日求解价格与决策!AT88</f>
        <v>46235.697916666664</v>
      </c>
      <c r="AU88" s="12" t="str">
        <f>两日求解价格与决策!AU88</f>
        <v>2026-08-01_76</v>
      </c>
      <c r="AV88" s="12">
        <f>两日求解价格与决策!AV88</f>
        <v>15</v>
      </c>
      <c r="AW88" s="12" t="str">
        <f>两日求解价格与决策!AW88</f>
        <v>OK</v>
      </c>
      <c r="AX88" s="12">
        <f>两日求解价格与决策!AX88</f>
        <v>128</v>
      </c>
      <c r="AY88" s="12">
        <f>两日求解价格与决策!AY88</f>
        <v>175</v>
      </c>
      <c r="AZ88" s="12">
        <f>两日求解价格与决策!AZ88</f>
        <v>175</v>
      </c>
      <c r="BA88" s="12">
        <f>两日求解价格与决策!BA88</f>
        <v>40</v>
      </c>
      <c r="BB88" s="12">
        <f>两日求解价格与决策!BB88</f>
        <v>24</v>
      </c>
      <c r="BC88" s="12">
        <f>两日求解价格与决策!BC88</f>
        <v>24</v>
      </c>
      <c r="BD88" s="14">
        <f>两日求解价格与决策!BD88</f>
        <v>46235</v>
      </c>
      <c r="BE88" s="1" t="str">
        <f>两日求解价格与决策!BE88</f>
        <v>60.000000 MW × 235.850000 × 0.250000 h = 3537.750000 EUR</v>
      </c>
      <c r="BF88" s="1" t="str">
        <f>两日求解价格与决策!BF88</f>
        <v>40.000000 MW × 66.224535 × 0.250000 h = 662.245345 EUR</v>
      </c>
      <c r="BG88" s="1" t="str">
        <f>两日求解价格与决策!BG88</f>
        <v>零头寸，无结算现金</v>
      </c>
      <c r="BH88" s="1" t="str">
        <f>两日求解价格与决策!BH88</f>
        <v>24.000000 MW × 2.593715 × 0.250000 h = 15.562289 EUR</v>
      </c>
      <c r="BI88" s="1" t="str">
        <f>两日求解价格与决策!BI88</f>
        <v>零上调激活电量</v>
      </c>
      <c r="BJ88" s="1" t="str">
        <f>两日求解价格与决策!BJ88</f>
        <v>零下调激活电量</v>
      </c>
      <c r="BK88" s="1" t="str">
        <f>两日求解价格与决策!BK88</f>
        <v>3537.750000 + 662.245345 + 0.000000 + 15.562289 + 0.000000 + 0.000000 = 4215.557634 EUR</v>
      </c>
    </row>
    <row r="89" spans="1:63" ht="21" customHeight="1" x14ac:dyDescent="0.45">
      <c r="A89" s="13">
        <f>两日求解价格与决策!A89</f>
        <v>46235.833333333336</v>
      </c>
      <c r="B89" s="15">
        <f>两日求解价格与决策!B89</f>
        <v>185.76</v>
      </c>
      <c r="C89" s="15">
        <f>两日求解价格与决策!C89</f>
        <v>66.224534522516336</v>
      </c>
      <c r="D89" s="15">
        <f>两日求解价格与决策!D89</f>
        <v>3.9143940693308936</v>
      </c>
      <c r="E89" s="15">
        <f>两日求解价格与决策!E89</f>
        <v>2.5937148628818627</v>
      </c>
      <c r="F89" s="15">
        <f>两日求解价格与决策!F89</f>
        <v>228.22689764259715</v>
      </c>
      <c r="G89" s="15">
        <f>两日求解价格与决策!G89</f>
        <v>0</v>
      </c>
      <c r="H89" s="15" t="str">
        <f>两日求解价格与决策!H89</f>
        <v>未模拟</v>
      </c>
      <c r="I89" s="16">
        <f>两日求解价格与决策!I89</f>
        <v>135.02606405962754</v>
      </c>
      <c r="J89" s="16">
        <f>两日求解价格与决策!J89</f>
        <v>135.02606405962754</v>
      </c>
      <c r="K89" s="16">
        <f>两日求解价格与决策!K89</f>
        <v>0</v>
      </c>
      <c r="L89" s="16">
        <f>两日求解价格与决策!L89</f>
        <v>40</v>
      </c>
      <c r="M89" s="16">
        <f>两日求解价格与决策!M89</f>
        <v>0</v>
      </c>
      <c r="N89" s="16">
        <f>两日求解价格与决策!N89</f>
        <v>24</v>
      </c>
      <c r="O89" s="16">
        <f>两日求解价格与决策!O89</f>
        <v>0</v>
      </c>
      <c r="P89" s="16">
        <f>两日求解价格与决策!P89</f>
        <v>0</v>
      </c>
      <c r="Q89" s="17">
        <f>两日求解价格与决策!Q89</f>
        <v>0</v>
      </c>
      <c r="R89" s="17">
        <f>两日求解价格与决策!R89</f>
        <v>662.24534522516342</v>
      </c>
      <c r="S89" s="17">
        <f>两日求解价格与决策!S89</f>
        <v>0</v>
      </c>
      <c r="T89" s="17">
        <f>两日求解价格与决策!T89</f>
        <v>15.562289177291177</v>
      </c>
      <c r="U89" s="17">
        <f>两日求解价格与决策!U89</f>
        <v>0</v>
      </c>
      <c r="V89" s="17">
        <f>两日求解价格与决策!V89</f>
        <v>0</v>
      </c>
      <c r="W89" s="17">
        <f>两日求解价格与决策!W89</f>
        <v>677.8076344024546</v>
      </c>
      <c r="X89" s="12">
        <f>两日求解价格与决策!X89</f>
        <v>677.8076344024546</v>
      </c>
      <c r="Y89" s="19">
        <f>两日求解价格与决策!Y89</f>
        <v>0</v>
      </c>
      <c r="Z89" s="12" t="str">
        <f t="shared" si="2"/>
        <v>正式执行</v>
      </c>
      <c r="AA89" s="12">
        <f>两日求解价格与决策!AA89</f>
        <v>1</v>
      </c>
      <c r="AB89" s="12">
        <f>两日求解价格与决策!AB89</f>
        <v>1</v>
      </c>
      <c r="AC89" s="12">
        <f>两日求解价格与决策!AC89</f>
        <v>0.25</v>
      </c>
      <c r="AD89" s="18">
        <f>两日求解价格与决策!AD89</f>
        <v>0.3125</v>
      </c>
      <c r="AE89" s="18">
        <f>两日求解价格与决策!AE89</f>
        <v>0.13714285714285715</v>
      </c>
      <c r="AF89" s="18">
        <f>两日求解价格与决策!AF89</f>
        <v>0.16173714285714286</v>
      </c>
      <c r="AG89" s="18">
        <f>两日求解价格与决策!AG89</f>
        <v>0</v>
      </c>
      <c r="AH89" s="12">
        <f>两日求解价格与决策!AH89</f>
        <v>175</v>
      </c>
      <c r="AI89" s="12">
        <f>两日求解价格与决策!AI89</f>
        <v>175</v>
      </c>
      <c r="AJ89" s="12">
        <f>两日求解价格与决策!AJ89</f>
        <v>7.0759999999999996</v>
      </c>
      <c r="AK89" s="12">
        <f>两日求解价格与决策!AK89</f>
        <v>0</v>
      </c>
      <c r="AL89" s="12">
        <f>两日求解价格与决策!AL89</f>
        <v>131.96799999999999</v>
      </c>
      <c r="AM89" s="12">
        <f>两日求解价格与决策!AM89</f>
        <v>0</v>
      </c>
      <c r="AN89" s="12">
        <f>两日求解价格与决策!AN89</f>
        <v>0</v>
      </c>
      <c r="AO89" s="12">
        <f>两日求解价格与决策!AO89</f>
        <v>0</v>
      </c>
      <c r="AP89" s="12">
        <f>两日求解价格与决策!AP89</f>
        <v>135.02606405962757</v>
      </c>
      <c r="AQ89" s="19">
        <f>两日求解价格与决策!AQ89</f>
        <v>0</v>
      </c>
      <c r="AR89" s="12">
        <f>两日求解价格与决策!AR89</f>
        <v>5.2473000000000001</v>
      </c>
      <c r="AS89" s="14">
        <f>两日求解价格与决策!AS89</f>
        <v>46234</v>
      </c>
      <c r="AT89" s="13">
        <f>两日求解价格与决策!AT89</f>
        <v>46235.708333333336</v>
      </c>
      <c r="AU89" s="12" t="str">
        <f>两日求解价格与决策!AU89</f>
        <v>2026-08-01_77</v>
      </c>
      <c r="AV89" s="12">
        <f>两日求解价格与决策!AV89</f>
        <v>15</v>
      </c>
      <c r="AW89" s="12" t="str">
        <f>两日求解价格与决策!AW89</f>
        <v>OK</v>
      </c>
      <c r="AX89" s="12">
        <f>两日求解价格与决策!AX89</f>
        <v>128</v>
      </c>
      <c r="AY89" s="12">
        <f>两日求解价格与决策!AY89</f>
        <v>175</v>
      </c>
      <c r="AZ89" s="12">
        <f>两日求解价格与决策!AZ89</f>
        <v>175</v>
      </c>
      <c r="BA89" s="12">
        <f>两日求解价格与决策!BA89</f>
        <v>40</v>
      </c>
      <c r="BB89" s="12">
        <f>两日求解价格与决策!BB89</f>
        <v>24</v>
      </c>
      <c r="BC89" s="12">
        <f>两日求解价格与决策!BC89</f>
        <v>24</v>
      </c>
      <c r="BD89" s="14">
        <f>两日求解价格与决策!BD89</f>
        <v>46235</v>
      </c>
      <c r="BE89" s="1" t="str">
        <f>两日求解价格与决策!BE89</f>
        <v>零头寸，无结算现金</v>
      </c>
      <c r="BF89" s="1" t="str">
        <f>两日求解价格与决策!BF89</f>
        <v>40.000000 MW × 66.224535 × 0.250000 h = 662.245345 EUR</v>
      </c>
      <c r="BG89" s="1" t="str">
        <f>两日求解价格与决策!BG89</f>
        <v>零头寸，无结算现金</v>
      </c>
      <c r="BH89" s="1" t="str">
        <f>两日求解价格与决策!BH89</f>
        <v>24.000000 MW × 2.593715 × 0.250000 h = 15.562289 EUR</v>
      </c>
      <c r="BI89" s="1" t="str">
        <f>两日求解价格与决策!BI89</f>
        <v>零上调激活电量</v>
      </c>
      <c r="BJ89" s="1" t="str">
        <f>两日求解价格与决策!BJ89</f>
        <v>零下调激活电量</v>
      </c>
      <c r="BK89" s="1" t="str">
        <f>两日求解价格与决策!BK89</f>
        <v>0.000000 + 662.245345 + 0.000000 + 15.562289 + 0.000000 + 0.000000 = 677.807634 EUR</v>
      </c>
    </row>
    <row r="90" spans="1:63" ht="21" customHeight="1" x14ac:dyDescent="0.45">
      <c r="A90" s="13">
        <f>两日求解价格与决策!A90</f>
        <v>46235.84375</v>
      </c>
      <c r="B90" s="15">
        <f>两日求解价格与决策!B90</f>
        <v>189.7</v>
      </c>
      <c r="C90" s="15">
        <f>两日求解价格与决策!C90</f>
        <v>66.224534522516336</v>
      </c>
      <c r="D90" s="15">
        <f>两日求解价格与决策!D90</f>
        <v>3.9143940693308936</v>
      </c>
      <c r="E90" s="15">
        <f>两日求解价格与决策!E90</f>
        <v>2.5937148628818627</v>
      </c>
      <c r="F90" s="15">
        <f>两日求解价格与决策!F90</f>
        <v>198.84207116040631</v>
      </c>
      <c r="G90" s="15">
        <f>两日求解价格与决策!G90</f>
        <v>0</v>
      </c>
      <c r="H90" s="15" t="str">
        <f>两日求解价格与决策!H90</f>
        <v>未模拟</v>
      </c>
      <c r="I90" s="16">
        <f>两日求解价格与决策!I90</f>
        <v>135.02606405962754</v>
      </c>
      <c r="J90" s="16">
        <f>两日求解价格与决策!J90</f>
        <v>135.02606405962754</v>
      </c>
      <c r="K90" s="16">
        <f>两日求解价格与决策!K90</f>
        <v>0</v>
      </c>
      <c r="L90" s="16">
        <f>两日求解价格与决策!L90</f>
        <v>40</v>
      </c>
      <c r="M90" s="16">
        <f>两日求解价格与决策!M90</f>
        <v>0</v>
      </c>
      <c r="N90" s="16">
        <f>两日求解价格与决策!N90</f>
        <v>24</v>
      </c>
      <c r="O90" s="16">
        <f>两日求解价格与决策!O90</f>
        <v>0</v>
      </c>
      <c r="P90" s="16">
        <f>两日求解价格与决策!P90</f>
        <v>0</v>
      </c>
      <c r="Q90" s="17">
        <f>两日求解价格与决策!Q90</f>
        <v>0</v>
      </c>
      <c r="R90" s="17">
        <f>两日求解价格与决策!R90</f>
        <v>662.24534522516342</v>
      </c>
      <c r="S90" s="17">
        <f>两日求解价格与决策!S90</f>
        <v>0</v>
      </c>
      <c r="T90" s="17">
        <f>两日求解价格与决策!T90</f>
        <v>15.562289177291177</v>
      </c>
      <c r="U90" s="17">
        <f>两日求解价格与决策!U90</f>
        <v>0</v>
      </c>
      <c r="V90" s="17">
        <f>两日求解价格与决策!V90</f>
        <v>0</v>
      </c>
      <c r="W90" s="17">
        <f>两日求解价格与决策!W90</f>
        <v>677.8076344024546</v>
      </c>
      <c r="X90" s="12">
        <f>两日求解价格与决策!X90</f>
        <v>677.8076344024546</v>
      </c>
      <c r="Y90" s="19">
        <f>两日求解价格与决策!Y90</f>
        <v>0</v>
      </c>
      <c r="Z90" s="12" t="str">
        <f t="shared" si="2"/>
        <v>正式执行</v>
      </c>
      <c r="AA90" s="12">
        <f>两日求解价格与决策!AA90</f>
        <v>1</v>
      </c>
      <c r="AB90" s="12">
        <f>两日求解价格与决策!AB90</f>
        <v>1</v>
      </c>
      <c r="AC90" s="12">
        <f>两日求解价格与决策!AC90</f>
        <v>0.25</v>
      </c>
      <c r="AD90" s="18">
        <f>两日求解价格与决策!AD90</f>
        <v>0.3125</v>
      </c>
      <c r="AE90" s="18">
        <f>两日求解价格与决策!AE90</f>
        <v>0.13714285714285715</v>
      </c>
      <c r="AF90" s="18">
        <f>两日求解价格与决策!AF90</f>
        <v>0.13764571428571429</v>
      </c>
      <c r="AG90" s="18">
        <f>两日求解价格与决策!AG90</f>
        <v>0</v>
      </c>
      <c r="AH90" s="12">
        <f>两日求解价格与决策!AH90</f>
        <v>175</v>
      </c>
      <c r="AI90" s="12">
        <f>两日求解价格与决策!AI90</f>
        <v>175</v>
      </c>
      <c r="AJ90" s="12">
        <f>两日求解价格与决策!AJ90</f>
        <v>6.0220000000000002</v>
      </c>
      <c r="AK90" s="12">
        <f>两日求解价格与决策!AK90</f>
        <v>0</v>
      </c>
      <c r="AL90" s="12">
        <f>两日求解价格与决策!AL90</f>
        <v>131.96799999999999</v>
      </c>
      <c r="AM90" s="12">
        <f>两日求解价格与决策!AM90</f>
        <v>0</v>
      </c>
      <c r="AN90" s="12">
        <f>两日求解价格与决策!AN90</f>
        <v>0</v>
      </c>
      <c r="AO90" s="12">
        <f>两日求解价格与决策!AO90</f>
        <v>0</v>
      </c>
      <c r="AP90" s="12">
        <f>两日求解价格与决策!AP90</f>
        <v>135.02606405962757</v>
      </c>
      <c r="AQ90" s="19">
        <f>两日求解价格与决策!AQ90</f>
        <v>0</v>
      </c>
      <c r="AR90" s="12">
        <f>两日求解价格与决策!AR90</f>
        <v>5.2473000000000001</v>
      </c>
      <c r="AS90" s="14">
        <f>两日求解价格与决策!AS90</f>
        <v>46234</v>
      </c>
      <c r="AT90" s="13">
        <f>两日求解价格与决策!AT90</f>
        <v>46235.71875</v>
      </c>
      <c r="AU90" s="12" t="str">
        <f>两日求解价格与决策!AU90</f>
        <v>2026-08-01_78</v>
      </c>
      <c r="AV90" s="12">
        <f>两日求解价格与决策!AV90</f>
        <v>15</v>
      </c>
      <c r="AW90" s="12" t="str">
        <f>两日求解价格与决策!AW90</f>
        <v>OK</v>
      </c>
      <c r="AX90" s="12">
        <f>两日求解价格与决策!AX90</f>
        <v>128</v>
      </c>
      <c r="AY90" s="12">
        <f>两日求解价格与决策!AY90</f>
        <v>175</v>
      </c>
      <c r="AZ90" s="12">
        <f>两日求解价格与决策!AZ90</f>
        <v>175</v>
      </c>
      <c r="BA90" s="12">
        <f>两日求解价格与决策!BA90</f>
        <v>40</v>
      </c>
      <c r="BB90" s="12">
        <f>两日求解价格与决策!BB90</f>
        <v>24</v>
      </c>
      <c r="BC90" s="12">
        <f>两日求解价格与决策!BC90</f>
        <v>24</v>
      </c>
      <c r="BD90" s="14">
        <f>两日求解价格与决策!BD90</f>
        <v>46235</v>
      </c>
      <c r="BE90" s="1" t="str">
        <f>两日求解价格与决策!BE90</f>
        <v>零头寸，无结算现金</v>
      </c>
      <c r="BF90" s="1" t="str">
        <f>两日求解价格与决策!BF90</f>
        <v>40.000000 MW × 66.224535 × 0.250000 h = 662.245345 EUR</v>
      </c>
      <c r="BG90" s="1" t="str">
        <f>两日求解价格与决策!BG90</f>
        <v>零头寸，无结算现金</v>
      </c>
      <c r="BH90" s="1" t="str">
        <f>两日求解价格与决策!BH90</f>
        <v>24.000000 MW × 2.593715 × 0.250000 h = 15.562289 EUR</v>
      </c>
      <c r="BI90" s="1" t="str">
        <f>两日求解价格与决策!BI90</f>
        <v>零上调激活电量</v>
      </c>
      <c r="BJ90" s="1" t="str">
        <f>两日求解价格与决策!BJ90</f>
        <v>零下调激活电量</v>
      </c>
      <c r="BK90" s="1" t="str">
        <f>两日求解价格与决策!BK90</f>
        <v>0.000000 + 662.245345 + 0.000000 + 15.562289 + 0.000000 + 0.000000 = 677.807634 EUR</v>
      </c>
    </row>
    <row r="91" spans="1:63" ht="21" customHeight="1" x14ac:dyDescent="0.45">
      <c r="A91" s="13">
        <f>两日求解价格与决策!A91</f>
        <v>46235.854166666664</v>
      </c>
      <c r="B91" s="15">
        <f>两日求解价格与决策!B91</f>
        <v>208.82</v>
      </c>
      <c r="C91" s="15">
        <f>两日求解价格与决策!C91</f>
        <v>66.224534522516336</v>
      </c>
      <c r="D91" s="15">
        <f>两日求解价格与决策!D91</f>
        <v>3.9143940693308936</v>
      </c>
      <c r="E91" s="15">
        <f>两日求解价格与决策!E91</f>
        <v>2.5937148628818627</v>
      </c>
      <c r="F91" s="15">
        <f>两日求解价格与决策!F91</f>
        <v>168.07005507594383</v>
      </c>
      <c r="G91" s="15">
        <f>两日求解价格与决策!G91</f>
        <v>76.420254225982887</v>
      </c>
      <c r="H91" s="15" t="str">
        <f>两日求解价格与决策!H91</f>
        <v>未模拟</v>
      </c>
      <c r="I91" s="16">
        <f>两日求解价格与决策!I91</f>
        <v>135.02606405962754</v>
      </c>
      <c r="J91" s="16">
        <f>两日求解价格与决策!J91</f>
        <v>118.72201437018657</v>
      </c>
      <c r="K91" s="16">
        <f>两日求解价格与决策!K91</f>
        <v>60</v>
      </c>
      <c r="L91" s="16">
        <f>两日求解价格与决策!L91</f>
        <v>40</v>
      </c>
      <c r="M91" s="16">
        <f>两日求解价格与决策!M91</f>
        <v>0</v>
      </c>
      <c r="N91" s="16">
        <f>两日求解价格与决策!N91</f>
        <v>24</v>
      </c>
      <c r="O91" s="16">
        <f>两日求解价格与决策!O91</f>
        <v>0</v>
      </c>
      <c r="P91" s="16">
        <f>两日求解价格与决策!P91</f>
        <v>2.7428571428571432E-4</v>
      </c>
      <c r="Q91" s="17">
        <f>两日求解价格与决策!Q91</f>
        <v>3132.2999999999997</v>
      </c>
      <c r="R91" s="17">
        <f>两日求解价格与决策!R91</f>
        <v>662.24534522516342</v>
      </c>
      <c r="S91" s="17">
        <f>两日求解价格与决策!S91</f>
        <v>0</v>
      </c>
      <c r="T91" s="17">
        <f>两日求解价格与决策!T91</f>
        <v>15.562289177291177</v>
      </c>
      <c r="U91" s="17">
        <f>两日求解价格与决策!U91</f>
        <v>0</v>
      </c>
      <c r="V91" s="17">
        <f>两日求解价格与决策!V91</f>
        <v>-2.0960984016269595E-2</v>
      </c>
      <c r="W91" s="17">
        <f>两日求解价格与决策!W91</f>
        <v>3810.0866734184378</v>
      </c>
      <c r="X91" s="12">
        <f>两日求解价格与决策!X91</f>
        <v>3810.0866734184378</v>
      </c>
      <c r="Y91" s="19">
        <f>两日求解价格与决策!Y91</f>
        <v>0</v>
      </c>
      <c r="Z91" s="12" t="str">
        <f t="shared" si="2"/>
        <v>正式执行</v>
      </c>
      <c r="AA91" s="12">
        <f>两日求解价格与决策!AA91</f>
        <v>1</v>
      </c>
      <c r="AB91" s="12">
        <f>两日求解价格与决策!AB91</f>
        <v>1</v>
      </c>
      <c r="AC91" s="12">
        <f>两日求解价格与决策!AC91</f>
        <v>0.25</v>
      </c>
      <c r="AD91" s="18">
        <f>两日求解价格与决策!AD91</f>
        <v>0.3125</v>
      </c>
      <c r="AE91" s="18">
        <f>两日求解价格与决策!AE91</f>
        <v>0.13714285714285715</v>
      </c>
      <c r="AF91" s="18">
        <f>两日求解价格与决策!AF91</f>
        <v>2.4365714285714286E-2</v>
      </c>
      <c r="AG91" s="18">
        <f>两日求解价格与决策!AG91</f>
        <v>4.5714285714285716E-5</v>
      </c>
      <c r="AH91" s="12">
        <f>两日求解价格与决策!AH91</f>
        <v>175</v>
      </c>
      <c r="AI91" s="12">
        <f>两日求解价格与决策!AI91</f>
        <v>175</v>
      </c>
      <c r="AJ91" s="12">
        <f>两日求解价格与决策!AJ91</f>
        <v>1.0660000000000001</v>
      </c>
      <c r="AK91" s="12">
        <f>两日求解价格与决策!AK91</f>
        <v>2E-3</v>
      </c>
      <c r="AL91" s="12">
        <f>两日求解价格与决策!AL91</f>
        <v>131.96799999999999</v>
      </c>
      <c r="AM91" s="12">
        <f>两日求解价格与决策!AM91</f>
        <v>4.528902691511387E-2</v>
      </c>
      <c r="AN91" s="12">
        <f>两日求解价格与决策!AN91</f>
        <v>0</v>
      </c>
      <c r="AO91" s="12">
        <f>两日求解价格与决策!AO91</f>
        <v>14.999725714285713</v>
      </c>
      <c r="AP91" s="12">
        <f>两日求解价格与决策!AP91</f>
        <v>118.7220143701866</v>
      </c>
      <c r="AQ91" s="19">
        <f>两日求解价格与决策!AQ91</f>
        <v>0</v>
      </c>
      <c r="AR91" s="12">
        <f>两日求解价格与决策!AR91</f>
        <v>5.2473000000000001</v>
      </c>
      <c r="AS91" s="14">
        <f>两日求解价格与决策!AS91</f>
        <v>46234</v>
      </c>
      <c r="AT91" s="13">
        <f>两日求解价格与决策!AT91</f>
        <v>46235.729166666664</v>
      </c>
      <c r="AU91" s="12" t="str">
        <f>两日求解价格与决策!AU91</f>
        <v>2026-08-01_79</v>
      </c>
      <c r="AV91" s="12">
        <f>两日求解价格与决策!AV91</f>
        <v>15</v>
      </c>
      <c r="AW91" s="12" t="str">
        <f>两日求解价格与决策!AW91</f>
        <v>OK</v>
      </c>
      <c r="AX91" s="12">
        <f>两日求解价格与决策!AX91</f>
        <v>128</v>
      </c>
      <c r="AY91" s="12">
        <f>两日求解价格与决策!AY91</f>
        <v>175</v>
      </c>
      <c r="AZ91" s="12">
        <f>两日求解价格与决策!AZ91</f>
        <v>175</v>
      </c>
      <c r="BA91" s="12">
        <f>两日求解价格与决策!BA91</f>
        <v>40</v>
      </c>
      <c r="BB91" s="12">
        <f>两日求解价格与决策!BB91</f>
        <v>24</v>
      </c>
      <c r="BC91" s="12">
        <f>两日求解价格与决策!BC91</f>
        <v>24</v>
      </c>
      <c r="BD91" s="14">
        <f>两日求解价格与决策!BD91</f>
        <v>46235</v>
      </c>
      <c r="BE91" s="1" t="str">
        <f>两日求解价格与决策!BE91</f>
        <v>60.000000 MW × 208.820000 × 0.250000 h = 3132.300000 EUR</v>
      </c>
      <c r="BF91" s="1" t="str">
        <f>两日求解价格与决策!BF91</f>
        <v>40.000000 MW × 66.224535 × 0.250000 h = 662.245345 EUR</v>
      </c>
      <c r="BG91" s="1" t="str">
        <f>两日求解价格与决策!BG91</f>
        <v>零头寸，无结算现金</v>
      </c>
      <c r="BH91" s="1" t="str">
        <f>两日求解价格与决策!BH91</f>
        <v>24.000000 MW × 2.593715 × 0.250000 h = 15.562289 EUR</v>
      </c>
      <c r="BI91" s="1" t="str">
        <f>两日求解价格与决策!BI91</f>
        <v>零上调激活电量</v>
      </c>
      <c r="BJ91" s="1" t="str">
        <f>两日求解价格与决策!BJ91</f>
        <v>−(0.000274 MWh × 76.420254) = -0.020961 EUR</v>
      </c>
      <c r="BK91" s="1" t="str">
        <f>两日求解价格与决策!BK91</f>
        <v>3132.300000 + 662.245345 + 0.000000 + 15.562289 + 0.000000 + -0.020961 = 3810.086673 EUR</v>
      </c>
    </row>
    <row r="92" spans="1:63" ht="21" customHeight="1" x14ac:dyDescent="0.45">
      <c r="A92" s="13">
        <f>两日求解价格与决策!A92</f>
        <v>46235.864583333336</v>
      </c>
      <c r="B92" s="15">
        <f>两日求解价格与决策!B92</f>
        <v>208.3</v>
      </c>
      <c r="C92" s="15">
        <f>两日求解价格与决策!C92</f>
        <v>66.224534522516336</v>
      </c>
      <c r="D92" s="15">
        <f>两日求解价格与决策!D92</f>
        <v>3.9143940693308936</v>
      </c>
      <c r="E92" s="15">
        <f>两日求解价格与决策!E92</f>
        <v>2.5937148628818627</v>
      </c>
      <c r="F92" s="15">
        <f>两日求解价格与决策!F92</f>
        <v>168.22384845539611</v>
      </c>
      <c r="G92" s="15">
        <f>两日求解价格与决策!G92</f>
        <v>76.420254225982887</v>
      </c>
      <c r="H92" s="15" t="str">
        <f>两日求解价格与决策!H92</f>
        <v>未模拟</v>
      </c>
      <c r="I92" s="16">
        <f>两日求解价格与决策!I92</f>
        <v>118.72201437018657</v>
      </c>
      <c r="J92" s="16">
        <f>两日求解价格与决策!J92</f>
        <v>102.42929387329215</v>
      </c>
      <c r="K92" s="16">
        <f>两日求解价格与决策!K92</f>
        <v>60</v>
      </c>
      <c r="L92" s="16">
        <f>两日求解价格与决策!L92</f>
        <v>40</v>
      </c>
      <c r="M92" s="16">
        <f>两日求解价格与决策!M92</f>
        <v>0</v>
      </c>
      <c r="N92" s="16">
        <f>两日求解价格与决策!N92</f>
        <v>24</v>
      </c>
      <c r="O92" s="16">
        <f>两日求解价格与决策!O92</f>
        <v>0</v>
      </c>
      <c r="P92" s="16">
        <f>两日求解价格与决策!P92</f>
        <v>1.0697142857142856E-2</v>
      </c>
      <c r="Q92" s="17">
        <f>两日求解价格与决策!Q92</f>
        <v>3124.5</v>
      </c>
      <c r="R92" s="17">
        <f>两日求解价格与决策!R92</f>
        <v>662.24534522516342</v>
      </c>
      <c r="S92" s="17">
        <f>两日求解价格与决策!S92</f>
        <v>0</v>
      </c>
      <c r="T92" s="17">
        <f>两日求解价格与决策!T92</f>
        <v>15.562289177291177</v>
      </c>
      <c r="U92" s="17">
        <f>两日求解价格与决策!U92</f>
        <v>0</v>
      </c>
      <c r="V92" s="17">
        <f>两日求解价格与决策!V92</f>
        <v>-0.81747837663451406</v>
      </c>
      <c r="W92" s="17">
        <f>两日求解价格与决策!W92</f>
        <v>3801.4901560258204</v>
      </c>
      <c r="X92" s="12">
        <f>两日求解价格与决策!X92</f>
        <v>3801.4901560258199</v>
      </c>
      <c r="Y92" s="19">
        <f>两日求解价格与决策!Y92</f>
        <v>0</v>
      </c>
      <c r="Z92" s="12" t="str">
        <f t="shared" si="2"/>
        <v>正式执行</v>
      </c>
      <c r="AA92" s="12">
        <f>两日求解价格与决策!AA92</f>
        <v>1</v>
      </c>
      <c r="AB92" s="12">
        <f>两日求解价格与决策!AB92</f>
        <v>1</v>
      </c>
      <c r="AC92" s="12">
        <f>两日求解价格与决策!AC92</f>
        <v>0.25</v>
      </c>
      <c r="AD92" s="18">
        <f>两日求解价格与决策!AD92</f>
        <v>0.3125</v>
      </c>
      <c r="AE92" s="18">
        <f>两日求解价格与决策!AE92</f>
        <v>0.13714285714285715</v>
      </c>
      <c r="AF92" s="18">
        <f>两日求解价格与决策!AF92</f>
        <v>9.5999999999999992E-3</v>
      </c>
      <c r="AG92" s="18">
        <f>两日求解价格与决策!AG92</f>
        <v>1.7828571428571429E-3</v>
      </c>
      <c r="AH92" s="12">
        <f>两日求解价格与决策!AH92</f>
        <v>175</v>
      </c>
      <c r="AI92" s="12">
        <f>两日求解价格与决策!AI92</f>
        <v>175</v>
      </c>
      <c r="AJ92" s="12">
        <f>两日求解价格与决策!AJ92</f>
        <v>0.42</v>
      </c>
      <c r="AK92" s="12">
        <f>两日求解价格与决策!AK92</f>
        <v>7.8E-2</v>
      </c>
      <c r="AL92" s="12">
        <f>两日求解价格与决策!AL92</f>
        <v>131.96799999999999</v>
      </c>
      <c r="AM92" s="12">
        <f>两日求解价格与决策!AM92</f>
        <v>4.5257556935817803E-2</v>
      </c>
      <c r="AN92" s="12">
        <f>两日求解价格与决策!AN92</f>
        <v>0</v>
      </c>
      <c r="AO92" s="12">
        <f>两日求解价格与决策!AO92</f>
        <v>14.989302857142855</v>
      </c>
      <c r="AP92" s="12">
        <f>两日求解价格与决策!AP92</f>
        <v>102.42929387329218</v>
      </c>
      <c r="AQ92" s="19">
        <f>两日求解价格与决策!AQ92</f>
        <v>0</v>
      </c>
      <c r="AR92" s="12">
        <f>两日求解价格与决策!AR92</f>
        <v>5.2473000000000001</v>
      </c>
      <c r="AS92" s="14">
        <f>两日求解价格与决策!AS92</f>
        <v>46234</v>
      </c>
      <c r="AT92" s="13">
        <f>两日求解价格与决策!AT92</f>
        <v>46235.739583333336</v>
      </c>
      <c r="AU92" s="12" t="str">
        <f>两日求解价格与决策!AU92</f>
        <v>2026-08-01_80</v>
      </c>
      <c r="AV92" s="12">
        <f>两日求解价格与决策!AV92</f>
        <v>15</v>
      </c>
      <c r="AW92" s="12" t="str">
        <f>两日求解价格与决策!AW92</f>
        <v>OK</v>
      </c>
      <c r="AX92" s="12">
        <f>两日求解价格与决策!AX92</f>
        <v>128</v>
      </c>
      <c r="AY92" s="12">
        <f>两日求解价格与决策!AY92</f>
        <v>175</v>
      </c>
      <c r="AZ92" s="12">
        <f>两日求解价格与决策!AZ92</f>
        <v>175</v>
      </c>
      <c r="BA92" s="12">
        <f>两日求解价格与决策!BA92</f>
        <v>40</v>
      </c>
      <c r="BB92" s="12">
        <f>两日求解价格与决策!BB92</f>
        <v>24</v>
      </c>
      <c r="BC92" s="12">
        <f>两日求解价格与决策!BC92</f>
        <v>24</v>
      </c>
      <c r="BD92" s="14">
        <f>两日求解价格与决策!BD92</f>
        <v>46235</v>
      </c>
      <c r="BE92" s="1" t="str">
        <f>两日求解价格与决策!BE92</f>
        <v>60.000000 MW × 208.300000 × 0.250000 h = 3124.500000 EUR</v>
      </c>
      <c r="BF92" s="1" t="str">
        <f>两日求解价格与决策!BF92</f>
        <v>40.000000 MW × 66.224535 × 0.250000 h = 662.245345 EUR</v>
      </c>
      <c r="BG92" s="1" t="str">
        <f>两日求解价格与决策!BG92</f>
        <v>零头寸，无结算现金</v>
      </c>
      <c r="BH92" s="1" t="str">
        <f>两日求解价格与决策!BH92</f>
        <v>24.000000 MW × 2.593715 × 0.250000 h = 15.562289 EUR</v>
      </c>
      <c r="BI92" s="1" t="str">
        <f>两日求解价格与决策!BI92</f>
        <v>零上调激活电量</v>
      </c>
      <c r="BJ92" s="1" t="str">
        <f>两日求解价格与决策!BJ92</f>
        <v>−(0.010697 MWh × 76.420254) = -0.817478 EUR</v>
      </c>
      <c r="BK92" s="1" t="str">
        <f>两日求解价格与决策!BK92</f>
        <v>3124.500000 + 662.245345 + 0.000000 + 15.562289 + 0.000000 + -0.817478 = 3801.490156 EUR</v>
      </c>
    </row>
    <row r="93" spans="1:63" ht="21" customHeight="1" x14ac:dyDescent="0.45">
      <c r="A93" s="13">
        <f>两日求解价格与决策!A93</f>
        <v>46235.875</v>
      </c>
      <c r="B93" s="15">
        <f>两日求解价格与决策!B93</f>
        <v>194.29</v>
      </c>
      <c r="C93" s="15">
        <f>两日求解价格与决策!C93</f>
        <v>66.224534522516336</v>
      </c>
      <c r="D93" s="15">
        <f>两日求解价格与决策!D93</f>
        <v>7.0245650143883518</v>
      </c>
      <c r="E93" s="15">
        <f>两日求解价格与决策!E93</f>
        <v>2.5937148628818627</v>
      </c>
      <c r="F93" s="15">
        <f>两日求解价格与决策!F93</f>
        <v>173.20393345148932</v>
      </c>
      <c r="G93" s="15">
        <f>两日求解价格与决策!G93</f>
        <v>0</v>
      </c>
      <c r="H93" s="15" t="str">
        <f>两日求解价格与决策!H93</f>
        <v>未模拟</v>
      </c>
      <c r="I93" s="16">
        <f>两日求解价格与决策!I93</f>
        <v>102.42929387329215</v>
      </c>
      <c r="J93" s="16">
        <f>两日求解价格与决策!J93</f>
        <v>95.748838877018841</v>
      </c>
      <c r="K93" s="16">
        <f>两日求解价格与决策!K93</f>
        <v>22.254840100571528</v>
      </c>
      <c r="L93" s="16">
        <f>两日求解价格与决策!L93</f>
        <v>40</v>
      </c>
      <c r="M93" s="16">
        <f>两日求解价格与决策!M93</f>
        <v>24</v>
      </c>
      <c r="N93" s="16">
        <f>两日求解价格与决策!N93</f>
        <v>24</v>
      </c>
      <c r="O93" s="16">
        <f>两日求解价格与决策!O93</f>
        <v>0.58230857142857151</v>
      </c>
      <c r="P93" s="16">
        <f>两日求解价格与决策!P93</f>
        <v>0</v>
      </c>
      <c r="Q93" s="17">
        <f>两日求解价格与决策!Q93</f>
        <v>1080.9732207850104</v>
      </c>
      <c r="R93" s="17">
        <f>两日求解价格与决策!R93</f>
        <v>662.24534522516342</v>
      </c>
      <c r="S93" s="17">
        <f>两日求解价格与决策!S93</f>
        <v>42.147390086330113</v>
      </c>
      <c r="T93" s="17">
        <f>两日求解价格与决策!T93</f>
        <v>15.562289177291177</v>
      </c>
      <c r="U93" s="17">
        <f>两日求解价格与决策!U93</f>
        <v>100.85813505394611</v>
      </c>
      <c r="V93" s="17">
        <f>两日求解价格与决策!V93</f>
        <v>0</v>
      </c>
      <c r="W93" s="17">
        <f>两日求解价格与决策!W93</f>
        <v>1901.7863803277412</v>
      </c>
      <c r="X93" s="12">
        <f>两日求解价格与决策!X93</f>
        <v>1901.7863803277412</v>
      </c>
      <c r="Y93" s="19">
        <f>两日求解价格与决策!Y93</f>
        <v>0</v>
      </c>
      <c r="Z93" s="12" t="str">
        <f t="shared" si="2"/>
        <v>正式执行</v>
      </c>
      <c r="AA93" s="12">
        <f>两日求解价格与决策!AA93</f>
        <v>1</v>
      </c>
      <c r="AB93" s="12">
        <f>两日求解价格与决策!AB93</f>
        <v>1</v>
      </c>
      <c r="AC93" s="12">
        <f>两日求解价格与决策!AC93</f>
        <v>0.25</v>
      </c>
      <c r="AD93" s="18">
        <f>两日求解价格与决策!AD93</f>
        <v>0.3125</v>
      </c>
      <c r="AE93" s="18">
        <f>两日求解价格与决策!AE93</f>
        <v>0.13714285714285715</v>
      </c>
      <c r="AF93" s="18">
        <f>两日求解价格与决策!AF93</f>
        <v>9.705142857142858E-2</v>
      </c>
      <c r="AG93" s="18">
        <f>两日求解价格与决策!AG93</f>
        <v>0</v>
      </c>
      <c r="AH93" s="12">
        <f>两日求解价格与决策!AH93</f>
        <v>175</v>
      </c>
      <c r="AI93" s="12">
        <f>两日求解价格与决策!AI93</f>
        <v>175</v>
      </c>
      <c r="AJ93" s="12">
        <f>两日求解价格与决策!AJ93</f>
        <v>4.2460000000000004</v>
      </c>
      <c r="AK93" s="12">
        <f>两日求解价格与决策!AK93</f>
        <v>0</v>
      </c>
      <c r="AL93" s="12">
        <f>两日求解价格与决策!AL93</f>
        <v>131.96799999999999</v>
      </c>
      <c r="AM93" s="12">
        <f>两日求解价格与决策!AM93</f>
        <v>1.8556819434092552E-2</v>
      </c>
      <c r="AN93" s="12">
        <f>两日求解价格与决策!AN93</f>
        <v>0</v>
      </c>
      <c r="AO93" s="12">
        <f>两日求解价格与决策!AO93</f>
        <v>6.1460185965714533</v>
      </c>
      <c r="AP93" s="12">
        <f>两日求解价格与决策!AP93</f>
        <v>95.748838877018869</v>
      </c>
      <c r="AQ93" s="19">
        <f>两日求解价格与决策!AQ93</f>
        <v>0</v>
      </c>
      <c r="AR93" s="12">
        <f>两日求解价格与决策!AR93</f>
        <v>5.2473000000000001</v>
      </c>
      <c r="AS93" s="14">
        <f>两日求解价格与决策!AS93</f>
        <v>46234</v>
      </c>
      <c r="AT93" s="13">
        <f>两日求解价格与决策!AT93</f>
        <v>46235.75</v>
      </c>
      <c r="AU93" s="12" t="str">
        <f>两日求解价格与决策!AU93</f>
        <v>2026-08-01_81</v>
      </c>
      <c r="AV93" s="12">
        <f>两日求解价格与决策!AV93</f>
        <v>15</v>
      </c>
      <c r="AW93" s="12" t="str">
        <f>两日求解价格与决策!AW93</f>
        <v>OK</v>
      </c>
      <c r="AX93" s="12">
        <f>两日求解价格与决策!AX93</f>
        <v>128</v>
      </c>
      <c r="AY93" s="12">
        <f>两日求解价格与决策!AY93</f>
        <v>175</v>
      </c>
      <c r="AZ93" s="12">
        <f>两日求解价格与决策!AZ93</f>
        <v>175</v>
      </c>
      <c r="BA93" s="12">
        <f>两日求解价格与决策!BA93</f>
        <v>40</v>
      </c>
      <c r="BB93" s="12">
        <f>两日求解价格与决策!BB93</f>
        <v>24</v>
      </c>
      <c r="BC93" s="12">
        <f>两日求解价格与决策!BC93</f>
        <v>24</v>
      </c>
      <c r="BD93" s="14">
        <f>两日求解价格与决策!BD93</f>
        <v>46235</v>
      </c>
      <c r="BE93" s="1" t="str">
        <f>两日求解价格与决策!BE93</f>
        <v>22.254840 MW × 194.290000 × 0.250000 h = 1080.973221 EUR</v>
      </c>
      <c r="BF93" s="1" t="str">
        <f>两日求解价格与决策!BF93</f>
        <v>40.000000 MW × 66.224535 × 0.250000 h = 662.245345 EUR</v>
      </c>
      <c r="BG93" s="1" t="str">
        <f>两日求解价格与决策!BG93</f>
        <v>24.000000 MW × 7.024565 × 0.250000 h = 42.147390 EUR</v>
      </c>
      <c r="BH93" s="1" t="str">
        <f>两日求解价格与决策!BH93</f>
        <v>24.000000 MW × 2.593715 × 0.250000 h = 15.562289 EUR</v>
      </c>
      <c r="BI93" s="1" t="str">
        <f>两日求解价格与决策!BI93</f>
        <v>0.582309 MWh × 173.203933 = 100.858135 EUR</v>
      </c>
      <c r="BJ93" s="1" t="str">
        <f>两日求解价格与决策!BJ93</f>
        <v>零下调激活电量</v>
      </c>
      <c r="BK93" s="1" t="str">
        <f>两日求解价格与决策!BK93</f>
        <v>1080.973221 + 662.245345 + 42.147390 + 15.562289 + 100.858135 + 0.000000 = 1901.786380 EUR</v>
      </c>
    </row>
    <row r="94" spans="1:63" ht="21" customHeight="1" x14ac:dyDescent="0.45">
      <c r="A94" s="13">
        <f>两日求解价格与决策!A94</f>
        <v>46235.885416666664</v>
      </c>
      <c r="B94" s="15">
        <f>两日求解价格与决策!B94</f>
        <v>201.16</v>
      </c>
      <c r="C94" s="15">
        <f>两日求解价格与决策!C94</f>
        <v>66.224534522516336</v>
      </c>
      <c r="D94" s="15">
        <f>两日求解价格与决策!D94</f>
        <v>7.0245650143883518</v>
      </c>
      <c r="E94" s="15">
        <f>两日求解价格与决策!E94</f>
        <v>2.5937148628818627</v>
      </c>
      <c r="F94" s="15">
        <f>两日求解价格与决策!F94</f>
        <v>191.72717397518724</v>
      </c>
      <c r="G94" s="15">
        <f>两日求解价格与决策!G94</f>
        <v>76.420254225982887</v>
      </c>
      <c r="H94" s="15" t="str">
        <f>两日求解价格与决策!H94</f>
        <v>未模拟</v>
      </c>
      <c r="I94" s="16">
        <f>两日求解价格与决策!I94</f>
        <v>95.748838877018841</v>
      </c>
      <c r="J94" s="16">
        <f>两日求解价格与决策!J94</f>
        <v>85.658255026087161</v>
      </c>
      <c r="K94" s="16">
        <f>两日求解价格与决策!K94</f>
        <v>36</v>
      </c>
      <c r="L94" s="16">
        <f>两日求解价格与决策!L94</f>
        <v>40</v>
      </c>
      <c r="M94" s="16">
        <f>两日求解价格与决策!M94</f>
        <v>24</v>
      </c>
      <c r="N94" s="16">
        <f>两日求解价格与决策!N94</f>
        <v>24</v>
      </c>
      <c r="O94" s="16">
        <f>两日求解价格与决策!O94</f>
        <v>0.2884114285714286</v>
      </c>
      <c r="P94" s="16">
        <f>两日求解价格与决策!P94</f>
        <v>5.0742857142857143E-3</v>
      </c>
      <c r="Q94" s="17">
        <f>两日求解价格与决策!Q94</f>
        <v>1810.44</v>
      </c>
      <c r="R94" s="17">
        <f>两日求解价格与决策!R94</f>
        <v>662.24534522516342</v>
      </c>
      <c r="S94" s="17">
        <f>两日求解价格与决策!S94</f>
        <v>42.147390086330113</v>
      </c>
      <c r="T94" s="17">
        <f>两日求解价格与决策!T94</f>
        <v>15.562289177291177</v>
      </c>
      <c r="U94" s="17">
        <f>两日求解价格与决策!U94</f>
        <v>55.296308142146579</v>
      </c>
      <c r="V94" s="17">
        <f>两日求解价格与决策!V94</f>
        <v>-0.38777820430098747</v>
      </c>
      <c r="W94" s="17">
        <f>两日求解价格与决策!W94</f>
        <v>2585.3035544266304</v>
      </c>
      <c r="X94" s="12">
        <f>两日求解价格与决策!X94</f>
        <v>2585.3035544266304</v>
      </c>
      <c r="Y94" s="19">
        <f>两日求解价格与决策!Y94</f>
        <v>0</v>
      </c>
      <c r="Z94" s="12" t="str">
        <f t="shared" si="2"/>
        <v>正式执行</v>
      </c>
      <c r="AA94" s="12">
        <f>两日求解价格与决策!AA94</f>
        <v>1</v>
      </c>
      <c r="AB94" s="12">
        <f>两日求解价格与决策!AB94</f>
        <v>1</v>
      </c>
      <c r="AC94" s="12">
        <f>两日求解价格与决策!AC94</f>
        <v>0.25</v>
      </c>
      <c r="AD94" s="18">
        <f>两日求解价格与决策!AD94</f>
        <v>0.3125</v>
      </c>
      <c r="AE94" s="18">
        <f>两日求解价格与决策!AE94</f>
        <v>0.13714285714285715</v>
      </c>
      <c r="AF94" s="18">
        <f>两日求解价格与决策!AF94</f>
        <v>4.8068571428571433E-2</v>
      </c>
      <c r="AG94" s="18">
        <f>两日求解价格与决策!AG94</f>
        <v>8.4571428571428569E-4</v>
      </c>
      <c r="AH94" s="12">
        <f>两日求解价格与决策!AH94</f>
        <v>175</v>
      </c>
      <c r="AI94" s="12">
        <f>两日求解价格与决策!AI94</f>
        <v>175</v>
      </c>
      <c r="AJ94" s="12">
        <f>两日求解价格与决策!AJ94</f>
        <v>2.1030000000000002</v>
      </c>
      <c r="AK94" s="12">
        <f>两日求解价格与决策!AK94</f>
        <v>3.6999999999999998E-2</v>
      </c>
      <c r="AL94" s="12">
        <f>两日求解价格与决策!AL94</f>
        <v>131.96799999999999</v>
      </c>
      <c r="AM94" s="12">
        <f>两日求解价格与决策!AM94</f>
        <v>2.8029399585921322E-2</v>
      </c>
      <c r="AN94" s="12">
        <f>两日求解价格与决策!AN94</f>
        <v>0</v>
      </c>
      <c r="AO94" s="12">
        <f>两日求解价格与决策!AO94</f>
        <v>9.2833371428571425</v>
      </c>
      <c r="AP94" s="12">
        <f>两日求解价格与决策!AP94</f>
        <v>85.65825502608719</v>
      </c>
      <c r="AQ94" s="19">
        <f>两日求解价格与决策!AQ94</f>
        <v>0</v>
      </c>
      <c r="AR94" s="12">
        <f>两日求解价格与决策!AR94</f>
        <v>5.2473000000000001</v>
      </c>
      <c r="AS94" s="14">
        <f>两日求解价格与决策!AS94</f>
        <v>46234</v>
      </c>
      <c r="AT94" s="13">
        <f>两日求解价格与决策!AT94</f>
        <v>46235.760416666664</v>
      </c>
      <c r="AU94" s="12" t="str">
        <f>两日求解价格与决策!AU94</f>
        <v>2026-08-01_82</v>
      </c>
      <c r="AV94" s="12">
        <f>两日求解价格与决策!AV94</f>
        <v>15</v>
      </c>
      <c r="AW94" s="12" t="str">
        <f>两日求解价格与决策!AW94</f>
        <v>OK</v>
      </c>
      <c r="AX94" s="12">
        <f>两日求解价格与决策!AX94</f>
        <v>128</v>
      </c>
      <c r="AY94" s="12">
        <f>两日求解价格与决策!AY94</f>
        <v>175</v>
      </c>
      <c r="AZ94" s="12">
        <f>两日求解价格与决策!AZ94</f>
        <v>175</v>
      </c>
      <c r="BA94" s="12">
        <f>两日求解价格与决策!BA94</f>
        <v>40</v>
      </c>
      <c r="BB94" s="12">
        <f>两日求解价格与决策!BB94</f>
        <v>24</v>
      </c>
      <c r="BC94" s="12">
        <f>两日求解价格与决策!BC94</f>
        <v>24</v>
      </c>
      <c r="BD94" s="14">
        <f>两日求解价格与决策!BD94</f>
        <v>46235</v>
      </c>
      <c r="BE94" s="1" t="str">
        <f>两日求解价格与决策!BE94</f>
        <v>36.000000 MW × 201.160000 × 0.250000 h = 1810.440000 EUR</v>
      </c>
      <c r="BF94" s="1" t="str">
        <f>两日求解价格与决策!BF94</f>
        <v>40.000000 MW × 66.224535 × 0.250000 h = 662.245345 EUR</v>
      </c>
      <c r="BG94" s="1" t="str">
        <f>两日求解价格与决策!BG94</f>
        <v>24.000000 MW × 7.024565 × 0.250000 h = 42.147390 EUR</v>
      </c>
      <c r="BH94" s="1" t="str">
        <f>两日求解价格与决策!BH94</f>
        <v>24.000000 MW × 2.593715 × 0.250000 h = 15.562289 EUR</v>
      </c>
      <c r="BI94" s="1" t="str">
        <f>两日求解价格与决策!BI94</f>
        <v>0.288411 MWh × 191.727174 = 55.296308 EUR</v>
      </c>
      <c r="BJ94" s="1" t="str">
        <f>两日求解价格与决策!BJ94</f>
        <v>−(0.005074 MWh × 76.420254) = -0.387778 EUR</v>
      </c>
      <c r="BK94" s="1" t="str">
        <f>两日求解价格与决策!BK94</f>
        <v>1810.440000 + 662.245345 + 42.147390 + 15.562289 + 55.296308 + -0.387778 = 2585.303554 EUR</v>
      </c>
    </row>
    <row r="95" spans="1:63" ht="21" customHeight="1" x14ac:dyDescent="0.45">
      <c r="A95" s="13">
        <f>两日求解价格与决策!A95</f>
        <v>46235.895833333336</v>
      </c>
      <c r="B95" s="15">
        <f>两日求解价格与决策!B95</f>
        <v>199.86</v>
      </c>
      <c r="C95" s="15">
        <f>两日求解价格与决策!C95</f>
        <v>66.224534522516336</v>
      </c>
      <c r="D95" s="15">
        <f>两日求解价格与决策!D95</f>
        <v>7.0245650143883518</v>
      </c>
      <c r="E95" s="15">
        <f>两日求解价格与决策!E95</f>
        <v>2.5937148628818627</v>
      </c>
      <c r="F95" s="15">
        <f>两日求解价格与决策!F95</f>
        <v>199.68803003449395</v>
      </c>
      <c r="G95" s="15">
        <f>两日求解价格与决策!G95</f>
        <v>76.420254225982887</v>
      </c>
      <c r="H95" s="15" t="str">
        <f>两日求解价格与决策!H95</f>
        <v>未模拟</v>
      </c>
      <c r="I95" s="16">
        <f>两日求解价格与决策!I95</f>
        <v>85.658255026087161</v>
      </c>
      <c r="J95" s="16">
        <f>两日求解价格与决策!J95</f>
        <v>75.508789187577833</v>
      </c>
      <c r="K95" s="16">
        <f>两日求解价格与决策!K95</f>
        <v>36.000000000000028</v>
      </c>
      <c r="L95" s="16">
        <f>两日求解价格与决策!L95</f>
        <v>40</v>
      </c>
      <c r="M95" s="16">
        <f>两日求解价格与决策!M95</f>
        <v>24</v>
      </c>
      <c r="N95" s="16">
        <f>两日求解价格与决策!N95</f>
        <v>24</v>
      </c>
      <c r="O95" s="16">
        <f>两日求解价格与决策!O95</f>
        <v>0.33846857142857145</v>
      </c>
      <c r="P95" s="16">
        <f>两日求解价格与决策!P95</f>
        <v>9.6000000000000013E-4</v>
      </c>
      <c r="Q95" s="17">
        <f>两日求解价格与决策!Q95</f>
        <v>1798.7400000000016</v>
      </c>
      <c r="R95" s="17">
        <f>两日求解价格与决策!R95</f>
        <v>662.24534522516342</v>
      </c>
      <c r="S95" s="17">
        <f>两日求解价格与决策!S95</f>
        <v>42.147390086330113</v>
      </c>
      <c r="T95" s="17">
        <f>两日求解价格与决策!T95</f>
        <v>15.562289177291177</v>
      </c>
      <c r="U95" s="17">
        <f>两日求解价格与决策!U95</f>
        <v>67.588122257160833</v>
      </c>
      <c r="V95" s="17">
        <f>两日求解价格与决策!V95</f>
        <v>-7.3363444056943589E-2</v>
      </c>
      <c r="W95" s="17">
        <f>两日求解价格与决策!W95</f>
        <v>2586.2097833018902</v>
      </c>
      <c r="X95" s="12">
        <f>两日求解价格与决策!X95</f>
        <v>2586.2097833018902</v>
      </c>
      <c r="Y95" s="19">
        <f>两日求解价格与决策!Y95</f>
        <v>0</v>
      </c>
      <c r="Z95" s="12" t="str">
        <f t="shared" si="2"/>
        <v>正式执行</v>
      </c>
      <c r="AA95" s="12">
        <f>两日求解价格与决策!AA95</f>
        <v>1</v>
      </c>
      <c r="AB95" s="12">
        <f>两日求解价格与决策!AB95</f>
        <v>1</v>
      </c>
      <c r="AC95" s="12">
        <f>两日求解价格与决策!AC95</f>
        <v>0.25</v>
      </c>
      <c r="AD95" s="18">
        <f>两日求解价格与决策!AD95</f>
        <v>0.3125</v>
      </c>
      <c r="AE95" s="18">
        <f>两日求解价格与决策!AE95</f>
        <v>0.13714285714285715</v>
      </c>
      <c r="AF95" s="18">
        <f>两日求解价格与决策!AF95</f>
        <v>5.6411428571428571E-2</v>
      </c>
      <c r="AG95" s="18">
        <f>两日求解价格与决策!AG95</f>
        <v>1.6000000000000001E-4</v>
      </c>
      <c r="AH95" s="12">
        <f>两日求解价格与决策!AH95</f>
        <v>175</v>
      </c>
      <c r="AI95" s="12">
        <f>两日求解价格与决策!AI95</f>
        <v>175</v>
      </c>
      <c r="AJ95" s="12">
        <f>两日求解价格与决策!AJ95</f>
        <v>2.468</v>
      </c>
      <c r="AK95" s="12">
        <f>两日求解价格与决策!AK95</f>
        <v>7.0000000000000001E-3</v>
      </c>
      <c r="AL95" s="12">
        <f>两日求解价格与决策!AL95</f>
        <v>131.96799999999999</v>
      </c>
      <c r="AM95" s="12">
        <f>两日求解价格与决策!AM95</f>
        <v>2.8192960662525898E-2</v>
      </c>
      <c r="AN95" s="12">
        <f>两日求解价格与决策!AN95</f>
        <v>0</v>
      </c>
      <c r="AO95" s="12">
        <f>两日求解价格与决策!AO95</f>
        <v>9.337508571428577</v>
      </c>
      <c r="AP95" s="12">
        <f>两日求解价格与决策!AP95</f>
        <v>75.508789187577861</v>
      </c>
      <c r="AQ95" s="19">
        <f>两日求解价格与决策!AQ95</f>
        <v>0</v>
      </c>
      <c r="AR95" s="12">
        <f>两日求解价格与决策!AR95</f>
        <v>5.2473000000000001</v>
      </c>
      <c r="AS95" s="14">
        <f>两日求解价格与决策!AS95</f>
        <v>46234</v>
      </c>
      <c r="AT95" s="13">
        <f>两日求解价格与决策!AT95</f>
        <v>46235.770833333336</v>
      </c>
      <c r="AU95" s="12" t="str">
        <f>两日求解价格与决策!AU95</f>
        <v>2026-08-01_83</v>
      </c>
      <c r="AV95" s="12">
        <f>两日求解价格与决策!AV95</f>
        <v>15</v>
      </c>
      <c r="AW95" s="12" t="str">
        <f>两日求解价格与决策!AW95</f>
        <v>OK</v>
      </c>
      <c r="AX95" s="12">
        <f>两日求解价格与决策!AX95</f>
        <v>128</v>
      </c>
      <c r="AY95" s="12">
        <f>两日求解价格与决策!AY95</f>
        <v>175</v>
      </c>
      <c r="AZ95" s="12">
        <f>两日求解价格与决策!AZ95</f>
        <v>175</v>
      </c>
      <c r="BA95" s="12">
        <f>两日求解价格与决策!BA95</f>
        <v>40</v>
      </c>
      <c r="BB95" s="12">
        <f>两日求解价格与决策!BB95</f>
        <v>24</v>
      </c>
      <c r="BC95" s="12">
        <f>两日求解价格与决策!BC95</f>
        <v>24</v>
      </c>
      <c r="BD95" s="14">
        <f>两日求解价格与决策!BD95</f>
        <v>46235</v>
      </c>
      <c r="BE95" s="1" t="str">
        <f>两日求解价格与决策!BE95</f>
        <v>36.000000 MW × 199.860000 × 0.250000 h = 1798.740000 EUR</v>
      </c>
      <c r="BF95" s="1" t="str">
        <f>两日求解价格与决策!BF95</f>
        <v>40.000000 MW × 66.224535 × 0.250000 h = 662.245345 EUR</v>
      </c>
      <c r="BG95" s="1" t="str">
        <f>两日求解价格与决策!BG95</f>
        <v>24.000000 MW × 7.024565 × 0.250000 h = 42.147390 EUR</v>
      </c>
      <c r="BH95" s="1" t="str">
        <f>两日求解价格与决策!BH95</f>
        <v>24.000000 MW × 2.593715 × 0.250000 h = 15.562289 EUR</v>
      </c>
      <c r="BI95" s="1" t="str">
        <f>两日求解价格与决策!BI95</f>
        <v>0.338469 MWh × 199.688030 = 67.588122 EUR</v>
      </c>
      <c r="BJ95" s="1" t="str">
        <f>两日求解价格与决策!BJ95</f>
        <v>−(0.000960 MWh × 76.420254) = -0.073363 EUR</v>
      </c>
      <c r="BK95" s="1" t="str">
        <f>两日求解价格与决策!BK95</f>
        <v>1798.740000 + 662.245345 + 42.147390 + 15.562289 + 67.588122 + -0.073363 = 2586.209783 EUR</v>
      </c>
    </row>
    <row r="96" spans="1:63" ht="21" customHeight="1" x14ac:dyDescent="0.45">
      <c r="A96" s="13">
        <f>两日求解价格与决策!A96</f>
        <v>46235.90625</v>
      </c>
      <c r="B96" s="15">
        <f>两日求解价格与决策!B96</f>
        <v>199.8</v>
      </c>
      <c r="C96" s="15">
        <f>两日求解价格与决策!C96</f>
        <v>66.224534522516336</v>
      </c>
      <c r="D96" s="15">
        <f>两日求解价格与决策!D96</f>
        <v>7.0245650143883518</v>
      </c>
      <c r="E96" s="15">
        <f>两日求解价格与决策!E96</f>
        <v>2.5937148628818627</v>
      </c>
      <c r="F96" s="15">
        <f>两日求解价格与决策!F96</f>
        <v>161.71802641358411</v>
      </c>
      <c r="G96" s="15">
        <f>两日求解价格与决策!G96</f>
        <v>76.420254225982887</v>
      </c>
      <c r="H96" s="15" t="str">
        <f>两日求解价格与决策!H96</f>
        <v>未模拟</v>
      </c>
      <c r="I96" s="16">
        <f>两日求解价格与决策!I96</f>
        <v>75.508789187577833</v>
      </c>
      <c r="J96" s="16">
        <f>两日求解价格与决策!J96</f>
        <v>65.718279870807649</v>
      </c>
      <c r="K96" s="16">
        <f>两日求解价格与决策!K96</f>
        <v>36</v>
      </c>
      <c r="L96" s="16">
        <f>两日求解价格与决策!L96</f>
        <v>40</v>
      </c>
      <c r="M96" s="16">
        <f>两日求解价格与决策!M96</f>
        <v>24</v>
      </c>
      <c r="N96" s="16">
        <f>两日求解价格与决策!N96</f>
        <v>24</v>
      </c>
      <c r="O96" s="16">
        <f>两日求解价格与决策!O96</f>
        <v>1.7417142857142857E-2</v>
      </c>
      <c r="P96" s="16">
        <f>两日求解价格与决策!P96</f>
        <v>1.0148571428571429E-2</v>
      </c>
      <c r="Q96" s="17">
        <f>两日求解价格与决策!Q96</f>
        <v>1798.2</v>
      </c>
      <c r="R96" s="17">
        <f>两日求解价格与决策!R96</f>
        <v>662.24534522516342</v>
      </c>
      <c r="S96" s="17">
        <f>两日求解价格与决策!S96</f>
        <v>42.147390086330113</v>
      </c>
      <c r="T96" s="17">
        <f>两日求解价格与决策!T96</f>
        <v>15.562289177291177</v>
      </c>
      <c r="U96" s="17">
        <f>两日求解价格与决策!U96</f>
        <v>2.8166659686205961</v>
      </c>
      <c r="V96" s="17">
        <f>两日求解价格与决策!V96</f>
        <v>-0.77555640860197494</v>
      </c>
      <c r="W96" s="17">
        <f>两日求解价格与决策!W96</f>
        <v>2520.1961340488037</v>
      </c>
      <c r="X96" s="12">
        <f>两日求解价格与决策!X96</f>
        <v>2520.1961340488033</v>
      </c>
      <c r="Y96" s="19">
        <f>两日求解价格与决策!Y96</f>
        <v>0</v>
      </c>
      <c r="Z96" s="12" t="str">
        <f t="shared" si="2"/>
        <v>正式执行</v>
      </c>
      <c r="AA96" s="12">
        <f>两日求解价格与决策!AA96</f>
        <v>1</v>
      </c>
      <c r="AB96" s="12">
        <f>两日求解价格与决策!AB96</f>
        <v>1</v>
      </c>
      <c r="AC96" s="12">
        <f>两日求解价格与决策!AC96</f>
        <v>0.25</v>
      </c>
      <c r="AD96" s="18">
        <f>两日求解价格与决策!AD96</f>
        <v>0.3125</v>
      </c>
      <c r="AE96" s="18">
        <f>两日求解价格与决策!AE96</f>
        <v>0.13714285714285715</v>
      </c>
      <c r="AF96" s="18">
        <f>两日求解价格与决策!AF96</f>
        <v>2.9028571428571428E-3</v>
      </c>
      <c r="AG96" s="18">
        <f>两日求解价格与决策!AG96</f>
        <v>1.6914285714285714E-3</v>
      </c>
      <c r="AH96" s="12">
        <f>两日求解价格与决策!AH96</f>
        <v>175</v>
      </c>
      <c r="AI96" s="12">
        <f>两日求解价格与决策!AI96</f>
        <v>175</v>
      </c>
      <c r="AJ96" s="12">
        <f>两日求解价格与决策!AJ96</f>
        <v>0.127</v>
      </c>
      <c r="AK96" s="12">
        <f>两日求解价格与决策!AK96</f>
        <v>7.3999999999999996E-2</v>
      </c>
      <c r="AL96" s="12">
        <f>两日求解价格与决策!AL96</f>
        <v>131.96799999999999</v>
      </c>
      <c r="AM96" s="12">
        <f>两日求解价格与决策!AM96</f>
        <v>2.7195859213250521E-2</v>
      </c>
      <c r="AN96" s="12">
        <f>两日求解价格与决策!AN96</f>
        <v>0</v>
      </c>
      <c r="AO96" s="12">
        <f>两日求解价格与决策!AO96</f>
        <v>9.0072685714285718</v>
      </c>
      <c r="AP96" s="12">
        <f>两日求解价格与决策!AP96</f>
        <v>65.718279870807677</v>
      </c>
      <c r="AQ96" s="19">
        <f>两日求解价格与决策!AQ96</f>
        <v>0</v>
      </c>
      <c r="AR96" s="12">
        <f>两日求解价格与决策!AR96</f>
        <v>5.2473000000000001</v>
      </c>
      <c r="AS96" s="14">
        <f>两日求解价格与决策!AS96</f>
        <v>46234</v>
      </c>
      <c r="AT96" s="13">
        <f>两日求解价格与决策!AT96</f>
        <v>46235.78125</v>
      </c>
      <c r="AU96" s="12" t="str">
        <f>两日求解价格与决策!AU96</f>
        <v>2026-08-01_84</v>
      </c>
      <c r="AV96" s="12">
        <f>两日求解价格与决策!AV96</f>
        <v>15</v>
      </c>
      <c r="AW96" s="12" t="str">
        <f>两日求解价格与决策!AW96</f>
        <v>OK</v>
      </c>
      <c r="AX96" s="12">
        <f>两日求解价格与决策!AX96</f>
        <v>128</v>
      </c>
      <c r="AY96" s="12">
        <f>两日求解价格与决策!AY96</f>
        <v>175</v>
      </c>
      <c r="AZ96" s="12">
        <f>两日求解价格与决策!AZ96</f>
        <v>175</v>
      </c>
      <c r="BA96" s="12">
        <f>两日求解价格与决策!BA96</f>
        <v>40</v>
      </c>
      <c r="BB96" s="12">
        <f>两日求解价格与决策!BB96</f>
        <v>24</v>
      </c>
      <c r="BC96" s="12">
        <f>两日求解价格与决策!BC96</f>
        <v>24</v>
      </c>
      <c r="BD96" s="14">
        <f>两日求解价格与决策!BD96</f>
        <v>46235</v>
      </c>
      <c r="BE96" s="1" t="str">
        <f>两日求解价格与决策!BE96</f>
        <v>36.000000 MW × 199.800000 × 0.250000 h = 1798.200000 EUR</v>
      </c>
      <c r="BF96" s="1" t="str">
        <f>两日求解价格与决策!BF96</f>
        <v>40.000000 MW × 66.224535 × 0.250000 h = 662.245345 EUR</v>
      </c>
      <c r="BG96" s="1" t="str">
        <f>两日求解价格与决策!BG96</f>
        <v>24.000000 MW × 7.024565 × 0.250000 h = 42.147390 EUR</v>
      </c>
      <c r="BH96" s="1" t="str">
        <f>两日求解价格与决策!BH96</f>
        <v>24.000000 MW × 2.593715 × 0.250000 h = 15.562289 EUR</v>
      </c>
      <c r="BI96" s="1" t="str">
        <f>两日求解价格与决策!BI96</f>
        <v>0.017417 MWh × 161.718026 = 2.816666 EUR</v>
      </c>
      <c r="BJ96" s="1" t="str">
        <f>两日求解价格与决策!BJ96</f>
        <v>−(0.010149 MWh × 76.420254) = -0.775556 EUR</v>
      </c>
      <c r="BK96" s="1" t="str">
        <f>两日求解价格与决策!BK96</f>
        <v>1798.200000 + 662.245345 + 42.147390 + 15.562289 + 2.816666 + -0.775556 = 2520.196134 EUR</v>
      </c>
    </row>
    <row r="97" spans="1:63" ht="21" customHeight="1" x14ac:dyDescent="0.45">
      <c r="A97" s="13">
        <f>两日求解价格与决策!A97</f>
        <v>46235.916666666664</v>
      </c>
      <c r="B97" s="15">
        <f>两日求解价格与决策!B97</f>
        <v>205.01</v>
      </c>
      <c r="C97" s="15">
        <f>两日求解价格与决策!C97</f>
        <v>66.224534522516336</v>
      </c>
      <c r="D97" s="15">
        <f>两日求解价格与决策!D97</f>
        <v>3.9143940693308936</v>
      </c>
      <c r="E97" s="15">
        <f>两日求解价格与决策!E97</f>
        <v>2.5937148628818627</v>
      </c>
      <c r="F97" s="15">
        <f>两日求解价格与决策!F97</f>
        <v>196.30552855754388</v>
      </c>
      <c r="G97" s="15">
        <f>两日求解价格与决策!G97</f>
        <v>0</v>
      </c>
      <c r="H97" s="15" t="str">
        <f>两日求解价格与决策!H97</f>
        <v>未模拟</v>
      </c>
      <c r="I97" s="16">
        <f>两日求解价格与决策!I97</f>
        <v>65.718279870807649</v>
      </c>
      <c r="J97" s="16">
        <f>两日求解价格与决策!J97</f>
        <v>49.413932044720696</v>
      </c>
      <c r="K97" s="16">
        <f>两日求解价格与决策!K97</f>
        <v>60</v>
      </c>
      <c r="L97" s="16">
        <f>两日求解价格与决策!L97</f>
        <v>40</v>
      </c>
      <c r="M97" s="16">
        <f>两日求解价格与决策!M97</f>
        <v>0</v>
      </c>
      <c r="N97" s="16">
        <f>两日求解价格与决策!N97</f>
        <v>24</v>
      </c>
      <c r="O97" s="16">
        <f>两日求解价格与决策!O97</f>
        <v>0</v>
      </c>
      <c r="P97" s="16">
        <f>两日求解价格与决策!P97</f>
        <v>0</v>
      </c>
      <c r="Q97" s="17">
        <f>两日求解价格与决策!Q97</f>
        <v>3075.1499999999996</v>
      </c>
      <c r="R97" s="17">
        <f>两日求解价格与决策!R97</f>
        <v>662.24534522516342</v>
      </c>
      <c r="S97" s="17">
        <f>两日求解价格与决策!S97</f>
        <v>0</v>
      </c>
      <c r="T97" s="17">
        <f>两日求解价格与决策!T97</f>
        <v>15.562289177291177</v>
      </c>
      <c r="U97" s="17">
        <f>两日求解价格与决策!U97</f>
        <v>0</v>
      </c>
      <c r="V97" s="17">
        <f>两日求解价格与决策!V97</f>
        <v>0</v>
      </c>
      <c r="W97" s="17">
        <f>两日求解价格与决策!W97</f>
        <v>3752.9576344024545</v>
      </c>
      <c r="X97" s="12">
        <f>两日求解价格与决策!X97</f>
        <v>3752.9576344024545</v>
      </c>
      <c r="Y97" s="19">
        <f>两日求解价格与决策!Y97</f>
        <v>0</v>
      </c>
      <c r="Z97" s="12" t="str">
        <f t="shared" si="2"/>
        <v>正式执行</v>
      </c>
      <c r="AA97" s="12">
        <f>两日求解价格与决策!AA97</f>
        <v>1</v>
      </c>
      <c r="AB97" s="12">
        <f>两日求解价格与决策!AB97</f>
        <v>1</v>
      </c>
      <c r="AC97" s="12">
        <f>两日求解价格与决策!AC97</f>
        <v>0.25</v>
      </c>
      <c r="AD97" s="18">
        <f>两日求解价格与决策!AD97</f>
        <v>0.3125</v>
      </c>
      <c r="AE97" s="18">
        <f>两日求解价格与决策!AE97</f>
        <v>0.13714285714285715</v>
      </c>
      <c r="AF97" s="18">
        <f>两日求解价格与决策!AF97</f>
        <v>0.10228571428571427</v>
      </c>
      <c r="AG97" s="18">
        <f>两日求解价格与决策!AG97</f>
        <v>0</v>
      </c>
      <c r="AH97" s="12">
        <f>两日求解价格与决策!AH97</f>
        <v>175</v>
      </c>
      <c r="AI97" s="12">
        <f>两日求解价格与决策!AI97</f>
        <v>175</v>
      </c>
      <c r="AJ97" s="12">
        <f>两日求解价格与决策!AJ97</f>
        <v>4.4749999999999996</v>
      </c>
      <c r="AK97" s="12">
        <f>两日求解价格与决策!AK97</f>
        <v>0</v>
      </c>
      <c r="AL97" s="12">
        <f>两日求解价格与决策!AL97</f>
        <v>131.96799999999999</v>
      </c>
      <c r="AM97" s="12">
        <f>两日求解价格与决策!AM97</f>
        <v>4.5289855072463768E-2</v>
      </c>
      <c r="AN97" s="12">
        <f>两日求解价格与决策!AN97</f>
        <v>0</v>
      </c>
      <c r="AO97" s="12">
        <f>两日求解价格与决策!AO97</f>
        <v>14.999999999999998</v>
      </c>
      <c r="AP97" s="12">
        <f>两日求解价格与决策!AP97</f>
        <v>49.413932044720717</v>
      </c>
      <c r="AQ97" s="19">
        <f>两日求解价格与决策!AQ97</f>
        <v>0</v>
      </c>
      <c r="AR97" s="12">
        <f>两日求解价格与决策!AR97</f>
        <v>5.2473000000000001</v>
      </c>
      <c r="AS97" s="14">
        <f>两日求解价格与决策!AS97</f>
        <v>46234</v>
      </c>
      <c r="AT97" s="13">
        <f>两日求解价格与决策!AT97</f>
        <v>46235.791666666664</v>
      </c>
      <c r="AU97" s="12" t="str">
        <f>两日求解价格与决策!AU97</f>
        <v>2026-08-01_85</v>
      </c>
      <c r="AV97" s="12">
        <f>两日求解价格与决策!AV97</f>
        <v>15</v>
      </c>
      <c r="AW97" s="12" t="str">
        <f>两日求解价格与决策!AW97</f>
        <v>OK</v>
      </c>
      <c r="AX97" s="12">
        <f>两日求解价格与决策!AX97</f>
        <v>128</v>
      </c>
      <c r="AY97" s="12">
        <f>两日求解价格与决策!AY97</f>
        <v>175</v>
      </c>
      <c r="AZ97" s="12">
        <f>两日求解价格与决策!AZ97</f>
        <v>175</v>
      </c>
      <c r="BA97" s="12">
        <f>两日求解价格与决策!BA97</f>
        <v>40</v>
      </c>
      <c r="BB97" s="12">
        <f>两日求解价格与决策!BB97</f>
        <v>24</v>
      </c>
      <c r="BC97" s="12">
        <f>两日求解价格与决策!BC97</f>
        <v>24</v>
      </c>
      <c r="BD97" s="14">
        <f>两日求解价格与决策!BD97</f>
        <v>46235</v>
      </c>
      <c r="BE97" s="1" t="str">
        <f>两日求解价格与决策!BE97</f>
        <v>60.000000 MW × 205.010000 × 0.250000 h = 3075.150000 EUR</v>
      </c>
      <c r="BF97" s="1" t="str">
        <f>两日求解价格与决策!BF97</f>
        <v>40.000000 MW × 66.224535 × 0.250000 h = 662.245345 EUR</v>
      </c>
      <c r="BG97" s="1" t="str">
        <f>两日求解价格与决策!BG97</f>
        <v>零头寸，无结算现金</v>
      </c>
      <c r="BH97" s="1" t="str">
        <f>两日求解价格与决策!BH97</f>
        <v>24.000000 MW × 2.593715 × 0.250000 h = 15.562289 EUR</v>
      </c>
      <c r="BI97" s="1" t="str">
        <f>两日求解价格与决策!BI97</f>
        <v>零上调激活电量</v>
      </c>
      <c r="BJ97" s="1" t="str">
        <f>两日求解价格与决策!BJ97</f>
        <v>零下调激活电量</v>
      </c>
      <c r="BK97" s="1" t="str">
        <f>两日求解价格与决策!BK97</f>
        <v>3075.150000 + 662.245345 + 0.000000 + 15.562289 + 0.000000 + 0.000000 = 3752.957634 EUR</v>
      </c>
    </row>
    <row r="98" spans="1:63" ht="21" customHeight="1" x14ac:dyDescent="0.45">
      <c r="A98" s="13">
        <f>两日求解价格与决策!A98</f>
        <v>46235.927083333336</v>
      </c>
      <c r="B98" s="15">
        <f>两日求解价格与决策!B98</f>
        <v>201.51</v>
      </c>
      <c r="C98" s="15">
        <f>两日求解价格与决策!C98</f>
        <v>66.224534522516336</v>
      </c>
      <c r="D98" s="15">
        <f>两日求解价格与决策!D98</f>
        <v>3.9143940693308936</v>
      </c>
      <c r="E98" s="15">
        <f>两日求解价格与决策!E98</f>
        <v>2.5937148628818627</v>
      </c>
      <c r="F98" s="15">
        <f>两日求解价格与决策!F98</f>
        <v>168.99453052045814</v>
      </c>
      <c r="G98" s="15">
        <f>两日求解价格与决策!G98</f>
        <v>72.405427553217848</v>
      </c>
      <c r="H98" s="15" t="str">
        <f>两日求解价格与决策!H98</f>
        <v>未模拟</v>
      </c>
      <c r="I98" s="16">
        <f>两日求解价格与决策!I98</f>
        <v>49.413932044720696</v>
      </c>
      <c r="J98" s="16">
        <f>两日求解价格与决策!J98</f>
        <v>33.196043845962933</v>
      </c>
      <c r="K98" s="16">
        <f>两日求解价格与决策!K98</f>
        <v>60</v>
      </c>
      <c r="L98" s="16">
        <f>两日求解价格与决策!L98</f>
        <v>40</v>
      </c>
      <c r="M98" s="16">
        <f>两日求解价格与决策!M98</f>
        <v>0</v>
      </c>
      <c r="N98" s="16">
        <f>两日求解价格与决策!N98</f>
        <v>24</v>
      </c>
      <c r="O98" s="16">
        <f>两日求解价格与决策!O98</f>
        <v>0</v>
      </c>
      <c r="P98" s="16">
        <f>两日求解价格与决策!P98</f>
        <v>7.9542857142857137E-2</v>
      </c>
      <c r="Q98" s="17">
        <f>两日求解价格与决策!Q98</f>
        <v>3022.6499999999996</v>
      </c>
      <c r="R98" s="17">
        <f>两日求解价格与决策!R98</f>
        <v>662.24534522516342</v>
      </c>
      <c r="S98" s="17">
        <f>两日求解价格与决策!S98</f>
        <v>0</v>
      </c>
      <c r="T98" s="17">
        <f>两日求解价格与决策!T98</f>
        <v>15.562289177291177</v>
      </c>
      <c r="U98" s="17">
        <f>两日求解价格与决策!U98</f>
        <v>0</v>
      </c>
      <c r="V98" s="17">
        <f>两日求解价格与决策!V98</f>
        <v>-5.7593345802330989</v>
      </c>
      <c r="W98" s="17">
        <f>两日求解价格与决策!W98</f>
        <v>3694.6982998222215</v>
      </c>
      <c r="X98" s="12">
        <f>两日求解价格与决策!X98</f>
        <v>3694.6982998222211</v>
      </c>
      <c r="Y98" s="19">
        <f>两日求解价格与决策!Y98</f>
        <v>0</v>
      </c>
      <c r="Z98" s="12" t="str">
        <f t="shared" si="2"/>
        <v>正式执行</v>
      </c>
      <c r="AA98" s="12">
        <f>两日求解价格与决策!AA98</f>
        <v>1</v>
      </c>
      <c r="AB98" s="12">
        <f>两日求解价格与决策!AB98</f>
        <v>1</v>
      </c>
      <c r="AC98" s="12">
        <f>两日求解价格与决策!AC98</f>
        <v>0.25</v>
      </c>
      <c r="AD98" s="18">
        <f>两日求解价格与决策!AD98</f>
        <v>0.3125</v>
      </c>
      <c r="AE98" s="18">
        <f>两日求解价格与决策!AE98</f>
        <v>0.13714285714285715</v>
      </c>
      <c r="AF98" s="18">
        <f>两日求解价格与决策!AF98</f>
        <v>1.7028571428571428E-2</v>
      </c>
      <c r="AG98" s="18">
        <f>两日求解价格与决策!AG98</f>
        <v>1.3257142857142856E-2</v>
      </c>
      <c r="AH98" s="12">
        <f>两日求解价格与决策!AH98</f>
        <v>175</v>
      </c>
      <c r="AI98" s="12">
        <f>两日求解价格与决策!AI98</f>
        <v>175</v>
      </c>
      <c r="AJ98" s="12">
        <f>两日求解价格与决策!AJ98</f>
        <v>0.745</v>
      </c>
      <c r="AK98" s="12">
        <f>两日求解价格与决策!AK98</f>
        <v>0.57999999999999996</v>
      </c>
      <c r="AL98" s="12">
        <f>两日求解价格与决策!AL98</f>
        <v>131.96799999999999</v>
      </c>
      <c r="AM98" s="12">
        <f>两日求解价格与决策!AM98</f>
        <v>4.5049689440993787E-2</v>
      </c>
      <c r="AN98" s="12">
        <f>两日求解价格与决策!AN98</f>
        <v>0</v>
      </c>
      <c r="AO98" s="12">
        <f>两日求解价格与决策!AO98</f>
        <v>14.920457142857144</v>
      </c>
      <c r="AP98" s="12">
        <f>两日求解价格与决策!AP98</f>
        <v>33.196043845962954</v>
      </c>
      <c r="AQ98" s="19">
        <f>两日求解价格与决策!AQ98</f>
        <v>0</v>
      </c>
      <c r="AR98" s="12">
        <f>两日求解价格与决策!AR98</f>
        <v>5.2473000000000001</v>
      </c>
      <c r="AS98" s="14">
        <f>两日求解价格与决策!AS98</f>
        <v>46234</v>
      </c>
      <c r="AT98" s="13">
        <f>两日求解价格与决策!AT98</f>
        <v>46235.802083333336</v>
      </c>
      <c r="AU98" s="12" t="str">
        <f>两日求解价格与决策!AU98</f>
        <v>2026-08-01_86</v>
      </c>
      <c r="AV98" s="12">
        <f>两日求解价格与决策!AV98</f>
        <v>15</v>
      </c>
      <c r="AW98" s="12" t="str">
        <f>两日求解价格与决策!AW98</f>
        <v>OK</v>
      </c>
      <c r="AX98" s="12">
        <f>两日求解价格与决策!AX98</f>
        <v>128</v>
      </c>
      <c r="AY98" s="12">
        <f>两日求解价格与决策!AY98</f>
        <v>175</v>
      </c>
      <c r="AZ98" s="12">
        <f>两日求解价格与决策!AZ98</f>
        <v>175</v>
      </c>
      <c r="BA98" s="12">
        <f>两日求解价格与决策!BA98</f>
        <v>40</v>
      </c>
      <c r="BB98" s="12">
        <f>两日求解价格与决策!BB98</f>
        <v>24</v>
      </c>
      <c r="BC98" s="12">
        <f>两日求解价格与决策!BC98</f>
        <v>24</v>
      </c>
      <c r="BD98" s="14">
        <f>两日求解价格与决策!BD98</f>
        <v>46235</v>
      </c>
      <c r="BE98" s="1" t="str">
        <f>两日求解价格与决策!BE98</f>
        <v>60.000000 MW × 201.510000 × 0.250000 h = 3022.650000 EUR</v>
      </c>
      <c r="BF98" s="1" t="str">
        <f>两日求解价格与决策!BF98</f>
        <v>40.000000 MW × 66.224535 × 0.250000 h = 662.245345 EUR</v>
      </c>
      <c r="BG98" s="1" t="str">
        <f>两日求解价格与决策!BG98</f>
        <v>零头寸，无结算现金</v>
      </c>
      <c r="BH98" s="1" t="str">
        <f>两日求解价格与决策!BH98</f>
        <v>24.000000 MW × 2.593715 × 0.250000 h = 15.562289 EUR</v>
      </c>
      <c r="BI98" s="1" t="str">
        <f>两日求解价格与决策!BI98</f>
        <v>零上调激活电量</v>
      </c>
      <c r="BJ98" s="1" t="str">
        <f>两日求解价格与决策!BJ98</f>
        <v>−(0.079543 MWh × 72.405428) = -5.759335 EUR</v>
      </c>
      <c r="BK98" s="1" t="str">
        <f>两日求解价格与决策!BK98</f>
        <v>3022.650000 + 662.245345 + 0.000000 + 15.562289 + 0.000000 + -5.759335 = 3694.698300 EUR</v>
      </c>
    </row>
    <row r="99" spans="1:63" ht="21" customHeight="1" x14ac:dyDescent="0.45">
      <c r="A99" s="13">
        <f>两日求解价格与决策!A99</f>
        <v>46235.9375</v>
      </c>
      <c r="B99" s="15">
        <f>两日求解价格与决策!B99</f>
        <v>182.41</v>
      </c>
      <c r="C99" s="15">
        <f>两日求解价格与决策!C99</f>
        <v>66.224534522516336</v>
      </c>
      <c r="D99" s="15">
        <f>两日求解价格与决策!D99</f>
        <v>3.9143940693308936</v>
      </c>
      <c r="E99" s="15">
        <f>两日求解价格与决策!E99</f>
        <v>2.5937148628818627</v>
      </c>
      <c r="F99" s="15">
        <f>两日求解价格与决策!F99</f>
        <v>166.21653040611361</v>
      </c>
      <c r="G99" s="15">
        <f>两日求解价格与决策!G99</f>
        <v>76.919939778552788</v>
      </c>
      <c r="H99" s="15" t="str">
        <f>两日求解价格与决策!H99</f>
        <v>未模拟</v>
      </c>
      <c r="I99" s="16">
        <f>两日求解价格与决策!I99</f>
        <v>33.196043845962933</v>
      </c>
      <c r="J99" s="16">
        <f>两日求解价格与决策!J99</f>
        <v>33.289410703105787</v>
      </c>
      <c r="K99" s="16">
        <f>两日求解价格与决策!K99</f>
        <v>0</v>
      </c>
      <c r="L99" s="16">
        <f>两日求解价格与决策!L99</f>
        <v>40</v>
      </c>
      <c r="M99" s="16">
        <f>两日求解价格与决策!M99</f>
        <v>0</v>
      </c>
      <c r="N99" s="16">
        <f>两日求解价格与决策!N99</f>
        <v>24</v>
      </c>
      <c r="O99" s="16">
        <f>两日求解价格与决策!O99</f>
        <v>0</v>
      </c>
      <c r="P99" s="16">
        <f>两日求解价格与决策!P99</f>
        <v>0.10148571428571429</v>
      </c>
      <c r="Q99" s="17">
        <f>两日求解价格与决策!Q99</f>
        <v>0</v>
      </c>
      <c r="R99" s="17">
        <f>两日求解价格与决策!R99</f>
        <v>662.24534522516342</v>
      </c>
      <c r="S99" s="17">
        <f>两日求解价格与决策!S99</f>
        <v>0</v>
      </c>
      <c r="T99" s="17">
        <f>两日求解价格与决策!T99</f>
        <v>15.562289177291177</v>
      </c>
      <c r="U99" s="17">
        <f>两日求解价格与决策!U99</f>
        <v>0</v>
      </c>
      <c r="V99" s="17">
        <f>两日求解价格与决策!V99</f>
        <v>-7.806275031240558</v>
      </c>
      <c r="W99" s="17">
        <f>两日求解价格与决策!W99</f>
        <v>670.00135937121399</v>
      </c>
      <c r="X99" s="12">
        <f>两日求解价格与决策!X99</f>
        <v>670.00135937121399</v>
      </c>
      <c r="Y99" s="19">
        <f>两日求解价格与决策!Y99</f>
        <v>0</v>
      </c>
      <c r="Z99" s="12" t="str">
        <f t="shared" si="2"/>
        <v>正式执行</v>
      </c>
      <c r="AA99" s="12">
        <f>两日求解价格与决策!AA99</f>
        <v>1</v>
      </c>
      <c r="AB99" s="12">
        <f>两日求解价格与决策!AB99</f>
        <v>1</v>
      </c>
      <c r="AC99" s="12">
        <f>两日求解价格与决策!AC99</f>
        <v>0.25</v>
      </c>
      <c r="AD99" s="18">
        <f>两日求解价格与决策!AD99</f>
        <v>0.3125</v>
      </c>
      <c r="AE99" s="18">
        <f>两日求解价格与决策!AE99</f>
        <v>0.13714285714285715</v>
      </c>
      <c r="AF99" s="18">
        <f>两日求解价格与决策!AF99</f>
        <v>6.582857142857142E-3</v>
      </c>
      <c r="AG99" s="18">
        <f>两日求解价格与决策!AG99</f>
        <v>1.6914285714285715E-2</v>
      </c>
      <c r="AH99" s="12">
        <f>两日求解价格与决策!AH99</f>
        <v>175</v>
      </c>
      <c r="AI99" s="12">
        <f>两日求解价格与决策!AI99</f>
        <v>175</v>
      </c>
      <c r="AJ99" s="12">
        <f>两日求解价格与决策!AJ99</f>
        <v>0.28799999999999998</v>
      </c>
      <c r="AK99" s="12">
        <f>两日求解价格与决策!AK99</f>
        <v>0.74</v>
      </c>
      <c r="AL99" s="12">
        <f>两日求解价格与决策!AL99</f>
        <v>131.96799999999999</v>
      </c>
      <c r="AM99" s="12">
        <f>两日求解价格与决策!AM99</f>
        <v>2.5935238095238099E-4</v>
      </c>
      <c r="AN99" s="12">
        <f>两日求解价格与决策!AN99</f>
        <v>0.10148571428571429</v>
      </c>
      <c r="AO99" s="12">
        <f>两日求解价格与决策!AO99</f>
        <v>0</v>
      </c>
      <c r="AP99" s="12">
        <f>两日求解价格与决策!AP99</f>
        <v>33.289410703105808</v>
      </c>
      <c r="AQ99" s="19">
        <f>两日求解价格与决策!AQ99</f>
        <v>0</v>
      </c>
      <c r="AR99" s="12">
        <f>两日求解价格与决策!AR99</f>
        <v>5.2473000000000001</v>
      </c>
      <c r="AS99" s="14">
        <f>两日求解价格与决策!AS99</f>
        <v>46234</v>
      </c>
      <c r="AT99" s="13">
        <f>两日求解价格与决策!AT99</f>
        <v>46235.8125</v>
      </c>
      <c r="AU99" s="12" t="str">
        <f>两日求解价格与决策!AU99</f>
        <v>2026-08-01_87</v>
      </c>
      <c r="AV99" s="12">
        <f>两日求解价格与决策!AV99</f>
        <v>15</v>
      </c>
      <c r="AW99" s="12" t="str">
        <f>两日求解价格与决策!AW99</f>
        <v>OK</v>
      </c>
      <c r="AX99" s="12">
        <f>两日求解价格与决策!AX99</f>
        <v>128</v>
      </c>
      <c r="AY99" s="12">
        <f>两日求解价格与决策!AY99</f>
        <v>175</v>
      </c>
      <c r="AZ99" s="12">
        <f>两日求解价格与决策!AZ99</f>
        <v>175</v>
      </c>
      <c r="BA99" s="12">
        <f>两日求解价格与决策!BA99</f>
        <v>40</v>
      </c>
      <c r="BB99" s="12">
        <f>两日求解价格与决策!BB99</f>
        <v>24</v>
      </c>
      <c r="BC99" s="12">
        <f>两日求解价格与决策!BC99</f>
        <v>24</v>
      </c>
      <c r="BD99" s="14">
        <f>两日求解价格与决策!BD99</f>
        <v>46235</v>
      </c>
      <c r="BE99" s="1" t="str">
        <f>两日求解价格与决策!BE99</f>
        <v>零头寸，无结算现金</v>
      </c>
      <c r="BF99" s="1" t="str">
        <f>两日求解价格与决策!BF99</f>
        <v>40.000000 MW × 66.224535 × 0.250000 h = 662.245345 EUR</v>
      </c>
      <c r="BG99" s="1" t="str">
        <f>两日求解价格与决策!BG99</f>
        <v>零头寸，无结算现金</v>
      </c>
      <c r="BH99" s="1" t="str">
        <f>两日求解价格与决策!BH99</f>
        <v>24.000000 MW × 2.593715 × 0.250000 h = 15.562289 EUR</v>
      </c>
      <c r="BI99" s="1" t="str">
        <f>两日求解价格与决策!BI99</f>
        <v>零上调激活电量</v>
      </c>
      <c r="BJ99" s="1" t="str">
        <f>两日求解价格与决策!BJ99</f>
        <v>−(0.101486 MWh × 76.919940) = -7.806275 EUR</v>
      </c>
      <c r="BK99" s="1" t="str">
        <f>两日求解价格与决策!BK99</f>
        <v>0.000000 + 662.245345 + 0.000000 + 15.562289 + 0.000000 + -7.806275 = 670.001359 EUR</v>
      </c>
    </row>
    <row r="100" spans="1:63" ht="21" customHeight="1" x14ac:dyDescent="0.45">
      <c r="A100" s="13">
        <f>两日求解价格与决策!A100</f>
        <v>46235.947916666664</v>
      </c>
      <c r="B100" s="15">
        <f>两日求解价格与决策!B100</f>
        <v>173.85</v>
      </c>
      <c r="C100" s="15">
        <f>两日求解价格与决策!C100</f>
        <v>66.224534522516336</v>
      </c>
      <c r="D100" s="15">
        <f>两日求解价格与决策!D100</f>
        <v>3.9143940693308936</v>
      </c>
      <c r="E100" s="15">
        <f>两日求解价格与决策!E100</f>
        <v>2.5937148628818627</v>
      </c>
      <c r="F100" s="15">
        <f>两日求解价格与决策!F100</f>
        <v>164.99228174489738</v>
      </c>
      <c r="G100" s="15">
        <f>两日求解价格与决策!G100</f>
        <v>70.144645817849181</v>
      </c>
      <c r="H100" s="15" t="str">
        <f>两日求解价格与决策!H100</f>
        <v>未模拟</v>
      </c>
      <c r="I100" s="16">
        <f>两日求解价格与决策!I100</f>
        <v>33.289410703105787</v>
      </c>
      <c r="J100" s="16">
        <f>两日求解价格与决策!J100</f>
        <v>33.575567503105788</v>
      </c>
      <c r="K100" s="16">
        <f>两日求解价格与决策!K100</f>
        <v>0</v>
      </c>
      <c r="L100" s="16">
        <f>两日求解价格与决策!L100</f>
        <v>40</v>
      </c>
      <c r="M100" s="16">
        <f>两日求解价格与决策!M100</f>
        <v>0</v>
      </c>
      <c r="N100" s="16">
        <f>两日求解价格与决策!N100</f>
        <v>24</v>
      </c>
      <c r="O100" s="16">
        <f>两日求解价格与决策!O100</f>
        <v>0</v>
      </c>
      <c r="P100" s="16">
        <f>两日求解价格与决策!P100</f>
        <v>0.31103999999999998</v>
      </c>
      <c r="Q100" s="17">
        <f>两日求解价格与决策!Q100</f>
        <v>0</v>
      </c>
      <c r="R100" s="17">
        <f>两日求解价格与决策!R100</f>
        <v>662.24534522516342</v>
      </c>
      <c r="S100" s="17">
        <f>两日求解价格与决策!S100</f>
        <v>0</v>
      </c>
      <c r="T100" s="17">
        <f>两日求解价格与决策!T100</f>
        <v>15.562289177291177</v>
      </c>
      <c r="U100" s="17">
        <f>两日求解价格与决策!U100</f>
        <v>0</v>
      </c>
      <c r="V100" s="17">
        <f>两日求解价格与决策!V100</f>
        <v>-21.817790635183808</v>
      </c>
      <c r="W100" s="17">
        <f>两日求解价格与决策!W100</f>
        <v>655.98984376727083</v>
      </c>
      <c r="X100" s="12">
        <f>两日求解价格与决策!X100</f>
        <v>655.98984376727083</v>
      </c>
      <c r="Y100" s="19">
        <f>两日求解价格与决策!Y100</f>
        <v>0</v>
      </c>
      <c r="Z100" s="12" t="str">
        <f t="shared" si="2"/>
        <v>正式执行</v>
      </c>
      <c r="AA100" s="12">
        <f>两日求解价格与决策!AA100</f>
        <v>1</v>
      </c>
      <c r="AB100" s="12">
        <f>两日求解价格与决策!AB100</f>
        <v>1</v>
      </c>
      <c r="AC100" s="12">
        <f>两日求解价格与决策!AC100</f>
        <v>0.25</v>
      </c>
      <c r="AD100" s="18">
        <f>两日求解价格与决策!AD100</f>
        <v>0.3125</v>
      </c>
      <c r="AE100" s="18">
        <f>两日求解价格与决策!AE100</f>
        <v>0.13714285714285715</v>
      </c>
      <c r="AF100" s="18">
        <f>两日求解价格与决策!AF100</f>
        <v>6.4000000000000003E-3</v>
      </c>
      <c r="AG100" s="18">
        <f>两日求解价格与决策!AG100</f>
        <v>5.1839999999999997E-2</v>
      </c>
      <c r="AH100" s="12">
        <f>两日求解价格与决策!AH100</f>
        <v>175</v>
      </c>
      <c r="AI100" s="12">
        <f>两日求解价格与决策!AI100</f>
        <v>175</v>
      </c>
      <c r="AJ100" s="12">
        <f>两日求解价格与决策!AJ100</f>
        <v>0.28000000000000003</v>
      </c>
      <c r="AK100" s="12">
        <f>两日求解价格与决策!AK100</f>
        <v>2.2679999999999998</v>
      </c>
      <c r="AL100" s="12">
        <f>两日求解价格与决策!AL100</f>
        <v>131.96799999999999</v>
      </c>
      <c r="AM100" s="12">
        <f>两日求解价格与决策!AM100</f>
        <v>7.9487999999999998E-4</v>
      </c>
      <c r="AN100" s="12">
        <f>两日求解价格与决策!AN100</f>
        <v>0.31103999999999998</v>
      </c>
      <c r="AO100" s="12">
        <f>两日求解价格与决策!AO100</f>
        <v>0</v>
      </c>
      <c r="AP100" s="12">
        <f>两日求解价格与决策!AP100</f>
        <v>33.575567503105809</v>
      </c>
      <c r="AQ100" s="19">
        <f>两日求解价格与决策!AQ100</f>
        <v>0</v>
      </c>
      <c r="AR100" s="12">
        <f>两日求解价格与决策!AR100</f>
        <v>5.2473000000000001</v>
      </c>
      <c r="AS100" s="14">
        <f>两日求解价格与决策!AS100</f>
        <v>46234</v>
      </c>
      <c r="AT100" s="13">
        <f>两日求解价格与决策!AT100</f>
        <v>46235.822916666664</v>
      </c>
      <c r="AU100" s="12" t="str">
        <f>两日求解价格与决策!AU100</f>
        <v>2026-08-01_88</v>
      </c>
      <c r="AV100" s="12">
        <f>两日求解价格与决策!AV100</f>
        <v>15</v>
      </c>
      <c r="AW100" s="12" t="str">
        <f>两日求解价格与决策!AW100</f>
        <v>OK</v>
      </c>
      <c r="AX100" s="12">
        <f>两日求解价格与决策!AX100</f>
        <v>128</v>
      </c>
      <c r="AY100" s="12">
        <f>两日求解价格与决策!AY100</f>
        <v>175</v>
      </c>
      <c r="AZ100" s="12">
        <f>两日求解价格与决策!AZ100</f>
        <v>175</v>
      </c>
      <c r="BA100" s="12">
        <f>两日求解价格与决策!BA100</f>
        <v>40</v>
      </c>
      <c r="BB100" s="12">
        <f>两日求解价格与决策!BB100</f>
        <v>24</v>
      </c>
      <c r="BC100" s="12">
        <f>两日求解价格与决策!BC100</f>
        <v>24</v>
      </c>
      <c r="BD100" s="14">
        <f>两日求解价格与决策!BD100</f>
        <v>46235</v>
      </c>
      <c r="BE100" s="1" t="str">
        <f>两日求解价格与决策!BE100</f>
        <v>零头寸，无结算现金</v>
      </c>
      <c r="BF100" s="1" t="str">
        <f>两日求解价格与决策!BF100</f>
        <v>40.000000 MW × 66.224535 × 0.250000 h = 662.245345 EUR</v>
      </c>
      <c r="BG100" s="1" t="str">
        <f>两日求解价格与决策!BG100</f>
        <v>零头寸，无结算现金</v>
      </c>
      <c r="BH100" s="1" t="str">
        <f>两日求解价格与决策!BH100</f>
        <v>24.000000 MW × 2.593715 × 0.250000 h = 15.562289 EUR</v>
      </c>
      <c r="BI100" s="1" t="str">
        <f>两日求解价格与决策!BI100</f>
        <v>零上调激活电量</v>
      </c>
      <c r="BJ100" s="1" t="str">
        <f>两日求解价格与决策!BJ100</f>
        <v>−(0.311040 MWh × 70.144646) = -21.817791 EUR</v>
      </c>
      <c r="BK100" s="1" t="str">
        <f>两日求解价格与决策!BK100</f>
        <v>0.000000 + 662.245345 + 0.000000 + 15.562289 + 0.000000 + -21.817791 = 655.989844 EUR</v>
      </c>
    </row>
    <row r="101" spans="1:63" ht="21" customHeight="1" x14ac:dyDescent="0.45">
      <c r="A101" s="13">
        <f>两日求解价格与决策!A101</f>
        <v>46235.958333333336</v>
      </c>
      <c r="B101" s="15">
        <f>两日求解价格与决策!B101</f>
        <v>190.2</v>
      </c>
      <c r="C101" s="15">
        <f>两日求解价格与决策!C101</f>
        <v>66.224534522516336</v>
      </c>
      <c r="D101" s="15">
        <f>两日求解价格与决策!D101</f>
        <v>7.1274750824233415</v>
      </c>
      <c r="E101" s="15">
        <f>两日求解价格与决策!E101</f>
        <v>2.5937148628818627</v>
      </c>
      <c r="F101" s="15">
        <f>两日求解价格与决策!F101</f>
        <v>168.49751300668916</v>
      </c>
      <c r="G101" s="15">
        <f>两日求解价格与决策!G101</f>
        <v>74.32546261887066</v>
      </c>
      <c r="H101" s="15" t="str">
        <f>两日求解价格与决策!H101</f>
        <v>未模拟</v>
      </c>
      <c r="I101" s="16">
        <f>两日求解价格与决策!I101</f>
        <v>33.575567503105788</v>
      </c>
      <c r="J101" s="16">
        <f>两日求解价格与决策!J101</f>
        <v>33.513692462112004</v>
      </c>
      <c r="K101" s="16">
        <f>两日求解价格与决策!K101</f>
        <v>0</v>
      </c>
      <c r="L101" s="16">
        <f>两日求解价格与决策!L101</f>
        <v>40</v>
      </c>
      <c r="M101" s="16">
        <f>两日求解价格与决策!M101</f>
        <v>24</v>
      </c>
      <c r="N101" s="16">
        <f>两日求解价格与决策!N101</f>
        <v>24</v>
      </c>
      <c r="O101" s="16">
        <f>两日求解价格与决策!O101</f>
        <v>0.12877714285714284</v>
      </c>
      <c r="P101" s="16">
        <f>两日求解价格与决策!P101</f>
        <v>8.4891428571428576E-2</v>
      </c>
      <c r="Q101" s="17">
        <f>两日求解价格与决策!Q101</f>
        <v>0</v>
      </c>
      <c r="R101" s="17">
        <f>两日求解价格与决策!R101</f>
        <v>662.24534522516342</v>
      </c>
      <c r="S101" s="17">
        <f>两日求解价格与决策!S101</f>
        <v>42.764850494540049</v>
      </c>
      <c r="T101" s="17">
        <f>两日求解价格与决策!T101</f>
        <v>15.562289177291177</v>
      </c>
      <c r="U101" s="17">
        <f>两日求解价格与决策!U101</f>
        <v>21.698628303535695</v>
      </c>
      <c r="V101" s="17">
        <f>两日求解价格与决策!V101</f>
        <v>-6.3095947009482432</v>
      </c>
      <c r="W101" s="17">
        <f>两日求解价格与决策!W101</f>
        <v>735.9615184995821</v>
      </c>
      <c r="X101" s="12">
        <f>两日求解价格与决策!X101</f>
        <v>735.9615184995821</v>
      </c>
      <c r="Y101" s="19">
        <f>两日求解价格与决策!Y101</f>
        <v>0</v>
      </c>
      <c r="Z101" s="12" t="str">
        <f t="shared" si="2"/>
        <v>正式执行</v>
      </c>
      <c r="AA101" s="12">
        <f>两日求解价格与决策!AA101</f>
        <v>1</v>
      </c>
      <c r="AB101" s="12">
        <f>两日求解价格与决策!AB101</f>
        <v>1</v>
      </c>
      <c r="AC101" s="12">
        <f>两日求解价格与决策!AC101</f>
        <v>0.25</v>
      </c>
      <c r="AD101" s="18">
        <f>两日求解价格与决策!AD101</f>
        <v>0.3125</v>
      </c>
      <c r="AE101" s="18">
        <f>两日求解价格与决策!AE101</f>
        <v>0.13714285714285715</v>
      </c>
      <c r="AF101" s="18">
        <f>两日求解价格与决策!AF101</f>
        <v>2.1462857142857141E-2</v>
      </c>
      <c r="AG101" s="18">
        <f>两日求解价格与决策!AG101</f>
        <v>1.4148571428571429E-2</v>
      </c>
      <c r="AH101" s="12">
        <f>两日求解价格与决策!AH101</f>
        <v>175</v>
      </c>
      <c r="AI101" s="12">
        <f>两日求解价格与决策!AI101</f>
        <v>175</v>
      </c>
      <c r="AJ101" s="12">
        <f>两日求解价格与决策!AJ101</f>
        <v>0.93899999999999995</v>
      </c>
      <c r="AK101" s="12">
        <f>两日求解价格与决策!AK101</f>
        <v>0.61899999999999999</v>
      </c>
      <c r="AL101" s="12">
        <f>两日求解价格与决策!AL101</f>
        <v>131.96799999999999</v>
      </c>
      <c r="AM101" s="12">
        <f>两日求解价格与决策!AM101</f>
        <v>6.0576463768115935E-4</v>
      </c>
      <c r="AN101" s="12">
        <f>两日求解价格与决策!AN101</f>
        <v>8.4891428571428576E-2</v>
      </c>
      <c r="AO101" s="12">
        <f>两日求解价格与决策!AO101</f>
        <v>0.12877714285714284</v>
      </c>
      <c r="AP101" s="12">
        <f>两日求解价格与决策!AP101</f>
        <v>33.513692462112026</v>
      </c>
      <c r="AQ101" s="19">
        <f>两日求解价格与决策!AQ101</f>
        <v>0</v>
      </c>
      <c r="AR101" s="12">
        <f>两日求解价格与决策!AR101</f>
        <v>5.2473000000000001</v>
      </c>
      <c r="AS101" s="14">
        <f>两日求解价格与决策!AS101</f>
        <v>46234</v>
      </c>
      <c r="AT101" s="13">
        <f>两日求解价格与决策!AT101</f>
        <v>46235.833333333336</v>
      </c>
      <c r="AU101" s="12" t="str">
        <f>两日求解价格与决策!AU101</f>
        <v>2026-08-01_89</v>
      </c>
      <c r="AV101" s="12">
        <f>两日求解价格与决策!AV101</f>
        <v>15</v>
      </c>
      <c r="AW101" s="12" t="str">
        <f>两日求解价格与决策!AW101</f>
        <v>OK</v>
      </c>
      <c r="AX101" s="12">
        <f>两日求解价格与决策!AX101</f>
        <v>128</v>
      </c>
      <c r="AY101" s="12">
        <f>两日求解价格与决策!AY101</f>
        <v>175</v>
      </c>
      <c r="AZ101" s="12">
        <f>两日求解价格与决策!AZ101</f>
        <v>175</v>
      </c>
      <c r="BA101" s="12">
        <f>两日求解价格与决策!BA101</f>
        <v>40</v>
      </c>
      <c r="BB101" s="12">
        <f>两日求解价格与决策!BB101</f>
        <v>24</v>
      </c>
      <c r="BC101" s="12">
        <f>两日求解价格与决策!BC101</f>
        <v>24</v>
      </c>
      <c r="BD101" s="14">
        <f>两日求解价格与决策!BD101</f>
        <v>46235</v>
      </c>
      <c r="BE101" s="1" t="str">
        <f>两日求解价格与决策!BE101</f>
        <v>零头寸，无结算现金</v>
      </c>
      <c r="BF101" s="1" t="str">
        <f>两日求解价格与决策!BF101</f>
        <v>40.000000 MW × 66.224535 × 0.250000 h = 662.245345 EUR</v>
      </c>
      <c r="BG101" s="1" t="str">
        <f>两日求解价格与决策!BG101</f>
        <v>24.000000 MW × 7.127475 × 0.250000 h = 42.764850 EUR</v>
      </c>
      <c r="BH101" s="1" t="str">
        <f>两日求解价格与决策!BH101</f>
        <v>24.000000 MW × 2.593715 × 0.250000 h = 15.562289 EUR</v>
      </c>
      <c r="BI101" s="1" t="str">
        <f>两日求解价格与决策!BI101</f>
        <v>0.128777 MWh × 168.497513 = 21.698628 EUR</v>
      </c>
      <c r="BJ101" s="1" t="str">
        <f>两日求解价格与决策!BJ101</f>
        <v>−(0.084891 MWh × 74.325463) = -6.309595 EUR</v>
      </c>
      <c r="BK101" s="1" t="str">
        <f>两日求解价格与决策!BK101</f>
        <v>0.000000 + 662.245345 + 42.764850 + 15.562289 + 21.698628 + -6.309595 = 735.961518 EUR</v>
      </c>
    </row>
    <row r="102" spans="1:63" ht="21" customHeight="1" x14ac:dyDescent="0.45">
      <c r="A102" s="13">
        <f>两日求解价格与决策!A102</f>
        <v>46235.96875</v>
      </c>
      <c r="B102" s="15">
        <f>两日求解价格与决策!B102</f>
        <v>179.69</v>
      </c>
      <c r="C102" s="15">
        <f>两日求解价格与决策!C102</f>
        <v>66.224534522516336</v>
      </c>
      <c r="D102" s="15">
        <f>两日求解价格与决策!D102</f>
        <v>7.1274750824233415</v>
      </c>
      <c r="E102" s="15">
        <f>两日求解价格与决策!E102</f>
        <v>2.5937148628818627</v>
      </c>
      <c r="F102" s="15">
        <f>两日求解价格与决策!F102</f>
        <v>206.42520915518455</v>
      </c>
      <c r="G102" s="15">
        <f>两日求解价格与决策!G102</f>
        <v>0</v>
      </c>
      <c r="H102" s="15" t="str">
        <f>两日求解价格与决策!H102</f>
        <v>未模拟</v>
      </c>
      <c r="I102" s="16">
        <f>两日求解价格与决策!I102</f>
        <v>33.513692462112004</v>
      </c>
      <c r="J102" s="16">
        <f>两日求解价格与决策!J102</f>
        <v>32.845568238509522</v>
      </c>
      <c r="K102" s="16">
        <f>两日求解价格与决策!K102</f>
        <v>0</v>
      </c>
      <c r="L102" s="16">
        <f>两日求解价格与决策!L102</f>
        <v>40</v>
      </c>
      <c r="M102" s="16">
        <f>两日求解价格与决策!M102</f>
        <v>24</v>
      </c>
      <c r="N102" s="16">
        <f>两日求解价格与决策!N102</f>
        <v>24</v>
      </c>
      <c r="O102" s="16">
        <f>两日求解价格与决策!O102</f>
        <v>0.61467428571428573</v>
      </c>
      <c r="P102" s="16">
        <f>两日求解价格与决策!P102</f>
        <v>0</v>
      </c>
      <c r="Q102" s="17">
        <f>两日求解价格与决策!Q102</f>
        <v>0</v>
      </c>
      <c r="R102" s="17">
        <f>两日求解价格与决策!R102</f>
        <v>662.24534522516342</v>
      </c>
      <c r="S102" s="17">
        <f>两日求解价格与决策!S102</f>
        <v>42.764850494540049</v>
      </c>
      <c r="T102" s="17">
        <f>两日求解价格与决策!T102</f>
        <v>15.562289177291177</v>
      </c>
      <c r="U102" s="17">
        <f>两日求解价格与决策!U102</f>
        <v>126.88426799088509</v>
      </c>
      <c r="V102" s="17">
        <f>两日求解价格与决策!V102</f>
        <v>0</v>
      </c>
      <c r="W102" s="17">
        <f>两日求解价格与决策!W102</f>
        <v>847.4567528878797</v>
      </c>
      <c r="X102" s="12">
        <f>两日求解价格与决策!X102</f>
        <v>847.4567528878797</v>
      </c>
      <c r="Y102" s="19">
        <f>两日求解价格与决策!Y102</f>
        <v>0</v>
      </c>
      <c r="Z102" s="12" t="str">
        <f t="shared" si="2"/>
        <v>正式执行</v>
      </c>
      <c r="AA102" s="12">
        <f>两日求解价格与决策!AA102</f>
        <v>1</v>
      </c>
      <c r="AB102" s="12">
        <f>两日求解价格与决策!AB102</f>
        <v>1</v>
      </c>
      <c r="AC102" s="12">
        <f>两日求解价格与决策!AC102</f>
        <v>0.25</v>
      </c>
      <c r="AD102" s="18">
        <f>两日求解价格与决策!AD102</f>
        <v>0.3125</v>
      </c>
      <c r="AE102" s="18">
        <f>两日求解价格与决策!AE102</f>
        <v>0.13714285714285715</v>
      </c>
      <c r="AF102" s="18">
        <f>两日求解价格与决策!AF102</f>
        <v>0.10244571428571429</v>
      </c>
      <c r="AG102" s="18">
        <f>两日求解价格与决策!AG102</f>
        <v>0</v>
      </c>
      <c r="AH102" s="12">
        <f>两日求解价格与决策!AH102</f>
        <v>175</v>
      </c>
      <c r="AI102" s="12">
        <f>两日求解价格与决策!AI102</f>
        <v>175</v>
      </c>
      <c r="AJ102" s="12">
        <f>两日求解价格与决策!AJ102</f>
        <v>4.4820000000000002</v>
      </c>
      <c r="AK102" s="12">
        <f>两日求解价格与决策!AK102</f>
        <v>0</v>
      </c>
      <c r="AL102" s="12">
        <f>两日求解价格与决策!AL102</f>
        <v>131.96799999999999</v>
      </c>
      <c r="AM102" s="12">
        <f>两日求解价格与决策!AM102</f>
        <v>1.8559006211180124E-3</v>
      </c>
      <c r="AN102" s="12">
        <f>两日求解价格与决策!AN102</f>
        <v>0</v>
      </c>
      <c r="AO102" s="12">
        <f>两日求解价格与决策!AO102</f>
        <v>0.61467428571428573</v>
      </c>
      <c r="AP102" s="12">
        <f>两日求解价格与决策!AP102</f>
        <v>32.845568238509543</v>
      </c>
      <c r="AQ102" s="19">
        <f>两日求解价格与决策!AQ102</f>
        <v>0</v>
      </c>
      <c r="AR102" s="12">
        <f>两日求解价格与决策!AR102</f>
        <v>5.2473000000000001</v>
      </c>
      <c r="AS102" s="14">
        <f>两日求解价格与决策!AS102</f>
        <v>46234</v>
      </c>
      <c r="AT102" s="13">
        <f>两日求解价格与决策!AT102</f>
        <v>46235.84375</v>
      </c>
      <c r="AU102" s="12" t="str">
        <f>两日求解价格与决策!AU102</f>
        <v>2026-08-01_90</v>
      </c>
      <c r="AV102" s="12">
        <f>两日求解价格与决策!AV102</f>
        <v>15</v>
      </c>
      <c r="AW102" s="12" t="str">
        <f>两日求解价格与决策!AW102</f>
        <v>OK</v>
      </c>
      <c r="AX102" s="12">
        <f>两日求解价格与决策!AX102</f>
        <v>128</v>
      </c>
      <c r="AY102" s="12">
        <f>两日求解价格与决策!AY102</f>
        <v>175</v>
      </c>
      <c r="AZ102" s="12">
        <f>两日求解价格与决策!AZ102</f>
        <v>175</v>
      </c>
      <c r="BA102" s="12">
        <f>两日求解价格与决策!BA102</f>
        <v>40</v>
      </c>
      <c r="BB102" s="12">
        <f>两日求解价格与决策!BB102</f>
        <v>24</v>
      </c>
      <c r="BC102" s="12">
        <f>两日求解价格与决策!BC102</f>
        <v>24</v>
      </c>
      <c r="BD102" s="14">
        <f>两日求解价格与决策!BD102</f>
        <v>46235</v>
      </c>
      <c r="BE102" s="1" t="str">
        <f>两日求解价格与决策!BE102</f>
        <v>零头寸，无结算现金</v>
      </c>
      <c r="BF102" s="1" t="str">
        <f>两日求解价格与决策!BF102</f>
        <v>40.000000 MW × 66.224535 × 0.250000 h = 662.245345 EUR</v>
      </c>
      <c r="BG102" s="1" t="str">
        <f>两日求解价格与决策!BG102</f>
        <v>24.000000 MW × 7.127475 × 0.250000 h = 42.764850 EUR</v>
      </c>
      <c r="BH102" s="1" t="str">
        <f>两日求解价格与决策!BH102</f>
        <v>24.000000 MW × 2.593715 × 0.250000 h = 15.562289 EUR</v>
      </c>
      <c r="BI102" s="1" t="str">
        <f>两日求解价格与决策!BI102</f>
        <v>0.614674 MWh × 206.425209 = 126.884268 EUR</v>
      </c>
      <c r="BJ102" s="1" t="str">
        <f>两日求解价格与决策!BJ102</f>
        <v>零下调激活电量</v>
      </c>
      <c r="BK102" s="1" t="str">
        <f>两日求解价格与决策!BK102</f>
        <v>0.000000 + 662.245345 + 42.764850 + 15.562289 + 126.884268 + 0.000000 = 847.456753 EUR</v>
      </c>
    </row>
    <row r="103" spans="1:63" ht="21" customHeight="1" x14ac:dyDescent="0.45">
      <c r="A103" s="13">
        <f>两日求解价格与决策!A103</f>
        <v>46235.979166666664</v>
      </c>
      <c r="B103" s="15">
        <f>两日求解价格与决策!B103</f>
        <v>175.2</v>
      </c>
      <c r="C103" s="15">
        <f>两日求解价格与决策!C103</f>
        <v>66.224534522516336</v>
      </c>
      <c r="D103" s="15">
        <f>两日求解价格与决策!D103</f>
        <v>7.1274750824233415</v>
      </c>
      <c r="E103" s="15">
        <f>两日求解价格与决策!E103</f>
        <v>2.5937148628818627</v>
      </c>
      <c r="F103" s="15">
        <f>两日求解价格与决策!F103</f>
        <v>211.47980866350315</v>
      </c>
      <c r="G103" s="15">
        <f>两日求解价格与决策!G103</f>
        <v>0</v>
      </c>
      <c r="H103" s="15" t="str">
        <f>两日求解价格与决策!H103</f>
        <v>未模拟</v>
      </c>
      <c r="I103" s="16">
        <f>两日求解价格与决策!I103</f>
        <v>32.845568238509522</v>
      </c>
      <c r="J103" s="16">
        <f>两日求解价格与决策!J103</f>
        <v>32.04238811428592</v>
      </c>
      <c r="K103" s="16">
        <f>两日求解价格与决策!K103</f>
        <v>0</v>
      </c>
      <c r="L103" s="16">
        <f>两日求解价格与决策!L103</f>
        <v>40</v>
      </c>
      <c r="M103" s="16">
        <f>两日求解价格与决策!M103</f>
        <v>24</v>
      </c>
      <c r="N103" s="16">
        <f>两日求解价格与决策!N103</f>
        <v>24</v>
      </c>
      <c r="O103" s="16">
        <f>两日求解价格与决策!O103</f>
        <v>0.7389257142857143</v>
      </c>
      <c r="P103" s="16">
        <f>两日求解价格与决策!P103</f>
        <v>0</v>
      </c>
      <c r="Q103" s="17">
        <f>两日求解价格与决策!Q103</f>
        <v>0</v>
      </c>
      <c r="R103" s="17">
        <f>两日求解价格与决策!R103</f>
        <v>662.24534522516342</v>
      </c>
      <c r="S103" s="17">
        <f>两日求解价格与决策!S103</f>
        <v>42.764850494540049</v>
      </c>
      <c r="T103" s="17">
        <f>两日求解价格与决策!T103</f>
        <v>15.562289177291177</v>
      </c>
      <c r="U103" s="17">
        <f>两日求解价格与决策!U103</f>
        <v>156.26786867368526</v>
      </c>
      <c r="V103" s="17">
        <f>两日求解价格与决策!V103</f>
        <v>0</v>
      </c>
      <c r="W103" s="17">
        <f>两日求解价格与决策!W103</f>
        <v>876.84035357067989</v>
      </c>
      <c r="X103" s="12">
        <f>两日求解价格与决策!X103</f>
        <v>876.84035357067989</v>
      </c>
      <c r="Y103" s="19">
        <f>两日求解价格与决策!Y103</f>
        <v>0</v>
      </c>
      <c r="Z103" s="12" t="str">
        <f t="shared" si="2"/>
        <v>正式执行</v>
      </c>
      <c r="AA103" s="12">
        <f>两日求解价格与决策!AA103</f>
        <v>1</v>
      </c>
      <c r="AB103" s="12">
        <f>两日求解价格与决策!AB103</f>
        <v>1</v>
      </c>
      <c r="AC103" s="12">
        <f>两日求解价格与决策!AC103</f>
        <v>0.25</v>
      </c>
      <c r="AD103" s="18">
        <f>两日求解价格与决策!AD103</f>
        <v>0.3125</v>
      </c>
      <c r="AE103" s="18">
        <f>两日求解价格与决策!AE103</f>
        <v>0.13714285714285715</v>
      </c>
      <c r="AF103" s="18">
        <f>两日求解价格与决策!AF103</f>
        <v>0.12315428571428572</v>
      </c>
      <c r="AG103" s="18">
        <f>两日求解价格与决策!AG103</f>
        <v>0</v>
      </c>
      <c r="AH103" s="12">
        <f>两日求解价格与决策!AH103</f>
        <v>175</v>
      </c>
      <c r="AI103" s="12">
        <f>两日求解价格与决策!AI103</f>
        <v>175</v>
      </c>
      <c r="AJ103" s="12">
        <f>两日求解价格与决策!AJ103</f>
        <v>5.3879999999999999</v>
      </c>
      <c r="AK103" s="12">
        <f>两日求解价格与决策!AK103</f>
        <v>0</v>
      </c>
      <c r="AL103" s="12">
        <f>两日求解价格与决策!AL103</f>
        <v>131.96799999999999</v>
      </c>
      <c r="AM103" s="12">
        <f>两日求解价格与决策!AM103</f>
        <v>2.2310559006211176E-3</v>
      </c>
      <c r="AN103" s="12">
        <f>两日求解价格与决策!AN103</f>
        <v>0</v>
      </c>
      <c r="AO103" s="12">
        <f>两日求解价格与决策!AO103</f>
        <v>0.7389257142857143</v>
      </c>
      <c r="AP103" s="12">
        <f>两日求解价格与决策!AP103</f>
        <v>32.042388114285941</v>
      </c>
      <c r="AQ103" s="19">
        <f>两日求解价格与决策!AQ103</f>
        <v>0</v>
      </c>
      <c r="AR103" s="12">
        <f>两日求解价格与决策!AR103</f>
        <v>5.2473000000000001</v>
      </c>
      <c r="AS103" s="14">
        <f>两日求解价格与决策!AS103</f>
        <v>46234</v>
      </c>
      <c r="AT103" s="13">
        <f>两日求解价格与决策!AT103</f>
        <v>46235.854166666664</v>
      </c>
      <c r="AU103" s="12" t="str">
        <f>两日求解价格与决策!AU103</f>
        <v>2026-08-01_91</v>
      </c>
      <c r="AV103" s="12">
        <f>两日求解价格与决策!AV103</f>
        <v>15</v>
      </c>
      <c r="AW103" s="12" t="str">
        <f>两日求解价格与决策!AW103</f>
        <v>OK</v>
      </c>
      <c r="AX103" s="12">
        <f>两日求解价格与决策!AX103</f>
        <v>128</v>
      </c>
      <c r="AY103" s="12">
        <f>两日求解价格与决策!AY103</f>
        <v>175</v>
      </c>
      <c r="AZ103" s="12">
        <f>两日求解价格与决策!AZ103</f>
        <v>175</v>
      </c>
      <c r="BA103" s="12">
        <f>两日求解价格与决策!BA103</f>
        <v>40</v>
      </c>
      <c r="BB103" s="12">
        <f>两日求解价格与决策!BB103</f>
        <v>24</v>
      </c>
      <c r="BC103" s="12">
        <f>两日求解价格与决策!BC103</f>
        <v>24</v>
      </c>
      <c r="BD103" s="14">
        <f>两日求解价格与决策!BD103</f>
        <v>46235</v>
      </c>
      <c r="BE103" s="1" t="str">
        <f>两日求解价格与决策!BE103</f>
        <v>零头寸，无结算现金</v>
      </c>
      <c r="BF103" s="1" t="str">
        <f>两日求解价格与决策!BF103</f>
        <v>40.000000 MW × 66.224535 × 0.250000 h = 662.245345 EUR</v>
      </c>
      <c r="BG103" s="1" t="str">
        <f>两日求解价格与决策!BG103</f>
        <v>24.000000 MW × 7.127475 × 0.250000 h = 42.764850 EUR</v>
      </c>
      <c r="BH103" s="1" t="str">
        <f>两日求解价格与决策!BH103</f>
        <v>24.000000 MW × 2.593715 × 0.250000 h = 15.562289 EUR</v>
      </c>
      <c r="BI103" s="1" t="str">
        <f>两日求解价格与决策!BI103</f>
        <v>0.738926 MWh × 211.479809 = 156.267869 EUR</v>
      </c>
      <c r="BJ103" s="1" t="str">
        <f>两日求解价格与决策!BJ103</f>
        <v>零下调激活电量</v>
      </c>
      <c r="BK103" s="1" t="str">
        <f>两日求解价格与决策!BK103</f>
        <v>0.000000 + 662.245345 + 42.764850 + 15.562289 + 156.267869 + 0.000000 = 876.840354 EUR</v>
      </c>
    </row>
    <row r="104" spans="1:63" ht="21" customHeight="1" x14ac:dyDescent="0.45">
      <c r="A104" s="13">
        <f>两日求解价格与决策!A104</f>
        <v>46235.989583333336</v>
      </c>
      <c r="B104" s="15">
        <f>两日求解价格与决策!B104</f>
        <v>169.1</v>
      </c>
      <c r="C104" s="15">
        <f>两日求解价格与决策!C104</f>
        <v>66.224534522516336</v>
      </c>
      <c r="D104" s="15">
        <f>两日求解价格与决策!D104</f>
        <v>7.1274750824233415</v>
      </c>
      <c r="E104" s="15">
        <f>两日求解价格与决策!E104</f>
        <v>2.5937148628818627</v>
      </c>
      <c r="F104" s="15">
        <f>两日求解价格与决策!F104</f>
        <v>198.77746650658435</v>
      </c>
      <c r="G104" s="15">
        <f>两日求解价格与决策!G104</f>
        <v>77.182551026242066</v>
      </c>
      <c r="H104" s="15" t="str">
        <f>两日求解价格与决策!H104</f>
        <v>未模拟</v>
      </c>
      <c r="I104" s="16">
        <f>两日求解价格与决策!I104</f>
        <v>32.04238811428592</v>
      </c>
      <c r="J104" s="16">
        <f>两日求解价格与决策!J104</f>
        <v>31.739130434782815</v>
      </c>
      <c r="K104" s="16">
        <f>两日求解价格与决策!K104</f>
        <v>0</v>
      </c>
      <c r="L104" s="16">
        <f>两日求解价格与决策!L104</f>
        <v>40</v>
      </c>
      <c r="M104" s="16">
        <f>两日求解价格与决策!M104</f>
        <v>24</v>
      </c>
      <c r="N104" s="16">
        <f>两日求解价格与决策!N104</f>
        <v>24</v>
      </c>
      <c r="O104" s="16">
        <f>两日求解价格与决策!O104</f>
        <v>0.29362285714285719</v>
      </c>
      <c r="P104" s="16">
        <f>两日求解价格与决策!P104</f>
        <v>1.728E-2</v>
      </c>
      <c r="Q104" s="17">
        <f>两日求解价格与决策!Q104</f>
        <v>0</v>
      </c>
      <c r="R104" s="17">
        <f>两日求解价格与决策!R104</f>
        <v>662.24534522516342</v>
      </c>
      <c r="S104" s="17">
        <f>两日求解价格与决策!S104</f>
        <v>42.764850494540049</v>
      </c>
      <c r="T104" s="17">
        <f>两日求解价格与决策!T104</f>
        <v>15.562289177291177</v>
      </c>
      <c r="U104" s="17">
        <f>两日求解价格与决策!U104</f>
        <v>58.365607651281891</v>
      </c>
      <c r="V104" s="17">
        <f>两日求解价格与决策!V104</f>
        <v>-1.333714481733463</v>
      </c>
      <c r="W104" s="17">
        <f>两日求解价格与决策!W104</f>
        <v>777.60437806654306</v>
      </c>
      <c r="X104" s="12">
        <f>两日求解价格与决策!X104</f>
        <v>777.60437806654306</v>
      </c>
      <c r="Y104" s="19">
        <f>两日求解价格与决策!Y104</f>
        <v>0</v>
      </c>
      <c r="Z104" s="12" t="str">
        <f t="shared" si="2"/>
        <v>正式执行</v>
      </c>
      <c r="AA104" s="12">
        <f>两日求解价格与决策!AA104</f>
        <v>1</v>
      </c>
      <c r="AB104" s="12">
        <f>两日求解价格与决策!AB104</f>
        <v>1</v>
      </c>
      <c r="AC104" s="12">
        <f>两日求解价格与决策!AC104</f>
        <v>0.25</v>
      </c>
      <c r="AD104" s="18">
        <f>两日求解价格与决策!AD104</f>
        <v>0.3125</v>
      </c>
      <c r="AE104" s="18">
        <f>两日求解价格与决策!AE104</f>
        <v>0.13714285714285715</v>
      </c>
      <c r="AF104" s="18">
        <f>两日求解价格与决策!AF104</f>
        <v>4.893714285714286E-2</v>
      </c>
      <c r="AG104" s="18">
        <f>两日求解价格与决策!AG104</f>
        <v>2.8800000000000002E-3</v>
      </c>
      <c r="AH104" s="12">
        <f>两日求解价格与决策!AH104</f>
        <v>175</v>
      </c>
      <c r="AI104" s="12">
        <f>两日求解价格与决策!AI104</f>
        <v>175</v>
      </c>
      <c r="AJ104" s="12">
        <f>两日求解价格与决策!AJ104</f>
        <v>2.141</v>
      </c>
      <c r="AK104" s="12">
        <f>两日求解价格与决策!AK104</f>
        <v>0.126</v>
      </c>
      <c r="AL104" s="12">
        <f>两日求解价格与决策!AL104</f>
        <v>131.96799999999999</v>
      </c>
      <c r="AM104" s="12">
        <f>两日求解价格与决策!AM104</f>
        <v>9.3070244306418218E-4</v>
      </c>
      <c r="AN104" s="12">
        <f>两日求解价格与决策!AN104</f>
        <v>1.728E-2</v>
      </c>
      <c r="AO104" s="12">
        <f>两日求解价格与决策!AO104</f>
        <v>0.29362285714285719</v>
      </c>
      <c r="AP104" s="12">
        <f>两日求解价格与决策!AP104</f>
        <v>31.739130434782837</v>
      </c>
      <c r="AQ104" s="19">
        <f>两日求解价格与决策!AQ104</f>
        <v>0</v>
      </c>
      <c r="AR104" s="12">
        <f>两日求解价格与决策!AR104</f>
        <v>5.2473000000000001</v>
      </c>
      <c r="AS104" s="14">
        <f>两日求解价格与决策!AS104</f>
        <v>46234</v>
      </c>
      <c r="AT104" s="13">
        <f>两日求解价格与决策!AT104</f>
        <v>46235.864583333336</v>
      </c>
      <c r="AU104" s="12" t="str">
        <f>两日求解价格与决策!AU104</f>
        <v>2026-08-01_92</v>
      </c>
      <c r="AV104" s="12">
        <f>两日求解价格与决策!AV104</f>
        <v>15</v>
      </c>
      <c r="AW104" s="12" t="str">
        <f>两日求解价格与决策!AW104</f>
        <v>OK</v>
      </c>
      <c r="AX104" s="12">
        <f>两日求解价格与决策!AX104</f>
        <v>128</v>
      </c>
      <c r="AY104" s="12">
        <f>两日求解价格与决策!AY104</f>
        <v>175</v>
      </c>
      <c r="AZ104" s="12">
        <f>两日求解价格与决策!AZ104</f>
        <v>175</v>
      </c>
      <c r="BA104" s="12">
        <f>两日求解价格与决策!BA104</f>
        <v>40</v>
      </c>
      <c r="BB104" s="12">
        <f>两日求解价格与决策!BB104</f>
        <v>24</v>
      </c>
      <c r="BC104" s="12">
        <f>两日求解价格与决策!BC104</f>
        <v>24</v>
      </c>
      <c r="BD104" s="14">
        <f>两日求解价格与决策!BD104</f>
        <v>46235</v>
      </c>
      <c r="BE104" s="1" t="str">
        <f>两日求解价格与决策!BE104</f>
        <v>零头寸，无结算现金</v>
      </c>
      <c r="BF104" s="1" t="str">
        <f>两日求解价格与决策!BF104</f>
        <v>40.000000 MW × 66.224535 × 0.250000 h = 662.245345 EUR</v>
      </c>
      <c r="BG104" s="1" t="str">
        <f>两日求解价格与决策!BG104</f>
        <v>24.000000 MW × 7.127475 × 0.250000 h = 42.764850 EUR</v>
      </c>
      <c r="BH104" s="1" t="str">
        <f>两日求解价格与决策!BH104</f>
        <v>24.000000 MW × 2.593715 × 0.250000 h = 15.562289 EUR</v>
      </c>
      <c r="BI104" s="1" t="str">
        <f>两日求解价格与决策!BI104</f>
        <v>0.293623 MWh × 198.777467 = 58.365608 EUR</v>
      </c>
      <c r="BJ104" s="1" t="str">
        <f>两日求解价格与决策!BJ104</f>
        <v>−(0.017280 MWh × 77.182551) = -1.333714 EUR</v>
      </c>
      <c r="BK104" s="1" t="str">
        <f>两日求解价格与决策!BK104</f>
        <v>0.000000 + 662.245345 + 42.764850 + 15.562289 + 58.365608 + -1.333714 = 777.604378 EUR</v>
      </c>
    </row>
    <row r="105" spans="1:63" ht="21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21" customHeight="1" x14ac:dyDescent="0.45">
      <c r="A106" s="20" t="s">
        <v>66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1">
        <f t="shared" ref="O106:X106" si="3">SUM(O9:O104)</f>
        <v>72.037554285714293</v>
      </c>
      <c r="P106" s="21">
        <f t="shared" si="3"/>
        <v>40.595177142857125</v>
      </c>
      <c r="Q106" s="21">
        <f t="shared" si="3"/>
        <v>18846.745482531689</v>
      </c>
      <c r="R106" s="21">
        <f t="shared" si="3"/>
        <v>63575.553141615776</v>
      </c>
      <c r="S106" s="21">
        <f t="shared" si="3"/>
        <v>2990.1873344386645</v>
      </c>
      <c r="T106" s="21">
        <f t="shared" si="3"/>
        <v>1894.128408896004</v>
      </c>
      <c r="U106" s="21">
        <f t="shared" si="3"/>
        <v>17712.624609850514</v>
      </c>
      <c r="V106" s="21">
        <f t="shared" si="3"/>
        <v>2519.183502628563</v>
      </c>
      <c r="W106" s="21">
        <f t="shared" si="3"/>
        <v>107538.42247996113</v>
      </c>
      <c r="X106" s="21">
        <f t="shared" si="3"/>
        <v>107538.42247996113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21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21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21" customHeight="1" x14ac:dyDescent="0.45">
      <c r="A109" s="1" t="s">
        <v>67</v>
      </c>
      <c r="B109" s="12">
        <f>订单与窗口!C6</f>
        <v>31.73913043478267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21" customHeight="1" x14ac:dyDescent="0.45">
      <c r="A110" s="1" t="s">
        <v>68</v>
      </c>
      <c r="B110" s="12">
        <f>J104</f>
        <v>31.739130434782815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21" customHeight="1" x14ac:dyDescent="0.45">
      <c r="A111" s="1"/>
      <c r="B111" s="1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21" customHeight="1" x14ac:dyDescent="0.45">
      <c r="A112" s="1" t="s">
        <v>69</v>
      </c>
      <c r="B112" s="12">
        <f>'8月1日审计'!W106+'8月2日审计'!W106</f>
        <v>208618.55234530085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21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21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21" customHeight="1" x14ac:dyDescent="0.45">
      <c r="A115" s="1" t="s">
        <v>70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21" customHeight="1" x14ac:dyDescent="0.45">
      <c r="A116" s="1" t="s">
        <v>71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21" customHeight="1" x14ac:dyDescent="0.45">
      <c r="A117" s="1" t="s">
        <v>72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21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21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21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21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21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21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</sheetData>
  <phoneticPr fontId="9" type="noConversion"/>
  <conditionalFormatting sqref="Y9:Y104">
    <cfRule type="expression" dxfId="14" priority="1">
      <formula>ABS(Y9)&gt;0.00001</formula>
    </cfRule>
  </conditionalFormatting>
  <conditionalFormatting sqref="AQ9:AQ104">
    <cfRule type="expression" dxfId="13" priority="2">
      <formula>ABS(AQ9)&gt;0.000001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3B59"/>
  </sheetPr>
  <dimension ref="A1:BK12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B9" sqref="B9"/>
    </sheetView>
  </sheetViews>
  <sheetFormatPr defaultRowHeight="14.25" x14ac:dyDescent="0.45"/>
  <cols>
    <col min="1" max="1" width="27" customWidth="1"/>
    <col min="2" max="25" width="19" customWidth="1"/>
    <col min="26" max="26" width="25" customWidth="1"/>
    <col min="27" max="45" width="19" customWidth="1"/>
    <col min="46" max="46" width="27" customWidth="1"/>
    <col min="47" max="47" width="28" customWidth="1"/>
    <col min="48" max="48" width="19" customWidth="1"/>
    <col min="49" max="49" width="36" customWidth="1"/>
    <col min="50" max="56" width="19" customWidth="1"/>
    <col min="57" max="62" width="66" customWidth="1"/>
    <col min="63" max="63" width="104" customWidth="1"/>
  </cols>
  <sheetData>
    <row r="1" spans="1:63" ht="21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21" customHeight="1" x14ac:dyDescent="0.45">
      <c r="A2" s="2" t="s">
        <v>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ht="21" customHeight="1" x14ac:dyDescent="0.45">
      <c r="A3" s="3" t="s">
        <v>74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21" customHeight="1" x14ac:dyDescent="0.45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21" customHeight="1" x14ac:dyDescent="0.4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21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21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55.05" customHeight="1" x14ac:dyDescent="0.45">
      <c r="A8" s="6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6" t="s">
        <v>12</v>
      </c>
      <c r="K8" s="6" t="s">
        <v>13</v>
      </c>
      <c r="L8" s="6" t="s">
        <v>14</v>
      </c>
      <c r="M8" s="6" t="s">
        <v>15</v>
      </c>
      <c r="N8" s="6" t="s">
        <v>16</v>
      </c>
      <c r="O8" s="6" t="s">
        <v>17</v>
      </c>
      <c r="P8" s="6" t="s">
        <v>18</v>
      </c>
      <c r="Q8" s="6" t="s">
        <v>19</v>
      </c>
      <c r="R8" s="6" t="s">
        <v>20</v>
      </c>
      <c r="S8" s="6" t="s">
        <v>21</v>
      </c>
      <c r="T8" s="6" t="s">
        <v>22</v>
      </c>
      <c r="U8" s="6" t="s">
        <v>23</v>
      </c>
      <c r="V8" s="6" t="s">
        <v>24</v>
      </c>
      <c r="W8" s="6" t="s">
        <v>25</v>
      </c>
      <c r="X8" s="6" t="s">
        <v>26</v>
      </c>
      <c r="Y8" s="6" t="s">
        <v>27</v>
      </c>
      <c r="Z8" s="6" t="s">
        <v>28</v>
      </c>
      <c r="AA8" s="6" t="s">
        <v>29</v>
      </c>
      <c r="AB8" s="6" t="s">
        <v>30</v>
      </c>
      <c r="AC8" s="6" t="s">
        <v>31</v>
      </c>
      <c r="AD8" s="6" t="s">
        <v>32</v>
      </c>
      <c r="AE8" s="6" t="s">
        <v>33</v>
      </c>
      <c r="AF8" s="6" t="s">
        <v>34</v>
      </c>
      <c r="AG8" s="6" t="s">
        <v>35</v>
      </c>
      <c r="AH8" s="6" t="s">
        <v>36</v>
      </c>
      <c r="AI8" s="6" t="s">
        <v>37</v>
      </c>
      <c r="AJ8" s="6" t="s">
        <v>38</v>
      </c>
      <c r="AK8" s="6" t="s">
        <v>39</v>
      </c>
      <c r="AL8" s="6" t="s">
        <v>40</v>
      </c>
      <c r="AM8" s="6" t="s">
        <v>41</v>
      </c>
      <c r="AN8" s="6" t="s">
        <v>42</v>
      </c>
      <c r="AO8" s="6" t="s">
        <v>43</v>
      </c>
      <c r="AP8" s="6" t="s">
        <v>44</v>
      </c>
      <c r="AQ8" s="6" t="s">
        <v>45</v>
      </c>
      <c r="AR8" s="6" t="s">
        <v>46</v>
      </c>
      <c r="AS8" s="6" t="s">
        <v>47</v>
      </c>
      <c r="AT8" s="6" t="s">
        <v>48</v>
      </c>
      <c r="AU8" s="6" t="s">
        <v>49</v>
      </c>
      <c r="AV8" s="6" t="s">
        <v>50</v>
      </c>
      <c r="AW8" s="6" t="s">
        <v>51</v>
      </c>
      <c r="AX8" s="6" t="s">
        <v>52</v>
      </c>
      <c r="AY8" s="6" t="s">
        <v>53</v>
      </c>
      <c r="AZ8" s="6" t="s">
        <v>54</v>
      </c>
      <c r="BA8" s="6" t="s">
        <v>55</v>
      </c>
      <c r="BB8" s="6" t="s">
        <v>56</v>
      </c>
      <c r="BC8" s="6" t="s">
        <v>57</v>
      </c>
      <c r="BD8" s="6" t="s">
        <v>58</v>
      </c>
      <c r="BE8" s="6" t="s">
        <v>59</v>
      </c>
      <c r="BF8" s="6" t="s">
        <v>60</v>
      </c>
      <c r="BG8" s="6" t="s">
        <v>61</v>
      </c>
      <c r="BH8" s="6" t="s">
        <v>62</v>
      </c>
      <c r="BI8" s="6" t="s">
        <v>63</v>
      </c>
      <c r="BJ8" s="6" t="s">
        <v>64</v>
      </c>
      <c r="BK8" s="6" t="s">
        <v>65</v>
      </c>
    </row>
    <row r="9" spans="1:63" ht="21" customHeight="1" x14ac:dyDescent="0.45">
      <c r="A9" s="13">
        <f>两日求解价格与决策!A201</f>
        <v>46236</v>
      </c>
      <c r="B9" s="15">
        <f>两日求解价格与决策!B201</f>
        <v>172.11</v>
      </c>
      <c r="C9" s="15">
        <f>两日求解价格与决策!C201</f>
        <v>66.224534522516336</v>
      </c>
      <c r="D9" s="15">
        <f>两日求解价格与决策!D201</f>
        <v>7.1274750824233415</v>
      </c>
      <c r="E9" s="15">
        <f>两日求解价格与决策!E201</f>
        <v>2.7061536409200921</v>
      </c>
      <c r="F9" s="15">
        <f>两日求解价格与决策!F201</f>
        <v>184.11030434699751</v>
      </c>
      <c r="G9" s="15">
        <f>两日求解价格与决策!G201</f>
        <v>77.182551026242066</v>
      </c>
      <c r="H9" s="15" t="str">
        <f>两日求解价格与决策!H201</f>
        <v>未模拟</v>
      </c>
      <c r="I9" s="16">
        <f>两日求解价格与决策!I201</f>
        <v>31.739130434782815</v>
      </c>
      <c r="J9" s="16">
        <f>两日求解价格与决策!J201</f>
        <v>35.728106323454419</v>
      </c>
      <c r="K9" s="16">
        <f>两日求解价格与决策!K201</f>
        <v>-18.458027330911214</v>
      </c>
      <c r="L9" s="16">
        <f>两日求解价格与决策!L201</f>
        <v>40</v>
      </c>
      <c r="M9" s="16">
        <f>两日求解价格与决策!M201</f>
        <v>24</v>
      </c>
      <c r="N9" s="16">
        <f>两日求解价格与决策!N201</f>
        <v>24</v>
      </c>
      <c r="O9" s="16">
        <f>两日求解价格与决策!O201</f>
        <v>0.31392000000000003</v>
      </c>
      <c r="P9" s="16">
        <f>两日求解价格与决策!P201</f>
        <v>4.8411428571428571E-2</v>
      </c>
      <c r="Q9" s="17">
        <f>两日求解价格与决策!Q201</f>
        <v>-794.20277098078236</v>
      </c>
      <c r="R9" s="17">
        <f>两日求解价格与决策!R201</f>
        <v>662.24534522516342</v>
      </c>
      <c r="S9" s="17">
        <f>两日求解价格与决策!S201</f>
        <v>42.764850494540049</v>
      </c>
      <c r="T9" s="17">
        <f>两日求解价格与决策!T201</f>
        <v>16.236921845520552</v>
      </c>
      <c r="U9" s="17">
        <f>两日求解价格与决策!U201</f>
        <v>57.795906740609468</v>
      </c>
      <c r="V9" s="17">
        <f>两日求解价格与决策!V201</f>
        <v>-3.7365175559675587</v>
      </c>
      <c r="W9" s="17">
        <f>两日求解价格与决策!W201</f>
        <v>-18.896264230916437</v>
      </c>
      <c r="X9" s="12">
        <f>两日求解价格与决策!X201</f>
        <v>-18.896264230916433</v>
      </c>
      <c r="Y9" s="19">
        <f>两日求解价格与决策!Y201</f>
        <v>0</v>
      </c>
      <c r="Z9" s="12" t="str">
        <f t="shared" ref="Z9:Z40" si="0">"正式执行"</f>
        <v>正式执行</v>
      </c>
      <c r="AA9" s="12">
        <f>两日求解价格与决策!AA201</f>
        <v>1</v>
      </c>
      <c r="AB9" s="12">
        <f>两日求解价格与决策!AB201</f>
        <v>1</v>
      </c>
      <c r="AC9" s="12">
        <f>两日求解价格与决策!AC201</f>
        <v>0.25</v>
      </c>
      <c r="AD9" s="18">
        <f>两日求解价格与决策!AD201</f>
        <v>0.3125</v>
      </c>
      <c r="AE9" s="18">
        <f>两日求解价格与决策!AE201</f>
        <v>0.13714285714285715</v>
      </c>
      <c r="AF9" s="18">
        <f>两日求解价格与决策!AF201</f>
        <v>5.2320000000000005E-2</v>
      </c>
      <c r="AG9" s="18">
        <f>两日求解价格与决策!AG201</f>
        <v>8.0685714285714284E-3</v>
      </c>
      <c r="AH9" s="12">
        <f>两日求解价格与决策!AH201</f>
        <v>175</v>
      </c>
      <c r="AI9" s="12">
        <f>两日求解价格与决策!AI201</f>
        <v>175</v>
      </c>
      <c r="AJ9" s="12">
        <f>两日求解价格与决策!AJ201</f>
        <v>2.2890000000000001</v>
      </c>
      <c r="AK9" s="12">
        <f>两日求解价格与决策!AK201</f>
        <v>0.35299999999999998</v>
      </c>
      <c r="AL9" s="12">
        <f>两日求解价格与决策!AL201</f>
        <v>131.96799999999999</v>
      </c>
      <c r="AM9" s="12">
        <f>两日求解价格与决策!AM201</f>
        <v>1.1518224102056879E-2</v>
      </c>
      <c r="AN9" s="12">
        <f>两日求解价格与决策!AN201</f>
        <v>4.4214872638109135</v>
      </c>
      <c r="AO9" s="12">
        <f>两日求解价格与决策!AO201</f>
        <v>7.2489002511681319E-2</v>
      </c>
      <c r="AP9" s="12">
        <f>两日求解价格与决策!AP201</f>
        <v>35.728106323454419</v>
      </c>
      <c r="AQ9" s="19">
        <f>两日求解价格与决策!AQ201</f>
        <v>0</v>
      </c>
      <c r="AR9" s="12">
        <f>两日求解价格与决策!AR201</f>
        <v>5.2473000000000001</v>
      </c>
      <c r="AS9" s="14">
        <f>两日求解价格与决策!AS201</f>
        <v>46234</v>
      </c>
      <c r="AT9" s="13">
        <f>两日求解价格与决策!AT201</f>
        <v>46235.875</v>
      </c>
      <c r="AU9" s="12" t="str">
        <f>两日求解价格与决策!AU201</f>
        <v>2026-08-01_93</v>
      </c>
      <c r="AV9" s="12">
        <f>两日求解价格与决策!AV201</f>
        <v>15</v>
      </c>
      <c r="AW9" s="12" t="str">
        <f>两日求解价格与决策!AW201</f>
        <v>OK</v>
      </c>
      <c r="AX9" s="12">
        <f>两日求解价格与决策!AX201</f>
        <v>128</v>
      </c>
      <c r="AY9" s="12">
        <f>两日求解价格与决策!AY201</f>
        <v>175</v>
      </c>
      <c r="AZ9" s="12">
        <f>两日求解价格与决策!AZ201</f>
        <v>175</v>
      </c>
      <c r="BA9" s="12">
        <f>两日求解价格与决策!BA201</f>
        <v>40</v>
      </c>
      <c r="BB9" s="12">
        <f>两日求解价格与决策!BB201</f>
        <v>24</v>
      </c>
      <c r="BC9" s="12">
        <f>两日求解价格与决策!BC201</f>
        <v>24</v>
      </c>
      <c r="BD9" s="14">
        <f>两日求解价格与决策!BD201</f>
        <v>46236</v>
      </c>
      <c r="BE9" s="1" t="str">
        <f>两日求解价格与决策!BE201</f>
        <v>-18.458027 MW × 172.110000 × 0.250000 h = -794.202771 EUR</v>
      </c>
      <c r="BF9" s="1" t="str">
        <f>两日求解价格与决策!BF201</f>
        <v>40.000000 MW × 66.224535 × 0.250000 h = 662.245345 EUR</v>
      </c>
      <c r="BG9" s="1" t="str">
        <f>两日求解价格与决策!BG201</f>
        <v>24.000000 MW × 7.127475 × 0.250000 h = 42.764850 EUR</v>
      </c>
      <c r="BH9" s="1" t="str">
        <f>两日求解价格与决策!BH201</f>
        <v>24.000000 MW × 2.706154 × 0.250000 h = 16.236922 EUR</v>
      </c>
      <c r="BI9" s="1" t="str">
        <f>两日求解价格与决策!BI201</f>
        <v>0.313920 MWh × 184.110304 = 57.795907 EUR</v>
      </c>
      <c r="BJ9" s="1" t="str">
        <f>两日求解价格与决策!BJ201</f>
        <v>−(0.048411 MWh × 77.182551) = -3.736518 EUR</v>
      </c>
      <c r="BK9" s="1" t="str">
        <f>两日求解价格与决策!BK201</f>
        <v>-794.202771 + 662.245345 + 42.764850 + 16.236922 + 57.795907 + -3.736518 = -18.896264 EUR</v>
      </c>
    </row>
    <row r="10" spans="1:63" ht="21" customHeight="1" x14ac:dyDescent="0.45">
      <c r="A10" s="13">
        <f>两日求解价格与决策!A202</f>
        <v>46236.010416666664</v>
      </c>
      <c r="B10" s="15">
        <f>两日求解价格与决策!B202</f>
        <v>171.94</v>
      </c>
      <c r="C10" s="15">
        <f>两日求解价格与决策!C202</f>
        <v>66.224534522516336</v>
      </c>
      <c r="D10" s="15">
        <f>两日求解价格与决策!D202</f>
        <v>7.1274750824233415</v>
      </c>
      <c r="E10" s="15">
        <f>两日求解价格与决策!E202</f>
        <v>2.7061536409200921</v>
      </c>
      <c r="F10" s="15">
        <f>两日求解价格与决策!F202</f>
        <v>0</v>
      </c>
      <c r="G10" s="15">
        <f>两日求解价格与决策!G202</f>
        <v>70.316734320507692</v>
      </c>
      <c r="H10" s="15" t="str">
        <f>两日求解价格与决策!H202</f>
        <v>未模拟</v>
      </c>
      <c r="I10" s="16">
        <f>两日求解价格与决策!I202</f>
        <v>35.728106323454419</v>
      </c>
      <c r="J10" s="16">
        <f>两日求解价格与决策!J202</f>
        <v>36.436685066311561</v>
      </c>
      <c r="K10" s="16">
        <f>两日求解价格与决策!K202</f>
        <v>0</v>
      </c>
      <c r="L10" s="16">
        <f>两日求解价格与决策!L202</f>
        <v>40</v>
      </c>
      <c r="M10" s="16">
        <f>两日求解价格与决策!M202</f>
        <v>24</v>
      </c>
      <c r="N10" s="16">
        <f>两日求解价格与决策!N202</f>
        <v>24</v>
      </c>
      <c r="O10" s="16">
        <f>两日求解价格与决策!O202</f>
        <v>0</v>
      </c>
      <c r="P10" s="16">
        <f>两日求解价格与决策!P202</f>
        <v>0.77019428571428561</v>
      </c>
      <c r="Q10" s="17">
        <f>两日求解价格与决策!Q202</f>
        <v>0</v>
      </c>
      <c r="R10" s="17">
        <f>两日求解价格与决策!R202</f>
        <v>662.24534522516342</v>
      </c>
      <c r="S10" s="17">
        <f>两日求解价格与决策!S202</f>
        <v>42.764850494540049</v>
      </c>
      <c r="T10" s="17">
        <f>两日求解价格与决策!T202</f>
        <v>16.236921845520552</v>
      </c>
      <c r="U10" s="17">
        <f>两日求解价格与决策!U202</f>
        <v>0</v>
      </c>
      <c r="V10" s="17">
        <f>两日求解价格与决策!V202</f>
        <v>-54.157546963744615</v>
      </c>
      <c r="W10" s="17">
        <f>两日求解价格与决策!W202</f>
        <v>667.08957060147941</v>
      </c>
      <c r="X10" s="12">
        <f>两日求解价格与决策!X202</f>
        <v>667.08957060147941</v>
      </c>
      <c r="Y10" s="19">
        <f>两日求解价格与决策!Y202</f>
        <v>0</v>
      </c>
      <c r="Z10" s="12" t="str">
        <f t="shared" si="0"/>
        <v>正式执行</v>
      </c>
      <c r="AA10" s="12">
        <f>两日求解价格与决策!AA202</f>
        <v>1</v>
      </c>
      <c r="AB10" s="12">
        <f>两日求解价格与决策!AB202</f>
        <v>1</v>
      </c>
      <c r="AC10" s="12">
        <f>两日求解价格与决策!AC202</f>
        <v>0.25</v>
      </c>
      <c r="AD10" s="18">
        <f>两日求解价格与决策!AD202</f>
        <v>0.3125</v>
      </c>
      <c r="AE10" s="18">
        <f>两日求解价格与决策!AE202</f>
        <v>0.13714285714285715</v>
      </c>
      <c r="AF10" s="18">
        <f>两日求解价格与决策!AF202</f>
        <v>0</v>
      </c>
      <c r="AG10" s="18">
        <f>两日求解价格与决策!AG202</f>
        <v>0.12836571428571428</v>
      </c>
      <c r="AH10" s="12">
        <f>两日求解价格与决策!AH202</f>
        <v>175</v>
      </c>
      <c r="AI10" s="12">
        <f>两日求解价格与决策!AI202</f>
        <v>175</v>
      </c>
      <c r="AJ10" s="12">
        <f>两日求解价格与决策!AJ202</f>
        <v>0</v>
      </c>
      <c r="AK10" s="12">
        <f>两日求解价格与决策!AK202</f>
        <v>5.6159999999999997</v>
      </c>
      <c r="AL10" s="12">
        <f>两日求解价格与决策!AL202</f>
        <v>131.96799999999999</v>
      </c>
      <c r="AM10" s="12">
        <f>两日求解价格与决策!AM202</f>
        <v>1.9682742857142855E-3</v>
      </c>
      <c r="AN10" s="12">
        <f>两日求解价格与决策!AN202</f>
        <v>0.77019428571428561</v>
      </c>
      <c r="AO10" s="12">
        <f>两日求解价格与决策!AO202</f>
        <v>0</v>
      </c>
      <c r="AP10" s="12">
        <f>两日求解价格与决策!AP202</f>
        <v>36.436685066311561</v>
      </c>
      <c r="AQ10" s="19">
        <f>两日求解价格与决策!AQ202</f>
        <v>0</v>
      </c>
      <c r="AR10" s="12">
        <f>两日求解价格与决策!AR202</f>
        <v>5.2473000000000001</v>
      </c>
      <c r="AS10" s="14">
        <f>两日求解价格与决策!AS202</f>
        <v>46234</v>
      </c>
      <c r="AT10" s="13">
        <f>两日求解价格与决策!AT202</f>
        <v>46235.885416666664</v>
      </c>
      <c r="AU10" s="12" t="str">
        <f>两日求解价格与决策!AU202</f>
        <v>2026-08-01_94</v>
      </c>
      <c r="AV10" s="12">
        <f>两日求解价格与决策!AV202</f>
        <v>15</v>
      </c>
      <c r="AW10" s="12" t="str">
        <f>两日求解价格与决策!AW202</f>
        <v>OK</v>
      </c>
      <c r="AX10" s="12">
        <f>两日求解价格与决策!AX202</f>
        <v>128</v>
      </c>
      <c r="AY10" s="12">
        <f>两日求解价格与决策!AY202</f>
        <v>175</v>
      </c>
      <c r="AZ10" s="12">
        <f>两日求解价格与决策!AZ202</f>
        <v>175</v>
      </c>
      <c r="BA10" s="12">
        <f>两日求解价格与决策!BA202</f>
        <v>40</v>
      </c>
      <c r="BB10" s="12">
        <f>两日求解价格与决策!BB202</f>
        <v>24</v>
      </c>
      <c r="BC10" s="12">
        <f>两日求解价格与决策!BC202</f>
        <v>24</v>
      </c>
      <c r="BD10" s="14">
        <f>两日求解价格与决策!BD202</f>
        <v>46236</v>
      </c>
      <c r="BE10" s="1" t="str">
        <f>两日求解价格与决策!BE202</f>
        <v>零头寸，无结算现金</v>
      </c>
      <c r="BF10" s="1" t="str">
        <f>两日求解价格与决策!BF202</f>
        <v>40.000000 MW × 66.224535 × 0.250000 h = 662.245345 EUR</v>
      </c>
      <c r="BG10" s="1" t="str">
        <f>两日求解价格与决策!BG202</f>
        <v>24.000000 MW × 7.127475 × 0.250000 h = 42.764850 EUR</v>
      </c>
      <c r="BH10" s="1" t="str">
        <f>两日求解价格与决策!BH202</f>
        <v>24.000000 MW × 2.706154 × 0.250000 h = 16.236922 EUR</v>
      </c>
      <c r="BI10" s="1" t="str">
        <f>两日求解价格与决策!BI202</f>
        <v>零上调激活电量</v>
      </c>
      <c r="BJ10" s="1" t="str">
        <f>两日求解价格与决策!BJ202</f>
        <v>−(0.770194 MWh × 70.316734) = -54.157547 EUR</v>
      </c>
      <c r="BK10" s="1" t="str">
        <f>两日求解价格与决策!BK202</f>
        <v>0.000000 + 662.245345 + 42.764850 + 16.236922 + 0.000000 + -54.157547 = 667.089571 EUR</v>
      </c>
    </row>
    <row r="11" spans="1:63" ht="21" customHeight="1" x14ac:dyDescent="0.45">
      <c r="A11" s="13">
        <f>两日求解价格与决策!A203</f>
        <v>46236.020833333336</v>
      </c>
      <c r="B11" s="15">
        <f>两日求解价格与决策!B203</f>
        <v>171.23</v>
      </c>
      <c r="C11" s="15">
        <f>两日求解价格与决策!C203</f>
        <v>66.224534522516336</v>
      </c>
      <c r="D11" s="15">
        <f>两日求解价格与决策!D203</f>
        <v>7.1274750824233415</v>
      </c>
      <c r="E11" s="15">
        <f>两日求解价格与决策!E203</f>
        <v>2.7061536409200921</v>
      </c>
      <c r="F11" s="15">
        <f>两日求解价格与决策!F203</f>
        <v>176.42482800678445</v>
      </c>
      <c r="G11" s="15">
        <f>两日求解价格与决策!G203</f>
        <v>70.125588397842705</v>
      </c>
      <c r="H11" s="15" t="str">
        <f>两日求解价格与决策!H203</f>
        <v>未模拟</v>
      </c>
      <c r="I11" s="16">
        <f>两日求解价格与决策!I203</f>
        <v>36.436685066311561</v>
      </c>
      <c r="J11" s="16">
        <f>两日求解价格与决策!J203</f>
        <v>36.463172956994789</v>
      </c>
      <c r="K11" s="16">
        <f>两日求解价格与决策!K203</f>
        <v>0</v>
      </c>
      <c r="L11" s="16">
        <f>两日求解价格与决策!L203</f>
        <v>40</v>
      </c>
      <c r="M11" s="16">
        <f>两日求解价格与决策!M203</f>
        <v>24</v>
      </c>
      <c r="N11" s="16">
        <f>两日求解价格与决策!N203</f>
        <v>24</v>
      </c>
      <c r="O11" s="16">
        <f>两日求解价格与决策!O203</f>
        <v>0.11945142857142857</v>
      </c>
      <c r="P11" s="16">
        <f>两日求解价格与决策!P203</f>
        <v>0.16992000000000002</v>
      </c>
      <c r="Q11" s="17">
        <f>两日求解价格与决策!Q203</f>
        <v>0</v>
      </c>
      <c r="R11" s="17">
        <f>两日求解价格与决策!R203</f>
        <v>662.24534522516342</v>
      </c>
      <c r="S11" s="17">
        <f>两日求解价格与决策!S203</f>
        <v>42.764850494540049</v>
      </c>
      <c r="T11" s="17">
        <f>两日求解价格与决策!T203</f>
        <v>16.236921845520552</v>
      </c>
      <c r="U11" s="17">
        <f>两日求解价格与决策!U203</f>
        <v>21.074197740878983</v>
      </c>
      <c r="V11" s="17">
        <f>两日求解价格与决策!V203</f>
        <v>-11.915739980561433</v>
      </c>
      <c r="W11" s="17">
        <f>两日求解价格与决策!W203</f>
        <v>730.40557532554158</v>
      </c>
      <c r="X11" s="12">
        <f>两日求解价格与决策!X203</f>
        <v>730.40557532554158</v>
      </c>
      <c r="Y11" s="19">
        <f>两日求解价格与决策!Y203</f>
        <v>0</v>
      </c>
      <c r="Z11" s="12" t="str">
        <f t="shared" si="0"/>
        <v>正式执行</v>
      </c>
      <c r="AA11" s="12">
        <f>两日求解价格与决策!AA203</f>
        <v>1</v>
      </c>
      <c r="AB11" s="12">
        <f>两日求解价格与决策!AB203</f>
        <v>1</v>
      </c>
      <c r="AC11" s="12">
        <f>两日求解价格与决策!AC203</f>
        <v>0.25</v>
      </c>
      <c r="AD11" s="18">
        <f>两日求解价格与决策!AD203</f>
        <v>0.3125</v>
      </c>
      <c r="AE11" s="18">
        <f>两日求解价格与决策!AE203</f>
        <v>0.13714285714285715</v>
      </c>
      <c r="AF11" s="18">
        <f>两日求解价格与决策!AF203</f>
        <v>1.9908571428571428E-2</v>
      </c>
      <c r="AG11" s="18">
        <f>两日求解价格与决策!AG203</f>
        <v>2.8320000000000001E-2</v>
      </c>
      <c r="AH11" s="12">
        <f>两日求解价格与决策!AH203</f>
        <v>175</v>
      </c>
      <c r="AI11" s="12">
        <f>两日求解价格与决策!AI203</f>
        <v>175</v>
      </c>
      <c r="AJ11" s="12">
        <f>两日求解价格与决策!AJ203</f>
        <v>0.871</v>
      </c>
      <c r="AK11" s="12">
        <f>两日求解价格与决策!AK203</f>
        <v>1.2390000000000001</v>
      </c>
      <c r="AL11" s="12">
        <f>两日求解价格与决策!AL203</f>
        <v>131.96799999999999</v>
      </c>
      <c r="AM11" s="12">
        <f>两日求解价格与决策!AM203</f>
        <v>7.949025258799172E-4</v>
      </c>
      <c r="AN11" s="12">
        <f>两日求解价格与决策!AN203</f>
        <v>0.16992000000000002</v>
      </c>
      <c r="AO11" s="12">
        <f>两日求解价格与决策!AO203</f>
        <v>0.11945142857142857</v>
      </c>
      <c r="AP11" s="12">
        <f>两日求解价格与决策!AP203</f>
        <v>36.463172956994789</v>
      </c>
      <c r="AQ11" s="19">
        <f>两日求解价格与决策!AQ203</f>
        <v>0</v>
      </c>
      <c r="AR11" s="12">
        <f>两日求解价格与决策!AR203</f>
        <v>5.2473000000000001</v>
      </c>
      <c r="AS11" s="14">
        <f>两日求解价格与决策!AS203</f>
        <v>46234</v>
      </c>
      <c r="AT11" s="13">
        <f>两日求解价格与决策!AT203</f>
        <v>46235.895833333336</v>
      </c>
      <c r="AU11" s="12" t="str">
        <f>两日求解价格与决策!AU203</f>
        <v>2026-08-01_95</v>
      </c>
      <c r="AV11" s="12">
        <f>两日求解价格与决策!AV203</f>
        <v>15</v>
      </c>
      <c r="AW11" s="12" t="str">
        <f>两日求解价格与决策!AW203</f>
        <v>OK</v>
      </c>
      <c r="AX11" s="12">
        <f>两日求解价格与决策!AX203</f>
        <v>128</v>
      </c>
      <c r="AY11" s="12">
        <f>两日求解价格与决策!AY203</f>
        <v>175</v>
      </c>
      <c r="AZ11" s="12">
        <f>两日求解价格与决策!AZ203</f>
        <v>175</v>
      </c>
      <c r="BA11" s="12">
        <f>两日求解价格与决策!BA203</f>
        <v>40</v>
      </c>
      <c r="BB11" s="12">
        <f>两日求解价格与决策!BB203</f>
        <v>24</v>
      </c>
      <c r="BC11" s="12">
        <f>两日求解价格与决策!BC203</f>
        <v>24</v>
      </c>
      <c r="BD11" s="14">
        <f>两日求解价格与决策!BD203</f>
        <v>46236</v>
      </c>
      <c r="BE11" s="1" t="str">
        <f>两日求解价格与决策!BE203</f>
        <v>零头寸，无结算现金</v>
      </c>
      <c r="BF11" s="1" t="str">
        <f>两日求解价格与决策!BF203</f>
        <v>40.000000 MW × 66.224535 × 0.250000 h = 662.245345 EUR</v>
      </c>
      <c r="BG11" s="1" t="str">
        <f>两日求解价格与决策!BG203</f>
        <v>24.000000 MW × 7.127475 × 0.250000 h = 42.764850 EUR</v>
      </c>
      <c r="BH11" s="1" t="str">
        <f>两日求解价格与决策!BH203</f>
        <v>24.000000 MW × 2.706154 × 0.250000 h = 16.236922 EUR</v>
      </c>
      <c r="BI11" s="1" t="str">
        <f>两日求解价格与决策!BI203</f>
        <v>0.119451 MWh × 176.424828 = 21.074198 EUR</v>
      </c>
      <c r="BJ11" s="1" t="str">
        <f>两日求解价格与决策!BJ203</f>
        <v>−(0.169920 MWh × 70.125588) = -11.915740 EUR</v>
      </c>
      <c r="BK11" s="1" t="str">
        <f>两日求解价格与决策!BK203</f>
        <v>0.000000 + 662.245345 + 42.764850 + 16.236922 + 21.074198 + -11.915740 = 730.405575 EUR</v>
      </c>
    </row>
    <row r="12" spans="1:63" ht="21" customHeight="1" x14ac:dyDescent="0.45">
      <c r="A12" s="13">
        <f>两日求解价格与决策!A204</f>
        <v>46236.03125</v>
      </c>
      <c r="B12" s="15">
        <f>两日求解价格与决策!B204</f>
        <v>164.72</v>
      </c>
      <c r="C12" s="15">
        <f>两日求解价格与决策!C204</f>
        <v>66.224534522516336</v>
      </c>
      <c r="D12" s="15">
        <f>两日求解价格与决策!D204</f>
        <v>7.1274750824233415</v>
      </c>
      <c r="E12" s="15">
        <f>两日求解价格与决策!E204</f>
        <v>2.7061536409200921</v>
      </c>
      <c r="F12" s="15">
        <f>两日求解价格与决策!F204</f>
        <v>157.46479141653802</v>
      </c>
      <c r="G12" s="15">
        <f>两日求解价格与决策!G204</f>
        <v>76.98549730337507</v>
      </c>
      <c r="H12" s="15" t="str">
        <f>两日求解价格与决策!H204</f>
        <v>未模拟</v>
      </c>
      <c r="I12" s="16">
        <f>两日求解价格与决策!I204</f>
        <v>36.463172956994789</v>
      </c>
      <c r="J12" s="16">
        <f>两日求解价格与决策!J204</f>
        <v>36.568693056373668</v>
      </c>
      <c r="K12" s="16">
        <f>两日求解价格与决策!K204</f>
        <v>0</v>
      </c>
      <c r="L12" s="16">
        <f>两日求解价格与决策!L204</f>
        <v>40</v>
      </c>
      <c r="M12" s="16">
        <f>两日求解价格与决策!M204</f>
        <v>24</v>
      </c>
      <c r="N12" s="16">
        <f>两日求解价格与决策!N204</f>
        <v>24</v>
      </c>
      <c r="O12" s="16">
        <f>两日求解价格与决策!O204</f>
        <v>2.0159999999999997E-2</v>
      </c>
      <c r="P12" s="16">
        <f>两日求解价格与决策!P204</f>
        <v>0.1385142857142857</v>
      </c>
      <c r="Q12" s="17">
        <f>两日求解价格与决策!Q204</f>
        <v>0</v>
      </c>
      <c r="R12" s="17">
        <f>两日求解价格与决策!R204</f>
        <v>662.24534522516342</v>
      </c>
      <c r="S12" s="17">
        <f>两日求解价格与决策!S204</f>
        <v>42.764850494540049</v>
      </c>
      <c r="T12" s="17">
        <f>两日求解价格与决策!T204</f>
        <v>16.236921845520552</v>
      </c>
      <c r="U12" s="17">
        <f>两日求解价格与决策!U204</f>
        <v>3.1744901949574063</v>
      </c>
      <c r="V12" s="17">
        <f>两日求解价格与决策!V204</f>
        <v>-10.663591169336065</v>
      </c>
      <c r="W12" s="17">
        <f>两日求解价格与决策!W204</f>
        <v>713.75801659084539</v>
      </c>
      <c r="X12" s="12">
        <f>两日求解价格与决策!X204</f>
        <v>713.75801659084539</v>
      </c>
      <c r="Y12" s="19">
        <f>两日求解价格与决策!Y204</f>
        <v>0</v>
      </c>
      <c r="Z12" s="12" t="str">
        <f t="shared" si="0"/>
        <v>正式执行</v>
      </c>
      <c r="AA12" s="12">
        <f>两日求解价格与决策!AA204</f>
        <v>1</v>
      </c>
      <c r="AB12" s="12">
        <f>两日求解价格与决策!AB204</f>
        <v>1</v>
      </c>
      <c r="AC12" s="12">
        <f>两日求解价格与决策!AC204</f>
        <v>0.25</v>
      </c>
      <c r="AD12" s="18">
        <f>两日求解价格与决策!AD204</f>
        <v>0.3125</v>
      </c>
      <c r="AE12" s="18">
        <f>两日求解价格与决策!AE204</f>
        <v>0.13714285714285715</v>
      </c>
      <c r="AF12" s="18">
        <f>两日求解价格与决策!AF204</f>
        <v>3.3599999999999997E-3</v>
      </c>
      <c r="AG12" s="18">
        <f>两日求解价格与决策!AG204</f>
        <v>2.3085714285714286E-2</v>
      </c>
      <c r="AH12" s="12">
        <f>两日求解价格与决策!AH204</f>
        <v>175</v>
      </c>
      <c r="AI12" s="12">
        <f>两日求解价格与决策!AI204</f>
        <v>175</v>
      </c>
      <c r="AJ12" s="12">
        <f>两日求解价格与决策!AJ204</f>
        <v>0.14699999999999999</v>
      </c>
      <c r="AK12" s="12">
        <f>两日求解价格与决策!AK204</f>
        <v>1.01</v>
      </c>
      <c r="AL12" s="12">
        <f>两日求解价格与决策!AL204</f>
        <v>131.96799999999999</v>
      </c>
      <c r="AM12" s="12">
        <f>两日求解价格与决策!AM204</f>
        <v>4.1485051759834366E-4</v>
      </c>
      <c r="AN12" s="12">
        <f>两日求解价格与决策!AN204</f>
        <v>0.1385142857142857</v>
      </c>
      <c r="AO12" s="12">
        <f>两日求解价格与决策!AO204</f>
        <v>2.0159999999999997E-2</v>
      </c>
      <c r="AP12" s="12">
        <f>两日求解价格与决策!AP204</f>
        <v>36.568693056373668</v>
      </c>
      <c r="AQ12" s="19">
        <f>两日求解价格与决策!AQ204</f>
        <v>0</v>
      </c>
      <c r="AR12" s="12">
        <f>两日求解价格与决策!AR204</f>
        <v>5.2473000000000001</v>
      </c>
      <c r="AS12" s="14">
        <f>两日求解价格与决策!AS204</f>
        <v>46234</v>
      </c>
      <c r="AT12" s="13">
        <f>两日求解价格与决策!AT204</f>
        <v>46235.90625</v>
      </c>
      <c r="AU12" s="12" t="str">
        <f>两日求解价格与决策!AU204</f>
        <v>2026-08-01_96</v>
      </c>
      <c r="AV12" s="12">
        <f>两日求解价格与决策!AV204</f>
        <v>15</v>
      </c>
      <c r="AW12" s="12" t="str">
        <f>两日求解价格与决策!AW204</f>
        <v>OK</v>
      </c>
      <c r="AX12" s="12">
        <f>两日求解价格与决策!AX204</f>
        <v>128</v>
      </c>
      <c r="AY12" s="12">
        <f>两日求解价格与决策!AY204</f>
        <v>175</v>
      </c>
      <c r="AZ12" s="12">
        <f>两日求解价格与决策!AZ204</f>
        <v>175</v>
      </c>
      <c r="BA12" s="12">
        <f>两日求解价格与决策!BA204</f>
        <v>40</v>
      </c>
      <c r="BB12" s="12">
        <f>两日求解价格与决策!BB204</f>
        <v>24</v>
      </c>
      <c r="BC12" s="12">
        <f>两日求解价格与决策!BC204</f>
        <v>24</v>
      </c>
      <c r="BD12" s="14">
        <f>两日求解价格与决策!BD204</f>
        <v>46236</v>
      </c>
      <c r="BE12" s="1" t="str">
        <f>两日求解价格与决策!BE204</f>
        <v>零头寸，无结算现金</v>
      </c>
      <c r="BF12" s="1" t="str">
        <f>两日求解价格与决策!BF204</f>
        <v>40.000000 MW × 66.224535 × 0.250000 h = 662.245345 EUR</v>
      </c>
      <c r="BG12" s="1" t="str">
        <f>两日求解价格与决策!BG204</f>
        <v>24.000000 MW × 7.127475 × 0.250000 h = 42.764850 EUR</v>
      </c>
      <c r="BH12" s="1" t="str">
        <f>两日求解价格与决策!BH204</f>
        <v>24.000000 MW × 2.706154 × 0.250000 h = 16.236922 EUR</v>
      </c>
      <c r="BI12" s="1" t="str">
        <f>两日求解价格与决策!BI204</f>
        <v>0.020160 MWh × 157.464791 = 3.174490 EUR</v>
      </c>
      <c r="BJ12" s="1" t="str">
        <f>两日求解价格与决策!BJ204</f>
        <v>−(0.138514 MWh × 76.985497) = -10.663591 EUR</v>
      </c>
      <c r="BK12" s="1" t="str">
        <f>两日求解价格与决策!BK204</f>
        <v>0.000000 + 662.245345 + 42.764850 + 16.236922 + 3.174490 + -10.663591 = 713.758017 EUR</v>
      </c>
    </row>
    <row r="13" spans="1:63" ht="21" customHeight="1" x14ac:dyDescent="0.45">
      <c r="A13" s="13">
        <f>两日求解价格与决策!A205</f>
        <v>46236.041666666664</v>
      </c>
      <c r="B13" s="15">
        <f>两日求解价格与决策!B205</f>
        <v>189.01</v>
      </c>
      <c r="C13" s="15">
        <f>两日求解价格与决策!C205</f>
        <v>66.224534522516336</v>
      </c>
      <c r="D13" s="15">
        <f>两日求解价格与决策!D205</f>
        <v>7.1274750824233415</v>
      </c>
      <c r="E13" s="15">
        <f>两日求解价格与决策!E205</f>
        <v>2.7061536409200921</v>
      </c>
      <c r="F13" s="15">
        <f>两日求解价格与决策!F205</f>
        <v>0</v>
      </c>
      <c r="G13" s="15">
        <f>两日求解价格与决策!G205</f>
        <v>76.829988756122191</v>
      </c>
      <c r="H13" s="15" t="str">
        <f>两日求解价格与决策!H205</f>
        <v>未模拟</v>
      </c>
      <c r="I13" s="16">
        <f>两日求解价格与决策!I205</f>
        <v>36.568693056373668</v>
      </c>
      <c r="J13" s="16">
        <f>两日求解价格与决策!J205</f>
        <v>31.739130434782588</v>
      </c>
      <c r="K13" s="16">
        <f>两日求解价格与决策!K205</f>
        <v>21.150137638703697</v>
      </c>
      <c r="L13" s="16">
        <f>两日求解价格与决策!L205</f>
        <v>40</v>
      </c>
      <c r="M13" s="16">
        <f>两日求解价格与决策!M205</f>
        <v>24</v>
      </c>
      <c r="N13" s="16">
        <f>两日求解价格与决策!N205</f>
        <v>24</v>
      </c>
      <c r="O13" s="16">
        <f>两日求解价格与决策!O205</f>
        <v>0</v>
      </c>
      <c r="P13" s="16">
        <f>两日求解价格与决策!P205</f>
        <v>0.8600228571428572</v>
      </c>
      <c r="Q13" s="17">
        <f>两日求解价格与决策!Q205</f>
        <v>999.39687877284643</v>
      </c>
      <c r="R13" s="17">
        <f>两日求解价格与决策!R205</f>
        <v>662.24534522516342</v>
      </c>
      <c r="S13" s="17">
        <f>两日求解价格与决策!S205</f>
        <v>42.764850494540049</v>
      </c>
      <c r="T13" s="17">
        <f>两日求解价格与决策!T205</f>
        <v>16.236921845520552</v>
      </c>
      <c r="U13" s="17">
        <f>两日求解价格与决策!U205</f>
        <v>0</v>
      </c>
      <c r="V13" s="17">
        <f>两日求解价格与决策!V205</f>
        <v>-66.075546444293806</v>
      </c>
      <c r="W13" s="17">
        <f>两日求解价格与决策!W205</f>
        <v>1654.5684498937765</v>
      </c>
      <c r="X13" s="12">
        <f>两日求解价格与决策!X205</f>
        <v>1654.5684498937767</v>
      </c>
      <c r="Y13" s="19">
        <f>两日求解价格与决策!Y205</f>
        <v>0</v>
      </c>
      <c r="Z13" s="12" t="str">
        <f t="shared" si="0"/>
        <v>正式执行</v>
      </c>
      <c r="AA13" s="12">
        <f>两日求解价格与决策!AA205</f>
        <v>1</v>
      </c>
      <c r="AB13" s="12">
        <f>两日求解价格与决策!AB205</f>
        <v>1</v>
      </c>
      <c r="AC13" s="12">
        <f>两日求解价格与决策!AC205</f>
        <v>0.25</v>
      </c>
      <c r="AD13" s="18">
        <f>两日求解价格与决策!AD205</f>
        <v>0.3125</v>
      </c>
      <c r="AE13" s="18">
        <f>两日求解价格与决策!AE205</f>
        <v>0.13714285714285715</v>
      </c>
      <c r="AF13" s="18">
        <f>两日求解价格与决策!AF205</f>
        <v>0</v>
      </c>
      <c r="AG13" s="18">
        <f>两日求解价格与决策!AG205</f>
        <v>0.14333714285714286</v>
      </c>
      <c r="AH13" s="12">
        <f>两日求解价格与决策!AH205</f>
        <v>175</v>
      </c>
      <c r="AI13" s="12">
        <f>两日求解价格与决策!AI205</f>
        <v>175</v>
      </c>
      <c r="AJ13" s="12">
        <f>两日求解价格与决策!AJ205</f>
        <v>0</v>
      </c>
      <c r="AK13" s="12">
        <f>两日求解价格与决策!AK205</f>
        <v>6.2709999999999999</v>
      </c>
      <c r="AL13" s="12">
        <f>两日求解价格与决策!AL205</f>
        <v>128</v>
      </c>
      <c r="AM13" s="12">
        <f>两日求解价格与决策!AM205</f>
        <v>1.39374126129363E-2</v>
      </c>
      <c r="AN13" s="12">
        <f>两日求解价格与决策!AN205</f>
        <v>0.10212278210108067</v>
      </c>
      <c r="AO13" s="12">
        <f>两日求解价格与决策!AO205</f>
        <v>4.5296343346341477</v>
      </c>
      <c r="AP13" s="12">
        <f>两日求解价格与决策!AP205</f>
        <v>31.739130434782584</v>
      </c>
      <c r="AQ13" s="19">
        <f>两日求解价格与决策!AQ205</f>
        <v>0</v>
      </c>
      <c r="AR13" s="12">
        <f>两日求解价格与决策!AR205</f>
        <v>5.2473000000000001</v>
      </c>
      <c r="AS13" s="14">
        <f>两日求解价格与决策!AS205</f>
        <v>46234</v>
      </c>
      <c r="AT13" s="13">
        <f>两日求解价格与决策!AT205</f>
        <v>46235.916666666664</v>
      </c>
      <c r="AU13" s="12" t="str">
        <f>两日求解价格与决策!AU205</f>
        <v>2026-08-02_1</v>
      </c>
      <c r="AV13" s="12">
        <f>两日求解价格与决策!AV205</f>
        <v>15</v>
      </c>
      <c r="AW13" s="12" t="str">
        <f>两日求解价格与决策!AW205</f>
        <v>OK</v>
      </c>
      <c r="AX13" s="12">
        <f>两日求解价格与决策!AX205</f>
        <v>128</v>
      </c>
      <c r="AY13" s="12">
        <f>两日求解价格与决策!AY205</f>
        <v>175</v>
      </c>
      <c r="AZ13" s="12">
        <f>两日求解价格与决策!AZ205</f>
        <v>175</v>
      </c>
      <c r="BA13" s="12">
        <f>两日求解价格与决策!BA205</f>
        <v>40</v>
      </c>
      <c r="BB13" s="12">
        <f>两日求解价格与决策!BB205</f>
        <v>24</v>
      </c>
      <c r="BC13" s="12">
        <f>两日求解价格与决策!BC205</f>
        <v>24</v>
      </c>
      <c r="BD13" s="14">
        <f>两日求解价格与决策!BD205</f>
        <v>46236</v>
      </c>
      <c r="BE13" s="1" t="str">
        <f>两日求解价格与决策!BE205</f>
        <v>21.150138 MW × 189.010000 × 0.250000 h = 999.396879 EUR</v>
      </c>
      <c r="BF13" s="1" t="str">
        <f>两日求解价格与决策!BF205</f>
        <v>40.000000 MW × 66.224535 × 0.250000 h = 662.245345 EUR</v>
      </c>
      <c r="BG13" s="1" t="str">
        <f>两日求解价格与决策!BG205</f>
        <v>24.000000 MW × 7.127475 × 0.250000 h = 42.764850 EUR</v>
      </c>
      <c r="BH13" s="1" t="str">
        <f>两日求解价格与决策!BH205</f>
        <v>24.000000 MW × 2.706154 × 0.250000 h = 16.236922 EUR</v>
      </c>
      <c r="BI13" s="1" t="str">
        <f>两日求解价格与决策!BI205</f>
        <v>零上调激活电量</v>
      </c>
      <c r="BJ13" s="1" t="str">
        <f>两日求解价格与决策!BJ205</f>
        <v>−(0.860023 MWh × 76.829989) = -66.075546 EUR</v>
      </c>
      <c r="BK13" s="1" t="str">
        <f>两日求解价格与决策!BK205</f>
        <v>999.396879 + 662.245345 + 42.764850 + 16.236922 + 0.000000 + -66.075546 = 1654.568450 EUR</v>
      </c>
    </row>
    <row r="14" spans="1:63" ht="21" customHeight="1" x14ac:dyDescent="0.45">
      <c r="A14" s="13">
        <f>两日求解价格与决策!A206</f>
        <v>46236.052083333336</v>
      </c>
      <c r="B14" s="15">
        <f>两日求解价格与决策!B206</f>
        <v>171.26</v>
      </c>
      <c r="C14" s="15">
        <f>两日求解价格与决策!C206</f>
        <v>66.224534522516336</v>
      </c>
      <c r="D14" s="15">
        <f>两日求解价格与决策!D206</f>
        <v>7.1274750824233415</v>
      </c>
      <c r="E14" s="15">
        <f>两日求解价格与决策!E206</f>
        <v>2.7061536409200921</v>
      </c>
      <c r="F14" s="15">
        <f>两日求解价格与决策!F206</f>
        <v>152.45936005183617</v>
      </c>
      <c r="G14" s="15">
        <f>两日求解价格与决策!G206</f>
        <v>77.033712575991458</v>
      </c>
      <c r="H14" s="15" t="str">
        <f>两日求解价格与决策!H206</f>
        <v>未模拟</v>
      </c>
      <c r="I14" s="16">
        <f>两日求解价格与决策!I206</f>
        <v>31.739130434782588</v>
      </c>
      <c r="J14" s="16">
        <f>两日求解价格与决策!J206</f>
        <v>31.891706275776375</v>
      </c>
      <c r="K14" s="16">
        <f>两日求解价格与决策!K206</f>
        <v>0</v>
      </c>
      <c r="L14" s="16">
        <f>两日求解价格与决策!L206</f>
        <v>40</v>
      </c>
      <c r="M14" s="16">
        <f>两日求解价格与决策!M206</f>
        <v>24</v>
      </c>
      <c r="N14" s="16">
        <f>两日求解价格与决策!N206</f>
        <v>24</v>
      </c>
      <c r="O14" s="16">
        <f>两日求解价格与决策!O206</f>
        <v>5.4857142857142865E-4</v>
      </c>
      <c r="P14" s="16">
        <f>两日求解价格与决策!P206</f>
        <v>0.16649142857142857</v>
      </c>
      <c r="Q14" s="17">
        <f>两日求解价格与决策!Q206</f>
        <v>0</v>
      </c>
      <c r="R14" s="17">
        <f>两日求解价格与决策!R206</f>
        <v>662.24534522516342</v>
      </c>
      <c r="S14" s="17">
        <f>两日求解价格与决策!S206</f>
        <v>42.764850494540049</v>
      </c>
      <c r="T14" s="17">
        <f>两日求解价格与决策!T206</f>
        <v>16.236921845520552</v>
      </c>
      <c r="U14" s="17">
        <f>两日求解价格与决策!U206</f>
        <v>8.3634848942721565E-2</v>
      </c>
      <c r="V14" s="17">
        <f>两日求解价格与决策!V206</f>
        <v>-12.825452854937641</v>
      </c>
      <c r="W14" s="17">
        <f>两日求解价格与决策!W206</f>
        <v>708.505299559229</v>
      </c>
      <c r="X14" s="12">
        <f>两日求解价格与决策!X206</f>
        <v>708.50529955922912</v>
      </c>
      <c r="Y14" s="19">
        <f>两日求解价格与决策!Y206</f>
        <v>0</v>
      </c>
      <c r="Z14" s="12" t="str">
        <f t="shared" si="0"/>
        <v>正式执行</v>
      </c>
      <c r="AA14" s="12">
        <f>两日求解价格与决策!AA206</f>
        <v>1</v>
      </c>
      <c r="AB14" s="12">
        <f>两日求解价格与决策!AB206</f>
        <v>1</v>
      </c>
      <c r="AC14" s="12">
        <f>两日求解价格与决策!AC206</f>
        <v>0.25</v>
      </c>
      <c r="AD14" s="18">
        <f>两日求解价格与决策!AD206</f>
        <v>0.3125</v>
      </c>
      <c r="AE14" s="18">
        <f>两日求解价格与决策!AE206</f>
        <v>0.13714285714285715</v>
      </c>
      <c r="AF14" s="18">
        <f>两日求解价格与决策!AF206</f>
        <v>9.1428571428571432E-5</v>
      </c>
      <c r="AG14" s="18">
        <f>两日求解价格与决策!AG206</f>
        <v>2.7748571428571428E-2</v>
      </c>
      <c r="AH14" s="12">
        <f>两日求解价格与决策!AH206</f>
        <v>175</v>
      </c>
      <c r="AI14" s="12">
        <f>两日求解价格与决策!AI206</f>
        <v>175</v>
      </c>
      <c r="AJ14" s="12">
        <f>两日求解价格与决策!AJ206</f>
        <v>4.0000000000000001E-3</v>
      </c>
      <c r="AK14" s="12">
        <f>两日求解价格与决策!AK206</f>
        <v>1.214</v>
      </c>
      <c r="AL14" s="12">
        <f>两日求解价格与决策!AL206</f>
        <v>128</v>
      </c>
      <c r="AM14" s="12">
        <f>两日求解价格与决策!AM206</f>
        <v>4.2713440993788818E-4</v>
      </c>
      <c r="AN14" s="12">
        <f>两日求解价格与决策!AN206</f>
        <v>0.16649142857142857</v>
      </c>
      <c r="AO14" s="12">
        <f>两日求解价格与决策!AO206</f>
        <v>5.4857142857142865E-4</v>
      </c>
      <c r="AP14" s="12">
        <f>两日求解价格与决策!AP206</f>
        <v>31.891706275776372</v>
      </c>
      <c r="AQ14" s="19">
        <f>两日求解价格与决策!AQ206</f>
        <v>0</v>
      </c>
      <c r="AR14" s="12">
        <f>两日求解价格与决策!AR206</f>
        <v>5.2473000000000001</v>
      </c>
      <c r="AS14" s="14">
        <f>两日求解价格与决策!AS206</f>
        <v>46234</v>
      </c>
      <c r="AT14" s="13">
        <f>两日求解价格与决策!AT206</f>
        <v>46235.927083333336</v>
      </c>
      <c r="AU14" s="12" t="str">
        <f>两日求解价格与决策!AU206</f>
        <v>2026-08-02_2</v>
      </c>
      <c r="AV14" s="12">
        <f>两日求解价格与决策!AV206</f>
        <v>15</v>
      </c>
      <c r="AW14" s="12" t="str">
        <f>两日求解价格与决策!AW206</f>
        <v>OK</v>
      </c>
      <c r="AX14" s="12">
        <f>两日求解价格与决策!AX206</f>
        <v>128</v>
      </c>
      <c r="AY14" s="12">
        <f>两日求解价格与决策!AY206</f>
        <v>175</v>
      </c>
      <c r="AZ14" s="12">
        <f>两日求解价格与决策!AZ206</f>
        <v>175</v>
      </c>
      <c r="BA14" s="12">
        <f>两日求解价格与决策!BA206</f>
        <v>40</v>
      </c>
      <c r="BB14" s="12">
        <f>两日求解价格与决策!BB206</f>
        <v>24</v>
      </c>
      <c r="BC14" s="12">
        <f>两日求解价格与决策!BC206</f>
        <v>24</v>
      </c>
      <c r="BD14" s="14">
        <f>两日求解价格与决策!BD206</f>
        <v>46236</v>
      </c>
      <c r="BE14" s="1" t="str">
        <f>两日求解价格与决策!BE206</f>
        <v>零头寸，无结算现金</v>
      </c>
      <c r="BF14" s="1" t="str">
        <f>两日求解价格与决策!BF206</f>
        <v>40.000000 MW × 66.224535 × 0.250000 h = 662.245345 EUR</v>
      </c>
      <c r="BG14" s="1" t="str">
        <f>两日求解价格与决策!BG206</f>
        <v>24.000000 MW × 7.127475 × 0.250000 h = 42.764850 EUR</v>
      </c>
      <c r="BH14" s="1" t="str">
        <f>两日求解价格与决策!BH206</f>
        <v>24.000000 MW × 2.706154 × 0.250000 h = 16.236922 EUR</v>
      </c>
      <c r="BI14" s="1" t="str">
        <f>两日求解价格与决策!BI206</f>
        <v>0.000549 MWh × 152.459360 = 0.083635 EUR</v>
      </c>
      <c r="BJ14" s="1" t="str">
        <f>两日求解价格与决策!BJ206</f>
        <v>−(0.166491 MWh × 77.033713) = -12.825453 EUR</v>
      </c>
      <c r="BK14" s="1" t="str">
        <f>两日求解价格与决策!BK206</f>
        <v>0.000000 + 662.245345 + 42.764850 + 16.236922 + 0.083635 + -12.825453 = 708.505300 EUR</v>
      </c>
    </row>
    <row r="15" spans="1:63" ht="21" customHeight="1" x14ac:dyDescent="0.45">
      <c r="A15" s="13">
        <f>两日求解价格与决策!A207</f>
        <v>46236.0625</v>
      </c>
      <c r="B15" s="15">
        <f>两日求解价格与决策!B207</f>
        <v>161.1</v>
      </c>
      <c r="C15" s="15">
        <f>两日求解价格与决策!C207</f>
        <v>66.224534522516336</v>
      </c>
      <c r="D15" s="15">
        <f>两日求解价格与决策!D207</f>
        <v>7.1274750824233415</v>
      </c>
      <c r="E15" s="15">
        <f>两日求解价格与决策!E207</f>
        <v>2.7061536409200921</v>
      </c>
      <c r="F15" s="15">
        <f>两日求解价格与决策!F207</f>
        <v>152.45936005183617</v>
      </c>
      <c r="G15" s="15">
        <f>两日求解价格与决策!G207</f>
        <v>77.182551026242066</v>
      </c>
      <c r="H15" s="15" t="str">
        <f>两日求解价格与决策!H207</f>
        <v>未模拟</v>
      </c>
      <c r="I15" s="16">
        <f>两日求解价格与决策!I207</f>
        <v>31.891706275776375</v>
      </c>
      <c r="J15" s="16">
        <f>两日求解价格与决策!J207</f>
        <v>32.058692372670784</v>
      </c>
      <c r="K15" s="16">
        <f>两日求解价格与决策!K207</f>
        <v>0</v>
      </c>
      <c r="L15" s="16">
        <f>两日求解价格与决策!L207</f>
        <v>40</v>
      </c>
      <c r="M15" s="16">
        <f>两日求解价格与决策!M207</f>
        <v>24</v>
      </c>
      <c r="N15" s="16">
        <f>两日求解价格与决策!N207</f>
        <v>24</v>
      </c>
      <c r="O15" s="16">
        <f>两日求解价格与决策!O207</f>
        <v>1.2479999999999998E-2</v>
      </c>
      <c r="P15" s="16">
        <f>两日求解价格与决策!P207</f>
        <v>0.19625142857142858</v>
      </c>
      <c r="Q15" s="17">
        <f>两日求解价格与决策!Q207</f>
        <v>0</v>
      </c>
      <c r="R15" s="17">
        <f>两日求解价格与决策!R207</f>
        <v>662.24534522516342</v>
      </c>
      <c r="S15" s="17">
        <f>两日求解价格与决策!S207</f>
        <v>42.764850494540049</v>
      </c>
      <c r="T15" s="17">
        <f>两日求解价格与决策!T207</f>
        <v>16.236921845520552</v>
      </c>
      <c r="U15" s="17">
        <f>两日求解价格与决策!U207</f>
        <v>1.9026928134469152</v>
      </c>
      <c r="V15" s="17">
        <f>两日求解价格与决策!V207</f>
        <v>-15.147185899687186</v>
      </c>
      <c r="W15" s="17">
        <f>两日求解价格与决策!W207</f>
        <v>708.00262447898376</v>
      </c>
      <c r="X15" s="12">
        <f>两日求解价格与决策!X207</f>
        <v>708.00262447898376</v>
      </c>
      <c r="Y15" s="19">
        <f>两日求解价格与决策!Y207</f>
        <v>0</v>
      </c>
      <c r="Z15" s="12" t="str">
        <f t="shared" si="0"/>
        <v>正式执行</v>
      </c>
      <c r="AA15" s="12">
        <f>两日求解价格与决策!AA207</f>
        <v>1</v>
      </c>
      <c r="AB15" s="12">
        <f>两日求解价格与决策!AB207</f>
        <v>1</v>
      </c>
      <c r="AC15" s="12">
        <f>两日求解价格与决策!AC207</f>
        <v>0.25</v>
      </c>
      <c r="AD15" s="18">
        <f>两日求解价格与决策!AD207</f>
        <v>0.3125</v>
      </c>
      <c r="AE15" s="18">
        <f>两日求解价格与决策!AE207</f>
        <v>0.13714285714285715</v>
      </c>
      <c r="AF15" s="18">
        <f>两日求解价格与决策!AF207</f>
        <v>2.0799999999999998E-3</v>
      </c>
      <c r="AG15" s="18">
        <f>两日求解价格与决策!AG207</f>
        <v>3.2708571428571427E-2</v>
      </c>
      <c r="AH15" s="12">
        <f>两日求解价格与决策!AH207</f>
        <v>175</v>
      </c>
      <c r="AI15" s="12">
        <f>两日求解价格与决策!AI207</f>
        <v>175</v>
      </c>
      <c r="AJ15" s="12">
        <f>两日求解价格与决策!AJ207</f>
        <v>9.0999999999999998E-2</v>
      </c>
      <c r="AK15" s="12">
        <f>两日求解价格与决策!AK207</f>
        <v>1.431</v>
      </c>
      <c r="AL15" s="12">
        <f>两日求解价格与决策!AL207</f>
        <v>128</v>
      </c>
      <c r="AM15" s="12">
        <f>两日求解价格与决策!AM207</f>
        <v>5.3921258799171843E-4</v>
      </c>
      <c r="AN15" s="12">
        <f>两日求解价格与决策!AN207</f>
        <v>0.19625142857142858</v>
      </c>
      <c r="AO15" s="12">
        <f>两日求解价格与决策!AO207</f>
        <v>1.2479999999999998E-2</v>
      </c>
      <c r="AP15" s="12">
        <f>两日求解价格与决策!AP207</f>
        <v>32.058692372670784</v>
      </c>
      <c r="AQ15" s="19">
        <f>两日求解价格与决策!AQ207</f>
        <v>0</v>
      </c>
      <c r="AR15" s="12">
        <f>两日求解价格与决策!AR207</f>
        <v>5.2473000000000001</v>
      </c>
      <c r="AS15" s="14">
        <f>两日求解价格与决策!AS207</f>
        <v>46234</v>
      </c>
      <c r="AT15" s="13">
        <f>两日求解价格与决策!AT207</f>
        <v>46235.9375</v>
      </c>
      <c r="AU15" s="12" t="str">
        <f>两日求解价格与决策!AU207</f>
        <v>2026-08-02_3</v>
      </c>
      <c r="AV15" s="12">
        <f>两日求解价格与决策!AV207</f>
        <v>15</v>
      </c>
      <c r="AW15" s="12" t="str">
        <f>两日求解价格与决策!AW207</f>
        <v>OK</v>
      </c>
      <c r="AX15" s="12">
        <f>两日求解价格与决策!AX207</f>
        <v>128</v>
      </c>
      <c r="AY15" s="12">
        <f>两日求解价格与决策!AY207</f>
        <v>175</v>
      </c>
      <c r="AZ15" s="12">
        <f>两日求解价格与决策!AZ207</f>
        <v>175</v>
      </c>
      <c r="BA15" s="12">
        <f>两日求解价格与决策!BA207</f>
        <v>40</v>
      </c>
      <c r="BB15" s="12">
        <f>两日求解价格与决策!BB207</f>
        <v>24</v>
      </c>
      <c r="BC15" s="12">
        <f>两日求解价格与决策!BC207</f>
        <v>24</v>
      </c>
      <c r="BD15" s="14">
        <f>两日求解价格与决策!BD207</f>
        <v>46236</v>
      </c>
      <c r="BE15" s="1" t="str">
        <f>两日求解价格与决策!BE207</f>
        <v>零头寸，无结算现金</v>
      </c>
      <c r="BF15" s="1" t="str">
        <f>两日求解价格与决策!BF207</f>
        <v>40.000000 MW × 66.224535 × 0.250000 h = 662.245345 EUR</v>
      </c>
      <c r="BG15" s="1" t="str">
        <f>两日求解价格与决策!BG207</f>
        <v>24.000000 MW × 7.127475 × 0.250000 h = 42.764850 EUR</v>
      </c>
      <c r="BH15" s="1" t="str">
        <f>两日求解价格与决策!BH207</f>
        <v>24.000000 MW × 2.706154 × 0.250000 h = 16.236922 EUR</v>
      </c>
      <c r="BI15" s="1" t="str">
        <f>两日求解价格与决策!BI207</f>
        <v>0.012480 MWh × 152.459360 = 1.902693 EUR</v>
      </c>
      <c r="BJ15" s="1" t="str">
        <f>两日求解价格与决策!BJ207</f>
        <v>−(0.196251 MWh × 77.182551) = -15.147186 EUR</v>
      </c>
      <c r="BK15" s="1" t="str">
        <f>两日求解价格与决策!BK207</f>
        <v>0.000000 + 662.245345 + 42.764850 + 16.236922 + 1.902693 + -15.147186 = 708.002624 EUR</v>
      </c>
    </row>
    <row r="16" spans="1:63" ht="21" customHeight="1" x14ac:dyDescent="0.45">
      <c r="A16" s="13">
        <f>两日求解价格与决策!A208</f>
        <v>46236.072916666664</v>
      </c>
      <c r="B16" s="15">
        <f>两日求解价格与决策!B208</f>
        <v>160.43</v>
      </c>
      <c r="C16" s="15">
        <f>两日求解价格与决策!C208</f>
        <v>66.224534522516336</v>
      </c>
      <c r="D16" s="15">
        <f>两日求解价格与决策!D208</f>
        <v>7.1274750824233415</v>
      </c>
      <c r="E16" s="15">
        <f>两日求解价格与决策!E208</f>
        <v>2.7061536409200921</v>
      </c>
      <c r="F16" s="15">
        <f>两日求解价格与决策!F208</f>
        <v>165.0061936615021</v>
      </c>
      <c r="G16" s="15">
        <f>两日求解价格与决策!G208</f>
        <v>77.182551026242066</v>
      </c>
      <c r="H16" s="15" t="str">
        <f>两日求解价格与决策!H208</f>
        <v>未模拟</v>
      </c>
      <c r="I16" s="16">
        <f>两日求解价格与决策!I208</f>
        <v>32.058692372670784</v>
      </c>
      <c r="J16" s="16">
        <f>两日求解价格与决策!J208</f>
        <v>32.085839503105568</v>
      </c>
      <c r="K16" s="16">
        <f>两日求解价格与决策!K208</f>
        <v>0</v>
      </c>
      <c r="L16" s="16">
        <f>两日求解价格与决策!L208</f>
        <v>40</v>
      </c>
      <c r="M16" s="16">
        <f>两日求解价格与决策!M208</f>
        <v>24</v>
      </c>
      <c r="N16" s="16">
        <f>两日求解价格与决策!N208</f>
        <v>24</v>
      </c>
      <c r="O16" s="16">
        <f>两日求解价格与决策!O208</f>
        <v>2.784E-2</v>
      </c>
      <c r="P16" s="16">
        <f>两日求解价格与决策!P208</f>
        <v>6.2399999999999997E-2</v>
      </c>
      <c r="Q16" s="17">
        <f>两日求解价格与决策!Q208</f>
        <v>0</v>
      </c>
      <c r="R16" s="17">
        <f>两日求解价格与决策!R208</f>
        <v>662.24534522516342</v>
      </c>
      <c r="S16" s="17">
        <f>两日求解价格与决策!S208</f>
        <v>42.764850494540049</v>
      </c>
      <c r="T16" s="17">
        <f>两日求解价格与决策!T208</f>
        <v>16.236921845520552</v>
      </c>
      <c r="U16" s="17">
        <f>两日求解价格与决策!U208</f>
        <v>4.5937724315362187</v>
      </c>
      <c r="V16" s="17">
        <f>两日求解价格与决策!V208</f>
        <v>-4.8161911840375051</v>
      </c>
      <c r="W16" s="17">
        <f>两日求解价格与决策!W208</f>
        <v>721.0246988127227</v>
      </c>
      <c r="X16" s="12">
        <f>两日求解价格与决策!X208</f>
        <v>721.0246988127227</v>
      </c>
      <c r="Y16" s="19">
        <f>两日求解价格与决策!Y208</f>
        <v>0</v>
      </c>
      <c r="Z16" s="12" t="str">
        <f t="shared" si="0"/>
        <v>正式执行</v>
      </c>
      <c r="AA16" s="12">
        <f>两日求解价格与决策!AA208</f>
        <v>1</v>
      </c>
      <c r="AB16" s="12">
        <f>两日求解价格与决策!AB208</f>
        <v>1</v>
      </c>
      <c r="AC16" s="12">
        <f>两日求解价格与决策!AC208</f>
        <v>0.25</v>
      </c>
      <c r="AD16" s="18">
        <f>两日求解价格与决策!AD208</f>
        <v>0.3125</v>
      </c>
      <c r="AE16" s="18">
        <f>两日求解价格与决策!AE208</f>
        <v>0.13714285714285715</v>
      </c>
      <c r="AF16" s="18">
        <f>两日求解价格与决策!AF208</f>
        <v>4.64E-3</v>
      </c>
      <c r="AG16" s="18">
        <f>两日求解价格与决策!AG208</f>
        <v>1.04E-2</v>
      </c>
      <c r="AH16" s="12">
        <f>两日求解价格与决策!AH208</f>
        <v>175</v>
      </c>
      <c r="AI16" s="12">
        <f>两日求解价格与决策!AI208</f>
        <v>175</v>
      </c>
      <c r="AJ16" s="12">
        <f>两日求解价格与决策!AJ208</f>
        <v>0.20300000000000001</v>
      </c>
      <c r="AK16" s="12">
        <f>两日求解价格与决策!AK208</f>
        <v>0.45500000000000002</v>
      </c>
      <c r="AL16" s="12">
        <f>两日求解价格与决策!AL208</f>
        <v>128</v>
      </c>
      <c r="AM16" s="12">
        <f>两日求解价格与决策!AM208</f>
        <v>2.4352463768115943E-4</v>
      </c>
      <c r="AN16" s="12">
        <f>两日求解价格与决策!AN208</f>
        <v>6.2399999999999997E-2</v>
      </c>
      <c r="AO16" s="12">
        <f>两日求解价格与决策!AO208</f>
        <v>2.784E-2</v>
      </c>
      <c r="AP16" s="12">
        <f>两日求解价格与决策!AP208</f>
        <v>32.085839503105568</v>
      </c>
      <c r="AQ16" s="19">
        <f>两日求解价格与决策!AQ208</f>
        <v>0</v>
      </c>
      <c r="AR16" s="12">
        <f>两日求解价格与决策!AR208</f>
        <v>5.2473000000000001</v>
      </c>
      <c r="AS16" s="14">
        <f>两日求解价格与决策!AS208</f>
        <v>46234</v>
      </c>
      <c r="AT16" s="13">
        <f>两日求解价格与决策!AT208</f>
        <v>46235.947916666664</v>
      </c>
      <c r="AU16" s="12" t="str">
        <f>两日求解价格与决策!AU208</f>
        <v>2026-08-02_4</v>
      </c>
      <c r="AV16" s="12">
        <f>两日求解价格与决策!AV208</f>
        <v>15</v>
      </c>
      <c r="AW16" s="12" t="str">
        <f>两日求解价格与决策!AW208</f>
        <v>OK</v>
      </c>
      <c r="AX16" s="12">
        <f>两日求解价格与决策!AX208</f>
        <v>128</v>
      </c>
      <c r="AY16" s="12">
        <f>两日求解价格与决策!AY208</f>
        <v>175</v>
      </c>
      <c r="AZ16" s="12">
        <f>两日求解价格与决策!AZ208</f>
        <v>175</v>
      </c>
      <c r="BA16" s="12">
        <f>两日求解价格与决策!BA208</f>
        <v>40</v>
      </c>
      <c r="BB16" s="12">
        <f>两日求解价格与决策!BB208</f>
        <v>24</v>
      </c>
      <c r="BC16" s="12">
        <f>两日求解价格与决策!BC208</f>
        <v>24</v>
      </c>
      <c r="BD16" s="14">
        <f>两日求解价格与决策!BD208</f>
        <v>46236</v>
      </c>
      <c r="BE16" s="1" t="str">
        <f>两日求解价格与决策!BE208</f>
        <v>零头寸，无结算现金</v>
      </c>
      <c r="BF16" s="1" t="str">
        <f>两日求解价格与决策!BF208</f>
        <v>40.000000 MW × 66.224535 × 0.250000 h = 662.245345 EUR</v>
      </c>
      <c r="BG16" s="1" t="str">
        <f>两日求解价格与决策!BG208</f>
        <v>24.000000 MW × 7.127475 × 0.250000 h = 42.764850 EUR</v>
      </c>
      <c r="BH16" s="1" t="str">
        <f>两日求解价格与决策!BH208</f>
        <v>24.000000 MW × 2.706154 × 0.250000 h = 16.236922 EUR</v>
      </c>
      <c r="BI16" s="1" t="str">
        <f>两日求解价格与决策!BI208</f>
        <v>0.027840 MWh × 165.006194 = 4.593772 EUR</v>
      </c>
      <c r="BJ16" s="1" t="str">
        <f>两日求解价格与决策!BJ208</f>
        <v>−(0.062400 MWh × 77.182551) = -4.816191 EUR</v>
      </c>
      <c r="BK16" s="1" t="str">
        <f>两日求解价格与决策!BK208</f>
        <v>0.000000 + 662.245345 + 42.764850 + 16.236922 + 4.593772 + -4.816191 = 721.024699 EUR</v>
      </c>
    </row>
    <row r="17" spans="1:63" ht="21" customHeight="1" x14ac:dyDescent="0.45">
      <c r="A17" s="13">
        <f>两日求解价格与决策!A209</f>
        <v>46236.083333333336</v>
      </c>
      <c r="B17" s="15">
        <f>两日求解价格与决策!B209</f>
        <v>160.86000000000001</v>
      </c>
      <c r="C17" s="15">
        <f>两日求解价格与决策!C209</f>
        <v>66.224534522516336</v>
      </c>
      <c r="D17" s="15">
        <f>两日求解价格与决策!D209</f>
        <v>7.1274750824233415</v>
      </c>
      <c r="E17" s="15">
        <f>两日求解价格与决策!E209</f>
        <v>2.7061536409200921</v>
      </c>
      <c r="F17" s="15">
        <f>两日求解价格与决策!F209</f>
        <v>178.91715739523184</v>
      </c>
      <c r="G17" s="15">
        <f>两日求解价格与决策!G209</f>
        <v>0</v>
      </c>
      <c r="H17" s="15" t="str">
        <f>两日求解价格与决策!H209</f>
        <v>未模拟</v>
      </c>
      <c r="I17" s="16">
        <f>两日求解价格与决策!I209</f>
        <v>32.085839503105568</v>
      </c>
      <c r="J17" s="16">
        <f>两日求解价格与决策!J209</f>
        <v>31.801362415478895</v>
      </c>
      <c r="K17" s="16">
        <f>两日求解价格与决策!K209</f>
        <v>-0.18024801592258491</v>
      </c>
      <c r="L17" s="16">
        <f>两日求解价格与决策!L209</f>
        <v>40</v>
      </c>
      <c r="M17" s="16">
        <f>两日求解价格与决策!M209</f>
        <v>24</v>
      </c>
      <c r="N17" s="16">
        <f>两日求解价格与决策!N209</f>
        <v>24</v>
      </c>
      <c r="O17" s="16">
        <f>两日求解价格与决策!O209</f>
        <v>0.3002057142857143</v>
      </c>
      <c r="P17" s="16">
        <f>两日求解价格与决策!P209</f>
        <v>0</v>
      </c>
      <c r="Q17" s="17">
        <f>两日求解价格与决策!Q209</f>
        <v>-7.2486739603267525</v>
      </c>
      <c r="R17" s="17">
        <f>两日求解价格与决策!R209</f>
        <v>662.24534522516342</v>
      </c>
      <c r="S17" s="17">
        <f>两日求解价格与决策!S209</f>
        <v>42.764850494540049</v>
      </c>
      <c r="T17" s="17">
        <f>两日求解价格与决策!T209</f>
        <v>16.236921845520552</v>
      </c>
      <c r="U17" s="17">
        <f>两日求解价格与决策!U209</f>
        <v>53.711953033805145</v>
      </c>
      <c r="V17" s="17">
        <f>两日求解价格与决策!V209</f>
        <v>0</v>
      </c>
      <c r="W17" s="17">
        <f>两日求解价格与决策!W209</f>
        <v>767.71039663870238</v>
      </c>
      <c r="X17" s="12">
        <f>两日求解价格与决策!X209</f>
        <v>767.71039663870238</v>
      </c>
      <c r="Y17" s="19">
        <f>两日求解价格与决策!Y209</f>
        <v>0</v>
      </c>
      <c r="Z17" s="12" t="str">
        <f t="shared" si="0"/>
        <v>正式执行</v>
      </c>
      <c r="AA17" s="12">
        <f>两日求解价格与决策!AA209</f>
        <v>1</v>
      </c>
      <c r="AB17" s="12">
        <f>两日求解价格与决策!AB209</f>
        <v>1</v>
      </c>
      <c r="AC17" s="12">
        <f>两日求解价格与决策!AC209</f>
        <v>0.25</v>
      </c>
      <c r="AD17" s="18">
        <f>两日求解价格与决策!AD209</f>
        <v>0.3125</v>
      </c>
      <c r="AE17" s="18">
        <f>两日求解价格与决策!AE209</f>
        <v>0.13714285714285715</v>
      </c>
      <c r="AF17" s="18">
        <f>两日求解价格与决策!AF209</f>
        <v>5.0034285714285719E-2</v>
      </c>
      <c r="AG17" s="18">
        <f>两日求解价格与决策!AG209</f>
        <v>0</v>
      </c>
      <c r="AH17" s="12">
        <f>两日求解价格与决策!AH209</f>
        <v>175</v>
      </c>
      <c r="AI17" s="12">
        <f>两日求解价格与决策!AI209</f>
        <v>175</v>
      </c>
      <c r="AJ17" s="12">
        <f>两日求解价格与决策!AJ209</f>
        <v>2.1890000000000001</v>
      </c>
      <c r="AK17" s="12">
        <f>两日求解价格与决策!AK209</f>
        <v>0</v>
      </c>
      <c r="AL17" s="12">
        <f>两日求解价格与决策!AL209</f>
        <v>128</v>
      </c>
      <c r="AM17" s="12">
        <f>两日求解价格与决策!AM209</f>
        <v>1.009007299489253E-3</v>
      </c>
      <c r="AN17" s="12">
        <f>两日求解价格与决策!AN209</f>
        <v>4.2807358798620292E-2</v>
      </c>
      <c r="AO17" s="12">
        <f>两日求解价格与决策!AO209</f>
        <v>0.29795106910368835</v>
      </c>
      <c r="AP17" s="12">
        <f>两日求解价格与决策!AP209</f>
        <v>31.801362415478895</v>
      </c>
      <c r="AQ17" s="19">
        <f>两日求解价格与决策!AQ209</f>
        <v>0</v>
      </c>
      <c r="AR17" s="12">
        <f>两日求解价格与决策!AR209</f>
        <v>5.2473000000000001</v>
      </c>
      <c r="AS17" s="14">
        <f>两日求解价格与决策!AS209</f>
        <v>46234</v>
      </c>
      <c r="AT17" s="13">
        <f>两日求解价格与决策!AT209</f>
        <v>46235.958333333336</v>
      </c>
      <c r="AU17" s="12" t="str">
        <f>两日求解价格与决策!AU209</f>
        <v>2026-08-02_5</v>
      </c>
      <c r="AV17" s="12">
        <f>两日求解价格与决策!AV209</f>
        <v>15</v>
      </c>
      <c r="AW17" s="12" t="str">
        <f>两日求解价格与决策!AW209</f>
        <v>OK</v>
      </c>
      <c r="AX17" s="12">
        <f>两日求解价格与决策!AX209</f>
        <v>128</v>
      </c>
      <c r="AY17" s="12">
        <f>两日求解价格与决策!AY209</f>
        <v>175</v>
      </c>
      <c r="AZ17" s="12">
        <f>两日求解价格与决策!AZ209</f>
        <v>175</v>
      </c>
      <c r="BA17" s="12">
        <f>两日求解价格与决策!BA209</f>
        <v>40</v>
      </c>
      <c r="BB17" s="12">
        <f>两日求解价格与决策!BB209</f>
        <v>24</v>
      </c>
      <c r="BC17" s="12">
        <f>两日求解价格与决策!BC209</f>
        <v>24</v>
      </c>
      <c r="BD17" s="14">
        <f>两日求解价格与决策!BD209</f>
        <v>46236</v>
      </c>
      <c r="BE17" s="1" t="str">
        <f>两日求解价格与决策!BE209</f>
        <v>-0.180248 MW × 160.860000 × 0.250000 h = -7.248674 EUR</v>
      </c>
      <c r="BF17" s="1" t="str">
        <f>两日求解价格与决策!BF209</f>
        <v>40.000000 MW × 66.224535 × 0.250000 h = 662.245345 EUR</v>
      </c>
      <c r="BG17" s="1" t="str">
        <f>两日求解价格与决策!BG209</f>
        <v>24.000000 MW × 7.127475 × 0.250000 h = 42.764850 EUR</v>
      </c>
      <c r="BH17" s="1" t="str">
        <f>两日求解价格与决策!BH209</f>
        <v>24.000000 MW × 2.706154 × 0.250000 h = 16.236922 EUR</v>
      </c>
      <c r="BI17" s="1" t="str">
        <f>两日求解价格与决策!BI209</f>
        <v>0.300206 MWh × 178.917157 = 53.711953 EUR</v>
      </c>
      <c r="BJ17" s="1" t="str">
        <f>两日求解价格与决策!BJ209</f>
        <v>零下调激活电量</v>
      </c>
      <c r="BK17" s="1" t="str">
        <f>两日求解价格与决策!BK209</f>
        <v>-7.248674 + 662.245345 + 42.764850 + 16.236922 + 53.711953 + 0.000000 = 767.710397 EUR</v>
      </c>
    </row>
    <row r="18" spans="1:63" ht="21" customHeight="1" x14ac:dyDescent="0.45">
      <c r="A18" s="13">
        <f>两日求解价格与决策!A210</f>
        <v>46236.09375</v>
      </c>
      <c r="B18" s="15">
        <f>两日求解价格与决策!B210</f>
        <v>156.81</v>
      </c>
      <c r="C18" s="15">
        <f>两日求解价格与决策!C210</f>
        <v>66.224534522516336</v>
      </c>
      <c r="D18" s="15">
        <f>两日求解价格与决策!D210</f>
        <v>7.1274750824233415</v>
      </c>
      <c r="E18" s="15">
        <f>两日求解价格与决策!E210</f>
        <v>2.7061536409200921</v>
      </c>
      <c r="F18" s="15">
        <f>两日求解价格与决策!F210</f>
        <v>171.41329826768052</v>
      </c>
      <c r="G18" s="15">
        <f>两日求解价格与决策!G210</f>
        <v>76.94566729556152</v>
      </c>
      <c r="H18" s="15" t="str">
        <f>两日求解价格与决策!H210</f>
        <v>未模拟</v>
      </c>
      <c r="I18" s="16">
        <f>两日求解价格与决策!I210</f>
        <v>31.801362415478895</v>
      </c>
      <c r="J18" s="16">
        <f>两日求解价格与决策!J210</f>
        <v>33.275638351632061</v>
      </c>
      <c r="K18" s="16">
        <f>两日求解价格与决策!K210</f>
        <v>-7.370332307693503</v>
      </c>
      <c r="L18" s="16">
        <f>两日求解价格与决策!L210</f>
        <v>40</v>
      </c>
      <c r="M18" s="16">
        <f>两日求解价格与决策!M210</f>
        <v>24</v>
      </c>
      <c r="N18" s="16">
        <f>两日求解价格与决策!N210</f>
        <v>24</v>
      </c>
      <c r="O18" s="16">
        <f>两日求解价格与决策!O210</f>
        <v>0.37714285714285717</v>
      </c>
      <c r="P18" s="16">
        <f>两日求解价格与决策!P210</f>
        <v>0.18445714285714285</v>
      </c>
      <c r="Q18" s="17">
        <f>两日求解价格与决策!Q210</f>
        <v>-288.93545229235457</v>
      </c>
      <c r="R18" s="17">
        <f>两日求解价格与决策!R210</f>
        <v>662.24534522516342</v>
      </c>
      <c r="S18" s="17">
        <f>两日求解价格与决策!S210</f>
        <v>42.764850494540049</v>
      </c>
      <c r="T18" s="17">
        <f>两日求解价格与决策!T210</f>
        <v>16.236921845520552</v>
      </c>
      <c r="U18" s="17">
        <f>两日求解价格与决策!U210</f>
        <v>64.647301060953794</v>
      </c>
      <c r="V18" s="17">
        <f>两日求解价格与决策!V210</f>
        <v>-14.193177944575575</v>
      </c>
      <c r="W18" s="17">
        <f>两日求解价格与决策!W210</f>
        <v>482.76578838924769</v>
      </c>
      <c r="X18" s="12">
        <f>两日求解价格与决策!X210</f>
        <v>482.76578838924769</v>
      </c>
      <c r="Y18" s="19">
        <f>两日求解价格与决策!Y210</f>
        <v>0</v>
      </c>
      <c r="Z18" s="12" t="str">
        <f t="shared" si="0"/>
        <v>正式执行</v>
      </c>
      <c r="AA18" s="12">
        <f>两日求解价格与决策!AA210</f>
        <v>1</v>
      </c>
      <c r="AB18" s="12">
        <f>两日求解价格与决策!AB210</f>
        <v>1</v>
      </c>
      <c r="AC18" s="12">
        <f>两日求解价格与决策!AC210</f>
        <v>0.25</v>
      </c>
      <c r="AD18" s="18">
        <f>两日求解价格与决策!AD210</f>
        <v>0.3125</v>
      </c>
      <c r="AE18" s="18">
        <f>两日求解价格与决策!AE210</f>
        <v>0.13714285714285715</v>
      </c>
      <c r="AF18" s="18">
        <f>两日求解价格与决策!AF210</f>
        <v>6.2857142857142861E-2</v>
      </c>
      <c r="AG18" s="18">
        <f>两日求解价格与决策!AG210</f>
        <v>3.0742857142857141E-2</v>
      </c>
      <c r="AH18" s="12">
        <f>两日求解价格与决策!AH210</f>
        <v>175</v>
      </c>
      <c r="AI18" s="12">
        <f>两日求解价格与决策!AI210</f>
        <v>175</v>
      </c>
      <c r="AJ18" s="12">
        <f>两日求解价格与决策!AJ210</f>
        <v>2.75</v>
      </c>
      <c r="AK18" s="12">
        <f>两日求解价格与决策!AK210</f>
        <v>1.345</v>
      </c>
      <c r="AL18" s="12">
        <f>两日求解价格与决策!AL210</f>
        <v>128</v>
      </c>
      <c r="AM18" s="12">
        <f>两日求解价格与决策!AM210</f>
        <v>5.6732504835808476E-3</v>
      </c>
      <c r="AN18" s="12">
        <f>两日求解价格与决策!AN210</f>
        <v>1.9112207120881919</v>
      </c>
      <c r="AO18" s="12">
        <f>两日求解价格与决策!AO210</f>
        <v>0.26132334945053071</v>
      </c>
      <c r="AP18" s="12">
        <f>两日求解价格与决策!AP210</f>
        <v>33.275638351632061</v>
      </c>
      <c r="AQ18" s="19">
        <f>两日求解价格与决策!AQ210</f>
        <v>0</v>
      </c>
      <c r="AR18" s="12">
        <f>两日求解价格与决策!AR210</f>
        <v>5.2473000000000001</v>
      </c>
      <c r="AS18" s="14">
        <f>两日求解价格与决策!AS210</f>
        <v>46234</v>
      </c>
      <c r="AT18" s="13">
        <f>两日求解价格与决策!AT210</f>
        <v>46235.96875</v>
      </c>
      <c r="AU18" s="12" t="str">
        <f>两日求解价格与决策!AU210</f>
        <v>2026-08-02_6</v>
      </c>
      <c r="AV18" s="12">
        <f>两日求解价格与决策!AV210</f>
        <v>15</v>
      </c>
      <c r="AW18" s="12" t="str">
        <f>两日求解价格与决策!AW210</f>
        <v>OK</v>
      </c>
      <c r="AX18" s="12">
        <f>两日求解价格与决策!AX210</f>
        <v>128</v>
      </c>
      <c r="AY18" s="12">
        <f>两日求解价格与决策!AY210</f>
        <v>175</v>
      </c>
      <c r="AZ18" s="12">
        <f>两日求解价格与决策!AZ210</f>
        <v>175</v>
      </c>
      <c r="BA18" s="12">
        <f>两日求解价格与决策!BA210</f>
        <v>40</v>
      </c>
      <c r="BB18" s="12">
        <f>两日求解价格与决策!BB210</f>
        <v>24</v>
      </c>
      <c r="BC18" s="12">
        <f>两日求解价格与决策!BC210</f>
        <v>24</v>
      </c>
      <c r="BD18" s="14">
        <f>两日求解价格与决策!BD210</f>
        <v>46236</v>
      </c>
      <c r="BE18" s="1" t="str">
        <f>两日求解价格与决策!BE210</f>
        <v>-7.370332 MW × 156.810000 × 0.250000 h = -288.935452 EUR</v>
      </c>
      <c r="BF18" s="1" t="str">
        <f>两日求解价格与决策!BF210</f>
        <v>40.000000 MW × 66.224535 × 0.250000 h = 662.245345 EUR</v>
      </c>
      <c r="BG18" s="1" t="str">
        <f>两日求解价格与决策!BG210</f>
        <v>24.000000 MW × 7.127475 × 0.250000 h = 42.764850 EUR</v>
      </c>
      <c r="BH18" s="1" t="str">
        <f>两日求解价格与决策!BH210</f>
        <v>24.000000 MW × 2.706154 × 0.250000 h = 16.236922 EUR</v>
      </c>
      <c r="BI18" s="1" t="str">
        <f>两日求解价格与决策!BI210</f>
        <v>0.377143 MWh × 171.413298 = 64.647301 EUR</v>
      </c>
      <c r="BJ18" s="1" t="str">
        <f>两日求解价格与决策!BJ210</f>
        <v>−(0.184457 MWh × 76.945667) = -14.193178 EUR</v>
      </c>
      <c r="BK18" s="1" t="str">
        <f>两日求解价格与决策!BK210</f>
        <v>-288.935452 + 662.245345 + 42.764850 + 16.236922 + 64.647301 + -14.193178 = 482.765788 EUR</v>
      </c>
    </row>
    <row r="19" spans="1:63" ht="21" customHeight="1" x14ac:dyDescent="0.45">
      <c r="A19" s="13">
        <f>两日求解价格与决策!A211</f>
        <v>46236.104166666664</v>
      </c>
      <c r="B19" s="15">
        <f>两日求解价格与决策!B211</f>
        <v>162.01</v>
      </c>
      <c r="C19" s="15">
        <f>两日求解价格与决策!C211</f>
        <v>66.224534522516336</v>
      </c>
      <c r="D19" s="15">
        <f>两日求解价格与决策!D211</f>
        <v>7.1274750824233415</v>
      </c>
      <c r="E19" s="15">
        <f>两日求解价格与决策!E211</f>
        <v>2.7061536409200921</v>
      </c>
      <c r="F19" s="15">
        <f>两日求解价格与决策!F211</f>
        <v>171.25702742362736</v>
      </c>
      <c r="G19" s="15">
        <f>两日求解价格与决策!G211</f>
        <v>77.182551026242066</v>
      </c>
      <c r="H19" s="15" t="str">
        <f>两日求解价格与决策!H211</f>
        <v>未模拟</v>
      </c>
      <c r="I19" s="16">
        <f>两日求解价格与决策!I211</f>
        <v>33.275638351632061</v>
      </c>
      <c r="J19" s="16">
        <f>两日求解价格与决策!J211</f>
        <v>32.653186992625848</v>
      </c>
      <c r="K19" s="16">
        <f>两日求解价格与决策!K211</f>
        <v>0</v>
      </c>
      <c r="L19" s="16">
        <f>两日求解价格与决策!L211</f>
        <v>40</v>
      </c>
      <c r="M19" s="16">
        <f>两日求解价格与决策!M211</f>
        <v>24</v>
      </c>
      <c r="N19" s="16">
        <f>两日求解价格与决策!N211</f>
        <v>24</v>
      </c>
      <c r="O19" s="16">
        <f>两日求解价格与决策!O211</f>
        <v>0.57462857142857149</v>
      </c>
      <c r="P19" s="16">
        <f>两日求解价格与决策!P211</f>
        <v>2.3314285714285715E-3</v>
      </c>
      <c r="Q19" s="17">
        <f>两日求解价格与决策!Q211</f>
        <v>0</v>
      </c>
      <c r="R19" s="17">
        <f>两日求解价格与决策!R211</f>
        <v>662.24534522516342</v>
      </c>
      <c r="S19" s="17">
        <f>两日求解价格与决策!S211</f>
        <v>42.764850494540049</v>
      </c>
      <c r="T19" s="17">
        <f>两日求解价格与决策!T211</f>
        <v>16.236921845520552</v>
      </c>
      <c r="U19" s="17">
        <f>两日求解价格与决策!U211</f>
        <v>98.409181015542686</v>
      </c>
      <c r="V19" s="17">
        <f>两日求解价格与决策!V211</f>
        <v>-0.17994560467832438</v>
      </c>
      <c r="W19" s="17">
        <f>两日求解价格与决策!W211</f>
        <v>819.47635297608838</v>
      </c>
      <c r="X19" s="12">
        <f>两日求解价格与决策!X211</f>
        <v>819.47635297608838</v>
      </c>
      <c r="Y19" s="19">
        <f>两日求解价格与决策!Y211</f>
        <v>0</v>
      </c>
      <c r="Z19" s="12" t="str">
        <f t="shared" si="0"/>
        <v>正式执行</v>
      </c>
      <c r="AA19" s="12">
        <f>两日求解价格与决策!AA211</f>
        <v>1</v>
      </c>
      <c r="AB19" s="12">
        <f>两日求解价格与决策!AB211</f>
        <v>1</v>
      </c>
      <c r="AC19" s="12">
        <f>两日求解价格与决策!AC211</f>
        <v>0.25</v>
      </c>
      <c r="AD19" s="18">
        <f>两日求解价格与决策!AD211</f>
        <v>0.3125</v>
      </c>
      <c r="AE19" s="18">
        <f>两日求解价格与决策!AE211</f>
        <v>0.13714285714285715</v>
      </c>
      <c r="AF19" s="18">
        <f>两日求解价格与决策!AF211</f>
        <v>9.5771428571428577E-2</v>
      </c>
      <c r="AG19" s="18">
        <f>两日求解价格与决策!AG211</f>
        <v>3.8857142857142861E-4</v>
      </c>
      <c r="AH19" s="12">
        <f>两日求解价格与决策!AH211</f>
        <v>175</v>
      </c>
      <c r="AI19" s="12">
        <f>两日求解价格与决策!AI211</f>
        <v>175</v>
      </c>
      <c r="AJ19" s="12">
        <f>两日求解价格与决策!AJ211</f>
        <v>4.1900000000000004</v>
      </c>
      <c r="AK19" s="12">
        <f>两日求解价格与决策!AK211</f>
        <v>1.7000000000000001E-2</v>
      </c>
      <c r="AL19" s="12">
        <f>两日求解价格与决策!AL211</f>
        <v>128</v>
      </c>
      <c r="AM19" s="12">
        <f>两日求解价格与决策!AM211</f>
        <v>1.7409477432712215E-3</v>
      </c>
      <c r="AN19" s="12">
        <f>两日求解价格与决策!AN211</f>
        <v>2.3314285714285715E-3</v>
      </c>
      <c r="AO19" s="12">
        <f>两日求解价格与决策!AO211</f>
        <v>0.57462857142857149</v>
      </c>
      <c r="AP19" s="12">
        <f>两日求解价格与决策!AP211</f>
        <v>32.653186992625848</v>
      </c>
      <c r="AQ19" s="19">
        <f>两日求解价格与决策!AQ211</f>
        <v>0</v>
      </c>
      <c r="AR19" s="12">
        <f>两日求解价格与决策!AR211</f>
        <v>5.2473000000000001</v>
      </c>
      <c r="AS19" s="14">
        <f>两日求解价格与决策!AS211</f>
        <v>46234</v>
      </c>
      <c r="AT19" s="13">
        <f>两日求解价格与决策!AT211</f>
        <v>46235.979166666664</v>
      </c>
      <c r="AU19" s="12" t="str">
        <f>两日求解价格与决策!AU211</f>
        <v>2026-08-02_7</v>
      </c>
      <c r="AV19" s="12">
        <f>两日求解价格与决策!AV211</f>
        <v>15</v>
      </c>
      <c r="AW19" s="12" t="str">
        <f>两日求解价格与决策!AW211</f>
        <v>OK</v>
      </c>
      <c r="AX19" s="12">
        <f>两日求解价格与决策!AX211</f>
        <v>128</v>
      </c>
      <c r="AY19" s="12">
        <f>两日求解价格与决策!AY211</f>
        <v>175</v>
      </c>
      <c r="AZ19" s="12">
        <f>两日求解价格与决策!AZ211</f>
        <v>175</v>
      </c>
      <c r="BA19" s="12">
        <f>两日求解价格与决策!BA211</f>
        <v>40</v>
      </c>
      <c r="BB19" s="12">
        <f>两日求解价格与决策!BB211</f>
        <v>24</v>
      </c>
      <c r="BC19" s="12">
        <f>两日求解价格与决策!BC211</f>
        <v>24</v>
      </c>
      <c r="BD19" s="14">
        <f>两日求解价格与决策!BD211</f>
        <v>46236</v>
      </c>
      <c r="BE19" s="1" t="str">
        <f>两日求解价格与决策!BE211</f>
        <v>零头寸，无结算现金</v>
      </c>
      <c r="BF19" s="1" t="str">
        <f>两日求解价格与决策!BF211</f>
        <v>40.000000 MW × 66.224535 × 0.250000 h = 662.245345 EUR</v>
      </c>
      <c r="BG19" s="1" t="str">
        <f>两日求解价格与决策!BG211</f>
        <v>24.000000 MW × 7.127475 × 0.250000 h = 42.764850 EUR</v>
      </c>
      <c r="BH19" s="1" t="str">
        <f>两日求解价格与决策!BH211</f>
        <v>24.000000 MW × 2.706154 × 0.250000 h = 16.236922 EUR</v>
      </c>
      <c r="BI19" s="1" t="str">
        <f>两日求解价格与决策!BI211</f>
        <v>0.574629 MWh × 171.257027 = 98.409181 EUR</v>
      </c>
      <c r="BJ19" s="1" t="str">
        <f>两日求解价格与决策!BJ211</f>
        <v>−(0.002331 MWh × 77.182551) = -0.179946 EUR</v>
      </c>
      <c r="BK19" s="1" t="str">
        <f>两日求解价格与决策!BK211</f>
        <v>0.000000 + 662.245345 + 42.764850 + 16.236922 + 98.409181 + -0.179946 = 819.476353 EUR</v>
      </c>
    </row>
    <row r="20" spans="1:63" ht="21" customHeight="1" x14ac:dyDescent="0.45">
      <c r="A20" s="13">
        <f>两日求解价格与决策!A212</f>
        <v>46236.114583333336</v>
      </c>
      <c r="B20" s="15">
        <f>两日求解价格与决策!B212</f>
        <v>160.5</v>
      </c>
      <c r="C20" s="15">
        <f>两日求解价格与决策!C212</f>
        <v>66.224534522516336</v>
      </c>
      <c r="D20" s="15">
        <f>两日求解价格与决策!D212</f>
        <v>7.1274750824233415</v>
      </c>
      <c r="E20" s="15">
        <f>两日求解价格与决策!E212</f>
        <v>2.7061536409200921</v>
      </c>
      <c r="F20" s="15">
        <f>两日求解价格与决策!F212</f>
        <v>161.23339622281935</v>
      </c>
      <c r="G20" s="15">
        <f>两日求解价格与决策!G212</f>
        <v>0</v>
      </c>
      <c r="H20" s="15" t="str">
        <f>两日求解价格与决策!H212</f>
        <v>未模拟</v>
      </c>
      <c r="I20" s="16">
        <f>两日求解价格与决策!I212</f>
        <v>32.653186992625848</v>
      </c>
      <c r="J20" s="16">
        <f>两日求解价格与决策!J212</f>
        <v>32.604143514364978</v>
      </c>
      <c r="K20" s="16">
        <f>两日求解价格与决策!K212</f>
        <v>0</v>
      </c>
      <c r="L20" s="16">
        <f>两日求解价格与决策!L212</f>
        <v>40</v>
      </c>
      <c r="M20" s="16">
        <f>两日求解价格与决策!M212</f>
        <v>24</v>
      </c>
      <c r="N20" s="16">
        <f>两日求解价格与决策!N212</f>
        <v>24</v>
      </c>
      <c r="O20" s="16">
        <f>两日求解价格与决策!O212</f>
        <v>4.5120000000000007E-2</v>
      </c>
      <c r="P20" s="16">
        <f>两日求解价格与决策!P212</f>
        <v>0</v>
      </c>
      <c r="Q20" s="17">
        <f>两日求解价格与决策!Q212</f>
        <v>0</v>
      </c>
      <c r="R20" s="17">
        <f>两日求解价格与决策!R212</f>
        <v>662.24534522516342</v>
      </c>
      <c r="S20" s="17">
        <f>两日求解价格与决策!S212</f>
        <v>42.764850494540049</v>
      </c>
      <c r="T20" s="17">
        <f>两日求解价格与决策!T212</f>
        <v>16.236921845520552</v>
      </c>
      <c r="U20" s="17">
        <f>两日求解价格与决策!U212</f>
        <v>7.2748508375736103</v>
      </c>
      <c r="V20" s="17">
        <f>两日求解价格与决策!V212</f>
        <v>0</v>
      </c>
      <c r="W20" s="17">
        <f>两日求解价格与决策!W212</f>
        <v>728.5219684027976</v>
      </c>
      <c r="X20" s="12">
        <f>两日求解价格与决策!X212</f>
        <v>728.5219684027976</v>
      </c>
      <c r="Y20" s="19">
        <f>两日求解价格与决策!Y212</f>
        <v>0</v>
      </c>
      <c r="Z20" s="12" t="str">
        <f t="shared" si="0"/>
        <v>正式执行</v>
      </c>
      <c r="AA20" s="12">
        <f>两日求解价格与决策!AA212</f>
        <v>1</v>
      </c>
      <c r="AB20" s="12">
        <f>两日求解价格与决策!AB212</f>
        <v>1</v>
      </c>
      <c r="AC20" s="12">
        <f>两日求解价格与决策!AC212</f>
        <v>0.25</v>
      </c>
      <c r="AD20" s="18">
        <f>两日求解价格与决策!AD212</f>
        <v>0.3125</v>
      </c>
      <c r="AE20" s="18">
        <f>两日求解价格与决策!AE212</f>
        <v>0.13714285714285715</v>
      </c>
      <c r="AF20" s="18">
        <f>两日求解价格与决策!AF212</f>
        <v>7.5200000000000006E-3</v>
      </c>
      <c r="AG20" s="18">
        <f>两日求解价格与决策!AG212</f>
        <v>0</v>
      </c>
      <c r="AH20" s="12">
        <f>两日求解价格与决策!AH212</f>
        <v>175</v>
      </c>
      <c r="AI20" s="12">
        <f>两日求解价格与决策!AI212</f>
        <v>175</v>
      </c>
      <c r="AJ20" s="12">
        <f>两日求解价格与决策!AJ212</f>
        <v>0.32900000000000001</v>
      </c>
      <c r="AK20" s="12">
        <f>两日求解价格与决策!AK212</f>
        <v>0</v>
      </c>
      <c r="AL20" s="12">
        <f>两日求解价格与决策!AL212</f>
        <v>128</v>
      </c>
      <c r="AM20" s="12">
        <f>两日求解价格与决策!AM212</f>
        <v>1.3623188405797101E-4</v>
      </c>
      <c r="AN20" s="12">
        <f>两日求解价格与决策!AN212</f>
        <v>0</v>
      </c>
      <c r="AO20" s="12">
        <f>两日求解价格与决策!AO212</f>
        <v>4.5120000000000007E-2</v>
      </c>
      <c r="AP20" s="12">
        <f>两日求解价格与决策!AP212</f>
        <v>32.604143514364978</v>
      </c>
      <c r="AQ20" s="19">
        <f>两日求解价格与决策!AQ212</f>
        <v>0</v>
      </c>
      <c r="AR20" s="12">
        <f>两日求解价格与决策!AR212</f>
        <v>5.2473000000000001</v>
      </c>
      <c r="AS20" s="14">
        <f>两日求解价格与决策!AS212</f>
        <v>46234</v>
      </c>
      <c r="AT20" s="13">
        <f>两日求解价格与决策!AT212</f>
        <v>46235.989583333336</v>
      </c>
      <c r="AU20" s="12" t="str">
        <f>两日求解价格与决策!AU212</f>
        <v>2026-08-02_8</v>
      </c>
      <c r="AV20" s="12">
        <f>两日求解价格与决策!AV212</f>
        <v>15</v>
      </c>
      <c r="AW20" s="12" t="str">
        <f>两日求解价格与决策!AW212</f>
        <v>OK</v>
      </c>
      <c r="AX20" s="12">
        <f>两日求解价格与决策!AX212</f>
        <v>128</v>
      </c>
      <c r="AY20" s="12">
        <f>两日求解价格与决策!AY212</f>
        <v>175</v>
      </c>
      <c r="AZ20" s="12">
        <f>两日求解价格与决策!AZ212</f>
        <v>175</v>
      </c>
      <c r="BA20" s="12">
        <f>两日求解价格与决策!BA212</f>
        <v>40</v>
      </c>
      <c r="BB20" s="12">
        <f>两日求解价格与决策!BB212</f>
        <v>24</v>
      </c>
      <c r="BC20" s="12">
        <f>两日求解价格与决策!BC212</f>
        <v>24</v>
      </c>
      <c r="BD20" s="14">
        <f>两日求解价格与决策!BD212</f>
        <v>46236</v>
      </c>
      <c r="BE20" s="1" t="str">
        <f>两日求解价格与决策!BE212</f>
        <v>零头寸，无结算现金</v>
      </c>
      <c r="BF20" s="1" t="str">
        <f>两日求解价格与决策!BF212</f>
        <v>40.000000 MW × 66.224535 × 0.250000 h = 662.245345 EUR</v>
      </c>
      <c r="BG20" s="1" t="str">
        <f>两日求解价格与决策!BG212</f>
        <v>24.000000 MW × 7.127475 × 0.250000 h = 42.764850 EUR</v>
      </c>
      <c r="BH20" s="1" t="str">
        <f>两日求解价格与决策!BH212</f>
        <v>24.000000 MW × 2.706154 × 0.250000 h = 16.236922 EUR</v>
      </c>
      <c r="BI20" s="1" t="str">
        <f>两日求解价格与决策!BI212</f>
        <v>0.045120 MWh × 161.233396 = 7.274851 EUR</v>
      </c>
      <c r="BJ20" s="1" t="str">
        <f>两日求解价格与决策!BJ212</f>
        <v>零下调激活电量</v>
      </c>
      <c r="BK20" s="1" t="str">
        <f>两日求解价格与决策!BK212</f>
        <v>0.000000 + 662.245345 + 42.764850 + 16.236922 + 7.274851 + 0.000000 = 728.521968 EUR</v>
      </c>
    </row>
    <row r="21" spans="1:63" ht="21" customHeight="1" x14ac:dyDescent="0.45">
      <c r="A21" s="13">
        <f>两日求解价格与决策!A213</f>
        <v>46236.125</v>
      </c>
      <c r="B21" s="15">
        <f>两日求解价格与决策!B213</f>
        <v>159.1</v>
      </c>
      <c r="C21" s="15">
        <f>两日求解价格与决策!C213</f>
        <v>66.224534522516336</v>
      </c>
      <c r="D21" s="15">
        <f>两日求解价格与决策!D213</f>
        <v>7.1274750824233415</v>
      </c>
      <c r="E21" s="15">
        <f>两日求解价格与决策!E213</f>
        <v>4.2097840794313264</v>
      </c>
      <c r="F21" s="15">
        <f>两日求解价格与决策!F213</f>
        <v>168.15162083357154</v>
      </c>
      <c r="G21" s="15">
        <f>两日求解价格与决策!G213</f>
        <v>0</v>
      </c>
      <c r="H21" s="15" t="str">
        <f>两日求解价格与决策!H213</f>
        <v>未模拟</v>
      </c>
      <c r="I21" s="16">
        <f>两日求解价格与决策!I213</f>
        <v>32.604143514364978</v>
      </c>
      <c r="J21" s="16">
        <f>两日求解价格与决策!J213</f>
        <v>32.445534818712801</v>
      </c>
      <c r="K21" s="16">
        <f>两日求解价格与决策!K213</f>
        <v>0</v>
      </c>
      <c r="L21" s="16">
        <f>两日求解价格与决策!L213</f>
        <v>40</v>
      </c>
      <c r="M21" s="16">
        <f>两日求解价格与决策!M213</f>
        <v>24</v>
      </c>
      <c r="N21" s="16">
        <f>两日求解价格与决策!N213</f>
        <v>24</v>
      </c>
      <c r="O21" s="16">
        <f>两日求解价格与决策!O213</f>
        <v>0.14591999999999999</v>
      </c>
      <c r="P21" s="16">
        <f>两日求解价格与决策!P213</f>
        <v>0</v>
      </c>
      <c r="Q21" s="17">
        <f>两日求解价格与决策!Q213</f>
        <v>0</v>
      </c>
      <c r="R21" s="17">
        <f>两日求解价格与决策!R213</f>
        <v>662.24534522516342</v>
      </c>
      <c r="S21" s="17">
        <f>两日求解价格与决策!S213</f>
        <v>42.764850494540049</v>
      </c>
      <c r="T21" s="17">
        <f>两日求解价格与决策!T213</f>
        <v>25.258704476587958</v>
      </c>
      <c r="U21" s="17">
        <f>两日求解价格与决策!U213</f>
        <v>24.536684512034757</v>
      </c>
      <c r="V21" s="17">
        <f>两日求解价格与决策!V213</f>
        <v>0</v>
      </c>
      <c r="W21" s="17">
        <f>两日求解价格与决策!W213</f>
        <v>754.80558470832614</v>
      </c>
      <c r="X21" s="12">
        <f>两日求解价格与决策!X213</f>
        <v>754.80558470832614</v>
      </c>
      <c r="Y21" s="19">
        <f>两日求解价格与决策!Y213</f>
        <v>0</v>
      </c>
      <c r="Z21" s="12" t="str">
        <f t="shared" si="0"/>
        <v>正式执行</v>
      </c>
      <c r="AA21" s="12">
        <f>两日求解价格与决策!AA213</f>
        <v>1</v>
      </c>
      <c r="AB21" s="12">
        <f>两日求解价格与决策!AB213</f>
        <v>1</v>
      </c>
      <c r="AC21" s="12">
        <f>两日求解价格与决策!AC213</f>
        <v>0.25</v>
      </c>
      <c r="AD21" s="18">
        <f>两日求解价格与决策!AD213</f>
        <v>0.3125</v>
      </c>
      <c r="AE21" s="18">
        <f>两日求解价格与决策!AE213</f>
        <v>0.13714285714285715</v>
      </c>
      <c r="AF21" s="18">
        <f>两日求解价格与决策!AF213</f>
        <v>2.4320000000000001E-2</v>
      </c>
      <c r="AG21" s="18">
        <f>两日求解价格与决策!AG213</f>
        <v>0</v>
      </c>
      <c r="AH21" s="12">
        <f>两日求解价格与决策!AH213</f>
        <v>175</v>
      </c>
      <c r="AI21" s="12">
        <f>两日求解价格与决策!AI213</f>
        <v>175</v>
      </c>
      <c r="AJ21" s="12">
        <f>两日求解价格与决策!AJ213</f>
        <v>1.0640000000000001</v>
      </c>
      <c r="AK21" s="12">
        <f>两日求解价格与决策!AK213</f>
        <v>0</v>
      </c>
      <c r="AL21" s="12">
        <f>两日求解价格与决策!AL213</f>
        <v>128</v>
      </c>
      <c r="AM21" s="12">
        <f>两日求解价格与决策!AM213</f>
        <v>4.4057971014492753E-4</v>
      </c>
      <c r="AN21" s="12">
        <f>两日求解价格与决策!AN213</f>
        <v>0</v>
      </c>
      <c r="AO21" s="12">
        <f>两日求解价格与决策!AO213</f>
        <v>0.14591999999999999</v>
      </c>
      <c r="AP21" s="12">
        <f>两日求解价格与决策!AP213</f>
        <v>32.445534818712801</v>
      </c>
      <c r="AQ21" s="19">
        <f>两日求解价格与决策!AQ213</f>
        <v>0</v>
      </c>
      <c r="AR21" s="12">
        <f>两日求解价格与决策!AR213</f>
        <v>5.2473000000000001</v>
      </c>
      <c r="AS21" s="14">
        <f>两日求解价格与决策!AS213</f>
        <v>46234</v>
      </c>
      <c r="AT21" s="13">
        <f>两日求解价格与决策!AT213</f>
        <v>46236</v>
      </c>
      <c r="AU21" s="12" t="str">
        <f>两日求解价格与决策!AU213</f>
        <v>2026-08-02_9</v>
      </c>
      <c r="AV21" s="12">
        <f>两日求解价格与决策!AV213</f>
        <v>15</v>
      </c>
      <c r="AW21" s="12" t="str">
        <f>两日求解价格与决策!AW213</f>
        <v>OK</v>
      </c>
      <c r="AX21" s="12">
        <f>两日求解价格与决策!AX213</f>
        <v>128</v>
      </c>
      <c r="AY21" s="12">
        <f>两日求解价格与决策!AY213</f>
        <v>175</v>
      </c>
      <c r="AZ21" s="12">
        <f>两日求解价格与决策!AZ213</f>
        <v>175</v>
      </c>
      <c r="BA21" s="12">
        <f>两日求解价格与决策!BA213</f>
        <v>40</v>
      </c>
      <c r="BB21" s="12">
        <f>两日求解价格与决策!BB213</f>
        <v>24</v>
      </c>
      <c r="BC21" s="12">
        <f>两日求解价格与决策!BC213</f>
        <v>24</v>
      </c>
      <c r="BD21" s="14">
        <f>两日求解价格与决策!BD213</f>
        <v>46236</v>
      </c>
      <c r="BE21" s="1" t="str">
        <f>两日求解价格与决策!BE213</f>
        <v>零头寸，无结算现金</v>
      </c>
      <c r="BF21" s="1" t="str">
        <f>两日求解价格与决策!BF213</f>
        <v>40.000000 MW × 66.224535 × 0.250000 h = 662.245345 EUR</v>
      </c>
      <c r="BG21" s="1" t="str">
        <f>两日求解价格与决策!BG213</f>
        <v>24.000000 MW × 7.127475 × 0.250000 h = 42.764850 EUR</v>
      </c>
      <c r="BH21" s="1" t="str">
        <f>两日求解价格与决策!BH213</f>
        <v>24.000000 MW × 4.209784 × 0.250000 h = 25.258704 EUR</v>
      </c>
      <c r="BI21" s="1" t="str">
        <f>两日求解价格与决策!BI213</f>
        <v>0.145920 MWh × 168.151621 = 24.536685 EUR</v>
      </c>
      <c r="BJ21" s="1" t="str">
        <f>两日求解价格与决策!BJ213</f>
        <v>零下调激活电量</v>
      </c>
      <c r="BK21" s="1" t="str">
        <f>两日求解价格与决策!BK213</f>
        <v>0.000000 + 662.245345 + 42.764850 + 25.258704 + 24.536685 + 0.000000 = 754.805585 EUR</v>
      </c>
    </row>
    <row r="22" spans="1:63" ht="21" customHeight="1" x14ac:dyDescent="0.45">
      <c r="A22" s="13">
        <f>两日求解价格与决策!A214</f>
        <v>46236.135416666664</v>
      </c>
      <c r="B22" s="15">
        <f>两日求解价格与决策!B214</f>
        <v>156.86000000000001</v>
      </c>
      <c r="C22" s="15">
        <f>两日求解价格与决策!C214</f>
        <v>66.224534522516336</v>
      </c>
      <c r="D22" s="15">
        <f>两日求解价格与决策!D214</f>
        <v>7.1274750824233415</v>
      </c>
      <c r="E22" s="15">
        <f>两日求解价格与决策!E214</f>
        <v>4.2097840794313264</v>
      </c>
      <c r="F22" s="15">
        <f>两日求解价格与决策!F214</f>
        <v>176.55403731442837</v>
      </c>
      <c r="G22" s="15">
        <f>两日求解价格与决策!G214</f>
        <v>0</v>
      </c>
      <c r="H22" s="15" t="str">
        <f>两日求解价格与决策!H214</f>
        <v>未模拟</v>
      </c>
      <c r="I22" s="16">
        <f>两日求解价格与决策!I214</f>
        <v>32.445534818712801</v>
      </c>
      <c r="J22" s="16">
        <f>两日求解价格与决策!J214</f>
        <v>32.647448874363008</v>
      </c>
      <c r="K22" s="16">
        <f>两日求解价格与决策!K214</f>
        <v>-4.5587853311510811</v>
      </c>
      <c r="L22" s="16">
        <f>两日求解价格与决策!L214</f>
        <v>40</v>
      </c>
      <c r="M22" s="16">
        <f>两日求解价格与决策!M214</f>
        <v>24</v>
      </c>
      <c r="N22" s="16">
        <f>两日求解价格与决策!N214</f>
        <v>24</v>
      </c>
      <c r="O22" s="16">
        <f>两日求解价格与决策!O214</f>
        <v>0.80228571428571427</v>
      </c>
      <c r="P22" s="16">
        <f>两日求解价格与决策!P214</f>
        <v>0</v>
      </c>
      <c r="Q22" s="17">
        <f>两日求解价格与决策!Q214</f>
        <v>-178.77276676108966</v>
      </c>
      <c r="R22" s="17">
        <f>两日求解价格与决策!R214</f>
        <v>662.24534522516342</v>
      </c>
      <c r="S22" s="17">
        <f>两日求解价格与决策!S214</f>
        <v>42.764850494540049</v>
      </c>
      <c r="T22" s="17">
        <f>两日求解价格与决策!T214</f>
        <v>25.258704476587958</v>
      </c>
      <c r="U22" s="17">
        <f>两日求解价格与决策!U214</f>
        <v>141.64678193683281</v>
      </c>
      <c r="V22" s="17">
        <f>两日求解价格与决策!V214</f>
        <v>0</v>
      </c>
      <c r="W22" s="17">
        <f>两日求解价格与决策!W214</f>
        <v>693.14291537203451</v>
      </c>
      <c r="X22" s="12">
        <f>两日求解价格与决策!X214</f>
        <v>693.14291537203462</v>
      </c>
      <c r="Y22" s="19">
        <f>两日求解价格与决策!Y214</f>
        <v>0</v>
      </c>
      <c r="Z22" s="12" t="str">
        <f t="shared" si="0"/>
        <v>正式执行</v>
      </c>
      <c r="AA22" s="12">
        <f>两日求解价格与决策!AA214</f>
        <v>1</v>
      </c>
      <c r="AB22" s="12">
        <f>两日求解价格与决策!AB214</f>
        <v>1</v>
      </c>
      <c r="AC22" s="12">
        <f>两日求解价格与决策!AC214</f>
        <v>0.25</v>
      </c>
      <c r="AD22" s="18">
        <f>两日求解价格与决策!AD214</f>
        <v>0.3125</v>
      </c>
      <c r="AE22" s="18">
        <f>两日求解价格与决策!AE214</f>
        <v>0.13714285714285715</v>
      </c>
      <c r="AF22" s="18">
        <f>两日求解价格与决策!AF214</f>
        <v>0.1337142857142857</v>
      </c>
      <c r="AG22" s="18">
        <f>两日求解价格与决策!AG214</f>
        <v>0</v>
      </c>
      <c r="AH22" s="12">
        <f>两日求解价格与决策!AH214</f>
        <v>175</v>
      </c>
      <c r="AI22" s="12">
        <f>两日求解价格与决策!AI214</f>
        <v>175</v>
      </c>
      <c r="AJ22" s="12">
        <f>两日求解价格与决策!AJ214</f>
        <v>5.85</v>
      </c>
      <c r="AK22" s="12">
        <f>两日求解价格与决策!AK214</f>
        <v>0</v>
      </c>
      <c r="AL22" s="12">
        <f>两日求解价格与决策!AL214</f>
        <v>128</v>
      </c>
      <c r="AM22" s="12">
        <f>两日求解价格与决策!AM214</f>
        <v>4.4853411764184956E-3</v>
      </c>
      <c r="AN22" s="12">
        <f>两日求解价格与决策!AN214</f>
        <v>0.9873026517178628</v>
      </c>
      <c r="AO22" s="12">
        <f>两日求解价格与决策!AO214</f>
        <v>0.64989203321580657</v>
      </c>
      <c r="AP22" s="12">
        <f>两日求解价格与决策!AP214</f>
        <v>32.647448874363008</v>
      </c>
      <c r="AQ22" s="19">
        <f>两日求解价格与决策!AQ214</f>
        <v>0</v>
      </c>
      <c r="AR22" s="12">
        <f>两日求解价格与决策!AR214</f>
        <v>5.2473000000000001</v>
      </c>
      <c r="AS22" s="14">
        <f>两日求解价格与决策!AS214</f>
        <v>46234</v>
      </c>
      <c r="AT22" s="13">
        <f>两日求解价格与决策!AT214</f>
        <v>46236.010416666664</v>
      </c>
      <c r="AU22" s="12" t="str">
        <f>两日求解价格与决策!AU214</f>
        <v>2026-08-02_10</v>
      </c>
      <c r="AV22" s="12">
        <f>两日求解价格与决策!AV214</f>
        <v>15</v>
      </c>
      <c r="AW22" s="12" t="str">
        <f>两日求解价格与决策!AW214</f>
        <v>OK</v>
      </c>
      <c r="AX22" s="12">
        <f>两日求解价格与决策!AX214</f>
        <v>128</v>
      </c>
      <c r="AY22" s="12">
        <f>两日求解价格与决策!AY214</f>
        <v>175</v>
      </c>
      <c r="AZ22" s="12">
        <f>两日求解价格与决策!AZ214</f>
        <v>175</v>
      </c>
      <c r="BA22" s="12">
        <f>两日求解价格与决策!BA214</f>
        <v>40</v>
      </c>
      <c r="BB22" s="12">
        <f>两日求解价格与决策!BB214</f>
        <v>24</v>
      </c>
      <c r="BC22" s="12">
        <f>两日求解价格与决策!BC214</f>
        <v>24</v>
      </c>
      <c r="BD22" s="14">
        <f>两日求解价格与决策!BD214</f>
        <v>46236</v>
      </c>
      <c r="BE22" s="1" t="str">
        <f>两日求解价格与决策!BE214</f>
        <v>-4.558785 MW × 156.860000 × 0.250000 h = -178.772767 EUR</v>
      </c>
      <c r="BF22" s="1" t="str">
        <f>两日求解价格与决策!BF214</f>
        <v>40.000000 MW × 66.224535 × 0.250000 h = 662.245345 EUR</v>
      </c>
      <c r="BG22" s="1" t="str">
        <f>两日求解价格与决策!BG214</f>
        <v>24.000000 MW × 7.127475 × 0.250000 h = 42.764850 EUR</v>
      </c>
      <c r="BH22" s="1" t="str">
        <f>两日求解价格与决策!BH214</f>
        <v>24.000000 MW × 4.209784 × 0.250000 h = 25.258704 EUR</v>
      </c>
      <c r="BI22" s="1" t="str">
        <f>两日求解价格与决策!BI214</f>
        <v>0.802286 MWh × 176.554037 = 141.646782 EUR</v>
      </c>
      <c r="BJ22" s="1" t="str">
        <f>两日求解价格与决策!BJ214</f>
        <v>零下调激活电量</v>
      </c>
      <c r="BK22" s="1" t="str">
        <f>两日求解价格与决策!BK214</f>
        <v>-178.772767 + 662.245345 + 42.764850 + 25.258704 + 141.646782 + 0.000000 = 693.142915 EUR</v>
      </c>
    </row>
    <row r="23" spans="1:63" ht="21" customHeight="1" x14ac:dyDescent="0.45">
      <c r="A23" s="13">
        <f>两日求解价格与决策!A215</f>
        <v>46236.145833333336</v>
      </c>
      <c r="B23" s="15">
        <f>两日求解价格与决策!B215</f>
        <v>157.31</v>
      </c>
      <c r="C23" s="15">
        <f>两日求解价格与决策!C215</f>
        <v>66.224534522516336</v>
      </c>
      <c r="D23" s="15">
        <f>两日求解价格与决策!D215</f>
        <v>7.1274750824233415</v>
      </c>
      <c r="E23" s="15">
        <f>两日求解价格与决策!E215</f>
        <v>4.2097840794313264</v>
      </c>
      <c r="F23" s="15">
        <f>两日求解价格与决策!F215</f>
        <v>173.58984620662056</v>
      </c>
      <c r="G23" s="15">
        <f>两日求解价格与决策!G215</f>
        <v>0</v>
      </c>
      <c r="H23" s="15" t="str">
        <f>两日求解价格与决策!H215</f>
        <v>未模拟</v>
      </c>
      <c r="I23" s="16">
        <f>两日求解价格与决策!I215</f>
        <v>32.647448874363008</v>
      </c>
      <c r="J23" s="16">
        <f>两日求解价格与决策!J215</f>
        <v>32.413073445217691</v>
      </c>
      <c r="K23" s="16">
        <f>两日求解价格与决策!K215</f>
        <v>-3.5010837156643779</v>
      </c>
      <c r="L23" s="16">
        <f>两日求解价格与决策!L215</f>
        <v>40</v>
      </c>
      <c r="M23" s="16">
        <f>两日求解价格与决策!M215</f>
        <v>24</v>
      </c>
      <c r="N23" s="16">
        <f>两日求解价格与决策!N215</f>
        <v>24</v>
      </c>
      <c r="O23" s="16">
        <f>两日求解价格与决策!O215</f>
        <v>0.97837714285714283</v>
      </c>
      <c r="P23" s="16">
        <f>两日求解价格与决策!P215</f>
        <v>0</v>
      </c>
      <c r="Q23" s="17">
        <f>两日求解价格与决策!Q215</f>
        <v>-137.68886982779082</v>
      </c>
      <c r="R23" s="17">
        <f>两日求解价格与决策!R215</f>
        <v>662.24534522516342</v>
      </c>
      <c r="S23" s="17">
        <f>两日求解价格与决策!S215</f>
        <v>42.764850494540049</v>
      </c>
      <c r="T23" s="17">
        <f>两日求解价格与决策!T215</f>
        <v>25.258704476587958</v>
      </c>
      <c r="U23" s="17">
        <f>两日求解价格与决策!U215</f>
        <v>169.83633776064426</v>
      </c>
      <c r="V23" s="17">
        <f>两日求解价格与决策!V215</f>
        <v>0</v>
      </c>
      <c r="W23" s="17">
        <f>两日求解价格与决策!W215</f>
        <v>762.41636812914487</v>
      </c>
      <c r="X23" s="12">
        <f>两日求解价格与决策!X215</f>
        <v>762.41636812914487</v>
      </c>
      <c r="Y23" s="19">
        <f>两日求解价格与决策!Y215</f>
        <v>0</v>
      </c>
      <c r="Z23" s="12" t="str">
        <f t="shared" si="0"/>
        <v>正式执行</v>
      </c>
      <c r="AA23" s="12">
        <f>两日求解价格与决策!AA215</f>
        <v>1</v>
      </c>
      <c r="AB23" s="12">
        <f>两日求解价格与决策!AB215</f>
        <v>1</v>
      </c>
      <c r="AC23" s="12">
        <f>两日求解价格与决策!AC215</f>
        <v>0.25</v>
      </c>
      <c r="AD23" s="18">
        <f>两日求解价格与决策!AD215</f>
        <v>0.3125</v>
      </c>
      <c r="AE23" s="18">
        <f>两日求解价格与决策!AE215</f>
        <v>0.13714285714285715</v>
      </c>
      <c r="AF23" s="18">
        <f>两日求解价格与决策!AF215</f>
        <v>0.16306285714285715</v>
      </c>
      <c r="AG23" s="18">
        <f>两日求解价格与决策!AG215</f>
        <v>0</v>
      </c>
      <c r="AH23" s="12">
        <f>两日求解价格与决策!AH215</f>
        <v>175</v>
      </c>
      <c r="AI23" s="12">
        <f>两日求解价格与决策!AI215</f>
        <v>175</v>
      </c>
      <c r="AJ23" s="12">
        <f>两日求解价格与决策!AJ215</f>
        <v>7.1340000000000003</v>
      </c>
      <c r="AK23" s="12">
        <f>两日求解价格与决策!AK215</f>
        <v>0</v>
      </c>
      <c r="AL23" s="12">
        <f>两日求解价格与决策!AL215</f>
        <v>128</v>
      </c>
      <c r="AM23" s="12">
        <f>两日求解价格与决策!AM215</f>
        <v>4.39517069448765E-3</v>
      </c>
      <c r="AN23" s="12">
        <f>两日求解价格与决策!AN215</f>
        <v>0.73254675047295348</v>
      </c>
      <c r="AO23" s="12">
        <f>两日求解价格与决策!AO215</f>
        <v>0.83565296441400183</v>
      </c>
      <c r="AP23" s="12">
        <f>两日求解价格与决策!AP215</f>
        <v>32.413073445217691</v>
      </c>
      <c r="AQ23" s="19">
        <f>两日求解价格与决策!AQ215</f>
        <v>0</v>
      </c>
      <c r="AR23" s="12">
        <f>两日求解价格与决策!AR215</f>
        <v>5.2473000000000001</v>
      </c>
      <c r="AS23" s="14">
        <f>两日求解价格与决策!AS215</f>
        <v>46234</v>
      </c>
      <c r="AT23" s="13">
        <f>两日求解价格与决策!AT215</f>
        <v>46236.020833333336</v>
      </c>
      <c r="AU23" s="12" t="str">
        <f>两日求解价格与决策!AU215</f>
        <v>2026-08-02_11</v>
      </c>
      <c r="AV23" s="12">
        <f>两日求解价格与决策!AV215</f>
        <v>15</v>
      </c>
      <c r="AW23" s="12" t="str">
        <f>两日求解价格与决策!AW215</f>
        <v>OK</v>
      </c>
      <c r="AX23" s="12">
        <f>两日求解价格与决策!AX215</f>
        <v>128</v>
      </c>
      <c r="AY23" s="12">
        <f>两日求解价格与决策!AY215</f>
        <v>175</v>
      </c>
      <c r="AZ23" s="12">
        <f>两日求解价格与决策!AZ215</f>
        <v>175</v>
      </c>
      <c r="BA23" s="12">
        <f>两日求解价格与决策!BA215</f>
        <v>40</v>
      </c>
      <c r="BB23" s="12">
        <f>两日求解价格与决策!BB215</f>
        <v>24</v>
      </c>
      <c r="BC23" s="12">
        <f>两日求解价格与决策!BC215</f>
        <v>24</v>
      </c>
      <c r="BD23" s="14">
        <f>两日求解价格与决策!BD215</f>
        <v>46236</v>
      </c>
      <c r="BE23" s="1" t="str">
        <f>两日求解价格与决策!BE215</f>
        <v>-3.501084 MW × 157.310000 × 0.250000 h = -137.688870 EUR</v>
      </c>
      <c r="BF23" s="1" t="str">
        <f>两日求解价格与决策!BF215</f>
        <v>40.000000 MW × 66.224535 × 0.250000 h = 662.245345 EUR</v>
      </c>
      <c r="BG23" s="1" t="str">
        <f>两日求解价格与决策!BG215</f>
        <v>24.000000 MW × 7.127475 × 0.250000 h = 42.764850 EUR</v>
      </c>
      <c r="BH23" s="1" t="str">
        <f>两日求解价格与决策!BH215</f>
        <v>24.000000 MW × 4.209784 × 0.250000 h = 25.258704 EUR</v>
      </c>
      <c r="BI23" s="1" t="str">
        <f>两日求解价格与决策!BI215</f>
        <v>0.978377 MWh × 173.589846 = 169.836338 EUR</v>
      </c>
      <c r="BJ23" s="1" t="str">
        <f>两日求解价格与决策!BJ215</f>
        <v>零下调激活电量</v>
      </c>
      <c r="BK23" s="1" t="str">
        <f>两日求解价格与决策!BK215</f>
        <v>-137.688870 + 662.245345 + 42.764850 + 25.258704 + 169.836338 + 0.000000 = 762.416368 EUR</v>
      </c>
    </row>
    <row r="24" spans="1:63" ht="21" customHeight="1" x14ac:dyDescent="0.45">
      <c r="A24" s="13">
        <f>两日求解价格与决策!A216</f>
        <v>46236.15625</v>
      </c>
      <c r="B24" s="15">
        <f>两日求解价格与决策!B216</f>
        <v>154.80000000000001</v>
      </c>
      <c r="C24" s="15">
        <f>两日求解价格与决策!C216</f>
        <v>66.224534522516336</v>
      </c>
      <c r="D24" s="15">
        <f>两日求解价格与决策!D216</f>
        <v>7.1274750824233415</v>
      </c>
      <c r="E24" s="15">
        <f>两日求解价格与决策!E216</f>
        <v>4.2097840794313264</v>
      </c>
      <c r="F24" s="15">
        <f>两日求解价格与决策!F216</f>
        <v>185.35837478322185</v>
      </c>
      <c r="G24" s="15">
        <f>两日求解价格与决策!G216</f>
        <v>0</v>
      </c>
      <c r="H24" s="15" t="str">
        <f>两日求解价格与决策!H216</f>
        <v>未模拟</v>
      </c>
      <c r="I24" s="16">
        <f>两日求解价格与决策!I216</f>
        <v>32.413073445217691</v>
      </c>
      <c r="J24" s="16">
        <f>两日求解价格与决策!J216</f>
        <v>34.15850931677015</v>
      </c>
      <c r="K24" s="16">
        <f>两日求解价格与决策!K216</f>
        <v>-13.978311196078922</v>
      </c>
      <c r="L24" s="16">
        <f>两日求解价格与决策!L216</f>
        <v>40</v>
      </c>
      <c r="M24" s="16">
        <f>两日求解价格与决策!M216</f>
        <v>24</v>
      </c>
      <c r="N24" s="16">
        <f>两日求解价格与决策!N216</f>
        <v>24</v>
      </c>
      <c r="O24" s="16">
        <f>两日求解价格与决策!O216</f>
        <v>1.4848457142857141</v>
      </c>
      <c r="P24" s="16">
        <f>两日求解价格与决策!P216</f>
        <v>0</v>
      </c>
      <c r="Q24" s="17">
        <f>两日求解价格与决策!Q216</f>
        <v>-540.96064328825435</v>
      </c>
      <c r="R24" s="17">
        <f>两日求解价格与决策!R216</f>
        <v>662.24534522516342</v>
      </c>
      <c r="S24" s="17">
        <f>两日求解价格与决策!S216</f>
        <v>42.764850494540049</v>
      </c>
      <c r="T24" s="17">
        <f>两日求解价格与决策!T216</f>
        <v>25.258704476587958</v>
      </c>
      <c r="U24" s="17">
        <f>两日求解价格与决策!U216</f>
        <v>275.22858840383213</v>
      </c>
      <c r="V24" s="17">
        <f>两日求解价格与决策!V216</f>
        <v>0</v>
      </c>
      <c r="W24" s="17">
        <f>两日求解价格与决策!W216</f>
        <v>464.53684531186923</v>
      </c>
      <c r="X24" s="12">
        <f>两日求解价格与决策!X216</f>
        <v>464.53684531186923</v>
      </c>
      <c r="Y24" s="19">
        <f>两日求解价格与决策!Y216</f>
        <v>0</v>
      </c>
      <c r="Z24" s="12" t="str">
        <f t="shared" si="0"/>
        <v>正式执行</v>
      </c>
      <c r="AA24" s="12">
        <f>两日求解价格与决策!AA216</f>
        <v>1</v>
      </c>
      <c r="AB24" s="12">
        <f>两日求解价格与决策!AB216</f>
        <v>1</v>
      </c>
      <c r="AC24" s="12">
        <f>两日求解价格与决策!AC216</f>
        <v>0.25</v>
      </c>
      <c r="AD24" s="18">
        <f>两日求解价格与决策!AD216</f>
        <v>0.3125</v>
      </c>
      <c r="AE24" s="18">
        <f>两日求解价格与决策!AE216</f>
        <v>0.13714285714285715</v>
      </c>
      <c r="AF24" s="18">
        <f>两日求解价格与决策!AF216</f>
        <v>0.2474742857142857</v>
      </c>
      <c r="AG24" s="18">
        <f>两日求解价格与决策!AG216</f>
        <v>0</v>
      </c>
      <c r="AH24" s="12">
        <f>两日求解价格与决策!AH216</f>
        <v>175</v>
      </c>
      <c r="AI24" s="12">
        <f>两日求解价格与决策!AI216</f>
        <v>175</v>
      </c>
      <c r="AJ24" s="12">
        <f>两日求解价格与决策!AJ216</f>
        <v>10.827</v>
      </c>
      <c r="AK24" s="12">
        <f>两日求解价格与决策!AK216</f>
        <v>0</v>
      </c>
      <c r="AL24" s="12">
        <f>两日求解价格与决策!AL216</f>
        <v>128</v>
      </c>
      <c r="AM24" s="12">
        <f>两日求解价格与决策!AM216</f>
        <v>8.5925608122852538E-3</v>
      </c>
      <c r="AN24" s="12">
        <f>两日求解价格与决策!AN216</f>
        <v>2.6297596543343218</v>
      </c>
      <c r="AO24" s="12">
        <f>两日求解价格与决策!AO216</f>
        <v>0.62002756960030581</v>
      </c>
      <c r="AP24" s="12">
        <f>两日求解价格与决策!AP216</f>
        <v>34.15850931677015</v>
      </c>
      <c r="AQ24" s="19">
        <f>两日求解价格与决策!AQ216</f>
        <v>0</v>
      </c>
      <c r="AR24" s="12">
        <f>两日求解价格与决策!AR216</f>
        <v>5.2473000000000001</v>
      </c>
      <c r="AS24" s="14">
        <f>两日求解价格与决策!AS216</f>
        <v>46234</v>
      </c>
      <c r="AT24" s="13">
        <f>两日求解价格与决策!AT216</f>
        <v>46236.03125</v>
      </c>
      <c r="AU24" s="12" t="str">
        <f>两日求解价格与决策!AU216</f>
        <v>2026-08-02_12</v>
      </c>
      <c r="AV24" s="12">
        <f>两日求解价格与决策!AV216</f>
        <v>15</v>
      </c>
      <c r="AW24" s="12" t="str">
        <f>两日求解价格与决策!AW216</f>
        <v>OK</v>
      </c>
      <c r="AX24" s="12">
        <f>两日求解价格与决策!AX216</f>
        <v>128</v>
      </c>
      <c r="AY24" s="12">
        <f>两日求解价格与决策!AY216</f>
        <v>175</v>
      </c>
      <c r="AZ24" s="12">
        <f>两日求解价格与决策!AZ216</f>
        <v>175</v>
      </c>
      <c r="BA24" s="12">
        <f>两日求解价格与决策!BA216</f>
        <v>40</v>
      </c>
      <c r="BB24" s="12">
        <f>两日求解价格与决策!BB216</f>
        <v>24</v>
      </c>
      <c r="BC24" s="12">
        <f>两日求解价格与决策!BC216</f>
        <v>24</v>
      </c>
      <c r="BD24" s="14">
        <f>两日求解价格与决策!BD216</f>
        <v>46236</v>
      </c>
      <c r="BE24" s="1" t="str">
        <f>两日求解价格与决策!BE216</f>
        <v>-13.978311 MW × 154.800000 × 0.250000 h = -540.960643 EUR</v>
      </c>
      <c r="BF24" s="1" t="str">
        <f>两日求解价格与决策!BF216</f>
        <v>40.000000 MW × 66.224535 × 0.250000 h = 662.245345 EUR</v>
      </c>
      <c r="BG24" s="1" t="str">
        <f>两日求解价格与决策!BG216</f>
        <v>24.000000 MW × 7.127475 × 0.250000 h = 42.764850 EUR</v>
      </c>
      <c r="BH24" s="1" t="str">
        <f>两日求解价格与决策!BH216</f>
        <v>24.000000 MW × 4.209784 × 0.250000 h = 25.258704 EUR</v>
      </c>
      <c r="BI24" s="1" t="str">
        <f>两日求解价格与决策!BI216</f>
        <v>1.484846 MWh × 185.358375 = 275.228588 EUR</v>
      </c>
      <c r="BJ24" s="1" t="str">
        <f>两日求解价格与决策!BJ216</f>
        <v>零下调激活电量</v>
      </c>
      <c r="BK24" s="1" t="str">
        <f>两日求解价格与决策!BK216</f>
        <v>-540.960643 + 662.245345 + 42.764850 + 25.258704 + 275.228588 + 0.000000 = 464.536845 EUR</v>
      </c>
    </row>
    <row r="25" spans="1:63" ht="21" customHeight="1" x14ac:dyDescent="0.45">
      <c r="A25" s="13">
        <f>两日求解价格与决策!A217</f>
        <v>46236.166666666664</v>
      </c>
      <c r="B25" s="15">
        <f>两日求解价格与决策!B217</f>
        <v>157.47999999999999</v>
      </c>
      <c r="C25" s="15">
        <f>两日求解价格与决策!C217</f>
        <v>66.224534522516336</v>
      </c>
      <c r="D25" s="15">
        <f>两日求解价格与决策!D217</f>
        <v>7.1274750824233415</v>
      </c>
      <c r="E25" s="15">
        <f>两日求解价格与决策!E217</f>
        <v>5.0768966897261452</v>
      </c>
      <c r="F25" s="15">
        <f>两日求解价格与决策!F217</f>
        <v>217.78781468564785</v>
      </c>
      <c r="G25" s="15">
        <f>两日求解价格与决策!G217</f>
        <v>0</v>
      </c>
      <c r="H25" s="15" t="str">
        <f>两日求解价格与决策!H217</f>
        <v>未模拟</v>
      </c>
      <c r="I25" s="16">
        <f>两日求解价格与决策!I217</f>
        <v>34.15850931677015</v>
      </c>
      <c r="J25" s="16">
        <f>两日求解价格与决策!J217</f>
        <v>31.739130434782574</v>
      </c>
      <c r="K25" s="16">
        <f>两日求解价格与决策!K217</f>
        <v>0</v>
      </c>
      <c r="L25" s="16">
        <f>两日求解价格与决策!L217</f>
        <v>40</v>
      </c>
      <c r="M25" s="16">
        <f>两日求解价格与决策!M217</f>
        <v>24</v>
      </c>
      <c r="N25" s="16">
        <f>两日求解价格与决策!N217</f>
        <v>24</v>
      </c>
      <c r="O25" s="16">
        <f>两日求解价格与决策!O217</f>
        <v>2.2258285714285715</v>
      </c>
      <c r="P25" s="16">
        <f>两日求解价格与决策!P217</f>
        <v>0</v>
      </c>
      <c r="Q25" s="17">
        <f>两日求解价格与决策!Q217</f>
        <v>0</v>
      </c>
      <c r="R25" s="17">
        <f>两日求解价格与决策!R217</f>
        <v>662.24534522516342</v>
      </c>
      <c r="S25" s="17">
        <f>两日求解价格与决策!S217</f>
        <v>42.764850494540049</v>
      </c>
      <c r="T25" s="17">
        <f>两日求解价格与决策!T217</f>
        <v>30.461380138356873</v>
      </c>
      <c r="U25" s="17">
        <f>两日求解价格与决策!U217</f>
        <v>484.75834043630601</v>
      </c>
      <c r="V25" s="17">
        <f>两日求解价格与决策!V217</f>
        <v>0</v>
      </c>
      <c r="W25" s="17">
        <f>两日求解价格与决策!W217</f>
        <v>1220.2299162943664</v>
      </c>
      <c r="X25" s="12">
        <f>两日求解价格与决策!X217</f>
        <v>1220.2299162943664</v>
      </c>
      <c r="Y25" s="19">
        <f>两日求解价格与决策!Y217</f>
        <v>0</v>
      </c>
      <c r="Z25" s="12" t="str">
        <f t="shared" si="0"/>
        <v>正式执行</v>
      </c>
      <c r="AA25" s="12">
        <f>两日求解价格与决策!AA217</f>
        <v>1</v>
      </c>
      <c r="AB25" s="12">
        <f>两日求解价格与决策!AB217</f>
        <v>1</v>
      </c>
      <c r="AC25" s="12">
        <f>两日求解价格与决策!AC217</f>
        <v>0.25</v>
      </c>
      <c r="AD25" s="18">
        <f>两日求解价格与决策!AD217</f>
        <v>0.3125</v>
      </c>
      <c r="AE25" s="18">
        <f>两日求解价格与决策!AE217</f>
        <v>0.13714285714285715</v>
      </c>
      <c r="AF25" s="18">
        <f>两日求解价格与决策!AF217</f>
        <v>0.37097142857142856</v>
      </c>
      <c r="AG25" s="18">
        <f>两日求解价格与决策!AG217</f>
        <v>0</v>
      </c>
      <c r="AH25" s="12">
        <f>两日求解价格与决策!AH217</f>
        <v>175</v>
      </c>
      <c r="AI25" s="12">
        <f>两日求解价格与决策!AI217</f>
        <v>175</v>
      </c>
      <c r="AJ25" s="12">
        <f>两日求解价格与决策!AJ217</f>
        <v>16.23</v>
      </c>
      <c r="AK25" s="12">
        <f>两日求解价格与决策!AK217</f>
        <v>0</v>
      </c>
      <c r="AL25" s="12">
        <f>两日求解价格与决策!AL217</f>
        <v>128</v>
      </c>
      <c r="AM25" s="12">
        <f>两日求解价格与决策!AM217</f>
        <v>6.7204968944099379E-3</v>
      </c>
      <c r="AN25" s="12">
        <f>两日求解价格与决策!AN217</f>
        <v>0</v>
      </c>
      <c r="AO25" s="12">
        <f>两日求解价格与决策!AO217</f>
        <v>2.2258285714285715</v>
      </c>
      <c r="AP25" s="12">
        <f>两日求解价格与决策!AP217</f>
        <v>31.739130434782574</v>
      </c>
      <c r="AQ25" s="19">
        <f>两日求解价格与决策!AQ217</f>
        <v>0</v>
      </c>
      <c r="AR25" s="12">
        <f>两日求解价格与决策!AR217</f>
        <v>5.2473000000000001</v>
      </c>
      <c r="AS25" s="14">
        <f>两日求解价格与决策!AS217</f>
        <v>46234</v>
      </c>
      <c r="AT25" s="13">
        <f>两日求解价格与决策!AT217</f>
        <v>46236.041666666664</v>
      </c>
      <c r="AU25" s="12" t="str">
        <f>两日求解价格与决策!AU217</f>
        <v>2026-08-02_13</v>
      </c>
      <c r="AV25" s="12">
        <f>两日求解价格与决策!AV217</f>
        <v>15</v>
      </c>
      <c r="AW25" s="12" t="str">
        <f>两日求解价格与决策!AW217</f>
        <v>OK</v>
      </c>
      <c r="AX25" s="12">
        <f>两日求解价格与决策!AX217</f>
        <v>128</v>
      </c>
      <c r="AY25" s="12">
        <f>两日求解价格与决策!AY217</f>
        <v>175</v>
      </c>
      <c r="AZ25" s="12">
        <f>两日求解价格与决策!AZ217</f>
        <v>175</v>
      </c>
      <c r="BA25" s="12">
        <f>两日求解价格与决策!BA217</f>
        <v>40</v>
      </c>
      <c r="BB25" s="12">
        <f>两日求解价格与决策!BB217</f>
        <v>24</v>
      </c>
      <c r="BC25" s="12">
        <f>两日求解价格与决策!BC217</f>
        <v>24</v>
      </c>
      <c r="BD25" s="14">
        <f>两日求解价格与决策!BD217</f>
        <v>46236</v>
      </c>
      <c r="BE25" s="1" t="str">
        <f>两日求解价格与决策!BE217</f>
        <v>零头寸，无结算现金</v>
      </c>
      <c r="BF25" s="1" t="str">
        <f>两日求解价格与决策!BF217</f>
        <v>40.000000 MW × 66.224535 × 0.250000 h = 662.245345 EUR</v>
      </c>
      <c r="BG25" s="1" t="str">
        <f>两日求解价格与决策!BG217</f>
        <v>24.000000 MW × 7.127475 × 0.250000 h = 42.764850 EUR</v>
      </c>
      <c r="BH25" s="1" t="str">
        <f>两日求解价格与决策!BH217</f>
        <v>24.000000 MW × 5.076897 × 0.250000 h = 30.461380 EUR</v>
      </c>
      <c r="BI25" s="1" t="str">
        <f>两日求解价格与决策!BI217</f>
        <v>2.225829 MWh × 217.787815 = 484.758340 EUR</v>
      </c>
      <c r="BJ25" s="1" t="str">
        <f>两日求解价格与决策!BJ217</f>
        <v>零下调激活电量</v>
      </c>
      <c r="BK25" s="1" t="str">
        <f>两日求解价格与决策!BK217</f>
        <v>0.000000 + 662.245345 + 42.764850 + 30.461380 + 484.758340 + 0.000000 = 1220.229916 EUR</v>
      </c>
    </row>
    <row r="26" spans="1:63" ht="21" customHeight="1" x14ac:dyDescent="0.45">
      <c r="A26" s="13">
        <f>两日求解价格与决策!A218</f>
        <v>46236.177083333336</v>
      </c>
      <c r="B26" s="15">
        <f>两日求解价格与决策!B218</f>
        <v>154.01</v>
      </c>
      <c r="C26" s="15">
        <f>两日求解价格与决策!C218</f>
        <v>66.224534522516336</v>
      </c>
      <c r="D26" s="15">
        <f>两日求解价格与决策!D218</f>
        <v>7.1274750824233415</v>
      </c>
      <c r="E26" s="15">
        <f>两日求解价格与决策!E218</f>
        <v>5.0768966897261452</v>
      </c>
      <c r="F26" s="15">
        <f>两日求解价格与决策!F218</f>
        <v>211.27665656623407</v>
      </c>
      <c r="G26" s="15">
        <f>两日求解价格与决策!G218</f>
        <v>0</v>
      </c>
      <c r="H26" s="15" t="str">
        <f>两日求解价格与决策!H218</f>
        <v>未模拟</v>
      </c>
      <c r="I26" s="16">
        <f>两日求解价格与决策!I218</f>
        <v>31.739130434782574</v>
      </c>
      <c r="J26" s="16">
        <f>两日求解价格与决策!J218</f>
        <v>35.069677634782572</v>
      </c>
      <c r="K26" s="16">
        <f>两日求解价格与决策!K218</f>
        <v>-24</v>
      </c>
      <c r="L26" s="16">
        <f>两日求解价格与决策!L218</f>
        <v>40</v>
      </c>
      <c r="M26" s="16">
        <f>两日求解价格与决策!M218</f>
        <v>24</v>
      </c>
      <c r="N26" s="16">
        <f>两日求解价格与决策!N218</f>
        <v>24</v>
      </c>
      <c r="O26" s="16">
        <f>两日求解价格与决策!O218</f>
        <v>2.3798400000000002</v>
      </c>
      <c r="P26" s="16">
        <f>两日求解价格与决策!P218</f>
        <v>0</v>
      </c>
      <c r="Q26" s="17">
        <f>两日求解价格与决策!Q218</f>
        <v>-924.06</v>
      </c>
      <c r="R26" s="17">
        <f>两日求解价格与决策!R218</f>
        <v>662.24534522516342</v>
      </c>
      <c r="S26" s="17">
        <f>两日求解价格与决策!S218</f>
        <v>42.764850494540049</v>
      </c>
      <c r="T26" s="17">
        <f>两日求解价格与决策!T218</f>
        <v>30.461380138356873</v>
      </c>
      <c r="U26" s="17">
        <f>两日求解价格与决策!U218</f>
        <v>502.8046383625865</v>
      </c>
      <c r="V26" s="17">
        <f>两日求解价格与决策!V218</f>
        <v>0</v>
      </c>
      <c r="W26" s="17">
        <f>两日求解价格与决策!W218</f>
        <v>314.21621422064686</v>
      </c>
      <c r="X26" s="12">
        <f>两日求解价格与决策!X218</f>
        <v>314.21621422064692</v>
      </c>
      <c r="Y26" s="19">
        <f>两日求解价格与决策!Y218</f>
        <v>0</v>
      </c>
      <c r="Z26" s="12" t="str">
        <f t="shared" si="0"/>
        <v>正式执行</v>
      </c>
      <c r="AA26" s="12">
        <f>两日求解价格与决策!AA218</f>
        <v>1</v>
      </c>
      <c r="AB26" s="12">
        <f>两日求解价格与决策!AB218</f>
        <v>1</v>
      </c>
      <c r="AC26" s="12">
        <f>两日求解价格与决策!AC218</f>
        <v>0.25</v>
      </c>
      <c r="AD26" s="18">
        <f>两日求解价格与决策!AD218</f>
        <v>0.3125</v>
      </c>
      <c r="AE26" s="18">
        <f>两日求解价格与决策!AE218</f>
        <v>0.13714285714285715</v>
      </c>
      <c r="AF26" s="18">
        <f>两日求解价格与决策!AF218</f>
        <v>0.39664000000000005</v>
      </c>
      <c r="AG26" s="18">
        <f>两日求解价格与决策!AG218</f>
        <v>0</v>
      </c>
      <c r="AH26" s="12">
        <f>两日求解价格与决策!AH218</f>
        <v>175</v>
      </c>
      <c r="AI26" s="12">
        <f>两日求解价格与决策!AI218</f>
        <v>175</v>
      </c>
      <c r="AJ26" s="12">
        <f>两日求解价格与决策!AJ218</f>
        <v>17.353000000000002</v>
      </c>
      <c r="AK26" s="12">
        <f>两日求解价格与决策!AK218</f>
        <v>0</v>
      </c>
      <c r="AL26" s="12">
        <f>两日求解价格与决策!AL218</f>
        <v>128</v>
      </c>
      <c r="AM26" s="12">
        <f>两日求解价格与决策!AM218</f>
        <v>9.2515199999999992E-3</v>
      </c>
      <c r="AN26" s="12">
        <f>两日求解价格与决策!AN218</f>
        <v>3.6201599999999994</v>
      </c>
      <c r="AO26" s="12">
        <f>两日求解价格与决策!AO218</f>
        <v>0</v>
      </c>
      <c r="AP26" s="12">
        <f>两日求解价格与决策!AP218</f>
        <v>35.069677634782572</v>
      </c>
      <c r="AQ26" s="19">
        <f>两日求解价格与决策!AQ218</f>
        <v>0</v>
      </c>
      <c r="AR26" s="12">
        <f>两日求解价格与决策!AR218</f>
        <v>5.2473000000000001</v>
      </c>
      <c r="AS26" s="14">
        <f>两日求解价格与决策!AS218</f>
        <v>46234</v>
      </c>
      <c r="AT26" s="13">
        <f>两日求解价格与决策!AT218</f>
        <v>46236.052083333336</v>
      </c>
      <c r="AU26" s="12" t="str">
        <f>两日求解价格与决策!AU218</f>
        <v>2026-08-02_14</v>
      </c>
      <c r="AV26" s="12">
        <f>两日求解价格与决策!AV218</f>
        <v>15</v>
      </c>
      <c r="AW26" s="12" t="str">
        <f>两日求解价格与决策!AW218</f>
        <v>OK</v>
      </c>
      <c r="AX26" s="12">
        <f>两日求解价格与决策!AX218</f>
        <v>128</v>
      </c>
      <c r="AY26" s="12">
        <f>两日求解价格与决策!AY218</f>
        <v>175</v>
      </c>
      <c r="AZ26" s="12">
        <f>两日求解价格与决策!AZ218</f>
        <v>175</v>
      </c>
      <c r="BA26" s="12">
        <f>两日求解价格与决策!BA218</f>
        <v>40</v>
      </c>
      <c r="BB26" s="12">
        <f>两日求解价格与决策!BB218</f>
        <v>24</v>
      </c>
      <c r="BC26" s="12">
        <f>两日求解价格与决策!BC218</f>
        <v>24</v>
      </c>
      <c r="BD26" s="14">
        <f>两日求解价格与决策!BD218</f>
        <v>46236</v>
      </c>
      <c r="BE26" s="1" t="str">
        <f>两日求解价格与决策!BE218</f>
        <v>-24.000000 MW × 154.010000 × 0.250000 h = -924.060000 EUR</v>
      </c>
      <c r="BF26" s="1" t="str">
        <f>两日求解价格与决策!BF218</f>
        <v>40.000000 MW × 66.224535 × 0.250000 h = 662.245345 EUR</v>
      </c>
      <c r="BG26" s="1" t="str">
        <f>两日求解价格与决策!BG218</f>
        <v>24.000000 MW × 7.127475 × 0.250000 h = 42.764850 EUR</v>
      </c>
      <c r="BH26" s="1" t="str">
        <f>两日求解价格与决策!BH218</f>
        <v>24.000000 MW × 5.076897 × 0.250000 h = 30.461380 EUR</v>
      </c>
      <c r="BI26" s="1" t="str">
        <f>两日求解价格与决策!BI218</f>
        <v>2.379840 MWh × 211.276657 = 502.804638 EUR</v>
      </c>
      <c r="BJ26" s="1" t="str">
        <f>两日求解价格与决策!BJ218</f>
        <v>零下调激活电量</v>
      </c>
      <c r="BK26" s="1" t="str">
        <f>两日求解价格与决策!BK218</f>
        <v>-924.060000 + 662.245345 + 42.764850 + 30.461380 + 502.804638 + 0.000000 = 314.216214 EUR</v>
      </c>
    </row>
    <row r="27" spans="1:63" ht="21" customHeight="1" x14ac:dyDescent="0.45">
      <c r="A27" s="13">
        <f>两日求解价格与决策!A219</f>
        <v>46236.1875</v>
      </c>
      <c r="B27" s="15">
        <f>两日求解价格与决策!B219</f>
        <v>154.82</v>
      </c>
      <c r="C27" s="15">
        <f>两日求解价格与决策!C219</f>
        <v>66.224534522516336</v>
      </c>
      <c r="D27" s="15">
        <f>两日求解价格与决策!D219</f>
        <v>7.1274750824233415</v>
      </c>
      <c r="E27" s="15">
        <f>两日求解价格与决策!E219</f>
        <v>5.0768966897261452</v>
      </c>
      <c r="F27" s="15">
        <f>两日求解价格与决策!F219</f>
        <v>223.7628875802794</v>
      </c>
      <c r="G27" s="15">
        <f>两日求解价格与决策!G219</f>
        <v>0</v>
      </c>
      <c r="H27" s="15" t="str">
        <f>两日求解价格与决策!H219</f>
        <v>未模拟</v>
      </c>
      <c r="I27" s="16">
        <f>两日求解价格与决策!I219</f>
        <v>35.069677634782572</v>
      </c>
      <c r="J27" s="16">
        <f>两日求解价格与决策!J219</f>
        <v>37.69258319503102</v>
      </c>
      <c r="K27" s="16">
        <f>两日求解价格与决策!K219</f>
        <v>-22.87377133671642</v>
      </c>
      <c r="L27" s="16">
        <f>两日求解价格与决策!L219</f>
        <v>40</v>
      </c>
      <c r="M27" s="16">
        <f>两日求解价格与决策!M219</f>
        <v>24</v>
      </c>
      <c r="N27" s="16">
        <f>两日求解价格与决策!N219</f>
        <v>24</v>
      </c>
      <c r="O27" s="16">
        <f>两日求解价格与决策!O219</f>
        <v>2.8432457142857142</v>
      </c>
      <c r="P27" s="16">
        <f>两日求解价格与决策!P219</f>
        <v>0</v>
      </c>
      <c r="Q27" s="17">
        <f>两日求解价格与决策!Q219</f>
        <v>-885.32931958760901</v>
      </c>
      <c r="R27" s="17">
        <f>两日求解价格与决策!R219</f>
        <v>662.24534522516342</v>
      </c>
      <c r="S27" s="17">
        <f>两日求解价格与决策!S219</f>
        <v>42.764850494540049</v>
      </c>
      <c r="T27" s="17">
        <f>两日求解价格与决策!T219</f>
        <v>30.461380138356873</v>
      </c>
      <c r="U27" s="17">
        <f>两日求解价格与决策!U219</f>
        <v>636.21287112882544</v>
      </c>
      <c r="V27" s="17">
        <f>两日求解价格与决策!V219</f>
        <v>0</v>
      </c>
      <c r="W27" s="17">
        <f>两日求解价格与决策!W219</f>
        <v>486.35512739927674</v>
      </c>
      <c r="X27" s="12">
        <f>两日求解价格与决策!X219</f>
        <v>486.3551273992768</v>
      </c>
      <c r="Y27" s="19">
        <f>两日求解价格与决策!Y219</f>
        <v>0</v>
      </c>
      <c r="Z27" s="12" t="str">
        <f t="shared" si="0"/>
        <v>正式执行</v>
      </c>
      <c r="AA27" s="12">
        <f>两日求解价格与决策!AA219</f>
        <v>1</v>
      </c>
      <c r="AB27" s="12">
        <f>两日求解价格与决策!AB219</f>
        <v>1</v>
      </c>
      <c r="AC27" s="12">
        <f>两日求解价格与决策!AC219</f>
        <v>0.25</v>
      </c>
      <c r="AD27" s="18">
        <f>两日求解价格与决策!AD219</f>
        <v>0.3125</v>
      </c>
      <c r="AE27" s="18">
        <f>两日求解价格与决策!AE219</f>
        <v>0.13714285714285715</v>
      </c>
      <c r="AF27" s="18">
        <f>两日求解价格与决策!AF219</f>
        <v>0.47387428571428569</v>
      </c>
      <c r="AG27" s="18">
        <f>两日求解价格与决策!AG219</f>
        <v>0</v>
      </c>
      <c r="AH27" s="12">
        <f>两日求解价格与决策!AH219</f>
        <v>175</v>
      </c>
      <c r="AI27" s="12">
        <f>两日求解价格与决策!AI219</f>
        <v>175</v>
      </c>
      <c r="AJ27" s="12">
        <f>两日求解价格与决策!AJ219</f>
        <v>20.731999999999999</v>
      </c>
      <c r="AK27" s="12">
        <f>两日求解价格与决策!AK219</f>
        <v>0</v>
      </c>
      <c r="AL27" s="12">
        <f>两日求解价格与决策!AL219</f>
        <v>128</v>
      </c>
      <c r="AM27" s="12">
        <f>两日求解价格与决策!AM219</f>
        <v>8.0915414163973479E-3</v>
      </c>
      <c r="AN27" s="12">
        <f>两日求解价格与决策!AN219</f>
        <v>3.0086198207345061</v>
      </c>
      <c r="AO27" s="12">
        <f>两日求解价格与决策!AO219</f>
        <v>0.13342270084111535</v>
      </c>
      <c r="AP27" s="12">
        <f>两日求解价格与决策!AP219</f>
        <v>37.69258319503102</v>
      </c>
      <c r="AQ27" s="19">
        <f>两日求解价格与决策!AQ219</f>
        <v>0</v>
      </c>
      <c r="AR27" s="12">
        <f>两日求解价格与决策!AR219</f>
        <v>5.2473000000000001</v>
      </c>
      <c r="AS27" s="14">
        <f>两日求解价格与决策!AS219</f>
        <v>46234</v>
      </c>
      <c r="AT27" s="13">
        <f>两日求解价格与决策!AT219</f>
        <v>46236.0625</v>
      </c>
      <c r="AU27" s="12" t="str">
        <f>两日求解价格与决策!AU219</f>
        <v>2026-08-02_15</v>
      </c>
      <c r="AV27" s="12">
        <f>两日求解价格与决策!AV219</f>
        <v>15</v>
      </c>
      <c r="AW27" s="12" t="str">
        <f>两日求解价格与决策!AW219</f>
        <v>OK</v>
      </c>
      <c r="AX27" s="12">
        <f>两日求解价格与决策!AX219</f>
        <v>128</v>
      </c>
      <c r="AY27" s="12">
        <f>两日求解价格与决策!AY219</f>
        <v>175</v>
      </c>
      <c r="AZ27" s="12">
        <f>两日求解价格与决策!AZ219</f>
        <v>175</v>
      </c>
      <c r="BA27" s="12">
        <f>两日求解价格与决策!BA219</f>
        <v>40</v>
      </c>
      <c r="BB27" s="12">
        <f>两日求解价格与决策!BB219</f>
        <v>24</v>
      </c>
      <c r="BC27" s="12">
        <f>两日求解价格与决策!BC219</f>
        <v>24</v>
      </c>
      <c r="BD27" s="14">
        <f>两日求解价格与决策!BD219</f>
        <v>46236</v>
      </c>
      <c r="BE27" s="1" t="str">
        <f>两日求解价格与决策!BE219</f>
        <v>-22.873771 MW × 154.820000 × 0.250000 h = -885.329320 EUR</v>
      </c>
      <c r="BF27" s="1" t="str">
        <f>两日求解价格与决策!BF219</f>
        <v>40.000000 MW × 66.224535 × 0.250000 h = 662.245345 EUR</v>
      </c>
      <c r="BG27" s="1" t="str">
        <f>两日求解价格与决策!BG219</f>
        <v>24.000000 MW × 7.127475 × 0.250000 h = 42.764850 EUR</v>
      </c>
      <c r="BH27" s="1" t="str">
        <f>两日求解价格与决策!BH219</f>
        <v>24.000000 MW × 5.076897 × 0.250000 h = 30.461380 EUR</v>
      </c>
      <c r="BI27" s="1" t="str">
        <f>两日求解价格与决策!BI219</f>
        <v>2.843246 MWh × 223.762888 = 636.212871 EUR</v>
      </c>
      <c r="BJ27" s="1" t="str">
        <f>两日求解价格与决策!BJ219</f>
        <v>零下调激活电量</v>
      </c>
      <c r="BK27" s="1" t="str">
        <f>两日求解价格与决策!BK219</f>
        <v>-885.329320 + 662.245345 + 42.764850 + 30.461380 + 636.212871 + 0.000000 = 486.355127 EUR</v>
      </c>
    </row>
    <row r="28" spans="1:63" ht="21" customHeight="1" x14ac:dyDescent="0.45">
      <c r="A28" s="13">
        <f>两日求解价格与决策!A220</f>
        <v>46236.197916666664</v>
      </c>
      <c r="B28" s="15">
        <f>两日求解价格与决策!B220</f>
        <v>154.78</v>
      </c>
      <c r="C28" s="15">
        <f>两日求解价格与决策!C220</f>
        <v>66.224534522516336</v>
      </c>
      <c r="D28" s="15">
        <f>两日求解价格与决策!D220</f>
        <v>7.1274750824233415</v>
      </c>
      <c r="E28" s="15">
        <f>两日求解价格与决策!E220</f>
        <v>5.0768966897261452</v>
      </c>
      <c r="F28" s="15">
        <f>两日求解价格与决策!F220</f>
        <v>190.96849808472928</v>
      </c>
      <c r="G28" s="15">
        <f>两日求解价格与决策!G220</f>
        <v>0</v>
      </c>
      <c r="H28" s="15" t="str">
        <f>两日求解价格与决策!H220</f>
        <v>未模拟</v>
      </c>
      <c r="I28" s="16">
        <f>两日求解价格与决策!I220</f>
        <v>37.69258319503102</v>
      </c>
      <c r="J28" s="16">
        <f>两日求解价格与决策!J220</f>
        <v>35.589527294409905</v>
      </c>
      <c r="K28" s="16">
        <f>两日求解价格与决策!K220</f>
        <v>0</v>
      </c>
      <c r="L28" s="16">
        <f>两日求解价格与决策!L220</f>
        <v>40</v>
      </c>
      <c r="M28" s="16">
        <f>两日求解价格与决策!M220</f>
        <v>24</v>
      </c>
      <c r="N28" s="16">
        <f>两日求解价格与决策!N220</f>
        <v>24</v>
      </c>
      <c r="O28" s="16">
        <f>两日求解价格与决策!O220</f>
        <v>1.9348114285714286</v>
      </c>
      <c r="P28" s="16">
        <f>两日求解价格与决策!P220</f>
        <v>0</v>
      </c>
      <c r="Q28" s="17">
        <f>两日求解价格与决策!Q220</f>
        <v>0</v>
      </c>
      <c r="R28" s="17">
        <f>两日求解价格与决策!R220</f>
        <v>662.24534522516342</v>
      </c>
      <c r="S28" s="17">
        <f>两日求解价格与决策!S220</f>
        <v>42.764850494540049</v>
      </c>
      <c r="T28" s="17">
        <f>两日求解价格与决策!T220</f>
        <v>30.461380138356873</v>
      </c>
      <c r="U28" s="17">
        <f>两日求解价格与决策!U220</f>
        <v>369.48803259145518</v>
      </c>
      <c r="V28" s="17">
        <f>两日求解价格与决策!V220</f>
        <v>0</v>
      </c>
      <c r="W28" s="17">
        <f>两日求解价格与决策!W220</f>
        <v>1104.9596084495156</v>
      </c>
      <c r="X28" s="12">
        <f>两日求解价格与决策!X220</f>
        <v>1104.9596084495156</v>
      </c>
      <c r="Y28" s="19">
        <f>两日求解价格与决策!Y220</f>
        <v>0</v>
      </c>
      <c r="Z28" s="12" t="str">
        <f t="shared" si="0"/>
        <v>正式执行</v>
      </c>
      <c r="AA28" s="12">
        <f>两日求解价格与决策!AA220</f>
        <v>1</v>
      </c>
      <c r="AB28" s="12">
        <f>两日求解价格与决策!AB220</f>
        <v>1</v>
      </c>
      <c r="AC28" s="12">
        <f>两日求解价格与决策!AC220</f>
        <v>0.25</v>
      </c>
      <c r="AD28" s="18">
        <f>两日求解价格与决策!AD220</f>
        <v>0.3125</v>
      </c>
      <c r="AE28" s="18">
        <f>两日求解价格与决策!AE220</f>
        <v>0.13714285714285715</v>
      </c>
      <c r="AF28" s="18">
        <f>两日求解价格与决策!AF220</f>
        <v>0.32246857142857144</v>
      </c>
      <c r="AG28" s="18">
        <f>两日求解价格与决策!AG220</f>
        <v>0</v>
      </c>
      <c r="AH28" s="12">
        <f>两日求解价格与决策!AH220</f>
        <v>175</v>
      </c>
      <c r="AI28" s="12">
        <f>两日求解价格与决策!AI220</f>
        <v>175</v>
      </c>
      <c r="AJ28" s="12">
        <f>两日求解价格与决策!AJ220</f>
        <v>14.108000000000001</v>
      </c>
      <c r="AK28" s="12">
        <f>两日求解价格与决策!AK220</f>
        <v>0</v>
      </c>
      <c r="AL28" s="12">
        <f>两日求解价格与决策!AL220</f>
        <v>128</v>
      </c>
      <c r="AM28" s="12">
        <f>两日求解价格与决策!AM220</f>
        <v>5.8418219461697724E-3</v>
      </c>
      <c r="AN28" s="12">
        <f>两日求解价格与决策!AN220</f>
        <v>0</v>
      </c>
      <c r="AO28" s="12">
        <f>两日求解价格与决策!AO220</f>
        <v>1.9348114285714286</v>
      </c>
      <c r="AP28" s="12">
        <f>两日求解价格与决策!AP220</f>
        <v>35.589527294409905</v>
      </c>
      <c r="AQ28" s="19">
        <f>两日求解价格与决策!AQ220</f>
        <v>0</v>
      </c>
      <c r="AR28" s="12">
        <f>两日求解价格与决策!AR220</f>
        <v>5.2473000000000001</v>
      </c>
      <c r="AS28" s="14">
        <f>两日求解价格与决策!AS220</f>
        <v>46234</v>
      </c>
      <c r="AT28" s="13">
        <f>两日求解价格与决策!AT220</f>
        <v>46236.072916666664</v>
      </c>
      <c r="AU28" s="12" t="str">
        <f>两日求解价格与决策!AU220</f>
        <v>2026-08-02_16</v>
      </c>
      <c r="AV28" s="12">
        <f>两日求解价格与决策!AV220</f>
        <v>15</v>
      </c>
      <c r="AW28" s="12" t="str">
        <f>两日求解价格与决策!AW220</f>
        <v>OK</v>
      </c>
      <c r="AX28" s="12">
        <f>两日求解价格与决策!AX220</f>
        <v>128</v>
      </c>
      <c r="AY28" s="12">
        <f>两日求解价格与决策!AY220</f>
        <v>175</v>
      </c>
      <c r="AZ28" s="12">
        <f>两日求解价格与决策!AZ220</f>
        <v>175</v>
      </c>
      <c r="BA28" s="12">
        <f>两日求解价格与决策!BA220</f>
        <v>40</v>
      </c>
      <c r="BB28" s="12">
        <f>两日求解价格与决策!BB220</f>
        <v>24</v>
      </c>
      <c r="BC28" s="12">
        <f>两日求解价格与决策!BC220</f>
        <v>24</v>
      </c>
      <c r="BD28" s="14">
        <f>两日求解价格与决策!BD220</f>
        <v>46236</v>
      </c>
      <c r="BE28" s="1" t="str">
        <f>两日求解价格与决策!BE220</f>
        <v>零头寸，无结算现金</v>
      </c>
      <c r="BF28" s="1" t="str">
        <f>两日求解价格与决策!BF220</f>
        <v>40.000000 MW × 66.224535 × 0.250000 h = 662.245345 EUR</v>
      </c>
      <c r="BG28" s="1" t="str">
        <f>两日求解价格与决策!BG220</f>
        <v>24.000000 MW × 7.127475 × 0.250000 h = 42.764850 EUR</v>
      </c>
      <c r="BH28" s="1" t="str">
        <f>两日求解价格与决策!BH220</f>
        <v>24.000000 MW × 5.076897 × 0.250000 h = 30.461380 EUR</v>
      </c>
      <c r="BI28" s="1" t="str">
        <f>两日求解价格与决策!BI220</f>
        <v>1.934811 MWh × 190.968498 = 369.488033 EUR</v>
      </c>
      <c r="BJ28" s="1" t="str">
        <f>两日求解价格与决策!BJ220</f>
        <v>零下调激活电量</v>
      </c>
      <c r="BK28" s="1" t="str">
        <f>两日求解价格与决策!BK220</f>
        <v>0.000000 + 662.245345 + 42.764850 + 30.461380 + 369.488033 + 0.000000 = 1104.959608 EUR</v>
      </c>
    </row>
    <row r="29" spans="1:63" ht="21" customHeight="1" x14ac:dyDescent="0.45">
      <c r="A29" s="13">
        <f>两日求解价格与决策!A221</f>
        <v>46236.208333333336</v>
      </c>
      <c r="B29" s="15">
        <f>两日求解价格与决策!B221</f>
        <v>157.47</v>
      </c>
      <c r="C29" s="15">
        <f>两日求解价格与决策!C221</f>
        <v>66.224534522516336</v>
      </c>
      <c r="D29" s="15">
        <f>两日求解价格与决策!D221</f>
        <v>7.1274750824233415</v>
      </c>
      <c r="E29" s="15">
        <f>两日求解价格与决策!E221</f>
        <v>5.0730852057248494</v>
      </c>
      <c r="F29" s="15">
        <f>两日求解价格与决策!F221</f>
        <v>188.99853257865951</v>
      </c>
      <c r="G29" s="15">
        <f>两日求解价格与决策!G221</f>
        <v>0</v>
      </c>
      <c r="H29" s="15" t="str">
        <f>两日求解价格与决策!H221</f>
        <v>未模拟</v>
      </c>
      <c r="I29" s="16">
        <f>两日求解价格与决策!I221</f>
        <v>35.589527294409905</v>
      </c>
      <c r="J29" s="16">
        <f>两日求解价格与决策!J221</f>
        <v>34.505204313043443</v>
      </c>
      <c r="K29" s="16">
        <f>两日求解价格与决策!K221</f>
        <v>0</v>
      </c>
      <c r="L29" s="16">
        <f>两日求解价格与决策!L221</f>
        <v>40</v>
      </c>
      <c r="M29" s="16">
        <f>两日求解价格与决策!M221</f>
        <v>24</v>
      </c>
      <c r="N29" s="16">
        <f>两日求解价格与决策!N221</f>
        <v>24</v>
      </c>
      <c r="O29" s="16">
        <f>两日求解价格与决策!O221</f>
        <v>0.99757714285714294</v>
      </c>
      <c r="P29" s="16">
        <f>两日求解价格与决策!P221</f>
        <v>0</v>
      </c>
      <c r="Q29" s="17">
        <f>两日求解价格与决策!Q221</f>
        <v>0</v>
      </c>
      <c r="R29" s="17">
        <f>两日求解价格与决策!R221</f>
        <v>662.24534522516342</v>
      </c>
      <c r="S29" s="17">
        <f>两日求解价格与决策!S221</f>
        <v>42.764850494540049</v>
      </c>
      <c r="T29" s="17">
        <f>两日求解价格与决策!T221</f>
        <v>30.438511234349097</v>
      </c>
      <c r="U29" s="17">
        <f>两日求解价格与决策!U221</f>
        <v>188.5406161340118</v>
      </c>
      <c r="V29" s="17">
        <f>两日求解价格与决策!V221</f>
        <v>0</v>
      </c>
      <c r="W29" s="17">
        <f>两日求解价格与决策!W221</f>
        <v>923.98932308806434</v>
      </c>
      <c r="X29" s="12">
        <f>两日求解价格与决策!X221</f>
        <v>923.98932308806434</v>
      </c>
      <c r="Y29" s="19">
        <f>两日求解价格与决策!Y221</f>
        <v>0</v>
      </c>
      <c r="Z29" s="12" t="str">
        <f t="shared" si="0"/>
        <v>正式执行</v>
      </c>
      <c r="AA29" s="12">
        <f>两日求解价格与决策!AA221</f>
        <v>1</v>
      </c>
      <c r="AB29" s="12">
        <f>两日求解价格与决策!AB221</f>
        <v>1</v>
      </c>
      <c r="AC29" s="12">
        <f>两日求解价格与决策!AC221</f>
        <v>0.25</v>
      </c>
      <c r="AD29" s="18">
        <f>两日求解价格与决策!AD221</f>
        <v>0.3125</v>
      </c>
      <c r="AE29" s="18">
        <f>两日求解价格与决策!AE221</f>
        <v>0.13714285714285715</v>
      </c>
      <c r="AF29" s="18">
        <f>两日求解价格与决策!AF221</f>
        <v>0.16626285714285716</v>
      </c>
      <c r="AG29" s="18">
        <f>两日求解价格与决策!AG221</f>
        <v>0</v>
      </c>
      <c r="AH29" s="12">
        <f>两日求解价格与决策!AH221</f>
        <v>175</v>
      </c>
      <c r="AI29" s="12">
        <f>两日求解价格与决策!AI221</f>
        <v>175</v>
      </c>
      <c r="AJ29" s="12">
        <f>两日求解价格与决策!AJ221</f>
        <v>7.274</v>
      </c>
      <c r="AK29" s="12">
        <f>两日求解价格与决策!AK221</f>
        <v>0</v>
      </c>
      <c r="AL29" s="12">
        <f>两日求解价格与决策!AL221</f>
        <v>128</v>
      </c>
      <c r="AM29" s="12">
        <f>两日求解价格与决策!AM221</f>
        <v>3.0120082815734989E-3</v>
      </c>
      <c r="AN29" s="12">
        <f>两日求解价格与决策!AN221</f>
        <v>0</v>
      </c>
      <c r="AO29" s="12">
        <f>两日求解价格与决策!AO221</f>
        <v>0.99757714285714294</v>
      </c>
      <c r="AP29" s="12">
        <f>两日求解价格与决策!AP221</f>
        <v>34.505204313043443</v>
      </c>
      <c r="AQ29" s="19">
        <f>两日求解价格与决策!AQ221</f>
        <v>0</v>
      </c>
      <c r="AR29" s="12">
        <f>两日求解价格与决策!AR221</f>
        <v>5.2473000000000001</v>
      </c>
      <c r="AS29" s="14">
        <f>两日求解价格与决策!AS221</f>
        <v>46234</v>
      </c>
      <c r="AT29" s="13">
        <f>两日求解价格与决策!AT221</f>
        <v>46236.083333333336</v>
      </c>
      <c r="AU29" s="12" t="str">
        <f>两日求解价格与决策!AU221</f>
        <v>2026-08-02_17</v>
      </c>
      <c r="AV29" s="12">
        <f>两日求解价格与决策!AV221</f>
        <v>15</v>
      </c>
      <c r="AW29" s="12" t="str">
        <f>两日求解价格与决策!AW221</f>
        <v>OK</v>
      </c>
      <c r="AX29" s="12">
        <f>两日求解价格与决策!AX221</f>
        <v>128</v>
      </c>
      <c r="AY29" s="12">
        <f>两日求解价格与决策!AY221</f>
        <v>175</v>
      </c>
      <c r="AZ29" s="12">
        <f>两日求解价格与决策!AZ221</f>
        <v>175</v>
      </c>
      <c r="BA29" s="12">
        <f>两日求解价格与决策!BA221</f>
        <v>40</v>
      </c>
      <c r="BB29" s="12">
        <f>两日求解价格与决策!BB221</f>
        <v>24</v>
      </c>
      <c r="BC29" s="12">
        <f>两日求解价格与决策!BC221</f>
        <v>24</v>
      </c>
      <c r="BD29" s="14">
        <f>两日求解价格与决策!BD221</f>
        <v>46236</v>
      </c>
      <c r="BE29" s="1" t="str">
        <f>两日求解价格与决策!BE221</f>
        <v>零头寸，无结算现金</v>
      </c>
      <c r="BF29" s="1" t="str">
        <f>两日求解价格与决策!BF221</f>
        <v>40.000000 MW × 66.224535 × 0.250000 h = 662.245345 EUR</v>
      </c>
      <c r="BG29" s="1" t="str">
        <f>两日求解价格与决策!BG221</f>
        <v>24.000000 MW × 7.127475 × 0.250000 h = 42.764850 EUR</v>
      </c>
      <c r="BH29" s="1" t="str">
        <f>两日求解价格与决策!BH221</f>
        <v>24.000000 MW × 5.073085 × 0.250000 h = 30.438511 EUR</v>
      </c>
      <c r="BI29" s="1" t="str">
        <f>两日求解价格与决策!BI221</f>
        <v>0.997577 MWh × 188.998533 = 188.540616 EUR</v>
      </c>
      <c r="BJ29" s="1" t="str">
        <f>两日求解价格与决策!BJ221</f>
        <v>零下调激活电量</v>
      </c>
      <c r="BK29" s="1" t="str">
        <f>两日求解价格与决策!BK221</f>
        <v>0.000000 + 662.245345 + 42.764850 + 30.438511 + 188.540616 + 0.000000 = 923.989323 EUR</v>
      </c>
    </row>
    <row r="30" spans="1:63" ht="21" customHeight="1" x14ac:dyDescent="0.45">
      <c r="A30" s="13">
        <f>两日求解价格与决策!A222</f>
        <v>46236.21875</v>
      </c>
      <c r="B30" s="15">
        <f>两日求解价格与决策!B222</f>
        <v>153.84</v>
      </c>
      <c r="C30" s="15">
        <f>两日求解价格与决策!C222</f>
        <v>66.224534522516336</v>
      </c>
      <c r="D30" s="15">
        <f>两日求解价格与决策!D222</f>
        <v>7.1274750824233415</v>
      </c>
      <c r="E30" s="15">
        <f>两日求解价格与决策!E222</f>
        <v>5.0730852057248494</v>
      </c>
      <c r="F30" s="15">
        <f>两日求解价格与决策!F222</f>
        <v>179.4326606064071</v>
      </c>
      <c r="G30" s="15">
        <f>两日求解价格与决策!G222</f>
        <v>0</v>
      </c>
      <c r="H30" s="15" t="str">
        <f>两日求解价格与决策!H222</f>
        <v>未模拟</v>
      </c>
      <c r="I30" s="16">
        <f>两日求解价格与决策!I222</f>
        <v>34.505204313043443</v>
      </c>
      <c r="J30" s="16">
        <f>两日求解价格与决策!J222</f>
        <v>33.670868909316738</v>
      </c>
      <c r="K30" s="16">
        <f>两日求解价格与决策!K222</f>
        <v>0</v>
      </c>
      <c r="L30" s="16">
        <f>两日求解价格与决策!L222</f>
        <v>40</v>
      </c>
      <c r="M30" s="16">
        <f>两日求解价格与决策!M222</f>
        <v>24</v>
      </c>
      <c r="N30" s="16">
        <f>两日求解价格与决策!N222</f>
        <v>24</v>
      </c>
      <c r="O30" s="16">
        <f>两日求解价格与决策!O222</f>
        <v>0.76758857142857151</v>
      </c>
      <c r="P30" s="16">
        <f>两日求解价格与决策!P222</f>
        <v>0</v>
      </c>
      <c r="Q30" s="17">
        <f>两日求解价格与决策!Q222</f>
        <v>0</v>
      </c>
      <c r="R30" s="17">
        <f>两日求解价格与决策!R222</f>
        <v>662.24534522516342</v>
      </c>
      <c r="S30" s="17">
        <f>两日求解价格与决策!S222</f>
        <v>42.764850494540049</v>
      </c>
      <c r="T30" s="17">
        <f>两日求解价格与决策!T222</f>
        <v>30.438511234349097</v>
      </c>
      <c r="U30" s="17">
        <f>两日求解价格与决策!U222</f>
        <v>137.73045962249975</v>
      </c>
      <c r="V30" s="17">
        <f>两日求解价格与决策!V222</f>
        <v>0</v>
      </c>
      <c r="W30" s="17">
        <f>两日求解价格与决策!W222</f>
        <v>873.17916657655235</v>
      </c>
      <c r="X30" s="12">
        <f>两日求解价格与决策!X222</f>
        <v>873.17916657655235</v>
      </c>
      <c r="Y30" s="19">
        <f>两日求解价格与决策!Y222</f>
        <v>0</v>
      </c>
      <c r="Z30" s="12" t="str">
        <f t="shared" si="0"/>
        <v>正式执行</v>
      </c>
      <c r="AA30" s="12">
        <f>两日求解价格与决策!AA222</f>
        <v>1</v>
      </c>
      <c r="AB30" s="12">
        <f>两日求解价格与决策!AB222</f>
        <v>1</v>
      </c>
      <c r="AC30" s="12">
        <f>两日求解价格与决策!AC222</f>
        <v>0.25</v>
      </c>
      <c r="AD30" s="18">
        <f>两日求解价格与决策!AD222</f>
        <v>0.3125</v>
      </c>
      <c r="AE30" s="18">
        <f>两日求解价格与决策!AE222</f>
        <v>0.13714285714285715</v>
      </c>
      <c r="AF30" s="18">
        <f>两日求解价格与决策!AF222</f>
        <v>0.12793142857142858</v>
      </c>
      <c r="AG30" s="18">
        <f>两日求解价格与决策!AG222</f>
        <v>0</v>
      </c>
      <c r="AH30" s="12">
        <f>两日求解价格与决策!AH222</f>
        <v>175</v>
      </c>
      <c r="AI30" s="12">
        <f>两日求解价格与决策!AI222</f>
        <v>175</v>
      </c>
      <c r="AJ30" s="12">
        <f>两日求解价格与决策!AJ222</f>
        <v>5.5970000000000004</v>
      </c>
      <c r="AK30" s="12">
        <f>两日求解价格与决策!AK222</f>
        <v>0</v>
      </c>
      <c r="AL30" s="12">
        <f>两日求解价格与决策!AL222</f>
        <v>128</v>
      </c>
      <c r="AM30" s="12">
        <f>两日求解价格与决策!AM222</f>
        <v>2.3175983436853004E-3</v>
      </c>
      <c r="AN30" s="12">
        <f>两日求解价格与决策!AN222</f>
        <v>0</v>
      </c>
      <c r="AO30" s="12">
        <f>两日求解价格与决策!AO222</f>
        <v>0.76758857142857151</v>
      </c>
      <c r="AP30" s="12">
        <f>两日求解价格与决策!AP222</f>
        <v>33.670868909316738</v>
      </c>
      <c r="AQ30" s="19">
        <f>两日求解价格与决策!AQ222</f>
        <v>0</v>
      </c>
      <c r="AR30" s="12">
        <f>两日求解价格与决策!AR222</f>
        <v>5.2473000000000001</v>
      </c>
      <c r="AS30" s="14">
        <f>两日求解价格与决策!AS222</f>
        <v>46234</v>
      </c>
      <c r="AT30" s="13">
        <f>两日求解价格与决策!AT222</f>
        <v>46236.09375</v>
      </c>
      <c r="AU30" s="12" t="str">
        <f>两日求解价格与决策!AU222</f>
        <v>2026-08-02_18</v>
      </c>
      <c r="AV30" s="12">
        <f>两日求解价格与决策!AV222</f>
        <v>15</v>
      </c>
      <c r="AW30" s="12" t="str">
        <f>两日求解价格与决策!AW222</f>
        <v>OK</v>
      </c>
      <c r="AX30" s="12">
        <f>两日求解价格与决策!AX222</f>
        <v>128</v>
      </c>
      <c r="AY30" s="12">
        <f>两日求解价格与决策!AY222</f>
        <v>175</v>
      </c>
      <c r="AZ30" s="12">
        <f>两日求解价格与决策!AZ222</f>
        <v>175</v>
      </c>
      <c r="BA30" s="12">
        <f>两日求解价格与决策!BA222</f>
        <v>40</v>
      </c>
      <c r="BB30" s="12">
        <f>两日求解价格与决策!BB222</f>
        <v>24</v>
      </c>
      <c r="BC30" s="12">
        <f>两日求解价格与决策!BC222</f>
        <v>24</v>
      </c>
      <c r="BD30" s="14">
        <f>两日求解价格与决策!BD222</f>
        <v>46236</v>
      </c>
      <c r="BE30" s="1" t="str">
        <f>两日求解价格与决策!BE222</f>
        <v>零头寸，无结算现金</v>
      </c>
      <c r="BF30" s="1" t="str">
        <f>两日求解价格与决策!BF222</f>
        <v>40.000000 MW × 66.224535 × 0.250000 h = 662.245345 EUR</v>
      </c>
      <c r="BG30" s="1" t="str">
        <f>两日求解价格与决策!BG222</f>
        <v>24.000000 MW × 7.127475 × 0.250000 h = 42.764850 EUR</v>
      </c>
      <c r="BH30" s="1" t="str">
        <f>两日求解价格与决策!BH222</f>
        <v>24.000000 MW × 5.073085 × 0.250000 h = 30.438511 EUR</v>
      </c>
      <c r="BI30" s="1" t="str">
        <f>两日求解价格与决策!BI222</f>
        <v>0.767589 MWh × 179.432661 = 137.730460 EUR</v>
      </c>
      <c r="BJ30" s="1" t="str">
        <f>两日求解价格与决策!BJ222</f>
        <v>零下调激活电量</v>
      </c>
      <c r="BK30" s="1" t="str">
        <f>两日求解价格与决策!BK222</f>
        <v>0.000000 + 662.245345 + 42.764850 + 30.438511 + 137.730460 + 0.000000 = 873.179167 EUR</v>
      </c>
    </row>
    <row r="31" spans="1:63" ht="21" customHeight="1" x14ac:dyDescent="0.45">
      <c r="A31" s="13">
        <f>两日求解价格与决策!A223</f>
        <v>46236.229166666664</v>
      </c>
      <c r="B31" s="15">
        <f>两日求解价格与决策!B223</f>
        <v>154.19</v>
      </c>
      <c r="C31" s="15">
        <f>两日求解价格与决策!C223</f>
        <v>66.224534522516336</v>
      </c>
      <c r="D31" s="15">
        <f>两日求解价格与决策!D223</f>
        <v>7.1274750824233415</v>
      </c>
      <c r="E31" s="15">
        <f>两日求解价格与决策!E223</f>
        <v>5.0730852057248494</v>
      </c>
      <c r="F31" s="15">
        <f>两日求解价格与决策!F223</f>
        <v>174.57816400815656</v>
      </c>
      <c r="G31" s="15">
        <f>两日求解价格与决策!G223</f>
        <v>0</v>
      </c>
      <c r="H31" s="15" t="str">
        <f>两日求解价格与决策!H223</f>
        <v>未模拟</v>
      </c>
      <c r="I31" s="16">
        <f>两日求解价格与决策!I223</f>
        <v>33.670868909316738</v>
      </c>
      <c r="J31" s="16">
        <f>两日求解价格与决策!J223</f>
        <v>33.196980710558975</v>
      </c>
      <c r="K31" s="16">
        <f>两日求解价格与决策!K223</f>
        <v>0</v>
      </c>
      <c r="L31" s="16">
        <f>两日求解价格与决策!L223</f>
        <v>40</v>
      </c>
      <c r="M31" s="16">
        <f>两日求解价格与决策!M223</f>
        <v>24</v>
      </c>
      <c r="N31" s="16">
        <f>两日求解价格与决策!N223</f>
        <v>24</v>
      </c>
      <c r="O31" s="16">
        <f>两日求解价格与决策!O223</f>
        <v>0.43597714285714284</v>
      </c>
      <c r="P31" s="16">
        <f>两日求解价格与决策!P223</f>
        <v>0</v>
      </c>
      <c r="Q31" s="17">
        <f>两日求解价格与决策!Q223</f>
        <v>0</v>
      </c>
      <c r="R31" s="17">
        <f>两日求解价格与决策!R223</f>
        <v>662.24534522516342</v>
      </c>
      <c r="S31" s="17">
        <f>两日求解价格与决策!S223</f>
        <v>42.764850494540049</v>
      </c>
      <c r="T31" s="17">
        <f>两日求解价格与决策!T223</f>
        <v>30.438511234349097</v>
      </c>
      <c r="U31" s="17">
        <f>两日求解价格与决策!U223</f>
        <v>76.112089149521793</v>
      </c>
      <c r="V31" s="17">
        <f>两日求解价格与决策!V223</f>
        <v>0</v>
      </c>
      <c r="W31" s="17">
        <f>两日求解价格与决策!W223</f>
        <v>811.56079610357438</v>
      </c>
      <c r="X31" s="12">
        <f>两日求解价格与决策!X223</f>
        <v>811.56079610357438</v>
      </c>
      <c r="Y31" s="19">
        <f>两日求解价格与决策!Y223</f>
        <v>0</v>
      </c>
      <c r="Z31" s="12" t="str">
        <f t="shared" si="0"/>
        <v>正式执行</v>
      </c>
      <c r="AA31" s="12">
        <f>两日求解价格与决策!AA223</f>
        <v>1</v>
      </c>
      <c r="AB31" s="12">
        <f>两日求解价格与决策!AB223</f>
        <v>1</v>
      </c>
      <c r="AC31" s="12">
        <f>两日求解价格与决策!AC223</f>
        <v>0.25</v>
      </c>
      <c r="AD31" s="18">
        <f>两日求解价格与决策!AD223</f>
        <v>0.3125</v>
      </c>
      <c r="AE31" s="18">
        <f>两日求解价格与决策!AE223</f>
        <v>0.13714285714285715</v>
      </c>
      <c r="AF31" s="18">
        <f>两日求解价格与决策!AF223</f>
        <v>7.266285714285714E-2</v>
      </c>
      <c r="AG31" s="18">
        <f>两日求解价格与决策!AG223</f>
        <v>0</v>
      </c>
      <c r="AH31" s="12">
        <f>两日求解价格与决策!AH223</f>
        <v>175</v>
      </c>
      <c r="AI31" s="12">
        <f>两日求解价格与决策!AI223</f>
        <v>175</v>
      </c>
      <c r="AJ31" s="12">
        <f>两日求解价格与决策!AJ223</f>
        <v>3.1789999999999998</v>
      </c>
      <c r="AK31" s="12">
        <f>两日求解价格与决策!AK223</f>
        <v>0</v>
      </c>
      <c r="AL31" s="12">
        <f>两日求解价格与决策!AL223</f>
        <v>128</v>
      </c>
      <c r="AM31" s="12">
        <f>两日求解价格与决策!AM223</f>
        <v>1.3163561076604555E-3</v>
      </c>
      <c r="AN31" s="12">
        <f>两日求解价格与决策!AN223</f>
        <v>0</v>
      </c>
      <c r="AO31" s="12">
        <f>两日求解价格与决策!AO223</f>
        <v>0.43597714285714284</v>
      </c>
      <c r="AP31" s="12">
        <f>两日求解价格与决策!AP223</f>
        <v>33.196980710558975</v>
      </c>
      <c r="AQ31" s="19">
        <f>两日求解价格与决策!AQ223</f>
        <v>0</v>
      </c>
      <c r="AR31" s="12">
        <f>两日求解价格与决策!AR223</f>
        <v>5.2473000000000001</v>
      </c>
      <c r="AS31" s="14">
        <f>两日求解价格与决策!AS223</f>
        <v>46234</v>
      </c>
      <c r="AT31" s="13">
        <f>两日求解价格与决策!AT223</f>
        <v>46236.104166666664</v>
      </c>
      <c r="AU31" s="12" t="str">
        <f>两日求解价格与决策!AU223</f>
        <v>2026-08-02_19</v>
      </c>
      <c r="AV31" s="12">
        <f>两日求解价格与决策!AV223</f>
        <v>15</v>
      </c>
      <c r="AW31" s="12" t="str">
        <f>两日求解价格与决策!AW223</f>
        <v>OK</v>
      </c>
      <c r="AX31" s="12">
        <f>两日求解价格与决策!AX223</f>
        <v>128</v>
      </c>
      <c r="AY31" s="12">
        <f>两日求解价格与决策!AY223</f>
        <v>175</v>
      </c>
      <c r="AZ31" s="12">
        <f>两日求解价格与决策!AZ223</f>
        <v>175</v>
      </c>
      <c r="BA31" s="12">
        <f>两日求解价格与决策!BA223</f>
        <v>40</v>
      </c>
      <c r="BB31" s="12">
        <f>两日求解价格与决策!BB223</f>
        <v>24</v>
      </c>
      <c r="BC31" s="12">
        <f>两日求解价格与决策!BC223</f>
        <v>24</v>
      </c>
      <c r="BD31" s="14">
        <f>两日求解价格与决策!BD223</f>
        <v>46236</v>
      </c>
      <c r="BE31" s="1" t="str">
        <f>两日求解价格与决策!BE223</f>
        <v>零头寸，无结算现金</v>
      </c>
      <c r="BF31" s="1" t="str">
        <f>两日求解价格与决策!BF223</f>
        <v>40.000000 MW × 66.224535 × 0.250000 h = 662.245345 EUR</v>
      </c>
      <c r="BG31" s="1" t="str">
        <f>两日求解价格与决策!BG223</f>
        <v>24.000000 MW × 7.127475 × 0.250000 h = 42.764850 EUR</v>
      </c>
      <c r="BH31" s="1" t="str">
        <f>两日求解价格与决策!BH223</f>
        <v>24.000000 MW × 5.073085 × 0.250000 h = 30.438511 EUR</v>
      </c>
      <c r="BI31" s="1" t="str">
        <f>两日求解价格与决策!BI223</f>
        <v>0.435977 MWh × 174.578164 = 76.112089 EUR</v>
      </c>
      <c r="BJ31" s="1" t="str">
        <f>两日求解价格与决策!BJ223</f>
        <v>零下调激活电量</v>
      </c>
      <c r="BK31" s="1" t="str">
        <f>两日求解价格与决策!BK223</f>
        <v>0.000000 + 662.245345 + 42.764850 + 30.438511 + 76.112089 + 0.000000 = 811.560796 EUR</v>
      </c>
    </row>
    <row r="32" spans="1:63" ht="21" customHeight="1" x14ac:dyDescent="0.45">
      <c r="A32" s="13">
        <f>两日求解价格与决策!A224</f>
        <v>46236.239583333336</v>
      </c>
      <c r="B32" s="15">
        <f>两日求解价格与决策!B224</f>
        <v>153.26</v>
      </c>
      <c r="C32" s="15">
        <f>两日求解价格与决策!C224</f>
        <v>66.224534522516336</v>
      </c>
      <c r="D32" s="15">
        <f>两日求解价格与决策!D224</f>
        <v>7.1274750824233415</v>
      </c>
      <c r="E32" s="15">
        <f>两日求解价格与决策!E224</f>
        <v>5.0730852057248494</v>
      </c>
      <c r="F32" s="15">
        <f>两日求解价格与决策!F224</f>
        <v>169.63790901987687</v>
      </c>
      <c r="G32" s="15">
        <f>两日求解价格与决策!G224</f>
        <v>77.182551026242066</v>
      </c>
      <c r="H32" s="15" t="str">
        <f>两日求解价格与决策!H224</f>
        <v>未模拟</v>
      </c>
      <c r="I32" s="16">
        <f>两日求解价格与决策!I224</f>
        <v>33.196980710558975</v>
      </c>
      <c r="J32" s="16">
        <f>两日求解价格与决策!J224</f>
        <v>33.028351284472024</v>
      </c>
      <c r="K32" s="16">
        <f>两日求解价格与决策!K224</f>
        <v>0</v>
      </c>
      <c r="L32" s="16">
        <f>两日求解价格与决策!L224</f>
        <v>40</v>
      </c>
      <c r="M32" s="16">
        <f>两日求解价格与决策!M224</f>
        <v>24</v>
      </c>
      <c r="N32" s="16">
        <f>两日求解价格与决策!N224</f>
        <v>24</v>
      </c>
      <c r="O32" s="16">
        <f>两日求解价格与决策!O224</f>
        <v>0.15908571428571427</v>
      </c>
      <c r="P32" s="16">
        <f>两日求解价格与决策!P224</f>
        <v>4.6628571428571431E-3</v>
      </c>
      <c r="Q32" s="17">
        <f>两日求解价格与决策!Q224</f>
        <v>0</v>
      </c>
      <c r="R32" s="17">
        <f>两日求解价格与决策!R224</f>
        <v>662.24534522516342</v>
      </c>
      <c r="S32" s="17">
        <f>两日求解价格与决策!S224</f>
        <v>42.764850494540049</v>
      </c>
      <c r="T32" s="17">
        <f>两日求解价格与决策!T224</f>
        <v>30.438511234349097</v>
      </c>
      <c r="U32" s="17">
        <f>两日求解价格与决策!U224</f>
        <v>26.986967926362123</v>
      </c>
      <c r="V32" s="17">
        <f>两日求解价格与决策!V224</f>
        <v>-0.35989120935664876</v>
      </c>
      <c r="W32" s="17">
        <f>两日求解价格与决策!W224</f>
        <v>762.07578367105805</v>
      </c>
      <c r="X32" s="12">
        <f>两日求解价格与决策!X224</f>
        <v>762.07578367105805</v>
      </c>
      <c r="Y32" s="19">
        <f>两日求解价格与决策!Y224</f>
        <v>0</v>
      </c>
      <c r="Z32" s="12" t="str">
        <f t="shared" si="0"/>
        <v>正式执行</v>
      </c>
      <c r="AA32" s="12">
        <f>两日求解价格与决策!AA224</f>
        <v>1</v>
      </c>
      <c r="AB32" s="12">
        <f>两日求解价格与决策!AB224</f>
        <v>1</v>
      </c>
      <c r="AC32" s="12">
        <f>两日求解价格与决策!AC224</f>
        <v>0.25</v>
      </c>
      <c r="AD32" s="18">
        <f>两日求解价格与决策!AD224</f>
        <v>0.3125</v>
      </c>
      <c r="AE32" s="18">
        <f>两日求解价格与决策!AE224</f>
        <v>0.13714285714285715</v>
      </c>
      <c r="AF32" s="18">
        <f>两日求解价格与决策!AF224</f>
        <v>2.6514285714285712E-2</v>
      </c>
      <c r="AG32" s="18">
        <f>两日求解价格与决策!AG224</f>
        <v>7.7714285714285721E-4</v>
      </c>
      <c r="AH32" s="12">
        <f>两日求解价格与决策!AH224</f>
        <v>175</v>
      </c>
      <c r="AI32" s="12">
        <f>两日求解价格与决策!AI224</f>
        <v>175</v>
      </c>
      <c r="AJ32" s="12">
        <f>两日求解价格与决策!AJ224</f>
        <v>1.1599999999999999</v>
      </c>
      <c r="AK32" s="12">
        <f>两日求解价格与决策!AK224</f>
        <v>3.4000000000000002E-2</v>
      </c>
      <c r="AL32" s="12">
        <f>两日求解价格与决策!AL224</f>
        <v>128</v>
      </c>
      <c r="AM32" s="12">
        <f>两日求解价格与决策!AM224</f>
        <v>4.9224745341614894E-4</v>
      </c>
      <c r="AN32" s="12">
        <f>两日求解价格与决策!AN224</f>
        <v>4.6628571428571431E-3</v>
      </c>
      <c r="AO32" s="12">
        <f>两日求解价格与决策!AO224</f>
        <v>0.15908571428571427</v>
      </c>
      <c r="AP32" s="12">
        <f>两日求解价格与决策!AP224</f>
        <v>33.028351284472024</v>
      </c>
      <c r="AQ32" s="19">
        <f>两日求解价格与决策!AQ224</f>
        <v>0</v>
      </c>
      <c r="AR32" s="12">
        <f>两日求解价格与决策!AR224</f>
        <v>5.2473000000000001</v>
      </c>
      <c r="AS32" s="14">
        <f>两日求解价格与决策!AS224</f>
        <v>46234</v>
      </c>
      <c r="AT32" s="13">
        <f>两日求解价格与决策!AT224</f>
        <v>46236.114583333336</v>
      </c>
      <c r="AU32" s="12" t="str">
        <f>两日求解价格与决策!AU224</f>
        <v>2026-08-02_20</v>
      </c>
      <c r="AV32" s="12">
        <f>两日求解价格与决策!AV224</f>
        <v>15</v>
      </c>
      <c r="AW32" s="12" t="str">
        <f>两日求解价格与决策!AW224</f>
        <v>OK</v>
      </c>
      <c r="AX32" s="12">
        <f>两日求解价格与决策!AX224</f>
        <v>128</v>
      </c>
      <c r="AY32" s="12">
        <f>两日求解价格与决策!AY224</f>
        <v>175</v>
      </c>
      <c r="AZ32" s="12">
        <f>两日求解价格与决策!AZ224</f>
        <v>175</v>
      </c>
      <c r="BA32" s="12">
        <f>两日求解价格与决策!BA224</f>
        <v>40</v>
      </c>
      <c r="BB32" s="12">
        <f>两日求解价格与决策!BB224</f>
        <v>24</v>
      </c>
      <c r="BC32" s="12">
        <f>两日求解价格与决策!BC224</f>
        <v>24</v>
      </c>
      <c r="BD32" s="14">
        <f>两日求解价格与决策!BD224</f>
        <v>46236</v>
      </c>
      <c r="BE32" s="1" t="str">
        <f>两日求解价格与决策!BE224</f>
        <v>零头寸，无结算现金</v>
      </c>
      <c r="BF32" s="1" t="str">
        <f>两日求解价格与决策!BF224</f>
        <v>40.000000 MW × 66.224535 × 0.250000 h = 662.245345 EUR</v>
      </c>
      <c r="BG32" s="1" t="str">
        <f>两日求解价格与决策!BG224</f>
        <v>24.000000 MW × 7.127475 × 0.250000 h = 42.764850 EUR</v>
      </c>
      <c r="BH32" s="1" t="str">
        <f>两日求解价格与决策!BH224</f>
        <v>24.000000 MW × 5.073085 × 0.250000 h = 30.438511 EUR</v>
      </c>
      <c r="BI32" s="1" t="str">
        <f>两日求解价格与决策!BI224</f>
        <v>0.159086 MWh × 169.637909 = 26.986968 EUR</v>
      </c>
      <c r="BJ32" s="1" t="str">
        <f>两日求解价格与决策!BJ224</f>
        <v>−(0.004663 MWh × 77.182551) = -0.359891 EUR</v>
      </c>
      <c r="BK32" s="1" t="str">
        <f>两日求解价格与决策!BK224</f>
        <v>0.000000 + 662.245345 + 42.764850 + 30.438511 + 26.986968 + -0.359891 = 762.075784 EUR</v>
      </c>
    </row>
    <row r="33" spans="1:63" ht="21" customHeight="1" x14ac:dyDescent="0.45">
      <c r="A33" s="13">
        <f>两日求解价格与决策!A225</f>
        <v>46236.25</v>
      </c>
      <c r="B33" s="15">
        <f>两日求解价格与决策!B225</f>
        <v>160.44</v>
      </c>
      <c r="C33" s="15">
        <f>两日求解价格与决策!C225</f>
        <v>66.224534522516336</v>
      </c>
      <c r="D33" s="15">
        <f>两日求解价格与决策!D225</f>
        <v>7.0626798544013116</v>
      </c>
      <c r="E33" s="15">
        <f>两日求解价格与决策!E225</f>
        <v>2.8376498389648011</v>
      </c>
      <c r="F33" s="15">
        <f>两日求解价格与决策!F225</f>
        <v>171.11314390257846</v>
      </c>
      <c r="G33" s="15">
        <f>两日求解价格与决策!G225</f>
        <v>77.182551026242066</v>
      </c>
      <c r="H33" s="15" t="str">
        <f>两日求解价格与决策!H225</f>
        <v>未模拟</v>
      </c>
      <c r="I33" s="16">
        <f>两日求解价格与决策!I225</f>
        <v>33.028351284472024</v>
      </c>
      <c r="J33" s="16">
        <f>两日求解价格与决策!J225</f>
        <v>32.683902091925439</v>
      </c>
      <c r="K33" s="16">
        <f>两日求解价格与决策!K225</f>
        <v>0</v>
      </c>
      <c r="L33" s="16">
        <f>两日求解价格与决策!L225</f>
        <v>40</v>
      </c>
      <c r="M33" s="16">
        <f>两日求解价格与决策!M225</f>
        <v>24</v>
      </c>
      <c r="N33" s="16">
        <f>两日求解价格与决策!N225</f>
        <v>24</v>
      </c>
      <c r="O33" s="16">
        <f>两日求解价格与决策!O225</f>
        <v>0.3226971428571429</v>
      </c>
      <c r="P33" s="16">
        <f>两日求解价格与决策!P225</f>
        <v>6.8571428571428577E-3</v>
      </c>
      <c r="Q33" s="17">
        <f>两日求解价格与决策!Q225</f>
        <v>0</v>
      </c>
      <c r="R33" s="17">
        <f>两日求解价格与决策!R225</f>
        <v>662.24534522516342</v>
      </c>
      <c r="S33" s="17">
        <f>两日求解价格与决策!S225</f>
        <v>42.376079126407873</v>
      </c>
      <c r="T33" s="17">
        <f>两日求解价格与决策!T225</f>
        <v>17.025899033788807</v>
      </c>
      <c r="U33" s="17">
        <f>两日求解价格与决策!U225</f>
        <v>55.217722642665208</v>
      </c>
      <c r="V33" s="17">
        <f>两日求解价格与决策!V225</f>
        <v>-0.52925177846565996</v>
      </c>
      <c r="W33" s="17">
        <f>两日求解价格与决策!W225</f>
        <v>776.33579424955963</v>
      </c>
      <c r="X33" s="12">
        <f>两日求解价格与决策!X225</f>
        <v>776.33579424955963</v>
      </c>
      <c r="Y33" s="19">
        <f>两日求解价格与决策!Y225</f>
        <v>0</v>
      </c>
      <c r="Z33" s="12" t="str">
        <f t="shared" si="0"/>
        <v>正式执行</v>
      </c>
      <c r="AA33" s="12">
        <f>两日求解价格与决策!AA225</f>
        <v>1</v>
      </c>
      <c r="AB33" s="12">
        <f>两日求解价格与决策!AB225</f>
        <v>1</v>
      </c>
      <c r="AC33" s="12">
        <f>两日求解价格与决策!AC225</f>
        <v>0.25</v>
      </c>
      <c r="AD33" s="18">
        <f>两日求解价格与决策!AD225</f>
        <v>0.3125</v>
      </c>
      <c r="AE33" s="18">
        <f>两日求解价格与决策!AE225</f>
        <v>0.13714285714285715</v>
      </c>
      <c r="AF33" s="18">
        <f>两日求解价格与决策!AF225</f>
        <v>5.3782857142857146E-2</v>
      </c>
      <c r="AG33" s="18">
        <f>两日求解价格与决策!AG225</f>
        <v>1.1428571428571429E-3</v>
      </c>
      <c r="AH33" s="12">
        <f>两日求解价格与决策!AH225</f>
        <v>175</v>
      </c>
      <c r="AI33" s="12">
        <f>两日求解价格与决策!AI225</f>
        <v>175</v>
      </c>
      <c r="AJ33" s="12">
        <f>两日求解价格与决策!AJ225</f>
        <v>2.3530000000000002</v>
      </c>
      <c r="AK33" s="12">
        <f>两日求解价格与决策!AK225</f>
        <v>0.05</v>
      </c>
      <c r="AL33" s="12">
        <f>两日求解价格与决策!AL225</f>
        <v>128</v>
      </c>
      <c r="AM33" s="12">
        <f>两日求解价格与决策!AM225</f>
        <v>9.918509316770188E-4</v>
      </c>
      <c r="AN33" s="12">
        <f>两日求解价格与决策!AN225</f>
        <v>6.8571428571428577E-3</v>
      </c>
      <c r="AO33" s="12">
        <f>两日求解价格与决策!AO225</f>
        <v>0.3226971428571429</v>
      </c>
      <c r="AP33" s="12">
        <f>两日求解价格与决策!AP225</f>
        <v>32.683902091925439</v>
      </c>
      <c r="AQ33" s="19">
        <f>两日求解价格与决策!AQ225</f>
        <v>0</v>
      </c>
      <c r="AR33" s="12">
        <f>两日求解价格与决策!AR225</f>
        <v>5.2473000000000001</v>
      </c>
      <c r="AS33" s="14">
        <f>两日求解价格与决策!AS225</f>
        <v>46234</v>
      </c>
      <c r="AT33" s="13">
        <f>两日求解价格与决策!AT225</f>
        <v>46236.125</v>
      </c>
      <c r="AU33" s="12" t="str">
        <f>两日求解价格与决策!AU225</f>
        <v>2026-08-02_21</v>
      </c>
      <c r="AV33" s="12">
        <f>两日求解价格与决策!AV225</f>
        <v>15</v>
      </c>
      <c r="AW33" s="12" t="str">
        <f>两日求解价格与决策!AW225</f>
        <v>OK</v>
      </c>
      <c r="AX33" s="12">
        <f>两日求解价格与决策!AX225</f>
        <v>128</v>
      </c>
      <c r="AY33" s="12">
        <f>两日求解价格与决策!AY225</f>
        <v>175</v>
      </c>
      <c r="AZ33" s="12">
        <f>两日求解价格与决策!AZ225</f>
        <v>175</v>
      </c>
      <c r="BA33" s="12">
        <f>两日求解价格与决策!BA225</f>
        <v>40</v>
      </c>
      <c r="BB33" s="12">
        <f>两日求解价格与决策!BB225</f>
        <v>24</v>
      </c>
      <c r="BC33" s="12">
        <f>两日求解价格与决策!BC225</f>
        <v>24</v>
      </c>
      <c r="BD33" s="14">
        <f>两日求解价格与决策!BD225</f>
        <v>46236</v>
      </c>
      <c r="BE33" s="1" t="str">
        <f>两日求解价格与决策!BE225</f>
        <v>零头寸，无结算现金</v>
      </c>
      <c r="BF33" s="1" t="str">
        <f>两日求解价格与决策!BF225</f>
        <v>40.000000 MW × 66.224535 × 0.250000 h = 662.245345 EUR</v>
      </c>
      <c r="BG33" s="1" t="str">
        <f>两日求解价格与决策!BG225</f>
        <v>24.000000 MW × 7.062680 × 0.250000 h = 42.376079 EUR</v>
      </c>
      <c r="BH33" s="1" t="str">
        <f>两日求解价格与决策!BH225</f>
        <v>24.000000 MW × 2.837650 × 0.250000 h = 17.025899 EUR</v>
      </c>
      <c r="BI33" s="1" t="str">
        <f>两日求解价格与决策!BI225</f>
        <v>0.322697 MWh × 171.113144 = 55.217723 EUR</v>
      </c>
      <c r="BJ33" s="1" t="str">
        <f>两日求解价格与决策!BJ225</f>
        <v>−(0.006857 MWh × 77.182551) = -0.529252 EUR</v>
      </c>
      <c r="BK33" s="1" t="str">
        <f>两日求解价格与决策!BK225</f>
        <v>0.000000 + 662.245345 + 42.376079 + 17.025899 + 55.217723 + -0.529252 = 776.335794 EUR</v>
      </c>
    </row>
    <row r="34" spans="1:63" ht="21" customHeight="1" x14ac:dyDescent="0.45">
      <c r="A34" s="13">
        <f>两日求解价格与决策!A226</f>
        <v>46236.260416666664</v>
      </c>
      <c r="B34" s="15">
        <f>两日求解价格与决策!B226</f>
        <v>163.34</v>
      </c>
      <c r="C34" s="15">
        <f>两日求解价格与决策!C226</f>
        <v>66.224534522516336</v>
      </c>
      <c r="D34" s="15">
        <f>两日求解价格与决策!D226</f>
        <v>7.0626798544013116</v>
      </c>
      <c r="E34" s="15">
        <f>两日求解价格与决策!E226</f>
        <v>2.8376498389648011</v>
      </c>
      <c r="F34" s="15">
        <f>两日求解价格与决策!F226</f>
        <v>171.09866026337355</v>
      </c>
      <c r="G34" s="15">
        <f>两日求解价格与决策!G226</f>
        <v>0</v>
      </c>
      <c r="H34" s="15" t="str">
        <f>两日求解价格与决策!H226</f>
        <v>未模拟</v>
      </c>
      <c r="I34" s="16">
        <f>两日求解价格与决策!I226</f>
        <v>32.683902091925439</v>
      </c>
      <c r="J34" s="16">
        <f>两日求解价格与决策!J226</f>
        <v>32.258461098136621</v>
      </c>
      <c r="K34" s="16">
        <f>两日求解价格与决策!K226</f>
        <v>0</v>
      </c>
      <c r="L34" s="16">
        <f>两日求解价格与决策!L226</f>
        <v>40</v>
      </c>
      <c r="M34" s="16">
        <f>两日求解价格与决策!M226</f>
        <v>24</v>
      </c>
      <c r="N34" s="16">
        <f>两日求解价格与决策!N226</f>
        <v>24</v>
      </c>
      <c r="O34" s="16">
        <f>两日求解价格与决策!O226</f>
        <v>0.3914057142857143</v>
      </c>
      <c r="P34" s="16">
        <f>两日求解价格与决策!P226</f>
        <v>0</v>
      </c>
      <c r="Q34" s="17">
        <f>两日求解价格与决策!Q226</f>
        <v>0</v>
      </c>
      <c r="R34" s="17">
        <f>两日求解价格与决策!R226</f>
        <v>662.24534522516342</v>
      </c>
      <c r="S34" s="17">
        <f>两日求解价格与决策!S226</f>
        <v>42.376079126407873</v>
      </c>
      <c r="T34" s="17">
        <f>两日求解价格与决策!T226</f>
        <v>17.025899033788807</v>
      </c>
      <c r="U34" s="17">
        <f>两日求解价格与决策!U226</f>
        <v>66.968993333714479</v>
      </c>
      <c r="V34" s="17">
        <f>两日求解价格与决策!V226</f>
        <v>0</v>
      </c>
      <c r="W34" s="17">
        <f>两日求解价格与决策!W226</f>
        <v>788.61631671907458</v>
      </c>
      <c r="X34" s="12">
        <f>两日求解价格与决策!X226</f>
        <v>788.61631671907458</v>
      </c>
      <c r="Y34" s="19">
        <f>两日求解价格与决策!Y226</f>
        <v>0</v>
      </c>
      <c r="Z34" s="12" t="str">
        <f t="shared" si="0"/>
        <v>正式执行</v>
      </c>
      <c r="AA34" s="12">
        <f>两日求解价格与决策!AA226</f>
        <v>1</v>
      </c>
      <c r="AB34" s="12">
        <f>两日求解价格与决策!AB226</f>
        <v>1</v>
      </c>
      <c r="AC34" s="12">
        <f>两日求解价格与决策!AC226</f>
        <v>0.25</v>
      </c>
      <c r="AD34" s="18">
        <f>两日求解价格与决策!AD226</f>
        <v>0.3125</v>
      </c>
      <c r="AE34" s="18">
        <f>两日求解价格与决策!AE226</f>
        <v>0.13714285714285715</v>
      </c>
      <c r="AF34" s="18">
        <f>两日求解价格与决策!AF226</f>
        <v>6.5234285714285717E-2</v>
      </c>
      <c r="AG34" s="18">
        <f>两日求解价格与决策!AG226</f>
        <v>0</v>
      </c>
      <c r="AH34" s="12">
        <f>两日求解价格与决策!AH226</f>
        <v>175</v>
      </c>
      <c r="AI34" s="12">
        <f>两日求解价格与决策!AI226</f>
        <v>175</v>
      </c>
      <c r="AJ34" s="12">
        <f>两日求解价格与决策!AJ226</f>
        <v>2.8540000000000001</v>
      </c>
      <c r="AK34" s="12">
        <f>两日求解价格与决策!AK226</f>
        <v>0</v>
      </c>
      <c r="AL34" s="12">
        <f>两日求解价格与决策!AL226</f>
        <v>128</v>
      </c>
      <c r="AM34" s="12">
        <f>两日求解价格与决策!AM226</f>
        <v>1.1817805383022774E-3</v>
      </c>
      <c r="AN34" s="12">
        <f>两日求解价格与决策!AN226</f>
        <v>0</v>
      </c>
      <c r="AO34" s="12">
        <f>两日求解价格与决策!AO226</f>
        <v>0.3914057142857143</v>
      </c>
      <c r="AP34" s="12">
        <f>两日求解价格与决策!AP226</f>
        <v>32.258461098136621</v>
      </c>
      <c r="AQ34" s="19">
        <f>两日求解价格与决策!AQ226</f>
        <v>0</v>
      </c>
      <c r="AR34" s="12">
        <f>两日求解价格与决策!AR226</f>
        <v>5.2473000000000001</v>
      </c>
      <c r="AS34" s="14">
        <f>两日求解价格与决策!AS226</f>
        <v>46234</v>
      </c>
      <c r="AT34" s="13">
        <f>两日求解价格与决策!AT226</f>
        <v>46236.135416666664</v>
      </c>
      <c r="AU34" s="12" t="str">
        <f>两日求解价格与决策!AU226</f>
        <v>2026-08-02_22</v>
      </c>
      <c r="AV34" s="12">
        <f>两日求解价格与决策!AV226</f>
        <v>15</v>
      </c>
      <c r="AW34" s="12" t="str">
        <f>两日求解价格与决策!AW226</f>
        <v>OK</v>
      </c>
      <c r="AX34" s="12">
        <f>两日求解价格与决策!AX226</f>
        <v>128</v>
      </c>
      <c r="AY34" s="12">
        <f>两日求解价格与决策!AY226</f>
        <v>175</v>
      </c>
      <c r="AZ34" s="12">
        <f>两日求解价格与决策!AZ226</f>
        <v>175</v>
      </c>
      <c r="BA34" s="12">
        <f>两日求解价格与决策!BA226</f>
        <v>40</v>
      </c>
      <c r="BB34" s="12">
        <f>两日求解价格与决策!BB226</f>
        <v>24</v>
      </c>
      <c r="BC34" s="12">
        <f>两日求解价格与决策!BC226</f>
        <v>24</v>
      </c>
      <c r="BD34" s="14">
        <f>两日求解价格与决策!BD226</f>
        <v>46236</v>
      </c>
      <c r="BE34" s="1" t="str">
        <f>两日求解价格与决策!BE226</f>
        <v>零头寸，无结算现金</v>
      </c>
      <c r="BF34" s="1" t="str">
        <f>两日求解价格与决策!BF226</f>
        <v>40.000000 MW × 66.224535 × 0.250000 h = 662.245345 EUR</v>
      </c>
      <c r="BG34" s="1" t="str">
        <f>两日求解价格与决策!BG226</f>
        <v>24.000000 MW × 7.062680 × 0.250000 h = 42.376079 EUR</v>
      </c>
      <c r="BH34" s="1" t="str">
        <f>两日求解价格与决策!BH226</f>
        <v>24.000000 MW × 2.837650 × 0.250000 h = 17.025899 EUR</v>
      </c>
      <c r="BI34" s="1" t="str">
        <f>两日求解价格与决策!BI226</f>
        <v>0.391406 MWh × 171.098660 = 66.968993 EUR</v>
      </c>
      <c r="BJ34" s="1" t="str">
        <f>两日求解价格与决策!BJ226</f>
        <v>零下调激活电量</v>
      </c>
      <c r="BK34" s="1" t="str">
        <f>两日求解价格与决策!BK226</f>
        <v>0.000000 + 662.245345 + 42.376079 + 17.025899 + 66.968993 + 0.000000 = 788.616317 EUR</v>
      </c>
    </row>
    <row r="35" spans="1:63" ht="21" customHeight="1" x14ac:dyDescent="0.45">
      <c r="A35" s="13">
        <f>两日求解价格与决策!A227</f>
        <v>46236.270833333336</v>
      </c>
      <c r="B35" s="15">
        <f>两日求解价格与决策!B227</f>
        <v>161.41</v>
      </c>
      <c r="C35" s="15">
        <f>两日求解价格与决策!C227</f>
        <v>66.224534522516336</v>
      </c>
      <c r="D35" s="15">
        <f>两日求解价格与决策!D227</f>
        <v>7.0626798544013116</v>
      </c>
      <c r="E35" s="15">
        <f>两日求解价格与决策!E227</f>
        <v>2.8376498389648011</v>
      </c>
      <c r="F35" s="15">
        <f>两日求解价格与决策!F227</f>
        <v>179.47096602062012</v>
      </c>
      <c r="G35" s="15">
        <f>两日求解价格与决策!G227</f>
        <v>77.182551026242066</v>
      </c>
      <c r="H35" s="15" t="str">
        <f>两日求解价格与决策!H227</f>
        <v>未模拟</v>
      </c>
      <c r="I35" s="16">
        <f>两日求解价格与决策!I227</f>
        <v>32.258461098136621</v>
      </c>
      <c r="J35" s="16">
        <f>两日求解价格与决策!J227</f>
        <v>31.739130434782581</v>
      </c>
      <c r="K35" s="16">
        <f>两日求解价格与决策!K227</f>
        <v>0</v>
      </c>
      <c r="L35" s="16">
        <f>两日求解价格与决策!L227</f>
        <v>40</v>
      </c>
      <c r="M35" s="16">
        <f>两日求解价格与决策!M227</f>
        <v>24</v>
      </c>
      <c r="N35" s="16">
        <f>两日求解价格与决策!N227</f>
        <v>24</v>
      </c>
      <c r="O35" s="16">
        <f>两日求解价格与决策!O227</f>
        <v>0.47917714285714291</v>
      </c>
      <c r="P35" s="16">
        <f>两日求解价格与决策!P227</f>
        <v>1.6457142857142855E-3</v>
      </c>
      <c r="Q35" s="17">
        <f>两日求解价格与决策!Q227</f>
        <v>0</v>
      </c>
      <c r="R35" s="17">
        <f>两日求解价格与决策!R227</f>
        <v>662.24534522516342</v>
      </c>
      <c r="S35" s="17">
        <f>两日求解价格与决策!S227</f>
        <v>42.376079126407873</v>
      </c>
      <c r="T35" s="17">
        <f>两日求解价格与决策!T227</f>
        <v>17.025899033788807</v>
      </c>
      <c r="U35" s="17">
        <f>两日求解价格与决策!U227</f>
        <v>85.99838472357213</v>
      </c>
      <c r="V35" s="17">
        <f>两日求解价格与决策!V227</f>
        <v>-0.12702042683175835</v>
      </c>
      <c r="W35" s="17">
        <f>两日求解价格与决策!W227</f>
        <v>807.51868768210045</v>
      </c>
      <c r="X35" s="12">
        <f>两日求解价格与决策!X227</f>
        <v>807.51868768210045</v>
      </c>
      <c r="Y35" s="19">
        <f>两日求解价格与决策!Y227</f>
        <v>0</v>
      </c>
      <c r="Z35" s="12" t="str">
        <f t="shared" si="0"/>
        <v>正式执行</v>
      </c>
      <c r="AA35" s="12">
        <f>两日求解价格与决策!AA227</f>
        <v>1</v>
      </c>
      <c r="AB35" s="12">
        <f>两日求解价格与决策!AB227</f>
        <v>1</v>
      </c>
      <c r="AC35" s="12">
        <f>两日求解价格与决策!AC227</f>
        <v>0.25</v>
      </c>
      <c r="AD35" s="18">
        <f>两日求解价格与决策!AD227</f>
        <v>0.3125</v>
      </c>
      <c r="AE35" s="18">
        <f>两日求解价格与决策!AE227</f>
        <v>0.13714285714285715</v>
      </c>
      <c r="AF35" s="18">
        <f>两日求解价格与决策!AF227</f>
        <v>7.9862857142857152E-2</v>
      </c>
      <c r="AG35" s="18">
        <f>两日求解价格与决策!AG227</f>
        <v>2.7428571428571427E-4</v>
      </c>
      <c r="AH35" s="12">
        <f>两日求解价格与决策!AH227</f>
        <v>175</v>
      </c>
      <c r="AI35" s="12">
        <f>两日求解价格与决策!AI227</f>
        <v>175</v>
      </c>
      <c r="AJ35" s="12">
        <f>两日求解价格与决策!AJ227</f>
        <v>3.4940000000000002</v>
      </c>
      <c r="AK35" s="12">
        <f>两日求解价格与决策!AK227</f>
        <v>1.2E-2</v>
      </c>
      <c r="AL35" s="12">
        <f>两日求解价格与决策!AL227</f>
        <v>128</v>
      </c>
      <c r="AM35" s="12">
        <f>两日求解价格与决策!AM227</f>
        <v>1.4509966045548656E-3</v>
      </c>
      <c r="AN35" s="12">
        <f>两日求解价格与决策!AN227</f>
        <v>1.6457142857142855E-3</v>
      </c>
      <c r="AO35" s="12">
        <f>两日求解价格与决策!AO227</f>
        <v>0.47917714285714291</v>
      </c>
      <c r="AP35" s="12">
        <f>两日求解价格与决策!AP227</f>
        <v>31.739130434782581</v>
      </c>
      <c r="AQ35" s="19">
        <f>两日求解价格与决策!AQ227</f>
        <v>0</v>
      </c>
      <c r="AR35" s="12">
        <f>两日求解价格与决策!AR227</f>
        <v>5.2473000000000001</v>
      </c>
      <c r="AS35" s="14">
        <f>两日求解价格与决策!AS227</f>
        <v>46234</v>
      </c>
      <c r="AT35" s="13">
        <f>两日求解价格与决策!AT227</f>
        <v>46236.145833333336</v>
      </c>
      <c r="AU35" s="12" t="str">
        <f>两日求解价格与决策!AU227</f>
        <v>2026-08-02_23</v>
      </c>
      <c r="AV35" s="12">
        <f>两日求解价格与决策!AV227</f>
        <v>15</v>
      </c>
      <c r="AW35" s="12" t="str">
        <f>两日求解价格与决策!AW227</f>
        <v>OK</v>
      </c>
      <c r="AX35" s="12">
        <f>两日求解价格与决策!AX227</f>
        <v>128</v>
      </c>
      <c r="AY35" s="12">
        <f>两日求解价格与决策!AY227</f>
        <v>175</v>
      </c>
      <c r="AZ35" s="12">
        <f>两日求解价格与决策!AZ227</f>
        <v>175</v>
      </c>
      <c r="BA35" s="12">
        <f>两日求解价格与决策!BA227</f>
        <v>40</v>
      </c>
      <c r="BB35" s="12">
        <f>两日求解价格与决策!BB227</f>
        <v>24</v>
      </c>
      <c r="BC35" s="12">
        <f>两日求解价格与决策!BC227</f>
        <v>24</v>
      </c>
      <c r="BD35" s="14">
        <f>两日求解价格与决策!BD227</f>
        <v>46236</v>
      </c>
      <c r="BE35" s="1" t="str">
        <f>两日求解价格与决策!BE227</f>
        <v>零头寸，无结算现金</v>
      </c>
      <c r="BF35" s="1" t="str">
        <f>两日求解价格与决策!BF227</f>
        <v>40.000000 MW × 66.224535 × 0.250000 h = 662.245345 EUR</v>
      </c>
      <c r="BG35" s="1" t="str">
        <f>两日求解价格与决策!BG227</f>
        <v>24.000000 MW × 7.062680 × 0.250000 h = 42.376079 EUR</v>
      </c>
      <c r="BH35" s="1" t="str">
        <f>两日求解价格与决策!BH227</f>
        <v>24.000000 MW × 2.837650 × 0.250000 h = 17.025899 EUR</v>
      </c>
      <c r="BI35" s="1" t="str">
        <f>两日求解价格与决策!BI227</f>
        <v>0.479177 MWh × 179.470966 = 85.998385 EUR</v>
      </c>
      <c r="BJ35" s="1" t="str">
        <f>两日求解价格与决策!BJ227</f>
        <v>−(0.001646 MWh × 77.182551) = -0.127020 EUR</v>
      </c>
      <c r="BK35" s="1" t="str">
        <f>两日求解价格与决策!BK227</f>
        <v>0.000000 + 662.245345 + 42.376079 + 17.025899 + 85.998385 + -0.127020 = 807.518688 EUR</v>
      </c>
    </row>
    <row r="36" spans="1:63" ht="21" customHeight="1" x14ac:dyDescent="0.45">
      <c r="A36" s="13">
        <f>两日求解价格与决策!A228</f>
        <v>46236.28125</v>
      </c>
      <c r="B36" s="15">
        <f>两日求解价格与决策!B228</f>
        <v>159.02000000000001</v>
      </c>
      <c r="C36" s="15">
        <f>两日求解价格与决策!C228</f>
        <v>66.224534522516336</v>
      </c>
      <c r="D36" s="15">
        <f>两日求解价格与决策!D228</f>
        <v>7.0626798544013116</v>
      </c>
      <c r="E36" s="15">
        <f>两日求解价格与决策!E228</f>
        <v>2.8376498389648011</v>
      </c>
      <c r="F36" s="15">
        <f>两日求解价格与决策!F228</f>
        <v>169.81285613553635</v>
      </c>
      <c r="G36" s="15">
        <f>两日求解价格与决策!G228</f>
        <v>71.125150077182539</v>
      </c>
      <c r="H36" s="15" t="str">
        <f>两日求解价格与决策!H228</f>
        <v>未模拟</v>
      </c>
      <c r="I36" s="16">
        <f>两日求解价格与决策!I228</f>
        <v>31.739130434782581</v>
      </c>
      <c r="J36" s="16">
        <f>两日求解价格与决策!J228</f>
        <v>32.171842385093136</v>
      </c>
      <c r="K36" s="16">
        <f>两日求解价格与决策!K228</f>
        <v>0</v>
      </c>
      <c r="L36" s="16">
        <f>两日求解价格与决策!L228</f>
        <v>40</v>
      </c>
      <c r="M36" s="16">
        <f>两日求解价格与决策!M228</f>
        <v>24</v>
      </c>
      <c r="N36" s="16">
        <f>两日求解价格与决策!N228</f>
        <v>24</v>
      </c>
      <c r="O36" s="16">
        <f>两日求解价格与决策!O228</f>
        <v>7.6662857142857144E-2</v>
      </c>
      <c r="P36" s="16">
        <f>两日求解价格与决策!P228</f>
        <v>0.5609142857142857</v>
      </c>
      <c r="Q36" s="17">
        <f>两日求解价格与决策!Q228</f>
        <v>0</v>
      </c>
      <c r="R36" s="17">
        <f>两日求解价格与决策!R228</f>
        <v>662.24534522516342</v>
      </c>
      <c r="S36" s="17">
        <f>两日求解价格与决策!S228</f>
        <v>42.376079126407873</v>
      </c>
      <c r="T36" s="17">
        <f>两日求解价格与决策!T228</f>
        <v>17.025899033788807</v>
      </c>
      <c r="U36" s="17">
        <f>两日求解价格与决策!U228</f>
        <v>13.018338730939176</v>
      </c>
      <c r="V36" s="17">
        <f>两日求解价格与决策!V228</f>
        <v>-39.895112751864218</v>
      </c>
      <c r="W36" s="17">
        <f>两日求解价格与决策!W228</f>
        <v>694.77054936443506</v>
      </c>
      <c r="X36" s="12">
        <f>两日求解价格与决策!X228</f>
        <v>694.77054936443506</v>
      </c>
      <c r="Y36" s="19">
        <f>两日求解价格与决策!Y228</f>
        <v>0</v>
      </c>
      <c r="Z36" s="12" t="str">
        <f t="shared" si="0"/>
        <v>正式执行</v>
      </c>
      <c r="AA36" s="12">
        <f>两日求解价格与决策!AA228</f>
        <v>1</v>
      </c>
      <c r="AB36" s="12">
        <f>两日求解价格与决策!AB228</f>
        <v>1</v>
      </c>
      <c r="AC36" s="12">
        <f>两日求解价格与决策!AC228</f>
        <v>0.25</v>
      </c>
      <c r="AD36" s="18">
        <f>两日求解价格与决策!AD228</f>
        <v>0.3125</v>
      </c>
      <c r="AE36" s="18">
        <f>两日求解价格与决策!AE228</f>
        <v>0.13714285714285715</v>
      </c>
      <c r="AF36" s="18">
        <f>两日求解价格与决策!AF228</f>
        <v>1.2777142857142858E-2</v>
      </c>
      <c r="AG36" s="18">
        <f>两日求解价格与决策!AG228</f>
        <v>9.3485714285714283E-2</v>
      </c>
      <c r="AH36" s="12">
        <f>两日求解价格与决策!AH228</f>
        <v>175</v>
      </c>
      <c r="AI36" s="12">
        <f>两日求解价格与决策!AI228</f>
        <v>175</v>
      </c>
      <c r="AJ36" s="12">
        <f>两日求解价格与决策!AJ228</f>
        <v>0.55900000000000005</v>
      </c>
      <c r="AK36" s="12">
        <f>两日求解价格与决策!AK228</f>
        <v>4.09</v>
      </c>
      <c r="AL36" s="12">
        <f>两日求解价格与决策!AL228</f>
        <v>128</v>
      </c>
      <c r="AM36" s="12">
        <f>两日求解价格与决策!AM228</f>
        <v>1.6649175983436855E-3</v>
      </c>
      <c r="AN36" s="12">
        <f>两日求解价格与决策!AN228</f>
        <v>0.5609142857142857</v>
      </c>
      <c r="AO36" s="12">
        <f>两日求解价格与决策!AO228</f>
        <v>7.6662857142857144E-2</v>
      </c>
      <c r="AP36" s="12">
        <f>两日求解价格与决策!AP228</f>
        <v>32.171842385093136</v>
      </c>
      <c r="AQ36" s="19">
        <f>两日求解价格与决策!AQ228</f>
        <v>0</v>
      </c>
      <c r="AR36" s="12">
        <f>两日求解价格与决策!AR228</f>
        <v>5.2473000000000001</v>
      </c>
      <c r="AS36" s="14">
        <f>两日求解价格与决策!AS228</f>
        <v>46234</v>
      </c>
      <c r="AT36" s="13">
        <f>两日求解价格与决策!AT228</f>
        <v>46236.15625</v>
      </c>
      <c r="AU36" s="12" t="str">
        <f>两日求解价格与决策!AU228</f>
        <v>2026-08-02_24</v>
      </c>
      <c r="AV36" s="12">
        <f>两日求解价格与决策!AV228</f>
        <v>15</v>
      </c>
      <c r="AW36" s="12" t="str">
        <f>两日求解价格与决策!AW228</f>
        <v>OK</v>
      </c>
      <c r="AX36" s="12">
        <f>两日求解价格与决策!AX228</f>
        <v>128</v>
      </c>
      <c r="AY36" s="12">
        <f>两日求解价格与决策!AY228</f>
        <v>175</v>
      </c>
      <c r="AZ36" s="12">
        <f>两日求解价格与决策!AZ228</f>
        <v>175</v>
      </c>
      <c r="BA36" s="12">
        <f>两日求解价格与决策!BA228</f>
        <v>40</v>
      </c>
      <c r="BB36" s="12">
        <f>两日求解价格与决策!BB228</f>
        <v>24</v>
      </c>
      <c r="BC36" s="12">
        <f>两日求解价格与决策!BC228</f>
        <v>24</v>
      </c>
      <c r="BD36" s="14">
        <f>两日求解价格与决策!BD228</f>
        <v>46236</v>
      </c>
      <c r="BE36" s="1" t="str">
        <f>两日求解价格与决策!BE228</f>
        <v>零头寸，无结算现金</v>
      </c>
      <c r="BF36" s="1" t="str">
        <f>两日求解价格与决策!BF228</f>
        <v>40.000000 MW × 66.224535 × 0.250000 h = 662.245345 EUR</v>
      </c>
      <c r="BG36" s="1" t="str">
        <f>两日求解价格与决策!BG228</f>
        <v>24.000000 MW × 7.062680 × 0.250000 h = 42.376079 EUR</v>
      </c>
      <c r="BH36" s="1" t="str">
        <f>两日求解价格与决策!BH228</f>
        <v>24.000000 MW × 2.837650 × 0.250000 h = 17.025899 EUR</v>
      </c>
      <c r="BI36" s="1" t="str">
        <f>两日求解价格与决策!BI228</f>
        <v>0.076663 MWh × 169.812856 = 13.018339 EUR</v>
      </c>
      <c r="BJ36" s="1" t="str">
        <f>两日求解价格与决策!BJ228</f>
        <v>−(0.560914 MWh × 71.125150) = -39.895113 EUR</v>
      </c>
      <c r="BK36" s="1" t="str">
        <f>两日求解价格与决策!BK228</f>
        <v>0.000000 + 662.245345 + 42.376079 + 17.025899 + 13.018339 + -39.895113 = 694.770549 EUR</v>
      </c>
    </row>
    <row r="37" spans="1:63" ht="21" customHeight="1" x14ac:dyDescent="0.45">
      <c r="A37" s="13">
        <f>两日求解价格与决策!A229</f>
        <v>46236.291666666664</v>
      </c>
      <c r="B37" s="15">
        <f>两日求解价格与决策!B229</f>
        <v>162.12</v>
      </c>
      <c r="C37" s="15">
        <f>两日求解价格与决策!C229</f>
        <v>66.224534522516336</v>
      </c>
      <c r="D37" s="15">
        <f>两日求解价格与决策!D229</f>
        <v>6.6910601642749601</v>
      </c>
      <c r="E37" s="15">
        <f>两日求解价格与决策!E229</f>
        <v>2.6070550568863986</v>
      </c>
      <c r="F37" s="15">
        <f>两日求解价格与决策!F229</f>
        <v>0</v>
      </c>
      <c r="G37" s="15">
        <f>两日求解价格与决策!G229</f>
        <v>74.818859222838412</v>
      </c>
      <c r="H37" s="15" t="str">
        <f>两日求解价格与决策!H229</f>
        <v>未模拟</v>
      </c>
      <c r="I37" s="16">
        <f>两日求解价格与决策!I229</f>
        <v>32.171842385093136</v>
      </c>
      <c r="J37" s="16">
        <f>两日求解价格与决策!J229</f>
        <v>31.739130434782567</v>
      </c>
      <c r="K37" s="16">
        <f>两日求解价格与决策!K229</f>
        <v>3.5945352952788281</v>
      </c>
      <c r="L37" s="16">
        <f>两日求解价格与决策!L229</f>
        <v>40</v>
      </c>
      <c r="M37" s="16">
        <f>两日求解价格与决策!M229</f>
        <v>24</v>
      </c>
      <c r="N37" s="16">
        <f>两日求解价格与决策!N229</f>
        <v>24</v>
      </c>
      <c r="O37" s="16">
        <f>两日求解价格与决策!O229</f>
        <v>0</v>
      </c>
      <c r="P37" s="16">
        <f>两日求解价格与决策!P229</f>
        <v>0.5757257142857144</v>
      </c>
      <c r="Q37" s="17">
        <f>两日求解价格与决策!Q229</f>
        <v>145.68651551765092</v>
      </c>
      <c r="R37" s="17">
        <f>两日求解价格与决策!R229</f>
        <v>662.24534522516342</v>
      </c>
      <c r="S37" s="17">
        <f>两日求解价格与决策!S229</f>
        <v>40.146360985649764</v>
      </c>
      <c r="T37" s="17">
        <f>两日求解价格与决策!T229</f>
        <v>15.642330341318392</v>
      </c>
      <c r="U37" s="17">
        <f>两日求解价格与决策!U229</f>
        <v>0</v>
      </c>
      <c r="V37" s="17">
        <f>两日求解价格与决策!V229</f>
        <v>-43.075141168110953</v>
      </c>
      <c r="W37" s="17">
        <f>两日求解价格与决策!W229</f>
        <v>820.64541090167154</v>
      </c>
      <c r="X37" s="12">
        <f>两日求解价格与决策!X229</f>
        <v>820.64541090167154</v>
      </c>
      <c r="Y37" s="19">
        <f>两日求解价格与决策!Y229</f>
        <v>0</v>
      </c>
      <c r="Z37" s="12" t="str">
        <f t="shared" si="0"/>
        <v>正式执行</v>
      </c>
      <c r="AA37" s="12">
        <f>两日求解价格与决策!AA229</f>
        <v>1</v>
      </c>
      <c r="AB37" s="12">
        <f>两日求解价格与决策!AB229</f>
        <v>1</v>
      </c>
      <c r="AC37" s="12">
        <f>两日求解价格与决策!AC229</f>
        <v>0.25</v>
      </c>
      <c r="AD37" s="18">
        <f>两日求解价格与决策!AD229</f>
        <v>0.3125</v>
      </c>
      <c r="AE37" s="18">
        <f>两日求解价格与决策!AE229</f>
        <v>0.13714285714285715</v>
      </c>
      <c r="AF37" s="18">
        <f>两日求解价格与决策!AF229</f>
        <v>0</v>
      </c>
      <c r="AG37" s="18">
        <f>两日求解价格与决策!AG229</f>
        <v>9.5954285714285728E-2</v>
      </c>
      <c r="AH37" s="12">
        <f>两日求解价格与决策!AH229</f>
        <v>175</v>
      </c>
      <c r="AI37" s="12">
        <f>两日求解价格与决策!AI229</f>
        <v>175</v>
      </c>
      <c r="AJ37" s="12">
        <f>两日求解价格与决策!AJ229</f>
        <v>0</v>
      </c>
      <c r="AK37" s="12">
        <f>两日求解价格与决策!AK229</f>
        <v>4.1980000000000004</v>
      </c>
      <c r="AL37" s="12">
        <f>两日求解价格与决策!AL229</f>
        <v>128</v>
      </c>
      <c r="AM37" s="12">
        <f>两日求解价格与决策!AM229</f>
        <v>3.7038560386082687E-3</v>
      </c>
      <c r="AN37" s="12">
        <f>两日求解价格与决策!AN229</f>
        <v>0.48949794760239712</v>
      </c>
      <c r="AO37" s="12">
        <f>两日求解价格与决策!AO229</f>
        <v>0.81240605713638969</v>
      </c>
      <c r="AP37" s="12">
        <f>两日求解价格与决策!AP229</f>
        <v>31.739130434782567</v>
      </c>
      <c r="AQ37" s="19">
        <f>两日求解价格与决策!AQ229</f>
        <v>0</v>
      </c>
      <c r="AR37" s="12">
        <f>两日求解价格与决策!AR229</f>
        <v>5.2473000000000001</v>
      </c>
      <c r="AS37" s="14">
        <f>两日求解价格与决策!AS229</f>
        <v>46234</v>
      </c>
      <c r="AT37" s="13">
        <f>两日求解价格与决策!AT229</f>
        <v>46236.166666666664</v>
      </c>
      <c r="AU37" s="12" t="str">
        <f>两日求解价格与决策!AU229</f>
        <v>2026-08-02_25</v>
      </c>
      <c r="AV37" s="12">
        <f>两日求解价格与决策!AV229</f>
        <v>15</v>
      </c>
      <c r="AW37" s="12" t="str">
        <f>两日求解价格与决策!AW229</f>
        <v>OK</v>
      </c>
      <c r="AX37" s="12">
        <f>两日求解价格与决策!AX229</f>
        <v>128</v>
      </c>
      <c r="AY37" s="12">
        <f>两日求解价格与决策!AY229</f>
        <v>175</v>
      </c>
      <c r="AZ37" s="12">
        <f>两日求解价格与决策!AZ229</f>
        <v>175</v>
      </c>
      <c r="BA37" s="12">
        <f>两日求解价格与决策!BA229</f>
        <v>40</v>
      </c>
      <c r="BB37" s="12">
        <f>两日求解价格与决策!BB229</f>
        <v>24</v>
      </c>
      <c r="BC37" s="12">
        <f>两日求解价格与决策!BC229</f>
        <v>24</v>
      </c>
      <c r="BD37" s="14">
        <f>两日求解价格与决策!BD229</f>
        <v>46236</v>
      </c>
      <c r="BE37" s="1" t="str">
        <f>两日求解价格与决策!BE229</f>
        <v>3.594535 MW × 162.120000 × 0.250000 h = 145.686516 EUR</v>
      </c>
      <c r="BF37" s="1" t="str">
        <f>两日求解价格与决策!BF229</f>
        <v>40.000000 MW × 66.224535 × 0.250000 h = 662.245345 EUR</v>
      </c>
      <c r="BG37" s="1" t="str">
        <f>两日求解价格与决策!BG229</f>
        <v>24.000000 MW × 6.691060 × 0.250000 h = 40.146361 EUR</v>
      </c>
      <c r="BH37" s="1" t="str">
        <f>两日求解价格与决策!BH229</f>
        <v>24.000000 MW × 2.607055 × 0.250000 h = 15.642330 EUR</v>
      </c>
      <c r="BI37" s="1" t="str">
        <f>两日求解价格与决策!BI229</f>
        <v>零上调激活电量</v>
      </c>
      <c r="BJ37" s="1" t="str">
        <f>两日求解价格与决策!BJ229</f>
        <v>−(0.575726 MWh × 74.818859) = -43.075141 EUR</v>
      </c>
      <c r="BK37" s="1" t="str">
        <f>两日求解价格与决策!BK229</f>
        <v>145.686516 + 662.245345 + 40.146361 + 15.642330 + 0.000000 + -43.075141 = 820.645411 EUR</v>
      </c>
    </row>
    <row r="38" spans="1:63" ht="21" customHeight="1" x14ac:dyDescent="0.45">
      <c r="A38" s="13">
        <f>两日求解价格与决策!A230</f>
        <v>46236.302083333336</v>
      </c>
      <c r="B38" s="15">
        <f>两日求解价格与决策!B230</f>
        <v>154.66999999999999</v>
      </c>
      <c r="C38" s="15">
        <f>两日求解价格与决策!C230</f>
        <v>66.224534522516336</v>
      </c>
      <c r="D38" s="15">
        <f>两日求解价格与决策!D230</f>
        <v>6.6910601642749601</v>
      </c>
      <c r="E38" s="15">
        <f>两日求解价格与决策!E230</f>
        <v>2.6070550568863986</v>
      </c>
      <c r="F38" s="15">
        <f>两日求解价格与决策!F230</f>
        <v>152.45936005183617</v>
      </c>
      <c r="G38" s="15">
        <f>两日求解价格与决策!G230</f>
        <v>68.254912050006666</v>
      </c>
      <c r="H38" s="15" t="str">
        <f>两日求解价格与决策!H230</f>
        <v>未模拟</v>
      </c>
      <c r="I38" s="16">
        <f>两日求解价格与决策!I230</f>
        <v>31.739130434782567</v>
      </c>
      <c r="J38" s="16">
        <f>两日求解价格与决策!J230</f>
        <v>31.739130434782567</v>
      </c>
      <c r="K38" s="16">
        <f>两日求解价格与决策!K230</f>
        <v>3.097029710678302</v>
      </c>
      <c r="L38" s="16">
        <f>两日求解价格与决策!L230</f>
        <v>40</v>
      </c>
      <c r="M38" s="16">
        <f>两日求解价格与决策!M230</f>
        <v>24</v>
      </c>
      <c r="N38" s="16">
        <f>两日求解价格与决策!N230</f>
        <v>24</v>
      </c>
      <c r="O38" s="16">
        <f>两日求解价格与决策!O230</f>
        <v>4.1142857142857138E-4</v>
      </c>
      <c r="P38" s="16">
        <f>两日求解价格与决策!P230</f>
        <v>0.89430857142857134</v>
      </c>
      <c r="Q38" s="17">
        <f>两日求解价格与决策!Q230</f>
        <v>119.75439633765323</v>
      </c>
      <c r="R38" s="17">
        <f>两日求解价格与决策!R230</f>
        <v>662.24534522516342</v>
      </c>
      <c r="S38" s="17">
        <f>两日求解价格与决策!S230</f>
        <v>40.146360985649764</v>
      </c>
      <c r="T38" s="17">
        <f>两日求解价格与决策!T230</f>
        <v>15.642330341318392</v>
      </c>
      <c r="U38" s="17">
        <f>两日求解价格与决策!U230</f>
        <v>6.2726136707041164E-2</v>
      </c>
      <c r="V38" s="17">
        <f>两日求解价格与决策!V230</f>
        <v>-61.040952888424243</v>
      </c>
      <c r="W38" s="17">
        <f>两日求解价格与决策!W230</f>
        <v>776.81020613806754</v>
      </c>
      <c r="X38" s="12">
        <f>两日求解价格与决策!X230</f>
        <v>776.81020613806766</v>
      </c>
      <c r="Y38" s="19">
        <f>两日求解价格与决策!Y230</f>
        <v>0</v>
      </c>
      <c r="Z38" s="12" t="str">
        <f t="shared" si="0"/>
        <v>正式执行</v>
      </c>
      <c r="AA38" s="12">
        <f>两日求解价格与决策!AA230</f>
        <v>1</v>
      </c>
      <c r="AB38" s="12">
        <f>两日求解价格与决策!AB230</f>
        <v>1</v>
      </c>
      <c r="AC38" s="12">
        <f>两日求解价格与决策!AC230</f>
        <v>0.25</v>
      </c>
      <c r="AD38" s="18">
        <f>两日求解价格与决策!AD230</f>
        <v>0.3125</v>
      </c>
      <c r="AE38" s="18">
        <f>两日求解价格与决策!AE230</f>
        <v>0.13714285714285715</v>
      </c>
      <c r="AF38" s="18">
        <f>两日求解价格与决策!AF230</f>
        <v>6.8571428571428567E-5</v>
      </c>
      <c r="AG38" s="18">
        <f>两日求解价格与决策!AG230</f>
        <v>0.14905142857142856</v>
      </c>
      <c r="AH38" s="12">
        <f>两日求解价格与决策!AH230</f>
        <v>175</v>
      </c>
      <c r="AI38" s="12">
        <f>两日求解价格与决策!AI230</f>
        <v>175</v>
      </c>
      <c r="AJ38" s="12">
        <f>两日求解价格与决策!AJ230</f>
        <v>3.0000000000000001E-3</v>
      </c>
      <c r="AK38" s="12">
        <f>两日求解价格与决策!AK230</f>
        <v>6.5209999999999999</v>
      </c>
      <c r="AL38" s="12">
        <f>两日求解价格与决策!AL230</f>
        <v>128</v>
      </c>
      <c r="AM38" s="12">
        <f>两日求解价格与决策!AM230</f>
        <v>3.9810669116232796E-3</v>
      </c>
      <c r="AN38" s="12">
        <f>两日求解价格与决策!AN230</f>
        <v>0.77890439575238157</v>
      </c>
      <c r="AO38" s="12">
        <f>两日求解价格与决策!AO230</f>
        <v>0.65926468056481435</v>
      </c>
      <c r="AP38" s="12">
        <f>两日求解价格与决策!AP230</f>
        <v>31.739130434782567</v>
      </c>
      <c r="AQ38" s="19">
        <f>两日求解价格与决策!AQ230</f>
        <v>0</v>
      </c>
      <c r="AR38" s="12">
        <f>两日求解价格与决策!AR230</f>
        <v>5.2473000000000001</v>
      </c>
      <c r="AS38" s="14">
        <f>两日求解价格与决策!AS230</f>
        <v>46234</v>
      </c>
      <c r="AT38" s="13">
        <f>两日求解价格与决策!AT230</f>
        <v>46236.177083333336</v>
      </c>
      <c r="AU38" s="12" t="str">
        <f>两日求解价格与决策!AU230</f>
        <v>2026-08-02_26</v>
      </c>
      <c r="AV38" s="12">
        <f>两日求解价格与决策!AV230</f>
        <v>15</v>
      </c>
      <c r="AW38" s="12" t="str">
        <f>两日求解价格与决策!AW230</f>
        <v>OK</v>
      </c>
      <c r="AX38" s="12">
        <f>两日求解价格与决策!AX230</f>
        <v>128</v>
      </c>
      <c r="AY38" s="12">
        <f>两日求解价格与决策!AY230</f>
        <v>175</v>
      </c>
      <c r="AZ38" s="12">
        <f>两日求解价格与决策!AZ230</f>
        <v>175</v>
      </c>
      <c r="BA38" s="12">
        <f>两日求解价格与决策!BA230</f>
        <v>40</v>
      </c>
      <c r="BB38" s="12">
        <f>两日求解价格与决策!BB230</f>
        <v>24</v>
      </c>
      <c r="BC38" s="12">
        <f>两日求解价格与决策!BC230</f>
        <v>24</v>
      </c>
      <c r="BD38" s="14">
        <f>两日求解价格与决策!BD230</f>
        <v>46236</v>
      </c>
      <c r="BE38" s="1" t="str">
        <f>两日求解价格与决策!BE230</f>
        <v>3.097030 MW × 154.670000 × 0.250000 h = 119.754396 EUR</v>
      </c>
      <c r="BF38" s="1" t="str">
        <f>两日求解价格与决策!BF230</f>
        <v>40.000000 MW × 66.224535 × 0.250000 h = 662.245345 EUR</v>
      </c>
      <c r="BG38" s="1" t="str">
        <f>两日求解价格与决策!BG230</f>
        <v>24.000000 MW × 6.691060 × 0.250000 h = 40.146361 EUR</v>
      </c>
      <c r="BH38" s="1" t="str">
        <f>两日求解价格与决策!BH230</f>
        <v>24.000000 MW × 2.607055 × 0.250000 h = 15.642330 EUR</v>
      </c>
      <c r="BI38" s="1" t="str">
        <f>两日求解价格与决策!BI230</f>
        <v>0.000411 MWh × 152.459360 = 0.062726 EUR</v>
      </c>
      <c r="BJ38" s="1" t="str">
        <f>两日求解价格与决策!BJ230</f>
        <v>−(0.894309 MWh × 68.254912) = -61.040953 EUR</v>
      </c>
      <c r="BK38" s="1" t="str">
        <f>两日求解价格与决策!BK230</f>
        <v>119.754396 + 662.245345 + 40.146361 + 15.642330 + 0.062726 + -61.040953 = 776.810206 EUR</v>
      </c>
    </row>
    <row r="39" spans="1:63" ht="21" customHeight="1" x14ac:dyDescent="0.45">
      <c r="A39" s="13">
        <f>两日求解价格与决策!A231</f>
        <v>46236.3125</v>
      </c>
      <c r="B39" s="15">
        <f>两日求解价格与决策!B231</f>
        <v>153.13999999999999</v>
      </c>
      <c r="C39" s="15">
        <f>两日求解价格与决策!C231</f>
        <v>66.224534522516336</v>
      </c>
      <c r="D39" s="15">
        <f>两日求解价格与决策!D231</f>
        <v>6.6910601642749601</v>
      </c>
      <c r="E39" s="15">
        <f>两日求解价格与决策!E231</f>
        <v>2.6070550568863986</v>
      </c>
      <c r="F39" s="15">
        <f>两日求解价格与决策!F231</f>
        <v>0</v>
      </c>
      <c r="G39" s="15">
        <f>两日求解价格与决策!G231</f>
        <v>68.655880166942993</v>
      </c>
      <c r="H39" s="15" t="str">
        <f>两日求解价格与决策!H231</f>
        <v>未模拟</v>
      </c>
      <c r="I39" s="16">
        <f>两日求解价格与决策!I231</f>
        <v>31.739130434782567</v>
      </c>
      <c r="J39" s="16">
        <f>两日求解价格与决策!J231</f>
        <v>31.739130434782563</v>
      </c>
      <c r="K39" s="16">
        <f>两日求解价格与决策!K231</f>
        <v>2.5610387360055031</v>
      </c>
      <c r="L39" s="16">
        <f>两日求解价格与决策!L231</f>
        <v>40</v>
      </c>
      <c r="M39" s="16">
        <f>两日求解价格与决策!M231</f>
        <v>24</v>
      </c>
      <c r="N39" s="16">
        <f>两日求解价格与决策!N231</f>
        <v>24</v>
      </c>
      <c r="O39" s="16">
        <f>两日求解价格与决策!O231</f>
        <v>0</v>
      </c>
      <c r="P39" s="16">
        <f>两日求解价格与决策!P231</f>
        <v>0.74207999999999985</v>
      </c>
      <c r="Q39" s="17">
        <f>两日求解价格与决策!Q231</f>
        <v>98.049368007970685</v>
      </c>
      <c r="R39" s="17">
        <f>两日求解价格与决策!R231</f>
        <v>662.24534522516342</v>
      </c>
      <c r="S39" s="17">
        <f>两日求解价格与决策!S231</f>
        <v>40.146360985649764</v>
      </c>
      <c r="T39" s="17">
        <f>两日求解价格与决策!T231</f>
        <v>15.642330341318392</v>
      </c>
      <c r="U39" s="17">
        <f>两日求解价格与决策!U231</f>
        <v>0</v>
      </c>
      <c r="V39" s="17">
        <f>两日求解价格与决策!V231</f>
        <v>-50.948155554285044</v>
      </c>
      <c r="W39" s="17">
        <f>两日求解价格与决策!W231</f>
        <v>765.13524900581717</v>
      </c>
      <c r="X39" s="12">
        <f>两日求解价格与决策!X231</f>
        <v>765.13524900581717</v>
      </c>
      <c r="Y39" s="19">
        <f>两日求解价格与决策!Y231</f>
        <v>0</v>
      </c>
      <c r="Z39" s="12" t="str">
        <f t="shared" si="0"/>
        <v>正式执行</v>
      </c>
      <c r="AA39" s="12">
        <f>两日求解价格与决策!AA231</f>
        <v>1</v>
      </c>
      <c r="AB39" s="12">
        <f>两日求解价格与决策!AB231</f>
        <v>1</v>
      </c>
      <c r="AC39" s="12">
        <f>两日求解价格与决策!AC231</f>
        <v>0.25</v>
      </c>
      <c r="AD39" s="18">
        <f>两日求解价格与决策!AD231</f>
        <v>0.3125</v>
      </c>
      <c r="AE39" s="18">
        <f>两日求解价格与决策!AE231</f>
        <v>0.13714285714285715</v>
      </c>
      <c r="AF39" s="18">
        <f>两日求解价格与决策!AF231</f>
        <v>0</v>
      </c>
      <c r="AG39" s="18">
        <f>两日求解价格与决策!AG231</f>
        <v>0.12367999999999998</v>
      </c>
      <c r="AH39" s="12">
        <f>两日求解价格与决策!AH231</f>
        <v>175</v>
      </c>
      <c r="AI39" s="12">
        <f>两日求解价格与决策!AI231</f>
        <v>175</v>
      </c>
      <c r="AJ39" s="12">
        <f>两日求解价格与决策!AJ231</f>
        <v>0</v>
      </c>
      <c r="AK39" s="12">
        <f>两日求解价格与决策!AK231</f>
        <v>5.4109999999999996</v>
      </c>
      <c r="AL39" s="12">
        <f>两日求解价格与决策!AL231</f>
        <v>128</v>
      </c>
      <c r="AM39" s="12">
        <f>两日求解价格与决策!AM231</f>
        <v>3.3881181538894059E-3</v>
      </c>
      <c r="AN39" s="12">
        <f>两日求解价格与决策!AN231</f>
        <v>0.6628926822827097</v>
      </c>
      <c r="AO39" s="12">
        <f>两日求解价格与决策!AO231</f>
        <v>0.56107236628408563</v>
      </c>
      <c r="AP39" s="12">
        <f>两日求解价格与决策!AP231</f>
        <v>31.739130434782563</v>
      </c>
      <c r="AQ39" s="19">
        <f>两日求解价格与决策!AQ231</f>
        <v>0</v>
      </c>
      <c r="AR39" s="12">
        <f>两日求解价格与决策!AR231</f>
        <v>5.2473000000000001</v>
      </c>
      <c r="AS39" s="14">
        <f>两日求解价格与决策!AS231</f>
        <v>46234</v>
      </c>
      <c r="AT39" s="13">
        <f>两日求解价格与决策!AT231</f>
        <v>46236.1875</v>
      </c>
      <c r="AU39" s="12" t="str">
        <f>两日求解价格与决策!AU231</f>
        <v>2026-08-02_27</v>
      </c>
      <c r="AV39" s="12">
        <f>两日求解价格与决策!AV231</f>
        <v>15</v>
      </c>
      <c r="AW39" s="12" t="str">
        <f>两日求解价格与决策!AW231</f>
        <v>OK</v>
      </c>
      <c r="AX39" s="12">
        <f>两日求解价格与决策!AX231</f>
        <v>128</v>
      </c>
      <c r="AY39" s="12">
        <f>两日求解价格与决策!AY231</f>
        <v>175</v>
      </c>
      <c r="AZ39" s="12">
        <f>两日求解价格与决策!AZ231</f>
        <v>175</v>
      </c>
      <c r="BA39" s="12">
        <f>两日求解价格与决策!BA231</f>
        <v>40</v>
      </c>
      <c r="BB39" s="12">
        <f>两日求解价格与决策!BB231</f>
        <v>24</v>
      </c>
      <c r="BC39" s="12">
        <f>两日求解价格与决策!BC231</f>
        <v>24</v>
      </c>
      <c r="BD39" s="14">
        <f>两日求解价格与决策!BD231</f>
        <v>46236</v>
      </c>
      <c r="BE39" s="1" t="str">
        <f>两日求解价格与决策!BE231</f>
        <v>2.561039 MW × 153.140000 × 0.250000 h = 98.049368 EUR</v>
      </c>
      <c r="BF39" s="1" t="str">
        <f>两日求解价格与决策!BF231</f>
        <v>40.000000 MW × 66.224535 × 0.250000 h = 662.245345 EUR</v>
      </c>
      <c r="BG39" s="1" t="str">
        <f>两日求解价格与决策!BG231</f>
        <v>24.000000 MW × 6.691060 × 0.250000 h = 40.146361 EUR</v>
      </c>
      <c r="BH39" s="1" t="str">
        <f>两日求解价格与决策!BH231</f>
        <v>24.000000 MW × 2.607055 × 0.250000 h = 15.642330 EUR</v>
      </c>
      <c r="BI39" s="1" t="str">
        <f>两日求解价格与决策!BI231</f>
        <v>零上调激活电量</v>
      </c>
      <c r="BJ39" s="1" t="str">
        <f>两日求解价格与决策!BJ231</f>
        <v>−(0.742080 MWh × 68.655880) = -50.948156 EUR</v>
      </c>
      <c r="BK39" s="1" t="str">
        <f>两日求解价格与决策!BK231</f>
        <v>98.049368 + 662.245345 + 40.146361 + 15.642330 + 0.000000 + -50.948156 = 765.135249 EUR</v>
      </c>
    </row>
    <row r="40" spans="1:63" ht="21" customHeight="1" x14ac:dyDescent="0.45">
      <c r="A40" s="13">
        <f>两日求解价格与决策!A232</f>
        <v>46236.322916666664</v>
      </c>
      <c r="B40" s="15">
        <f>两日求解价格与决策!B232</f>
        <v>139.9</v>
      </c>
      <c r="C40" s="15">
        <f>两日求解价格与决策!C232</f>
        <v>66.224534522516336</v>
      </c>
      <c r="D40" s="15">
        <f>两日求解价格与决策!D232</f>
        <v>6.6910601642749601</v>
      </c>
      <c r="E40" s="15">
        <f>两日求解价格与决策!E232</f>
        <v>2.6070550568863986</v>
      </c>
      <c r="F40" s="15">
        <f>两日求解价格与决策!F232</f>
        <v>0</v>
      </c>
      <c r="G40" s="15">
        <f>两日求解价格与决策!G232</f>
        <v>70.403826729937308</v>
      </c>
      <c r="H40" s="15" t="str">
        <f>两日求解价格与决策!H232</f>
        <v>未模拟</v>
      </c>
      <c r="I40" s="16">
        <f>两日求解价格与决策!I232</f>
        <v>31.739130434782563</v>
      </c>
      <c r="J40" s="16">
        <f>两日求解价格与决策!J232</f>
        <v>32.696266891925418</v>
      </c>
      <c r="K40" s="16">
        <f>两日求解价格与决策!K232</f>
        <v>0</v>
      </c>
      <c r="L40" s="16">
        <f>两日求解价格与决策!L232</f>
        <v>40</v>
      </c>
      <c r="M40" s="16">
        <f>两日求解价格与决策!M232</f>
        <v>24</v>
      </c>
      <c r="N40" s="16">
        <f>两日求解价格与决策!N232</f>
        <v>24</v>
      </c>
      <c r="O40" s="16">
        <f>两日求解价格与决策!O232</f>
        <v>0</v>
      </c>
      <c r="P40" s="16">
        <f>两日求解价格与决策!P232</f>
        <v>1.0403657142857143</v>
      </c>
      <c r="Q40" s="17">
        <f>两日求解价格与决策!Q232</f>
        <v>0</v>
      </c>
      <c r="R40" s="17">
        <f>两日求解价格与决策!R232</f>
        <v>662.24534522516342</v>
      </c>
      <c r="S40" s="17">
        <f>两日求解价格与决策!S232</f>
        <v>40.146360985649764</v>
      </c>
      <c r="T40" s="17">
        <f>两日求解价格与决策!T232</f>
        <v>15.642330341318392</v>
      </c>
      <c r="U40" s="17">
        <f>两日求解价格与决策!U232</f>
        <v>0</v>
      </c>
      <c r="V40" s="17">
        <f>两日求解价格与决策!V232</f>
        <v>-73.2457274843389</v>
      </c>
      <c r="W40" s="17">
        <f>两日求解价格与决策!W232</f>
        <v>644.78830906779262</v>
      </c>
      <c r="X40" s="12">
        <f>两日求解价格与决策!X232</f>
        <v>644.78830906779262</v>
      </c>
      <c r="Y40" s="19">
        <f>两日求解价格与决策!Y232</f>
        <v>0</v>
      </c>
      <c r="Z40" s="12" t="str">
        <f t="shared" si="0"/>
        <v>正式执行</v>
      </c>
      <c r="AA40" s="12">
        <f>两日求解价格与决策!AA232</f>
        <v>1</v>
      </c>
      <c r="AB40" s="12">
        <f>两日求解价格与决策!AB232</f>
        <v>1</v>
      </c>
      <c r="AC40" s="12">
        <f>两日求解价格与决策!AC232</f>
        <v>0.25</v>
      </c>
      <c r="AD40" s="18">
        <f>两日求解价格与决策!AD232</f>
        <v>0.3125</v>
      </c>
      <c r="AE40" s="18">
        <f>两日求解价格与决策!AE232</f>
        <v>0.13714285714285715</v>
      </c>
      <c r="AF40" s="18">
        <f>两日求解价格与决策!AF232</f>
        <v>0</v>
      </c>
      <c r="AG40" s="18">
        <f>两日求解价格与决策!AG232</f>
        <v>0.17339428571428572</v>
      </c>
      <c r="AH40" s="12">
        <f>两日求解价格与决策!AH232</f>
        <v>175</v>
      </c>
      <c r="AI40" s="12">
        <f>两日求解价格与决策!AI232</f>
        <v>175</v>
      </c>
      <c r="AJ40" s="12">
        <f>两日求解价格与决策!AJ232</f>
        <v>0</v>
      </c>
      <c r="AK40" s="12">
        <f>两日求解价格与决策!AK232</f>
        <v>7.5860000000000003</v>
      </c>
      <c r="AL40" s="12">
        <f>两日求解价格与决策!AL232</f>
        <v>128</v>
      </c>
      <c r="AM40" s="12">
        <f>两日求解价格与决策!AM232</f>
        <v>2.6587123809523813E-3</v>
      </c>
      <c r="AN40" s="12">
        <f>两日求解价格与决策!AN232</f>
        <v>1.0403657142857143</v>
      </c>
      <c r="AO40" s="12">
        <f>两日求解价格与决策!AO232</f>
        <v>0</v>
      </c>
      <c r="AP40" s="12">
        <f>两日求解价格与决策!AP232</f>
        <v>32.696266891925418</v>
      </c>
      <c r="AQ40" s="19">
        <f>两日求解价格与决策!AQ232</f>
        <v>0</v>
      </c>
      <c r="AR40" s="12">
        <f>两日求解价格与决策!AR232</f>
        <v>5.2473000000000001</v>
      </c>
      <c r="AS40" s="14">
        <f>两日求解价格与决策!AS232</f>
        <v>46234</v>
      </c>
      <c r="AT40" s="13">
        <f>两日求解价格与决策!AT232</f>
        <v>46236.197916666664</v>
      </c>
      <c r="AU40" s="12" t="str">
        <f>两日求解价格与决策!AU232</f>
        <v>2026-08-02_28</v>
      </c>
      <c r="AV40" s="12">
        <f>两日求解价格与决策!AV232</f>
        <v>15</v>
      </c>
      <c r="AW40" s="12" t="str">
        <f>两日求解价格与决策!AW232</f>
        <v>OK</v>
      </c>
      <c r="AX40" s="12">
        <f>两日求解价格与决策!AX232</f>
        <v>128</v>
      </c>
      <c r="AY40" s="12">
        <f>两日求解价格与决策!AY232</f>
        <v>175</v>
      </c>
      <c r="AZ40" s="12">
        <f>两日求解价格与决策!AZ232</f>
        <v>175</v>
      </c>
      <c r="BA40" s="12">
        <f>两日求解价格与决策!BA232</f>
        <v>40</v>
      </c>
      <c r="BB40" s="12">
        <f>两日求解价格与决策!BB232</f>
        <v>24</v>
      </c>
      <c r="BC40" s="12">
        <f>两日求解价格与决策!BC232</f>
        <v>24</v>
      </c>
      <c r="BD40" s="14">
        <f>两日求解价格与决策!BD232</f>
        <v>46236</v>
      </c>
      <c r="BE40" s="1" t="str">
        <f>两日求解价格与决策!BE232</f>
        <v>零头寸，无结算现金</v>
      </c>
      <c r="BF40" s="1" t="str">
        <f>两日求解价格与决策!BF232</f>
        <v>40.000000 MW × 66.224535 × 0.250000 h = 662.245345 EUR</v>
      </c>
      <c r="BG40" s="1" t="str">
        <f>两日求解价格与决策!BG232</f>
        <v>24.000000 MW × 6.691060 × 0.250000 h = 40.146361 EUR</v>
      </c>
      <c r="BH40" s="1" t="str">
        <f>两日求解价格与决策!BH232</f>
        <v>24.000000 MW × 2.607055 × 0.250000 h = 15.642330 EUR</v>
      </c>
      <c r="BI40" s="1" t="str">
        <f>两日求解价格与决策!BI232</f>
        <v>零上调激活电量</v>
      </c>
      <c r="BJ40" s="1" t="str">
        <f>两日求解价格与决策!BJ232</f>
        <v>−(1.040366 MWh × 70.403827) = -73.245727 EUR</v>
      </c>
      <c r="BK40" s="1" t="str">
        <f>两日求解价格与决策!BK232</f>
        <v>0.000000 + 662.245345 + 40.146361 + 15.642330 + 0.000000 + -73.245727 = 644.788309 EUR</v>
      </c>
    </row>
    <row r="41" spans="1:63" ht="21" customHeight="1" x14ac:dyDescent="0.45">
      <c r="A41" s="13">
        <f>两日求解价格与决策!A233</f>
        <v>46236.333333333336</v>
      </c>
      <c r="B41" s="15">
        <f>两日求解价格与决策!B233</f>
        <v>154.06</v>
      </c>
      <c r="C41" s="15">
        <f>两日求解价格与决策!C233</f>
        <v>60.030873020410496</v>
      </c>
      <c r="D41" s="15">
        <f>两日求解价格与决策!D233</f>
        <v>6.7863472643073575</v>
      </c>
      <c r="E41" s="15">
        <f>两日求解价格与决策!E233</f>
        <v>2.8967278409848873</v>
      </c>
      <c r="F41" s="15">
        <f>两日求解价格与决策!F233</f>
        <v>152.45936005183617</v>
      </c>
      <c r="G41" s="15">
        <f>两日求解价格与决策!G233</f>
        <v>68.360109008442436</v>
      </c>
      <c r="H41" s="15" t="str">
        <f>两日求解价格与决策!H233</f>
        <v>未模拟</v>
      </c>
      <c r="I41" s="16">
        <f>两日求解价格与决策!I233</f>
        <v>32.696266891925418</v>
      </c>
      <c r="J41" s="16">
        <f>两日求解价格与决策!J233</f>
        <v>31.739130434782556</v>
      </c>
      <c r="K41" s="16">
        <f>两日求解价格与决策!K233</f>
        <v>4.6952670664750835</v>
      </c>
      <c r="L41" s="16">
        <f>两日求解价格与决策!L233</f>
        <v>40</v>
      </c>
      <c r="M41" s="16">
        <f>两日求解价格与决策!M233</f>
        <v>24</v>
      </c>
      <c r="N41" s="16">
        <f>两日求解价格与决策!N233</f>
        <v>24</v>
      </c>
      <c r="O41" s="16">
        <f>两日求解价格与决策!O233</f>
        <v>2.7428571428571432E-4</v>
      </c>
      <c r="P41" s="16">
        <f>两日求解价格与决策!P233</f>
        <v>0.33490285714285717</v>
      </c>
      <c r="Q41" s="17">
        <f>两日求解价格与决策!Q233</f>
        <v>180.83821106528785</v>
      </c>
      <c r="R41" s="17">
        <f>两日求解价格与决策!R233</f>
        <v>600.3087302041049</v>
      </c>
      <c r="S41" s="17">
        <f>两日求解价格与决策!S233</f>
        <v>40.718083585844141</v>
      </c>
      <c r="T41" s="17">
        <f>两日求解价格与决策!T233</f>
        <v>17.380367045909324</v>
      </c>
      <c r="U41" s="17">
        <f>两日求解价格与决策!U233</f>
        <v>4.1817424471360783E-2</v>
      </c>
      <c r="V41" s="17">
        <f>两日求解价格与决策!V233</f>
        <v>-22.893995821524541</v>
      </c>
      <c r="W41" s="17">
        <f>两日求解价格与决策!W233</f>
        <v>816.39321350409307</v>
      </c>
      <c r="X41" s="12">
        <f>两日求解价格与决策!X233</f>
        <v>816.39321350409307</v>
      </c>
      <c r="Y41" s="19">
        <f>两日求解价格与决策!Y233</f>
        <v>0</v>
      </c>
      <c r="Z41" s="12" t="str">
        <f t="shared" ref="Z41:Z72" si="1">"正式执行"</f>
        <v>正式执行</v>
      </c>
      <c r="AA41" s="12">
        <f>两日求解价格与决策!AA233</f>
        <v>1</v>
      </c>
      <c r="AB41" s="12">
        <f>两日求解价格与决策!AB233</f>
        <v>1</v>
      </c>
      <c r="AC41" s="12">
        <f>两日求解价格与决策!AC233</f>
        <v>0.25</v>
      </c>
      <c r="AD41" s="18">
        <f>两日求解价格与决策!AD233</f>
        <v>0.3125</v>
      </c>
      <c r="AE41" s="18">
        <f>两日求解价格与决策!AE233</f>
        <v>0.13714285714285715</v>
      </c>
      <c r="AF41" s="18">
        <f>两日求解价格与决策!AF233</f>
        <v>4.5714285714285716E-5</v>
      </c>
      <c r="AG41" s="18">
        <f>两日求解价格与决策!AG233</f>
        <v>5.5817142857142864E-2</v>
      </c>
      <c r="AH41" s="12">
        <f>两日求解价格与决策!AH233</f>
        <v>175</v>
      </c>
      <c r="AI41" s="12">
        <f>两日求解价格与决策!AI233</f>
        <v>175</v>
      </c>
      <c r="AJ41" s="12">
        <f>两日求解价格与决策!AJ233</f>
        <v>2E-3</v>
      </c>
      <c r="AK41" s="12">
        <f>两日求解价格与决策!AK233</f>
        <v>2.4420000000000002</v>
      </c>
      <c r="AL41" s="12">
        <f>两日求解价格与决策!AL233</f>
        <v>51.968000000000004</v>
      </c>
      <c r="AM41" s="12">
        <f>两日求解价格与决策!AM233</f>
        <v>4.0355627046912562E-3</v>
      </c>
      <c r="AN41" s="12">
        <f>两日求解价格与决策!AN233</f>
        <v>0.26938375899238776</v>
      </c>
      <c r="AO41" s="12">
        <f>两日求解价格与决策!AO233</f>
        <v>1.1085719541825869</v>
      </c>
      <c r="AP41" s="12">
        <f>两日求解价格与决策!AP233</f>
        <v>31.739130434782556</v>
      </c>
      <c r="AQ41" s="19">
        <f>两日求解价格与决策!AQ233</f>
        <v>0</v>
      </c>
      <c r="AR41" s="12">
        <f>两日求解价格与决策!AR233</f>
        <v>5.2473000000000001</v>
      </c>
      <c r="AS41" s="14">
        <f>两日求解价格与决策!AS233</f>
        <v>46234</v>
      </c>
      <c r="AT41" s="13">
        <f>两日求解价格与决策!AT233</f>
        <v>46236.208333333336</v>
      </c>
      <c r="AU41" s="12" t="str">
        <f>两日求解价格与决策!AU233</f>
        <v>2026-08-02_29</v>
      </c>
      <c r="AV41" s="12">
        <f>两日求解价格与决策!AV233</f>
        <v>15</v>
      </c>
      <c r="AW41" s="12" t="str">
        <f>两日求解价格与决策!AW233</f>
        <v>OK</v>
      </c>
      <c r="AX41" s="12">
        <f>两日求解价格与决策!AX233</f>
        <v>128</v>
      </c>
      <c r="AY41" s="12">
        <f>两日求解价格与决策!AY233</f>
        <v>175</v>
      </c>
      <c r="AZ41" s="12">
        <f>两日求解价格与决策!AZ233</f>
        <v>175</v>
      </c>
      <c r="BA41" s="12">
        <f>两日求解价格与决策!BA233</f>
        <v>40</v>
      </c>
      <c r="BB41" s="12">
        <f>两日求解价格与决策!BB233</f>
        <v>24</v>
      </c>
      <c r="BC41" s="12">
        <f>两日求解价格与决策!BC233</f>
        <v>24</v>
      </c>
      <c r="BD41" s="14">
        <f>两日求解价格与决策!BD233</f>
        <v>46236</v>
      </c>
      <c r="BE41" s="1" t="str">
        <f>两日求解价格与决策!BE233</f>
        <v>4.695267 MW × 154.060000 × 0.250000 h = 180.838211 EUR</v>
      </c>
      <c r="BF41" s="1" t="str">
        <f>两日求解价格与决策!BF233</f>
        <v>40.000000 MW × 60.030873 × 0.250000 h = 600.308730 EUR</v>
      </c>
      <c r="BG41" s="1" t="str">
        <f>两日求解价格与决策!BG233</f>
        <v>24.000000 MW × 6.786347 × 0.250000 h = 40.718084 EUR</v>
      </c>
      <c r="BH41" s="1" t="str">
        <f>两日求解价格与决策!BH233</f>
        <v>24.000000 MW × 2.896728 × 0.250000 h = 17.380367 EUR</v>
      </c>
      <c r="BI41" s="1" t="str">
        <f>两日求解价格与决策!BI233</f>
        <v>0.000274 MWh × 152.459360 = 0.041817 EUR</v>
      </c>
      <c r="BJ41" s="1" t="str">
        <f>两日求解价格与决策!BJ233</f>
        <v>−(0.334903 MWh × 68.360109) = -22.893996 EUR</v>
      </c>
      <c r="BK41" s="1" t="str">
        <f>两日求解价格与决策!BK233</f>
        <v>180.838211 + 600.308730 + 40.718084 + 17.380367 + 0.041817 + -22.893996 = 816.393214 EUR</v>
      </c>
    </row>
    <row r="42" spans="1:63" ht="21" customHeight="1" x14ac:dyDescent="0.45">
      <c r="A42" s="13">
        <f>两日求解价格与决策!A234</f>
        <v>46236.34375</v>
      </c>
      <c r="B42" s="15">
        <f>两日求解价格与决策!B234</f>
        <v>142.6</v>
      </c>
      <c r="C42" s="15">
        <f>两日求解价格与决策!C234</f>
        <v>60.030873020410496</v>
      </c>
      <c r="D42" s="15">
        <f>两日求解价格与决策!D234</f>
        <v>6.7863472643073575</v>
      </c>
      <c r="E42" s="15">
        <f>两日求解价格与决策!E234</f>
        <v>2.8967278409848873</v>
      </c>
      <c r="F42" s="15">
        <f>两日求解价格与决策!F234</f>
        <v>0</v>
      </c>
      <c r="G42" s="15">
        <f>两日求解价格与决策!G234</f>
        <v>25.922474415413639</v>
      </c>
      <c r="H42" s="15" t="str">
        <f>两日求解价格与决策!H234</f>
        <v>未模拟</v>
      </c>
      <c r="I42" s="16">
        <f>两日求解价格与决策!I234</f>
        <v>31.739130434782556</v>
      </c>
      <c r="J42" s="16">
        <f>两日求解价格与决策!J234</f>
        <v>31.73913043478256</v>
      </c>
      <c r="K42" s="16">
        <f>两日求解价格与决策!K234</f>
        <v>4.9198599219345711</v>
      </c>
      <c r="L42" s="16">
        <f>两日求解价格与决策!L234</f>
        <v>40</v>
      </c>
      <c r="M42" s="16">
        <f>两日求解价格与决策!M234</f>
        <v>24</v>
      </c>
      <c r="N42" s="16">
        <f>两日求解价格与决策!N234</f>
        <v>24</v>
      </c>
      <c r="O42" s="16">
        <f>两日求解价格与决策!O234</f>
        <v>0</v>
      </c>
      <c r="P42" s="16">
        <f>两日求解价格与决策!P234</f>
        <v>1.4010514285714286</v>
      </c>
      <c r="Q42" s="17">
        <f>两日求解价格与决策!Q234</f>
        <v>175.39300621696745</v>
      </c>
      <c r="R42" s="17">
        <f>两日求解价格与决策!R234</f>
        <v>600.3087302041049</v>
      </c>
      <c r="S42" s="17">
        <f>两日求解价格与决策!S234</f>
        <v>40.718083585844141</v>
      </c>
      <c r="T42" s="17">
        <f>两日求解价格与决策!T234</f>
        <v>17.380367045909324</v>
      </c>
      <c r="U42" s="17">
        <f>两日求解价格与决策!U234</f>
        <v>0</v>
      </c>
      <c r="V42" s="17">
        <f>两日求解价格与决策!V234</f>
        <v>-36.318719811821587</v>
      </c>
      <c r="W42" s="17">
        <f>两日求解价格与决策!W234</f>
        <v>797.48146724100434</v>
      </c>
      <c r="X42" s="12">
        <f>两日求解价格与决策!X234</f>
        <v>797.48146724100422</v>
      </c>
      <c r="Y42" s="19">
        <f>两日求解价格与决策!Y234</f>
        <v>0</v>
      </c>
      <c r="Z42" s="12" t="str">
        <f t="shared" si="1"/>
        <v>正式执行</v>
      </c>
      <c r="AA42" s="12">
        <f>两日求解价格与决策!AA234</f>
        <v>1</v>
      </c>
      <c r="AB42" s="12">
        <f>两日求解价格与决策!AB234</f>
        <v>1</v>
      </c>
      <c r="AC42" s="12">
        <f>两日求解价格与决策!AC234</f>
        <v>0.25</v>
      </c>
      <c r="AD42" s="18">
        <f>两日求解价格与决策!AD234</f>
        <v>0.3125</v>
      </c>
      <c r="AE42" s="18">
        <f>两日求解价格与决策!AE234</f>
        <v>0.13714285714285715</v>
      </c>
      <c r="AF42" s="18">
        <f>两日求解价格与决策!AF234</f>
        <v>0</v>
      </c>
      <c r="AG42" s="18">
        <f>两日求解价格与决策!AG234</f>
        <v>0.23350857142857143</v>
      </c>
      <c r="AH42" s="12">
        <f>两日求解价格与决策!AH234</f>
        <v>175</v>
      </c>
      <c r="AI42" s="12">
        <f>两日求解价格与决策!AI234</f>
        <v>175</v>
      </c>
      <c r="AJ42" s="12">
        <f>两日求解价格与决策!AJ234</f>
        <v>0</v>
      </c>
      <c r="AK42" s="12">
        <f>两日求解价格与决策!AK234</f>
        <v>10.215999999999999</v>
      </c>
      <c r="AL42" s="12">
        <f>两日求解价格与决策!AL234</f>
        <v>51.968000000000004</v>
      </c>
      <c r="AM42" s="12">
        <f>两日求解价格与决策!AM234</f>
        <v>5.6929807668100046E-3</v>
      </c>
      <c r="AN42" s="12">
        <f>两日求解价格与决策!AN234</f>
        <v>1.1138440630715225</v>
      </c>
      <c r="AO42" s="12">
        <f>两日求解价格与决策!AO234</f>
        <v>0.94275761498373667</v>
      </c>
      <c r="AP42" s="12">
        <f>两日求解价格与决策!AP234</f>
        <v>31.73913043478256</v>
      </c>
      <c r="AQ42" s="19">
        <f>两日求解价格与决策!AQ234</f>
        <v>0</v>
      </c>
      <c r="AR42" s="12">
        <f>两日求解价格与决策!AR234</f>
        <v>5.2473000000000001</v>
      </c>
      <c r="AS42" s="14">
        <f>两日求解价格与决策!AS234</f>
        <v>46234</v>
      </c>
      <c r="AT42" s="13">
        <f>两日求解价格与决策!AT234</f>
        <v>46236.21875</v>
      </c>
      <c r="AU42" s="12" t="str">
        <f>两日求解价格与决策!AU234</f>
        <v>2026-08-02_30</v>
      </c>
      <c r="AV42" s="12">
        <f>两日求解价格与决策!AV234</f>
        <v>15</v>
      </c>
      <c r="AW42" s="12" t="str">
        <f>两日求解价格与决策!AW234</f>
        <v>OK</v>
      </c>
      <c r="AX42" s="12">
        <f>两日求解价格与决策!AX234</f>
        <v>128</v>
      </c>
      <c r="AY42" s="12">
        <f>两日求解价格与决策!AY234</f>
        <v>175</v>
      </c>
      <c r="AZ42" s="12">
        <f>两日求解价格与决策!AZ234</f>
        <v>175</v>
      </c>
      <c r="BA42" s="12">
        <f>两日求解价格与决策!BA234</f>
        <v>40</v>
      </c>
      <c r="BB42" s="12">
        <f>两日求解价格与决策!BB234</f>
        <v>24</v>
      </c>
      <c r="BC42" s="12">
        <f>两日求解价格与决策!BC234</f>
        <v>24</v>
      </c>
      <c r="BD42" s="14">
        <f>两日求解价格与决策!BD234</f>
        <v>46236</v>
      </c>
      <c r="BE42" s="1" t="str">
        <f>两日求解价格与决策!BE234</f>
        <v>4.919860 MW × 142.600000 × 0.250000 h = 175.393006 EUR</v>
      </c>
      <c r="BF42" s="1" t="str">
        <f>两日求解价格与决策!BF234</f>
        <v>40.000000 MW × 60.030873 × 0.250000 h = 600.308730 EUR</v>
      </c>
      <c r="BG42" s="1" t="str">
        <f>两日求解价格与决策!BG234</f>
        <v>24.000000 MW × 6.786347 × 0.250000 h = 40.718084 EUR</v>
      </c>
      <c r="BH42" s="1" t="str">
        <f>两日求解价格与决策!BH234</f>
        <v>24.000000 MW × 2.896728 × 0.250000 h = 17.380367 EUR</v>
      </c>
      <c r="BI42" s="1" t="str">
        <f>两日求解价格与决策!BI234</f>
        <v>零上调激活电量</v>
      </c>
      <c r="BJ42" s="1" t="str">
        <f>两日求解价格与决策!BJ234</f>
        <v>−(1.401051 MWh × 25.922474) = -36.318720 EUR</v>
      </c>
      <c r="BK42" s="1" t="str">
        <f>两日求解价格与决策!BK234</f>
        <v>175.393006 + 600.308730 + 40.718084 + 17.380367 + 0.000000 + -36.318720 = 797.481467 EUR</v>
      </c>
    </row>
    <row r="43" spans="1:63" ht="21" customHeight="1" x14ac:dyDescent="0.45">
      <c r="A43" s="13">
        <f>两日求解价格与决策!A235</f>
        <v>46236.354166666664</v>
      </c>
      <c r="B43" s="15">
        <f>两日求解价格与决策!B235</f>
        <v>136.11000000000001</v>
      </c>
      <c r="C43" s="15">
        <f>两日求解价格与决策!C235</f>
        <v>60.030873020410496</v>
      </c>
      <c r="D43" s="15">
        <f>两日求解价格与决策!D235</f>
        <v>6.7863472643073575</v>
      </c>
      <c r="E43" s="15">
        <f>两日求解价格与决策!E235</f>
        <v>2.8967278409848873</v>
      </c>
      <c r="F43" s="15">
        <f>两日求解价格与决策!F235</f>
        <v>0</v>
      </c>
      <c r="G43" s="15">
        <f>两日求解价格与决策!G235</f>
        <v>59.365387913784225</v>
      </c>
      <c r="H43" s="15" t="str">
        <f>两日求解价格与决策!H235</f>
        <v>未模拟</v>
      </c>
      <c r="I43" s="16">
        <f>两日求解价格与决策!I235</f>
        <v>31.73913043478256</v>
      </c>
      <c r="J43" s="16">
        <f>两日求解价格与决策!J235</f>
        <v>33.056107806211131</v>
      </c>
      <c r="K43" s="16">
        <f>两日求解价格与决策!K235</f>
        <v>0</v>
      </c>
      <c r="L43" s="16">
        <f>两日求解价格与决策!L235</f>
        <v>40</v>
      </c>
      <c r="M43" s="16">
        <f>两日求解价格与决策!M235</f>
        <v>24</v>
      </c>
      <c r="N43" s="16">
        <f>两日求解价格与决策!N235</f>
        <v>24</v>
      </c>
      <c r="O43" s="16">
        <f>两日求解价格与决策!O235</f>
        <v>0</v>
      </c>
      <c r="P43" s="16">
        <f>两日求解价格与决策!P235</f>
        <v>1.4314971428571428</v>
      </c>
      <c r="Q43" s="17">
        <f>两日求解价格与决策!Q235</f>
        <v>0</v>
      </c>
      <c r="R43" s="17">
        <f>两日求解价格与决策!R235</f>
        <v>600.3087302041049</v>
      </c>
      <c r="S43" s="17">
        <f>两日求解价格与决策!S235</f>
        <v>40.718083585844141</v>
      </c>
      <c r="T43" s="17">
        <f>两日求解价格与决策!T235</f>
        <v>17.380367045909324</v>
      </c>
      <c r="U43" s="17">
        <f>两日求解价格与决策!U235</f>
        <v>0</v>
      </c>
      <c r="V43" s="17">
        <f>两日求解价格与决策!V235</f>
        <v>-84.981383183188072</v>
      </c>
      <c r="W43" s="17">
        <f>两日求解价格与决策!W235</f>
        <v>573.42579765267033</v>
      </c>
      <c r="X43" s="12">
        <f>两日求解价格与决策!X235</f>
        <v>573.42579765267033</v>
      </c>
      <c r="Y43" s="19">
        <f>两日求解价格与决策!Y235</f>
        <v>0</v>
      </c>
      <c r="Z43" s="12" t="str">
        <f t="shared" si="1"/>
        <v>正式执行</v>
      </c>
      <c r="AA43" s="12">
        <f>两日求解价格与决策!AA235</f>
        <v>1</v>
      </c>
      <c r="AB43" s="12">
        <f>两日求解价格与决策!AB235</f>
        <v>1</v>
      </c>
      <c r="AC43" s="12">
        <f>两日求解价格与决策!AC235</f>
        <v>0.25</v>
      </c>
      <c r="AD43" s="18">
        <f>两日求解价格与决策!AD235</f>
        <v>0.3125</v>
      </c>
      <c r="AE43" s="18">
        <f>两日求解价格与决策!AE235</f>
        <v>0.13714285714285715</v>
      </c>
      <c r="AF43" s="18">
        <f>两日求解价格与决策!AF235</f>
        <v>0</v>
      </c>
      <c r="AG43" s="18">
        <f>两日求解价格与决策!AG235</f>
        <v>0.23858285714285715</v>
      </c>
      <c r="AH43" s="12">
        <f>两日求解价格与决策!AH235</f>
        <v>175</v>
      </c>
      <c r="AI43" s="12">
        <f>两日求解价格与决策!AI235</f>
        <v>175</v>
      </c>
      <c r="AJ43" s="12">
        <f>两日求解价格与决策!AJ235</f>
        <v>0</v>
      </c>
      <c r="AK43" s="12">
        <f>两日求解价格与决策!AK235</f>
        <v>10.438000000000001</v>
      </c>
      <c r="AL43" s="12">
        <f>两日求解价格与决策!AL235</f>
        <v>51.968000000000004</v>
      </c>
      <c r="AM43" s="12">
        <f>两日求解价格与决策!AM235</f>
        <v>3.6582704761904763E-3</v>
      </c>
      <c r="AN43" s="12">
        <f>两日求解价格与决策!AN235</f>
        <v>1.4314971428571428</v>
      </c>
      <c r="AO43" s="12">
        <f>两日求解价格与决策!AO235</f>
        <v>0</v>
      </c>
      <c r="AP43" s="12">
        <f>两日求解价格与决策!AP235</f>
        <v>33.056107806211131</v>
      </c>
      <c r="AQ43" s="19">
        <f>两日求解价格与决策!AQ235</f>
        <v>0</v>
      </c>
      <c r="AR43" s="12">
        <f>两日求解价格与决策!AR235</f>
        <v>5.2473000000000001</v>
      </c>
      <c r="AS43" s="14">
        <f>两日求解价格与决策!AS235</f>
        <v>46234</v>
      </c>
      <c r="AT43" s="13">
        <f>两日求解价格与决策!AT235</f>
        <v>46236.229166666664</v>
      </c>
      <c r="AU43" s="12" t="str">
        <f>两日求解价格与决策!AU235</f>
        <v>2026-08-02_31</v>
      </c>
      <c r="AV43" s="12">
        <f>两日求解价格与决策!AV235</f>
        <v>15</v>
      </c>
      <c r="AW43" s="12" t="str">
        <f>两日求解价格与决策!AW235</f>
        <v>OK</v>
      </c>
      <c r="AX43" s="12">
        <f>两日求解价格与决策!AX235</f>
        <v>128</v>
      </c>
      <c r="AY43" s="12">
        <f>两日求解价格与决策!AY235</f>
        <v>175</v>
      </c>
      <c r="AZ43" s="12">
        <f>两日求解价格与决策!AZ235</f>
        <v>175</v>
      </c>
      <c r="BA43" s="12">
        <f>两日求解价格与决策!BA235</f>
        <v>40</v>
      </c>
      <c r="BB43" s="12">
        <f>两日求解价格与决策!BB235</f>
        <v>24</v>
      </c>
      <c r="BC43" s="12">
        <f>两日求解价格与决策!BC235</f>
        <v>24</v>
      </c>
      <c r="BD43" s="14">
        <f>两日求解价格与决策!BD235</f>
        <v>46236</v>
      </c>
      <c r="BE43" s="1" t="str">
        <f>两日求解价格与决策!BE235</f>
        <v>零头寸，无结算现金</v>
      </c>
      <c r="BF43" s="1" t="str">
        <f>两日求解价格与决策!BF235</f>
        <v>40.000000 MW × 60.030873 × 0.250000 h = 600.308730 EUR</v>
      </c>
      <c r="BG43" s="1" t="str">
        <f>两日求解价格与决策!BG235</f>
        <v>24.000000 MW × 6.786347 × 0.250000 h = 40.718084 EUR</v>
      </c>
      <c r="BH43" s="1" t="str">
        <f>两日求解价格与决策!BH235</f>
        <v>24.000000 MW × 2.896728 × 0.250000 h = 17.380367 EUR</v>
      </c>
      <c r="BI43" s="1" t="str">
        <f>两日求解价格与决策!BI235</f>
        <v>零上调激活电量</v>
      </c>
      <c r="BJ43" s="1" t="str">
        <f>两日求解价格与决策!BJ235</f>
        <v>−(1.431497 MWh × 59.365388) = -84.981383 EUR</v>
      </c>
      <c r="BK43" s="1" t="str">
        <f>两日求解价格与决策!BK235</f>
        <v>0.000000 + 600.308730 + 40.718084 + 17.380367 + 0.000000 + -84.981383 = 573.425798 EUR</v>
      </c>
    </row>
    <row r="44" spans="1:63" ht="21" customHeight="1" x14ac:dyDescent="0.45">
      <c r="A44" s="13">
        <f>两日求解价格与决策!A236</f>
        <v>46236.364583333336</v>
      </c>
      <c r="B44" s="15">
        <f>两日求解价格与决策!B236</f>
        <v>122.32</v>
      </c>
      <c r="C44" s="15">
        <f>两日求解价格与决策!C236</f>
        <v>60.030873020410496</v>
      </c>
      <c r="D44" s="15">
        <f>两日求解价格与决策!D236</f>
        <v>6.7863472643073575</v>
      </c>
      <c r="E44" s="15">
        <f>两日求解价格与决策!E236</f>
        <v>2.8967278409848873</v>
      </c>
      <c r="F44" s="15">
        <f>两日求解价格与决策!F236</f>
        <v>0</v>
      </c>
      <c r="G44" s="15">
        <f>两日求解价格与决策!G236</f>
        <v>14.512415909134221</v>
      </c>
      <c r="H44" s="15" t="str">
        <f>两日求解价格与决策!H236</f>
        <v>未模拟</v>
      </c>
      <c r="I44" s="16">
        <f>两日求解价格与决策!I236</f>
        <v>33.056107806211131</v>
      </c>
      <c r="J44" s="16">
        <f>两日求解价格与决策!J236</f>
        <v>42.701763975155231</v>
      </c>
      <c r="K44" s="16">
        <f>两日求解价格与决策!K236</f>
        <v>-35.901155517148268</v>
      </c>
      <c r="L44" s="16">
        <f>两日求解价格与决策!L236</f>
        <v>40</v>
      </c>
      <c r="M44" s="16">
        <f>两日求解价格与决策!M236</f>
        <v>24</v>
      </c>
      <c r="N44" s="16">
        <f>两日求解价格与决策!N236</f>
        <v>24</v>
      </c>
      <c r="O44" s="16">
        <f>两日求解价格与决策!O236</f>
        <v>0</v>
      </c>
      <c r="P44" s="16">
        <f>两日求解价格与决策!P236</f>
        <v>1.5091199999999998</v>
      </c>
      <c r="Q44" s="17">
        <f>两日求解价格与决策!Q236</f>
        <v>-1097.8573357143939</v>
      </c>
      <c r="R44" s="17">
        <f>两日求解价格与决策!R236</f>
        <v>600.3087302041049</v>
      </c>
      <c r="S44" s="17">
        <f>两日求解价格与决策!S236</f>
        <v>40.718083585844141</v>
      </c>
      <c r="T44" s="17">
        <f>两日求解价格与决策!T236</f>
        <v>17.380367045909324</v>
      </c>
      <c r="U44" s="17">
        <f>两日求解价格与决策!U236</f>
        <v>0</v>
      </c>
      <c r="V44" s="17">
        <f>两日求解价格与决策!V236</f>
        <v>-21.900977096792634</v>
      </c>
      <c r="W44" s="17">
        <f>两日求解价格与决策!W236</f>
        <v>-461.35113197532814</v>
      </c>
      <c r="X44" s="12">
        <f>两日求解价格与决策!X236</f>
        <v>-461.3511319753282</v>
      </c>
      <c r="Y44" s="19">
        <f>两日求解价格与决策!Y236</f>
        <v>0</v>
      </c>
      <c r="Z44" s="12" t="str">
        <f t="shared" si="1"/>
        <v>正式执行</v>
      </c>
      <c r="AA44" s="12">
        <f>两日求解价格与决策!AA236</f>
        <v>1</v>
      </c>
      <c r="AB44" s="12">
        <f>两日求解价格与决策!AB236</f>
        <v>1</v>
      </c>
      <c r="AC44" s="12">
        <f>两日求解价格与决策!AC236</f>
        <v>0.25</v>
      </c>
      <c r="AD44" s="18">
        <f>两日求解价格与决策!AD236</f>
        <v>0.3125</v>
      </c>
      <c r="AE44" s="18">
        <f>两日求解价格与决策!AE236</f>
        <v>0.13714285714285715</v>
      </c>
      <c r="AF44" s="18">
        <f>两日求解价格与决策!AF236</f>
        <v>0</v>
      </c>
      <c r="AG44" s="18">
        <f>两日求解价格与决策!AG236</f>
        <v>0.25151999999999997</v>
      </c>
      <c r="AH44" s="12">
        <f>两日求解价格与决策!AH236</f>
        <v>175</v>
      </c>
      <c r="AI44" s="12">
        <f>两日求解价格与决策!AI236</f>
        <v>175</v>
      </c>
      <c r="AJ44" s="12">
        <f>两日求解价格与决策!AJ236</f>
        <v>0</v>
      </c>
      <c r="AK44" s="12">
        <f>两日求解价格与决策!AK236</f>
        <v>11.004</v>
      </c>
      <c r="AL44" s="12">
        <f>两日求解价格与决策!AL236</f>
        <v>51.968000000000004</v>
      </c>
      <c r="AM44" s="12">
        <f>两日求解价格与决策!AM236</f>
        <v>2.679348935817806E-2</v>
      </c>
      <c r="AN44" s="12">
        <f>两日求解价格与决策!AN236</f>
        <v>10.484408879287066</v>
      </c>
      <c r="AO44" s="12">
        <f>两日求解价格与决策!AO236</f>
        <v>0</v>
      </c>
      <c r="AP44" s="12">
        <f>两日求解价格与决策!AP236</f>
        <v>42.701763975155231</v>
      </c>
      <c r="AQ44" s="19">
        <f>两日求解价格与决策!AQ236</f>
        <v>0</v>
      </c>
      <c r="AR44" s="12">
        <f>两日求解价格与决策!AR236</f>
        <v>5.2473000000000001</v>
      </c>
      <c r="AS44" s="14">
        <f>两日求解价格与决策!AS236</f>
        <v>46234</v>
      </c>
      <c r="AT44" s="13">
        <f>两日求解价格与决策!AT236</f>
        <v>46236.239583333336</v>
      </c>
      <c r="AU44" s="12" t="str">
        <f>两日求解价格与决策!AU236</f>
        <v>2026-08-02_32</v>
      </c>
      <c r="AV44" s="12">
        <f>两日求解价格与决策!AV236</f>
        <v>15</v>
      </c>
      <c r="AW44" s="12" t="str">
        <f>两日求解价格与决策!AW236</f>
        <v>OK</v>
      </c>
      <c r="AX44" s="12">
        <f>两日求解价格与决策!AX236</f>
        <v>128</v>
      </c>
      <c r="AY44" s="12">
        <f>两日求解价格与决策!AY236</f>
        <v>175</v>
      </c>
      <c r="AZ44" s="12">
        <f>两日求解价格与决策!AZ236</f>
        <v>175</v>
      </c>
      <c r="BA44" s="12">
        <f>两日求解价格与决策!BA236</f>
        <v>40</v>
      </c>
      <c r="BB44" s="12">
        <f>两日求解价格与决策!BB236</f>
        <v>24</v>
      </c>
      <c r="BC44" s="12">
        <f>两日求解价格与决策!BC236</f>
        <v>24</v>
      </c>
      <c r="BD44" s="14">
        <f>两日求解价格与决策!BD236</f>
        <v>46236</v>
      </c>
      <c r="BE44" s="1" t="str">
        <f>两日求解价格与决策!BE236</f>
        <v>-35.901156 MW × 122.320000 × 0.250000 h = -1097.857336 EUR</v>
      </c>
      <c r="BF44" s="1" t="str">
        <f>两日求解价格与决策!BF236</f>
        <v>40.000000 MW × 60.030873 × 0.250000 h = 600.308730 EUR</v>
      </c>
      <c r="BG44" s="1" t="str">
        <f>两日求解价格与决策!BG236</f>
        <v>24.000000 MW × 6.786347 × 0.250000 h = 40.718084 EUR</v>
      </c>
      <c r="BH44" s="1" t="str">
        <f>两日求解价格与决策!BH236</f>
        <v>24.000000 MW × 2.896728 × 0.250000 h = 17.380367 EUR</v>
      </c>
      <c r="BI44" s="1" t="str">
        <f>两日求解价格与决策!BI236</f>
        <v>零上调激活电量</v>
      </c>
      <c r="BJ44" s="1" t="str">
        <f>两日求解价格与决策!BJ236</f>
        <v>−(1.509120 MWh × 14.512416) = -21.900977 EUR</v>
      </c>
      <c r="BK44" s="1" t="str">
        <f>两日求解价格与决策!BK236</f>
        <v>-1097.857336 + 600.308730 + 40.718084 + 17.380367 + 0.000000 + -21.900977 = -461.351132 EUR</v>
      </c>
    </row>
    <row r="45" spans="1:63" ht="21" customHeight="1" x14ac:dyDescent="0.45">
      <c r="A45" s="13">
        <f>两日求解价格与决策!A237</f>
        <v>46236.375</v>
      </c>
      <c r="B45" s="15">
        <f>两日求解价格与决策!B237</f>
        <v>152.74</v>
      </c>
      <c r="C45" s="15">
        <f>两日求解价格与决策!C237</f>
        <v>60.030873020410496</v>
      </c>
      <c r="D45" s="15">
        <f>两日求解价格与决策!D237</f>
        <v>7.2056105044499077</v>
      </c>
      <c r="E45" s="15">
        <f>两日求解价格与决策!E237</f>
        <v>2.4145751148209555</v>
      </c>
      <c r="F45" s="15">
        <f>两日求解价格与决策!F237</f>
        <v>161.45350942389419</v>
      </c>
      <c r="G45" s="15">
        <f>两日求解价格与决策!G237</f>
        <v>5.8104167857755415</v>
      </c>
      <c r="H45" s="15" t="str">
        <f>两日求解价格与决策!H237</f>
        <v>未模拟</v>
      </c>
      <c r="I45" s="16">
        <f>两日求解价格与决策!I237</f>
        <v>42.701763975155231</v>
      </c>
      <c r="J45" s="16">
        <f>两日求解价格与决策!J237</f>
        <v>32.874434782608645</v>
      </c>
      <c r="K45" s="16">
        <f>两日求解价格与决策!K237</f>
        <v>36</v>
      </c>
      <c r="L45" s="16">
        <f>两日求解价格与决策!L237</f>
        <v>40</v>
      </c>
      <c r="M45" s="16">
        <f>两日求解价格与决策!M237</f>
        <v>24</v>
      </c>
      <c r="N45" s="16">
        <f>两日求解价格与决策!N237</f>
        <v>24</v>
      </c>
      <c r="O45" s="16">
        <f>两日求解价格与决策!O237</f>
        <v>0.46505142857142856</v>
      </c>
      <c r="P45" s="16">
        <f>两日求解价格与决策!P237</f>
        <v>0.42390857142857141</v>
      </c>
      <c r="Q45" s="17">
        <f>两日求解价格与决策!Q237</f>
        <v>1374.66</v>
      </c>
      <c r="R45" s="17">
        <f>两日求解价格与决策!R237</f>
        <v>600.3087302041049</v>
      </c>
      <c r="S45" s="17">
        <f>两日求解价格与决策!S237</f>
        <v>43.233663026699446</v>
      </c>
      <c r="T45" s="17">
        <f>两日求解价格与决策!T237</f>
        <v>14.487450688925733</v>
      </c>
      <c r="U45" s="17">
        <f>两日求解价格与决策!U237</f>
        <v>75.084185205452599</v>
      </c>
      <c r="V45" s="17">
        <f>两日求解价格与决策!V237</f>
        <v>-2.4630854790627015</v>
      </c>
      <c r="W45" s="17">
        <f>两日求解价格与决策!W237</f>
        <v>2105.31094364612</v>
      </c>
      <c r="X45" s="12">
        <f>两日求解价格与决策!X237</f>
        <v>2105.31094364612</v>
      </c>
      <c r="Y45" s="19">
        <f>两日求解价格与决策!Y237</f>
        <v>0</v>
      </c>
      <c r="Z45" s="12" t="str">
        <f t="shared" si="1"/>
        <v>正式执行</v>
      </c>
      <c r="AA45" s="12">
        <f>两日求解价格与决策!AA237</f>
        <v>1</v>
      </c>
      <c r="AB45" s="12">
        <f>两日求解价格与决策!AB237</f>
        <v>1</v>
      </c>
      <c r="AC45" s="12">
        <f>两日求解价格与决策!AC237</f>
        <v>0.25</v>
      </c>
      <c r="AD45" s="18">
        <f>两日求解价格与决策!AD237</f>
        <v>0.3125</v>
      </c>
      <c r="AE45" s="18">
        <f>两日求解价格与决策!AE237</f>
        <v>0.13714285714285715</v>
      </c>
      <c r="AF45" s="18">
        <f>两日求解价格与决策!AF237</f>
        <v>7.7508571428571427E-2</v>
      </c>
      <c r="AG45" s="18">
        <f>两日求解价格与决策!AG237</f>
        <v>7.0651428571428573E-2</v>
      </c>
      <c r="AH45" s="12">
        <f>两日求解价格与决策!AH237</f>
        <v>175</v>
      </c>
      <c r="AI45" s="12">
        <f>两日求解价格与决策!AI237</f>
        <v>175</v>
      </c>
      <c r="AJ45" s="12">
        <f>两日求解价格与决策!AJ237</f>
        <v>3.391</v>
      </c>
      <c r="AK45" s="12">
        <f>两日求解价格与决策!AK237</f>
        <v>3.0910000000000002</v>
      </c>
      <c r="AL45" s="12">
        <f>两日求解价格与决策!AL237</f>
        <v>51.968000000000004</v>
      </c>
      <c r="AM45" s="12">
        <f>两日求解价格与决策!AM237</f>
        <v>2.7298136645962728E-2</v>
      </c>
      <c r="AN45" s="12">
        <f>两日求解价格与决策!AN237</f>
        <v>0</v>
      </c>
      <c r="AO45" s="12">
        <f>两日求解价格与决策!AO237</f>
        <v>9.0411428571428569</v>
      </c>
      <c r="AP45" s="12">
        <f>两日求解价格与决策!AP237</f>
        <v>32.874434782608645</v>
      </c>
      <c r="AQ45" s="19">
        <f>两日求解价格与决策!AQ237</f>
        <v>0</v>
      </c>
      <c r="AR45" s="12">
        <f>两日求解价格与决策!AR237</f>
        <v>5.2473000000000001</v>
      </c>
      <c r="AS45" s="14">
        <f>两日求解价格与决策!AS237</f>
        <v>46234</v>
      </c>
      <c r="AT45" s="13">
        <f>两日求解价格与决策!AT237</f>
        <v>46236.25</v>
      </c>
      <c r="AU45" s="12" t="str">
        <f>两日求解价格与决策!AU237</f>
        <v>2026-08-02_33</v>
      </c>
      <c r="AV45" s="12">
        <f>两日求解价格与决策!AV237</f>
        <v>15</v>
      </c>
      <c r="AW45" s="12" t="str">
        <f>两日求解价格与决策!AW237</f>
        <v>OK</v>
      </c>
      <c r="AX45" s="12">
        <f>两日求解价格与决策!AX237</f>
        <v>128</v>
      </c>
      <c r="AY45" s="12">
        <f>两日求解价格与决策!AY237</f>
        <v>175</v>
      </c>
      <c r="AZ45" s="12">
        <f>两日求解价格与决策!AZ237</f>
        <v>175</v>
      </c>
      <c r="BA45" s="12">
        <f>两日求解价格与决策!BA237</f>
        <v>40</v>
      </c>
      <c r="BB45" s="12">
        <f>两日求解价格与决策!BB237</f>
        <v>24</v>
      </c>
      <c r="BC45" s="12">
        <f>两日求解价格与决策!BC237</f>
        <v>24</v>
      </c>
      <c r="BD45" s="14">
        <f>两日求解价格与决策!BD237</f>
        <v>46236</v>
      </c>
      <c r="BE45" s="1" t="str">
        <f>两日求解价格与决策!BE237</f>
        <v>36.000000 MW × 152.740000 × 0.250000 h = 1374.660000 EUR</v>
      </c>
      <c r="BF45" s="1" t="str">
        <f>两日求解价格与决策!BF237</f>
        <v>40.000000 MW × 60.030873 × 0.250000 h = 600.308730 EUR</v>
      </c>
      <c r="BG45" s="1" t="str">
        <f>两日求解价格与决策!BG237</f>
        <v>24.000000 MW × 7.205611 × 0.250000 h = 43.233663 EUR</v>
      </c>
      <c r="BH45" s="1" t="str">
        <f>两日求解价格与决策!BH237</f>
        <v>24.000000 MW × 2.414575 × 0.250000 h = 14.487451 EUR</v>
      </c>
      <c r="BI45" s="1" t="str">
        <f>两日求解价格与决策!BI237</f>
        <v>0.465051 MWh × 161.453509 = 75.084185 EUR</v>
      </c>
      <c r="BJ45" s="1" t="str">
        <f>两日求解价格与决策!BJ237</f>
        <v>−(0.423909 MWh × 5.810417) = -2.463085 EUR</v>
      </c>
      <c r="BK45" s="1" t="str">
        <f>两日求解价格与决策!BK237</f>
        <v>1374.660000 + 600.308730 + 43.233663 + 14.487451 + 75.084185 + -2.463085 = 2105.310944 EUR</v>
      </c>
    </row>
    <row r="46" spans="1:63" ht="21" customHeight="1" x14ac:dyDescent="0.45">
      <c r="A46" s="13">
        <f>两日求解价格与决策!A238</f>
        <v>46236.385416666664</v>
      </c>
      <c r="B46" s="15">
        <f>两日求解价格与决策!B238</f>
        <v>130.33000000000001</v>
      </c>
      <c r="C46" s="15">
        <f>两日求解价格与决策!C238</f>
        <v>60.030873020410496</v>
      </c>
      <c r="D46" s="15">
        <f>两日求解价格与决策!D238</f>
        <v>7.2056105044499077</v>
      </c>
      <c r="E46" s="15">
        <f>两日求解价格与决策!E238</f>
        <v>2.4145751148209555</v>
      </c>
      <c r="F46" s="15">
        <f>两日求解价格与决策!F238</f>
        <v>146.39833819297544</v>
      </c>
      <c r="G46" s="15">
        <f>两日求解价格与决策!G238</f>
        <v>0</v>
      </c>
      <c r="H46" s="15" t="str">
        <f>两日求解价格与决策!H238</f>
        <v>未模拟</v>
      </c>
      <c r="I46" s="16">
        <f>两日求解价格与决策!I238</f>
        <v>32.874434782608645</v>
      </c>
      <c r="J46" s="16">
        <f>两日求解价格与决策!J238</f>
        <v>32.456894409937838</v>
      </c>
      <c r="K46" s="16">
        <f>两日求解价格与决策!K238</f>
        <v>0</v>
      </c>
      <c r="L46" s="16">
        <f>两日求解价格与决策!L238</f>
        <v>40</v>
      </c>
      <c r="M46" s="16">
        <f>两日求解价格与决策!M238</f>
        <v>24</v>
      </c>
      <c r="N46" s="16">
        <f>两日求解价格与决策!N238</f>
        <v>24</v>
      </c>
      <c r="O46" s="16">
        <f>两日求解价格与决策!O238</f>
        <v>0.38413714285714284</v>
      </c>
      <c r="P46" s="16">
        <f>两日求解价格与决策!P238</f>
        <v>0</v>
      </c>
      <c r="Q46" s="17">
        <f>两日求解价格与决策!Q238</f>
        <v>0</v>
      </c>
      <c r="R46" s="17">
        <f>两日求解价格与决策!R238</f>
        <v>600.3087302041049</v>
      </c>
      <c r="S46" s="17">
        <f>两日求解价格与决策!S238</f>
        <v>43.233663026699446</v>
      </c>
      <c r="T46" s="17">
        <f>两日求解价格与决策!T238</f>
        <v>14.487450688925733</v>
      </c>
      <c r="U46" s="17">
        <f>两日求解价格与决策!U238</f>
        <v>56.237039352483322</v>
      </c>
      <c r="V46" s="17">
        <f>两日求解价格与决策!V238</f>
        <v>0</v>
      </c>
      <c r="W46" s="17">
        <f>两日求解价格与决策!W238</f>
        <v>714.26688327221336</v>
      </c>
      <c r="X46" s="12">
        <f>两日求解价格与决策!X238</f>
        <v>714.26688327221336</v>
      </c>
      <c r="Y46" s="19">
        <f>两日求解价格与决策!Y238</f>
        <v>0</v>
      </c>
      <c r="Z46" s="12" t="str">
        <f t="shared" si="1"/>
        <v>正式执行</v>
      </c>
      <c r="AA46" s="12">
        <f>两日求解价格与决策!AA238</f>
        <v>1</v>
      </c>
      <c r="AB46" s="12">
        <f>两日求解价格与决策!AB238</f>
        <v>1</v>
      </c>
      <c r="AC46" s="12">
        <f>两日求解价格与决策!AC238</f>
        <v>0.25</v>
      </c>
      <c r="AD46" s="18">
        <f>两日求解价格与决策!AD238</f>
        <v>0.3125</v>
      </c>
      <c r="AE46" s="18">
        <f>两日求解价格与决策!AE238</f>
        <v>0.13714285714285715</v>
      </c>
      <c r="AF46" s="18">
        <f>两日求解价格与决策!AF238</f>
        <v>6.4022857142857145E-2</v>
      </c>
      <c r="AG46" s="18">
        <f>两日求解价格与决策!AG238</f>
        <v>0</v>
      </c>
      <c r="AH46" s="12">
        <f>两日求解价格与决策!AH238</f>
        <v>175</v>
      </c>
      <c r="AI46" s="12">
        <f>两日求解价格与决策!AI238</f>
        <v>175</v>
      </c>
      <c r="AJ46" s="12">
        <f>两日求解价格与决策!AJ238</f>
        <v>2.8010000000000002</v>
      </c>
      <c r="AK46" s="12">
        <f>两日求解价格与决策!AK238</f>
        <v>0</v>
      </c>
      <c r="AL46" s="12">
        <f>两日求解价格与决策!AL238</f>
        <v>51.968000000000004</v>
      </c>
      <c r="AM46" s="12">
        <f>两日求解价格与决策!AM238</f>
        <v>1.1598343685300207E-3</v>
      </c>
      <c r="AN46" s="12">
        <f>两日求解价格与决策!AN238</f>
        <v>0</v>
      </c>
      <c r="AO46" s="12">
        <f>两日求解价格与决策!AO238</f>
        <v>0.38413714285714284</v>
      </c>
      <c r="AP46" s="12">
        <f>两日求解价格与决策!AP238</f>
        <v>32.456894409937838</v>
      </c>
      <c r="AQ46" s="19">
        <f>两日求解价格与决策!AQ238</f>
        <v>0</v>
      </c>
      <c r="AR46" s="12">
        <f>两日求解价格与决策!AR238</f>
        <v>5.2473000000000001</v>
      </c>
      <c r="AS46" s="14">
        <f>两日求解价格与决策!AS238</f>
        <v>46234</v>
      </c>
      <c r="AT46" s="13">
        <f>两日求解价格与决策!AT238</f>
        <v>46236.260416666664</v>
      </c>
      <c r="AU46" s="12" t="str">
        <f>两日求解价格与决策!AU238</f>
        <v>2026-08-02_34</v>
      </c>
      <c r="AV46" s="12">
        <f>两日求解价格与决策!AV238</f>
        <v>15</v>
      </c>
      <c r="AW46" s="12" t="str">
        <f>两日求解价格与决策!AW238</f>
        <v>OK</v>
      </c>
      <c r="AX46" s="12">
        <f>两日求解价格与决策!AX238</f>
        <v>128</v>
      </c>
      <c r="AY46" s="12">
        <f>两日求解价格与决策!AY238</f>
        <v>175</v>
      </c>
      <c r="AZ46" s="12">
        <f>两日求解价格与决策!AZ238</f>
        <v>175</v>
      </c>
      <c r="BA46" s="12">
        <f>两日求解价格与决策!BA238</f>
        <v>40</v>
      </c>
      <c r="BB46" s="12">
        <f>两日求解价格与决策!BB238</f>
        <v>24</v>
      </c>
      <c r="BC46" s="12">
        <f>两日求解价格与决策!BC238</f>
        <v>24</v>
      </c>
      <c r="BD46" s="14">
        <f>两日求解价格与决策!BD238</f>
        <v>46236</v>
      </c>
      <c r="BE46" s="1" t="str">
        <f>两日求解价格与决策!BE238</f>
        <v>零头寸，无结算现金</v>
      </c>
      <c r="BF46" s="1" t="str">
        <f>两日求解价格与决策!BF238</f>
        <v>40.000000 MW × 60.030873 × 0.250000 h = 600.308730 EUR</v>
      </c>
      <c r="BG46" s="1" t="str">
        <f>两日求解价格与决策!BG238</f>
        <v>24.000000 MW × 7.205611 × 0.250000 h = 43.233663 EUR</v>
      </c>
      <c r="BH46" s="1" t="str">
        <f>两日求解价格与决策!BH238</f>
        <v>24.000000 MW × 2.414575 × 0.250000 h = 14.487451 EUR</v>
      </c>
      <c r="BI46" s="1" t="str">
        <f>两日求解价格与决策!BI238</f>
        <v>0.384137 MWh × 146.398338 = 56.237039 EUR</v>
      </c>
      <c r="BJ46" s="1" t="str">
        <f>两日求解价格与决策!BJ238</f>
        <v>零下调激活电量</v>
      </c>
      <c r="BK46" s="1" t="str">
        <f>两日求解价格与决策!BK238</f>
        <v>0.000000 + 600.308730 + 43.233663 + 14.487451 + 56.237039 + 0.000000 = 714.266883 EUR</v>
      </c>
    </row>
    <row r="47" spans="1:63" ht="21" customHeight="1" x14ac:dyDescent="0.45">
      <c r="A47" s="13">
        <f>两日求解价格与决策!A239</f>
        <v>46236.395833333336</v>
      </c>
      <c r="B47" s="15">
        <f>两日求解价格与决策!B239</f>
        <v>112.43</v>
      </c>
      <c r="C47" s="15">
        <f>两日求解价格与决策!C239</f>
        <v>60.030873020410496</v>
      </c>
      <c r="D47" s="15">
        <f>两日求解价格与决策!D239</f>
        <v>7.2056105044499077</v>
      </c>
      <c r="E47" s="15">
        <f>两日求解价格与决策!E239</f>
        <v>2.4145751148209555</v>
      </c>
      <c r="F47" s="15">
        <f>两日求解价格与决策!F239</f>
        <v>150.6565281192232</v>
      </c>
      <c r="G47" s="15">
        <f>两日求解价格与决策!G239</f>
        <v>0</v>
      </c>
      <c r="H47" s="15" t="str">
        <f>两日求解价格与决策!H239</f>
        <v>未模拟</v>
      </c>
      <c r="I47" s="16">
        <f>两日求解价格与决策!I239</f>
        <v>32.456894409937838</v>
      </c>
      <c r="J47" s="16">
        <f>两日求解价格与决策!J239</f>
        <v>31.73913043478256</v>
      </c>
      <c r="K47" s="16">
        <f>两日求解价格与决策!K239</f>
        <v>0</v>
      </c>
      <c r="L47" s="16">
        <f>两日求解价格与决策!L239</f>
        <v>40</v>
      </c>
      <c r="M47" s="16">
        <f>两日求解价格与决策!M239</f>
        <v>24</v>
      </c>
      <c r="N47" s="16">
        <f>两日求解价格与决策!N239</f>
        <v>24</v>
      </c>
      <c r="O47" s="16">
        <f>两日求解价格与决策!O239</f>
        <v>0.66034285714285723</v>
      </c>
      <c r="P47" s="16">
        <f>两日求解价格与决策!P239</f>
        <v>0</v>
      </c>
      <c r="Q47" s="17">
        <f>两日求解价格与决策!Q239</f>
        <v>0</v>
      </c>
      <c r="R47" s="17">
        <f>两日求解价格与决策!R239</f>
        <v>600.3087302041049</v>
      </c>
      <c r="S47" s="17">
        <f>两日求解价格与决策!S239</f>
        <v>43.233663026699446</v>
      </c>
      <c r="T47" s="17">
        <f>两日求解价格与决策!T239</f>
        <v>14.487450688925733</v>
      </c>
      <c r="U47" s="17">
        <f>两日求解价格与决策!U239</f>
        <v>99.484962225471051</v>
      </c>
      <c r="V47" s="17">
        <f>两日求解价格与决策!V239</f>
        <v>0</v>
      </c>
      <c r="W47" s="17">
        <f>两日求解价格与决策!W239</f>
        <v>757.51480614520108</v>
      </c>
      <c r="X47" s="12">
        <f>两日求解价格与决策!X239</f>
        <v>757.51480614520119</v>
      </c>
      <c r="Y47" s="19">
        <f>两日求解价格与决策!Y239</f>
        <v>0</v>
      </c>
      <c r="Z47" s="12" t="str">
        <f t="shared" si="1"/>
        <v>正式执行</v>
      </c>
      <c r="AA47" s="12">
        <f>两日求解价格与决策!AA239</f>
        <v>1</v>
      </c>
      <c r="AB47" s="12">
        <f>两日求解价格与决策!AB239</f>
        <v>1</v>
      </c>
      <c r="AC47" s="12">
        <f>两日求解价格与决策!AC239</f>
        <v>0.25</v>
      </c>
      <c r="AD47" s="18">
        <f>两日求解价格与决策!AD239</f>
        <v>0.3125</v>
      </c>
      <c r="AE47" s="18">
        <f>两日求解价格与决策!AE239</f>
        <v>0.13714285714285715</v>
      </c>
      <c r="AF47" s="18">
        <f>两日求解价格与决策!AF239</f>
        <v>0.11005714285714287</v>
      </c>
      <c r="AG47" s="18">
        <f>两日求解价格与决策!AG239</f>
        <v>0</v>
      </c>
      <c r="AH47" s="12">
        <f>两日求解价格与决策!AH239</f>
        <v>175</v>
      </c>
      <c r="AI47" s="12">
        <f>两日求解价格与决策!AI239</f>
        <v>175</v>
      </c>
      <c r="AJ47" s="12">
        <f>两日求解价格与决策!AJ239</f>
        <v>4.8150000000000004</v>
      </c>
      <c r="AK47" s="12">
        <f>两日求解价格与决策!AK239</f>
        <v>0</v>
      </c>
      <c r="AL47" s="12">
        <f>两日求解价格与决策!AL239</f>
        <v>51.968000000000004</v>
      </c>
      <c r="AM47" s="12">
        <f>两日求解价格与决策!AM239</f>
        <v>1.9937888198757765E-3</v>
      </c>
      <c r="AN47" s="12">
        <f>两日求解价格与决策!AN239</f>
        <v>0</v>
      </c>
      <c r="AO47" s="12">
        <f>两日求解价格与决策!AO239</f>
        <v>0.66034285714285723</v>
      </c>
      <c r="AP47" s="12">
        <f>两日求解价格与决策!AP239</f>
        <v>31.73913043478256</v>
      </c>
      <c r="AQ47" s="19">
        <f>两日求解价格与决策!AQ239</f>
        <v>0</v>
      </c>
      <c r="AR47" s="12">
        <f>两日求解价格与决策!AR239</f>
        <v>5.2473000000000001</v>
      </c>
      <c r="AS47" s="14">
        <f>两日求解价格与决策!AS239</f>
        <v>46234</v>
      </c>
      <c r="AT47" s="13">
        <f>两日求解价格与决策!AT239</f>
        <v>46236.270833333336</v>
      </c>
      <c r="AU47" s="12" t="str">
        <f>两日求解价格与决策!AU239</f>
        <v>2026-08-02_35</v>
      </c>
      <c r="AV47" s="12">
        <f>两日求解价格与决策!AV239</f>
        <v>15</v>
      </c>
      <c r="AW47" s="12" t="str">
        <f>两日求解价格与决策!AW239</f>
        <v>OK</v>
      </c>
      <c r="AX47" s="12">
        <f>两日求解价格与决策!AX239</f>
        <v>128</v>
      </c>
      <c r="AY47" s="12">
        <f>两日求解价格与决策!AY239</f>
        <v>175</v>
      </c>
      <c r="AZ47" s="12">
        <f>两日求解价格与决策!AZ239</f>
        <v>175</v>
      </c>
      <c r="BA47" s="12">
        <f>两日求解价格与决策!BA239</f>
        <v>40</v>
      </c>
      <c r="BB47" s="12">
        <f>两日求解价格与决策!BB239</f>
        <v>24</v>
      </c>
      <c r="BC47" s="12">
        <f>两日求解价格与决策!BC239</f>
        <v>24</v>
      </c>
      <c r="BD47" s="14">
        <f>两日求解价格与决策!BD239</f>
        <v>46236</v>
      </c>
      <c r="BE47" s="1" t="str">
        <f>两日求解价格与决策!BE239</f>
        <v>零头寸，无结算现金</v>
      </c>
      <c r="BF47" s="1" t="str">
        <f>两日求解价格与决策!BF239</f>
        <v>40.000000 MW × 60.030873 × 0.250000 h = 600.308730 EUR</v>
      </c>
      <c r="BG47" s="1" t="str">
        <f>两日求解价格与决策!BG239</f>
        <v>24.000000 MW × 7.205611 × 0.250000 h = 43.233663 EUR</v>
      </c>
      <c r="BH47" s="1" t="str">
        <f>两日求解价格与决策!BH239</f>
        <v>24.000000 MW × 2.414575 × 0.250000 h = 14.487451 EUR</v>
      </c>
      <c r="BI47" s="1" t="str">
        <f>两日求解价格与决策!BI239</f>
        <v>0.660343 MWh × 150.656528 = 99.484962 EUR</v>
      </c>
      <c r="BJ47" s="1" t="str">
        <f>两日求解价格与决策!BJ239</f>
        <v>零下调激活电量</v>
      </c>
      <c r="BK47" s="1" t="str">
        <f>两日求解价格与决策!BK239</f>
        <v>0.000000 + 600.308730 + 43.233663 + 14.487451 + 99.484962 + 0.000000 = 757.514806 EUR</v>
      </c>
    </row>
    <row r="48" spans="1:63" ht="21" customHeight="1" x14ac:dyDescent="0.45">
      <c r="A48" s="13">
        <f>两日求解价格与决策!A240</f>
        <v>46236.40625</v>
      </c>
      <c r="B48" s="15">
        <f>两日求解价格与决策!B240</f>
        <v>93.22</v>
      </c>
      <c r="C48" s="15">
        <f>两日求解价格与决策!C240</f>
        <v>60.030873020410496</v>
      </c>
      <c r="D48" s="15">
        <f>两日求解价格与决策!D240</f>
        <v>7.2056105044499077</v>
      </c>
      <c r="E48" s="15">
        <f>两日求解价格与决策!E240</f>
        <v>2.4145751148209555</v>
      </c>
      <c r="F48" s="15">
        <f>两日求解价格与决策!F240</f>
        <v>133.21136584529185</v>
      </c>
      <c r="G48" s="15">
        <f>两日求解价格与决策!G240</f>
        <v>-13.616717168829682</v>
      </c>
      <c r="H48" s="15" t="str">
        <f>两日求解价格与决策!H240</f>
        <v>未模拟</v>
      </c>
      <c r="I48" s="16">
        <f>两日求解价格与决策!I240</f>
        <v>31.73913043478256</v>
      </c>
      <c r="J48" s="16">
        <f>两日求解价格与决策!J240</f>
        <v>33.209540849689382</v>
      </c>
      <c r="K48" s="16">
        <f>两日求解价格与决策!K240</f>
        <v>-4.3099808451626211</v>
      </c>
      <c r="L48" s="16">
        <f>两日求解价格与决策!L240</f>
        <v>40</v>
      </c>
      <c r="M48" s="16">
        <f>两日求解价格与决策!M240</f>
        <v>24</v>
      </c>
      <c r="N48" s="16">
        <f>两日求解价格与决策!N240</f>
        <v>24</v>
      </c>
      <c r="O48" s="16">
        <f>两日求解价格与决策!O240</f>
        <v>3.4697142857142857E-2</v>
      </c>
      <c r="P48" s="16">
        <f>两日求解价格与决策!P240</f>
        <v>0.56064000000000003</v>
      </c>
      <c r="Q48" s="17">
        <f>两日求解价格与决策!Q240</f>
        <v>-100.44410359651488</v>
      </c>
      <c r="R48" s="17">
        <f>两日求解价格与决策!R240</f>
        <v>600.3087302041049</v>
      </c>
      <c r="S48" s="17">
        <f>两日求解价格与决策!S240</f>
        <v>43.233663026699446</v>
      </c>
      <c r="T48" s="17">
        <f>两日求解价格与决策!T240</f>
        <v>14.487450688925733</v>
      </c>
      <c r="U48" s="17">
        <f>两日求解价格与决策!U240</f>
        <v>4.6220537909292121</v>
      </c>
      <c r="V48" s="17">
        <f>两日求解价格与决策!V240</f>
        <v>7.634076313532673</v>
      </c>
      <c r="W48" s="17">
        <f>两日求解价格与决策!W240</f>
        <v>569.84187042767701</v>
      </c>
      <c r="X48" s="12">
        <f>两日求解价格与决策!X240</f>
        <v>569.84187042767712</v>
      </c>
      <c r="Y48" s="19">
        <f>两日求解价格与决策!Y240</f>
        <v>0</v>
      </c>
      <c r="Z48" s="12" t="str">
        <f t="shared" si="1"/>
        <v>正式执行</v>
      </c>
      <c r="AA48" s="12">
        <f>两日求解价格与决策!AA240</f>
        <v>1</v>
      </c>
      <c r="AB48" s="12">
        <f>两日求解价格与决策!AB240</f>
        <v>1</v>
      </c>
      <c r="AC48" s="12">
        <f>两日求解价格与决策!AC240</f>
        <v>0.25</v>
      </c>
      <c r="AD48" s="18">
        <f>两日求解价格与决策!AD240</f>
        <v>0.3125</v>
      </c>
      <c r="AE48" s="18">
        <f>两日求解价格与决策!AE240</f>
        <v>0.13714285714285715</v>
      </c>
      <c r="AF48" s="18">
        <f>两日求解价格与决策!AF240</f>
        <v>5.7828571428571425E-3</v>
      </c>
      <c r="AG48" s="18">
        <f>两日求解价格与决策!AG240</f>
        <v>9.3439999999999995E-2</v>
      </c>
      <c r="AH48" s="12">
        <f>两日求解价格与决策!AH240</f>
        <v>175</v>
      </c>
      <c r="AI48" s="12">
        <f>两日求解价格与决策!AI240</f>
        <v>175</v>
      </c>
      <c r="AJ48" s="12">
        <f>两日求解价格与决策!AJ240</f>
        <v>0.253</v>
      </c>
      <c r="AK48" s="12">
        <f>两日求解价格与决策!AK240</f>
        <v>4.0880000000000001</v>
      </c>
      <c r="AL48" s="12">
        <f>两日求解价格与决策!AL240</f>
        <v>51.968000000000004</v>
      </c>
      <c r="AM48" s="12">
        <f>两日求解价格与决策!AM240</f>
        <v>4.2563703673627893E-3</v>
      </c>
      <c r="AN48" s="12">
        <f>两日求解价格与决策!AN240</f>
        <v>1.6319042104116488</v>
      </c>
      <c r="AO48" s="12">
        <f>两日求解价格与决策!AO240</f>
        <v>2.8466141978136326E-2</v>
      </c>
      <c r="AP48" s="12">
        <f>两日求解价格与决策!AP240</f>
        <v>33.209540849689382</v>
      </c>
      <c r="AQ48" s="19">
        <f>两日求解价格与决策!AQ240</f>
        <v>0</v>
      </c>
      <c r="AR48" s="12">
        <f>两日求解价格与决策!AR240</f>
        <v>5.2473000000000001</v>
      </c>
      <c r="AS48" s="14">
        <f>两日求解价格与决策!AS240</f>
        <v>46234</v>
      </c>
      <c r="AT48" s="13">
        <f>两日求解价格与决策!AT240</f>
        <v>46236.28125</v>
      </c>
      <c r="AU48" s="12" t="str">
        <f>两日求解价格与决策!AU240</f>
        <v>2026-08-02_36</v>
      </c>
      <c r="AV48" s="12">
        <f>两日求解价格与决策!AV240</f>
        <v>15</v>
      </c>
      <c r="AW48" s="12" t="str">
        <f>两日求解价格与决策!AW240</f>
        <v>OK</v>
      </c>
      <c r="AX48" s="12">
        <f>两日求解价格与决策!AX240</f>
        <v>128</v>
      </c>
      <c r="AY48" s="12">
        <f>两日求解价格与决策!AY240</f>
        <v>175</v>
      </c>
      <c r="AZ48" s="12">
        <f>两日求解价格与决策!AZ240</f>
        <v>175</v>
      </c>
      <c r="BA48" s="12">
        <f>两日求解价格与决策!BA240</f>
        <v>40</v>
      </c>
      <c r="BB48" s="12">
        <f>两日求解价格与决策!BB240</f>
        <v>24</v>
      </c>
      <c r="BC48" s="12">
        <f>两日求解价格与决策!BC240</f>
        <v>24</v>
      </c>
      <c r="BD48" s="14">
        <f>两日求解价格与决策!BD240</f>
        <v>46236</v>
      </c>
      <c r="BE48" s="1" t="str">
        <f>两日求解价格与决策!BE240</f>
        <v>-4.309981 MW × 93.220000 × 0.250000 h = -100.444104 EUR</v>
      </c>
      <c r="BF48" s="1" t="str">
        <f>两日求解价格与决策!BF240</f>
        <v>40.000000 MW × 60.030873 × 0.250000 h = 600.308730 EUR</v>
      </c>
      <c r="BG48" s="1" t="str">
        <f>两日求解价格与决策!BG240</f>
        <v>24.000000 MW × 7.205611 × 0.250000 h = 43.233663 EUR</v>
      </c>
      <c r="BH48" s="1" t="str">
        <f>两日求解价格与决策!BH240</f>
        <v>24.000000 MW × 2.414575 × 0.250000 h = 14.487451 EUR</v>
      </c>
      <c r="BI48" s="1" t="str">
        <f>两日求解价格与决策!BI240</f>
        <v>0.034697 MWh × 133.211366 = 4.622054 EUR</v>
      </c>
      <c r="BJ48" s="1" t="str">
        <f>两日求解价格与决策!BJ240</f>
        <v>−(0.560640 MWh × -13.616717) = 7.634076 EUR</v>
      </c>
      <c r="BK48" s="1" t="str">
        <f>两日求解价格与决策!BK240</f>
        <v>-100.444104 + 600.308730 + 43.233663 + 14.487451 + 4.622054 + 7.634076 = 569.841870 EUR</v>
      </c>
    </row>
    <row r="49" spans="1:63" ht="21" customHeight="1" x14ac:dyDescent="0.45">
      <c r="A49" s="13">
        <f>两日求解价格与决策!A241</f>
        <v>46236.416666666664</v>
      </c>
      <c r="B49" s="15">
        <f>两日求解价格与决策!B241</f>
        <v>104.9</v>
      </c>
      <c r="C49" s="15">
        <f>两日求解价格与决策!C241</f>
        <v>66.224534522516336</v>
      </c>
      <c r="D49" s="15">
        <f>两日求解价格与决策!D241</f>
        <v>5.5304632858803577</v>
      </c>
      <c r="E49" s="15">
        <f>两日求解价格与决策!E241</f>
        <v>3.0015436510205249</v>
      </c>
      <c r="F49" s="15">
        <f>两日求解价格与决策!F241</f>
        <v>147.75255845863586</v>
      </c>
      <c r="G49" s="15">
        <f>两日求解价格与决策!G241</f>
        <v>-14.510891315533703</v>
      </c>
      <c r="H49" s="15" t="str">
        <f>两日求解价格与决策!H241</f>
        <v>未模拟</v>
      </c>
      <c r="I49" s="16">
        <f>两日求解价格与决策!I241</f>
        <v>33.209540849689382</v>
      </c>
      <c r="J49" s="16">
        <f>两日求解价格与决策!J241</f>
        <v>31.862898166459566</v>
      </c>
      <c r="K49" s="16">
        <f>两日求解价格与决策!K241</f>
        <v>0</v>
      </c>
      <c r="L49" s="16">
        <f>两日求解价格与决策!L241</f>
        <v>40</v>
      </c>
      <c r="M49" s="16">
        <f>两日求解价格与决策!M241</f>
        <v>24</v>
      </c>
      <c r="N49" s="16">
        <f>两日求解价格与决策!N241</f>
        <v>24</v>
      </c>
      <c r="O49" s="16">
        <f>两日求解价格与决策!O241</f>
        <v>1.4397257142857143</v>
      </c>
      <c r="P49" s="16">
        <f>两日求解价格与决策!P241</f>
        <v>0.23725714285714286</v>
      </c>
      <c r="Q49" s="17">
        <f>两日求解价格与决策!Q241</f>
        <v>0</v>
      </c>
      <c r="R49" s="17">
        <f>两日求解价格与决策!R241</f>
        <v>662.24534522516342</v>
      </c>
      <c r="S49" s="17">
        <f>两日求解价格与决策!S241</f>
        <v>33.182779715282145</v>
      </c>
      <c r="T49" s="17">
        <f>两日求解价格与决策!T241</f>
        <v>18.00926190612315</v>
      </c>
      <c r="U49" s="17">
        <f>两日求解价格与决策!U241</f>
        <v>212.72315776440126</v>
      </c>
      <c r="V49" s="17">
        <f>两日求解价格与决策!V241</f>
        <v>3.4428126138340533</v>
      </c>
      <c r="W49" s="17">
        <f>两日求解价格与决策!W241</f>
        <v>929.60335722480397</v>
      </c>
      <c r="X49" s="12">
        <f>两日求解价格与决策!X241</f>
        <v>929.60335722480409</v>
      </c>
      <c r="Y49" s="19">
        <f>两日求解价格与决策!Y241</f>
        <v>0</v>
      </c>
      <c r="Z49" s="12" t="str">
        <f t="shared" si="1"/>
        <v>正式执行</v>
      </c>
      <c r="AA49" s="12">
        <f>两日求解价格与决策!AA241</f>
        <v>1</v>
      </c>
      <c r="AB49" s="12">
        <f>两日求解价格与决策!AB241</f>
        <v>1</v>
      </c>
      <c r="AC49" s="12">
        <f>两日求解价格与决策!AC241</f>
        <v>0.25</v>
      </c>
      <c r="AD49" s="18">
        <f>两日求解价格与决策!AD241</f>
        <v>0.3125</v>
      </c>
      <c r="AE49" s="18">
        <f>两日求解价格与决策!AE241</f>
        <v>0.13714285714285715</v>
      </c>
      <c r="AF49" s="18">
        <f>两日求解价格与决策!AF241</f>
        <v>0.2399542857142857</v>
      </c>
      <c r="AG49" s="18">
        <f>两日求解价格与决策!AG241</f>
        <v>3.9542857142857143E-2</v>
      </c>
      <c r="AH49" s="12">
        <f>两日求解价格与决策!AH241</f>
        <v>175</v>
      </c>
      <c r="AI49" s="12">
        <f>两日求解价格与决策!AI241</f>
        <v>175</v>
      </c>
      <c r="AJ49" s="12">
        <f>两日求解价格与决策!AJ241</f>
        <v>10.497999999999999</v>
      </c>
      <c r="AK49" s="12">
        <f>两日求解价格与决策!AK241</f>
        <v>1.73</v>
      </c>
      <c r="AL49" s="12">
        <f>两日求解价格与决策!AL241</f>
        <v>71.936000000000007</v>
      </c>
      <c r="AM49" s="12">
        <f>两日求解价格与决策!AM241</f>
        <v>4.9533217391304349E-3</v>
      </c>
      <c r="AN49" s="12">
        <f>两日求解价格与决策!AN241</f>
        <v>0.23725714285714286</v>
      </c>
      <c r="AO49" s="12">
        <f>两日求解价格与决策!AO241</f>
        <v>1.4397257142857143</v>
      </c>
      <c r="AP49" s="12">
        <f>两日求解价格与决策!AP241</f>
        <v>31.862898166459566</v>
      </c>
      <c r="AQ49" s="19">
        <f>两日求解价格与决策!AQ241</f>
        <v>0</v>
      </c>
      <c r="AR49" s="12">
        <f>两日求解价格与决策!AR241</f>
        <v>5.2473000000000001</v>
      </c>
      <c r="AS49" s="14">
        <f>两日求解价格与决策!AS241</f>
        <v>46234</v>
      </c>
      <c r="AT49" s="13">
        <f>两日求解价格与决策!AT241</f>
        <v>46236.291666666664</v>
      </c>
      <c r="AU49" s="12" t="str">
        <f>两日求解价格与决策!AU241</f>
        <v>2026-08-02_37</v>
      </c>
      <c r="AV49" s="12">
        <f>两日求解价格与决策!AV241</f>
        <v>15</v>
      </c>
      <c r="AW49" s="12" t="str">
        <f>两日求解价格与决策!AW241</f>
        <v>OK</v>
      </c>
      <c r="AX49" s="12">
        <f>两日求解价格与决策!AX241</f>
        <v>128</v>
      </c>
      <c r="AY49" s="12">
        <f>两日求解价格与决策!AY241</f>
        <v>175</v>
      </c>
      <c r="AZ49" s="12">
        <f>两日求解价格与决策!AZ241</f>
        <v>175</v>
      </c>
      <c r="BA49" s="12">
        <f>两日求解价格与决策!BA241</f>
        <v>40</v>
      </c>
      <c r="BB49" s="12">
        <f>两日求解价格与决策!BB241</f>
        <v>24</v>
      </c>
      <c r="BC49" s="12">
        <f>两日求解价格与决策!BC241</f>
        <v>24</v>
      </c>
      <c r="BD49" s="14">
        <f>两日求解价格与决策!BD241</f>
        <v>46236</v>
      </c>
      <c r="BE49" s="1" t="str">
        <f>两日求解价格与决策!BE241</f>
        <v>零头寸，无结算现金</v>
      </c>
      <c r="BF49" s="1" t="str">
        <f>两日求解价格与决策!BF241</f>
        <v>40.000000 MW × 66.224535 × 0.250000 h = 662.245345 EUR</v>
      </c>
      <c r="BG49" s="1" t="str">
        <f>两日求解价格与决策!BG241</f>
        <v>24.000000 MW × 5.530463 × 0.250000 h = 33.182780 EUR</v>
      </c>
      <c r="BH49" s="1" t="str">
        <f>两日求解价格与决策!BH241</f>
        <v>24.000000 MW × 3.001544 × 0.250000 h = 18.009262 EUR</v>
      </c>
      <c r="BI49" s="1" t="str">
        <f>两日求解价格与决策!BI241</f>
        <v>1.439726 MWh × 147.752558 = 212.723158 EUR</v>
      </c>
      <c r="BJ49" s="1" t="str">
        <f>两日求解价格与决策!BJ241</f>
        <v>−(0.237257 MWh × -14.510891) = 3.442813 EUR</v>
      </c>
      <c r="BK49" s="1" t="str">
        <f>两日求解价格与决策!BK241</f>
        <v>0.000000 + 662.245345 + 33.182780 + 18.009262 + 212.723158 + 3.442813 = 929.603357 EUR</v>
      </c>
    </row>
    <row r="50" spans="1:63" ht="21" customHeight="1" x14ac:dyDescent="0.45">
      <c r="A50" s="13">
        <f>两日求解价格与决策!A242</f>
        <v>46236.427083333336</v>
      </c>
      <c r="B50" s="15">
        <f>两日求解价格与决策!B242</f>
        <v>84.56</v>
      </c>
      <c r="C50" s="15">
        <f>两日求解价格与决策!C242</f>
        <v>66.224534522516336</v>
      </c>
      <c r="D50" s="15">
        <f>两日求解价格与决策!D242</f>
        <v>5.5304632858803577</v>
      </c>
      <c r="E50" s="15">
        <f>两日求解价格与决策!E242</f>
        <v>3.0015436510205249</v>
      </c>
      <c r="F50" s="15">
        <f>两日求解价格与决策!F242</f>
        <v>133.21136584529185</v>
      </c>
      <c r="G50" s="15">
        <f>两日求解价格与决策!G242</f>
        <v>72.142435157128432</v>
      </c>
      <c r="H50" s="15" t="str">
        <f>两日求解价格与决策!H242</f>
        <v>未模拟</v>
      </c>
      <c r="I50" s="16">
        <f>两日求解价格与决策!I242</f>
        <v>31.862898166459566</v>
      </c>
      <c r="J50" s="16">
        <f>两日求解价格与决策!J242</f>
        <v>31.739130434782545</v>
      </c>
      <c r="K50" s="16">
        <f>两日求解价格与决策!K242</f>
        <v>0</v>
      </c>
      <c r="L50" s="16">
        <f>两日求解价格与决策!L242</f>
        <v>40</v>
      </c>
      <c r="M50" s="16">
        <f>两日求解价格与决策!M242</f>
        <v>24</v>
      </c>
      <c r="N50" s="16">
        <f>两日求解价格与决策!N242</f>
        <v>24</v>
      </c>
      <c r="O50" s="16">
        <f>两日求解价格与决策!O242</f>
        <v>0.12918857142857143</v>
      </c>
      <c r="P50" s="16">
        <f>两日求解价格与决策!P242</f>
        <v>1.8102857142857143E-2</v>
      </c>
      <c r="Q50" s="17">
        <f>两日求解价格与决策!Q242</f>
        <v>0</v>
      </c>
      <c r="R50" s="17">
        <f>两日求解价格与决策!R242</f>
        <v>662.24534522516342</v>
      </c>
      <c r="S50" s="17">
        <f>两日求解价格与决策!S242</f>
        <v>33.182779715282145</v>
      </c>
      <c r="T50" s="17">
        <f>两日求解价格与决策!T242</f>
        <v>18.00926190612315</v>
      </c>
      <c r="U50" s="17">
        <f>两日求解价格与决策!U242</f>
        <v>17.209386051602046</v>
      </c>
      <c r="V50" s="17">
        <f>两日求解价格与决策!V242</f>
        <v>-1.3059841975873308</v>
      </c>
      <c r="W50" s="17">
        <f>两日求解价格与决策!W242</f>
        <v>729.34078870058329</v>
      </c>
      <c r="X50" s="12">
        <f>两日求解价格与决策!X242</f>
        <v>729.3407887005834</v>
      </c>
      <c r="Y50" s="19">
        <f>两日求解价格与决策!Y242</f>
        <v>0</v>
      </c>
      <c r="Z50" s="12" t="str">
        <f t="shared" si="1"/>
        <v>正式执行</v>
      </c>
      <c r="AA50" s="12">
        <f>两日求解价格与决策!AA242</f>
        <v>1</v>
      </c>
      <c r="AB50" s="12">
        <f>两日求解价格与决策!AB242</f>
        <v>1</v>
      </c>
      <c r="AC50" s="12">
        <f>两日求解价格与决策!AC242</f>
        <v>0.25</v>
      </c>
      <c r="AD50" s="18">
        <f>两日求解价格与决策!AD242</f>
        <v>0.3125</v>
      </c>
      <c r="AE50" s="18">
        <f>两日求解价格与决策!AE242</f>
        <v>0.13714285714285715</v>
      </c>
      <c r="AF50" s="18">
        <f>两日求解价格与决策!AF242</f>
        <v>2.1531428571428569E-2</v>
      </c>
      <c r="AG50" s="18">
        <f>两日求解价格与决策!AG242</f>
        <v>3.0171428571428571E-3</v>
      </c>
      <c r="AH50" s="12">
        <f>两日求解价格与决策!AH242</f>
        <v>175</v>
      </c>
      <c r="AI50" s="12">
        <f>两日求解价格与决策!AI242</f>
        <v>175</v>
      </c>
      <c r="AJ50" s="12">
        <f>两日求解价格与决策!AJ242</f>
        <v>0.94199999999999995</v>
      </c>
      <c r="AK50" s="12">
        <f>两日求解价格与决策!AK242</f>
        <v>0.13200000000000001</v>
      </c>
      <c r="AL50" s="12">
        <f>两日求解价格与决策!AL242</f>
        <v>71.936000000000007</v>
      </c>
      <c r="AM50" s="12">
        <f>两日求解价格与决策!AM242</f>
        <v>4.363249689440993E-4</v>
      </c>
      <c r="AN50" s="12">
        <f>两日求解价格与决策!AN242</f>
        <v>1.8102857142857143E-2</v>
      </c>
      <c r="AO50" s="12">
        <f>两日求解价格与决策!AO242</f>
        <v>0.12918857142857143</v>
      </c>
      <c r="AP50" s="12">
        <f>两日求解价格与决策!AP242</f>
        <v>31.739130434782545</v>
      </c>
      <c r="AQ50" s="19">
        <f>两日求解价格与决策!AQ242</f>
        <v>0</v>
      </c>
      <c r="AR50" s="12">
        <f>两日求解价格与决策!AR242</f>
        <v>5.2473000000000001</v>
      </c>
      <c r="AS50" s="14">
        <f>两日求解价格与决策!AS242</f>
        <v>46234</v>
      </c>
      <c r="AT50" s="13">
        <f>两日求解价格与决策!AT242</f>
        <v>46236.302083333336</v>
      </c>
      <c r="AU50" s="12" t="str">
        <f>两日求解价格与决策!AU242</f>
        <v>2026-08-02_38</v>
      </c>
      <c r="AV50" s="12">
        <f>两日求解价格与决策!AV242</f>
        <v>15</v>
      </c>
      <c r="AW50" s="12" t="str">
        <f>两日求解价格与决策!AW242</f>
        <v>OK</v>
      </c>
      <c r="AX50" s="12">
        <f>两日求解价格与决策!AX242</f>
        <v>128</v>
      </c>
      <c r="AY50" s="12">
        <f>两日求解价格与决策!AY242</f>
        <v>175</v>
      </c>
      <c r="AZ50" s="12">
        <f>两日求解价格与决策!AZ242</f>
        <v>175</v>
      </c>
      <c r="BA50" s="12">
        <f>两日求解价格与决策!BA242</f>
        <v>40</v>
      </c>
      <c r="BB50" s="12">
        <f>两日求解价格与决策!BB242</f>
        <v>24</v>
      </c>
      <c r="BC50" s="12">
        <f>两日求解价格与决策!BC242</f>
        <v>24</v>
      </c>
      <c r="BD50" s="14">
        <f>两日求解价格与决策!BD242</f>
        <v>46236</v>
      </c>
      <c r="BE50" s="1" t="str">
        <f>两日求解价格与决策!BE242</f>
        <v>零头寸，无结算现金</v>
      </c>
      <c r="BF50" s="1" t="str">
        <f>两日求解价格与决策!BF242</f>
        <v>40.000000 MW × 66.224535 × 0.250000 h = 662.245345 EUR</v>
      </c>
      <c r="BG50" s="1" t="str">
        <f>两日求解价格与决策!BG242</f>
        <v>24.000000 MW × 5.530463 × 0.250000 h = 33.182780 EUR</v>
      </c>
      <c r="BH50" s="1" t="str">
        <f>两日求解价格与决策!BH242</f>
        <v>24.000000 MW × 3.001544 × 0.250000 h = 18.009262 EUR</v>
      </c>
      <c r="BI50" s="1" t="str">
        <f>两日求解价格与决策!BI242</f>
        <v>0.129189 MWh × 133.211366 = 17.209386 EUR</v>
      </c>
      <c r="BJ50" s="1" t="str">
        <f>两日求解价格与决策!BJ242</f>
        <v>−(0.018103 MWh × 72.142435) = -1.305984 EUR</v>
      </c>
      <c r="BK50" s="1" t="str">
        <f>两日求解价格与决策!BK242</f>
        <v>0.000000 + 662.245345 + 33.182780 + 18.009262 + 17.209386 + -1.305984 = 729.340789 EUR</v>
      </c>
    </row>
    <row r="51" spans="1:63" ht="21" customHeight="1" x14ac:dyDescent="0.45">
      <c r="A51" s="13">
        <f>两日求解价格与决策!A243</f>
        <v>46236.4375</v>
      </c>
      <c r="B51" s="15">
        <f>两日求解价格与决策!B243</f>
        <v>54.53</v>
      </c>
      <c r="C51" s="15">
        <f>两日求解价格与决策!C243</f>
        <v>66.224534522516336</v>
      </c>
      <c r="D51" s="15">
        <f>两日求解价格与决策!D243</f>
        <v>5.5304632858803577</v>
      </c>
      <c r="E51" s="15">
        <f>两日求解价格与决策!E243</f>
        <v>3.0015436510205249</v>
      </c>
      <c r="F51" s="15">
        <f>两日求解价格与决策!F243</f>
        <v>133.21136584529185</v>
      </c>
      <c r="G51" s="15">
        <f>两日求解价格与决策!G243</f>
        <v>-2.135574485926095</v>
      </c>
      <c r="H51" s="15" t="str">
        <f>两日求解价格与决策!H243</f>
        <v>未模拟</v>
      </c>
      <c r="I51" s="16">
        <f>两日求解价格与决策!I243</f>
        <v>31.739130434782545</v>
      </c>
      <c r="J51" s="16">
        <f>两日求解价格与决策!J243</f>
        <v>31.739130434782538</v>
      </c>
      <c r="K51" s="16">
        <f>两日求解价格与决策!K243</f>
        <v>1.4801994166607806</v>
      </c>
      <c r="L51" s="16">
        <f>两日求解价格与决策!L243</f>
        <v>40</v>
      </c>
      <c r="M51" s="16">
        <f>两日求解价格与决策!M243</f>
        <v>24</v>
      </c>
      <c r="N51" s="16">
        <f>两日求解价格与决策!N243</f>
        <v>24</v>
      </c>
      <c r="O51" s="16">
        <f>两日求解价格与决策!O243</f>
        <v>2.7428571428571432E-4</v>
      </c>
      <c r="P51" s="16">
        <f>两日求解价格与决策!P243</f>
        <v>0.43268571428571428</v>
      </c>
      <c r="Q51" s="17">
        <f>两日求解价格与决策!Q243</f>
        <v>20.17881854762809</v>
      </c>
      <c r="R51" s="17">
        <f>两日求解价格与决策!R243</f>
        <v>662.24534522516342</v>
      </c>
      <c r="S51" s="17">
        <f>两日求解价格与决策!S243</f>
        <v>33.182779715282145</v>
      </c>
      <c r="T51" s="17">
        <f>两日求解价格与决策!T243</f>
        <v>18.00926190612315</v>
      </c>
      <c r="U51" s="17">
        <f>两日求解价格与决策!U243</f>
        <v>3.6537974631851482E-2</v>
      </c>
      <c r="V51" s="17">
        <f>两日求解价格与决策!V243</f>
        <v>0.92403257185327947</v>
      </c>
      <c r="W51" s="17">
        <f>两日求解价格与决策!W243</f>
        <v>734.57677594068196</v>
      </c>
      <c r="X51" s="12">
        <f>两日求解价格与决策!X243</f>
        <v>734.57677594068196</v>
      </c>
      <c r="Y51" s="19">
        <f>两日求解价格与决策!Y243</f>
        <v>0</v>
      </c>
      <c r="Z51" s="12" t="str">
        <f t="shared" si="1"/>
        <v>正式执行</v>
      </c>
      <c r="AA51" s="12">
        <f>两日求解价格与决策!AA243</f>
        <v>1</v>
      </c>
      <c r="AB51" s="12">
        <f>两日求解价格与决策!AB243</f>
        <v>1</v>
      </c>
      <c r="AC51" s="12">
        <f>两日求解价格与决策!AC243</f>
        <v>0.25</v>
      </c>
      <c r="AD51" s="18">
        <f>两日求解价格与决策!AD243</f>
        <v>0.3125</v>
      </c>
      <c r="AE51" s="18">
        <f>两日求解价格与决策!AE243</f>
        <v>0.13714285714285715</v>
      </c>
      <c r="AF51" s="18">
        <f>两日求解价格与决策!AF243</f>
        <v>4.5714285714285716E-5</v>
      </c>
      <c r="AG51" s="18">
        <f>两日求解价格与决策!AG243</f>
        <v>7.2114285714285714E-2</v>
      </c>
      <c r="AH51" s="12">
        <f>两日求解价格与决策!AH243</f>
        <v>175</v>
      </c>
      <c r="AI51" s="12">
        <f>两日求解价格与决策!AI243</f>
        <v>175</v>
      </c>
      <c r="AJ51" s="12">
        <f>两日求解价格与决策!AJ243</f>
        <v>2E-3</v>
      </c>
      <c r="AK51" s="12">
        <f>两日求解价格与决策!AK243</f>
        <v>3.1549999999999998</v>
      </c>
      <c r="AL51" s="12">
        <f>两日求解价格与决策!AL243</f>
        <v>71.936000000000007</v>
      </c>
      <c r="AM51" s="12">
        <f>两日求解价格与决策!AM243</f>
        <v>2.0751102594666797E-3</v>
      </c>
      <c r="AN51" s="12">
        <f>两日求解价格与决策!AN243</f>
        <v>0.40599983337391565</v>
      </c>
      <c r="AO51" s="12">
        <f>两日求解价格与决策!AO243</f>
        <v>0.34363825896768224</v>
      </c>
      <c r="AP51" s="12">
        <f>两日求解价格与决策!AP243</f>
        <v>31.739130434782538</v>
      </c>
      <c r="AQ51" s="19">
        <f>两日求解价格与决策!AQ243</f>
        <v>0</v>
      </c>
      <c r="AR51" s="12">
        <f>两日求解价格与决策!AR243</f>
        <v>5.2473000000000001</v>
      </c>
      <c r="AS51" s="14">
        <f>两日求解价格与决策!AS243</f>
        <v>46234</v>
      </c>
      <c r="AT51" s="13">
        <f>两日求解价格与决策!AT243</f>
        <v>46236.3125</v>
      </c>
      <c r="AU51" s="12" t="str">
        <f>两日求解价格与决策!AU243</f>
        <v>2026-08-02_39</v>
      </c>
      <c r="AV51" s="12">
        <f>两日求解价格与决策!AV243</f>
        <v>15</v>
      </c>
      <c r="AW51" s="12" t="str">
        <f>两日求解价格与决策!AW243</f>
        <v>OK</v>
      </c>
      <c r="AX51" s="12">
        <f>两日求解价格与决策!AX243</f>
        <v>128</v>
      </c>
      <c r="AY51" s="12">
        <f>两日求解价格与决策!AY243</f>
        <v>175</v>
      </c>
      <c r="AZ51" s="12">
        <f>两日求解价格与决策!AZ243</f>
        <v>175</v>
      </c>
      <c r="BA51" s="12">
        <f>两日求解价格与决策!BA243</f>
        <v>40</v>
      </c>
      <c r="BB51" s="12">
        <f>两日求解价格与决策!BB243</f>
        <v>24</v>
      </c>
      <c r="BC51" s="12">
        <f>两日求解价格与决策!BC243</f>
        <v>24</v>
      </c>
      <c r="BD51" s="14">
        <f>两日求解价格与决策!BD243</f>
        <v>46236</v>
      </c>
      <c r="BE51" s="1" t="str">
        <f>两日求解价格与决策!BE243</f>
        <v>1.480199 MW × 54.530000 × 0.250000 h = 20.178819 EUR</v>
      </c>
      <c r="BF51" s="1" t="str">
        <f>两日求解价格与决策!BF243</f>
        <v>40.000000 MW × 66.224535 × 0.250000 h = 662.245345 EUR</v>
      </c>
      <c r="BG51" s="1" t="str">
        <f>两日求解价格与决策!BG243</f>
        <v>24.000000 MW × 5.530463 × 0.250000 h = 33.182780 EUR</v>
      </c>
      <c r="BH51" s="1" t="str">
        <f>两日求解价格与决策!BH243</f>
        <v>24.000000 MW × 3.001544 × 0.250000 h = 18.009262 EUR</v>
      </c>
      <c r="BI51" s="1" t="str">
        <f>两日求解价格与决策!BI243</f>
        <v>0.000274 MWh × 133.211366 = 0.036538 EUR</v>
      </c>
      <c r="BJ51" s="1" t="str">
        <f>两日求解价格与决策!BJ243</f>
        <v>−(0.432686 MWh × -2.135574) = 0.924033 EUR</v>
      </c>
      <c r="BK51" s="1" t="str">
        <f>两日求解价格与决策!BK243</f>
        <v>20.178819 + 662.245345 + 33.182780 + 18.009262 + 0.036538 + 0.924033 = 734.576776 EUR</v>
      </c>
    </row>
    <row r="52" spans="1:63" ht="21" customHeight="1" x14ac:dyDescent="0.45">
      <c r="A52" s="13">
        <f>两日求解价格与决策!A244</f>
        <v>46236.447916666664</v>
      </c>
      <c r="B52" s="15">
        <f>两日求解价格与决策!B244</f>
        <v>11.21</v>
      </c>
      <c r="C52" s="15">
        <f>两日求解价格与决策!C244</f>
        <v>66.224534522516336</v>
      </c>
      <c r="D52" s="15">
        <f>两日求解价格与决策!D244</f>
        <v>5.5304632858803577</v>
      </c>
      <c r="E52" s="15">
        <f>两日求解价格与决策!E244</f>
        <v>3.0015436510205249</v>
      </c>
      <c r="F52" s="15">
        <f>两日求解价格与决策!F244</f>
        <v>0</v>
      </c>
      <c r="G52" s="15">
        <f>两日求解价格与决策!G244</f>
        <v>30.115297391039199</v>
      </c>
      <c r="H52" s="15" t="str">
        <f>两日求解价格与决策!H244</f>
        <v>未模拟</v>
      </c>
      <c r="I52" s="16">
        <f>两日求解价格与决策!I244</f>
        <v>31.739130434782538</v>
      </c>
      <c r="J52" s="16">
        <f>两日求解价格与决策!J244</f>
        <v>32.562651349068254</v>
      </c>
      <c r="K52" s="16">
        <f>两日求解价格与决策!K244</f>
        <v>0</v>
      </c>
      <c r="L52" s="16">
        <f>两日求解价格与决策!L244</f>
        <v>40</v>
      </c>
      <c r="M52" s="16">
        <f>两日求解价格与决策!M244</f>
        <v>24</v>
      </c>
      <c r="N52" s="16">
        <f>两日求解价格与决策!N244</f>
        <v>24</v>
      </c>
      <c r="O52" s="16">
        <f>两日求解价格与决策!O244</f>
        <v>0</v>
      </c>
      <c r="P52" s="16">
        <f>两日求解价格与决策!P244</f>
        <v>0.89513142857142847</v>
      </c>
      <c r="Q52" s="17">
        <f>两日求解价格与决策!Q244</f>
        <v>0</v>
      </c>
      <c r="R52" s="17">
        <f>两日求解价格与决策!R244</f>
        <v>662.24534522516342</v>
      </c>
      <c r="S52" s="17">
        <f>两日求解价格与决策!S244</f>
        <v>33.182779715282145</v>
      </c>
      <c r="T52" s="17">
        <f>两日求解价格与决策!T244</f>
        <v>18.00926190612315</v>
      </c>
      <c r="U52" s="17">
        <f>两日求解价格与决策!U244</f>
        <v>0</v>
      </c>
      <c r="V52" s="17">
        <f>两日求解价格与决策!V244</f>
        <v>-26.95714917549433</v>
      </c>
      <c r="W52" s="17">
        <f>两日求解价格与决策!W244</f>
        <v>686.48023767107429</v>
      </c>
      <c r="X52" s="12">
        <f>两日求解价格与决策!X244</f>
        <v>686.48023767107441</v>
      </c>
      <c r="Y52" s="19">
        <f>两日求解价格与决策!Y244</f>
        <v>0</v>
      </c>
      <c r="Z52" s="12" t="str">
        <f t="shared" si="1"/>
        <v>正式执行</v>
      </c>
      <c r="AA52" s="12">
        <f>两日求解价格与决策!AA244</f>
        <v>1</v>
      </c>
      <c r="AB52" s="12">
        <f>两日求解价格与决策!AB244</f>
        <v>1</v>
      </c>
      <c r="AC52" s="12">
        <f>两日求解价格与决策!AC244</f>
        <v>0.25</v>
      </c>
      <c r="AD52" s="18">
        <f>两日求解价格与决策!AD244</f>
        <v>0.3125</v>
      </c>
      <c r="AE52" s="18">
        <f>两日求解价格与决策!AE244</f>
        <v>0.13714285714285715</v>
      </c>
      <c r="AF52" s="18">
        <f>两日求解价格与决策!AF244</f>
        <v>0</v>
      </c>
      <c r="AG52" s="18">
        <f>两日求解价格与决策!AG244</f>
        <v>0.14918857142857142</v>
      </c>
      <c r="AH52" s="12">
        <f>两日求解价格与决策!AH244</f>
        <v>175</v>
      </c>
      <c r="AI52" s="12">
        <f>两日求解价格与决策!AI244</f>
        <v>175</v>
      </c>
      <c r="AJ52" s="12">
        <f>两日求解价格与决策!AJ244</f>
        <v>0</v>
      </c>
      <c r="AK52" s="12">
        <f>两日求解价格与决策!AK244</f>
        <v>6.5270000000000001</v>
      </c>
      <c r="AL52" s="12">
        <f>两日求解价格与决策!AL244</f>
        <v>71.936000000000007</v>
      </c>
      <c r="AM52" s="12">
        <f>两日求解价格与决策!AM244</f>
        <v>2.2875580952380951E-3</v>
      </c>
      <c r="AN52" s="12">
        <f>两日求解价格与决策!AN244</f>
        <v>0.89513142857142847</v>
      </c>
      <c r="AO52" s="12">
        <f>两日求解价格与决策!AO244</f>
        <v>0</v>
      </c>
      <c r="AP52" s="12">
        <f>两日求解价格与决策!AP244</f>
        <v>32.562651349068254</v>
      </c>
      <c r="AQ52" s="19">
        <f>两日求解价格与决策!AQ244</f>
        <v>0</v>
      </c>
      <c r="AR52" s="12">
        <f>两日求解价格与决策!AR244</f>
        <v>5.2473000000000001</v>
      </c>
      <c r="AS52" s="14">
        <f>两日求解价格与决策!AS244</f>
        <v>46234</v>
      </c>
      <c r="AT52" s="13">
        <f>两日求解价格与决策!AT244</f>
        <v>46236.322916666664</v>
      </c>
      <c r="AU52" s="12" t="str">
        <f>两日求解价格与决策!AU244</f>
        <v>2026-08-02_40</v>
      </c>
      <c r="AV52" s="12">
        <f>两日求解价格与决策!AV244</f>
        <v>15</v>
      </c>
      <c r="AW52" s="12" t="str">
        <f>两日求解价格与决策!AW244</f>
        <v>OK</v>
      </c>
      <c r="AX52" s="12">
        <f>两日求解价格与决策!AX244</f>
        <v>128</v>
      </c>
      <c r="AY52" s="12">
        <f>两日求解价格与决策!AY244</f>
        <v>175</v>
      </c>
      <c r="AZ52" s="12">
        <f>两日求解价格与决策!AZ244</f>
        <v>175</v>
      </c>
      <c r="BA52" s="12">
        <f>两日求解价格与决策!BA244</f>
        <v>40</v>
      </c>
      <c r="BB52" s="12">
        <f>两日求解价格与决策!BB244</f>
        <v>24</v>
      </c>
      <c r="BC52" s="12">
        <f>两日求解价格与决策!BC244</f>
        <v>24</v>
      </c>
      <c r="BD52" s="14">
        <f>两日求解价格与决策!BD244</f>
        <v>46236</v>
      </c>
      <c r="BE52" s="1" t="str">
        <f>两日求解价格与决策!BE244</f>
        <v>零头寸，无结算现金</v>
      </c>
      <c r="BF52" s="1" t="str">
        <f>两日求解价格与决策!BF244</f>
        <v>40.000000 MW × 66.224535 × 0.250000 h = 662.245345 EUR</v>
      </c>
      <c r="BG52" s="1" t="str">
        <f>两日求解价格与决策!BG244</f>
        <v>24.000000 MW × 5.530463 × 0.250000 h = 33.182780 EUR</v>
      </c>
      <c r="BH52" s="1" t="str">
        <f>两日求解价格与决策!BH244</f>
        <v>24.000000 MW × 3.001544 × 0.250000 h = 18.009262 EUR</v>
      </c>
      <c r="BI52" s="1" t="str">
        <f>两日求解价格与决策!BI244</f>
        <v>零上调激活电量</v>
      </c>
      <c r="BJ52" s="1" t="str">
        <f>两日求解价格与决策!BJ244</f>
        <v>−(0.895131 MWh × 30.115297) = -26.957149 EUR</v>
      </c>
      <c r="BK52" s="1" t="str">
        <f>两日求解价格与决策!BK244</f>
        <v>0.000000 + 662.245345 + 33.182780 + 18.009262 + 0.000000 + -26.957149 = 686.480238 EUR</v>
      </c>
    </row>
    <row r="53" spans="1:63" ht="21" customHeight="1" x14ac:dyDescent="0.45">
      <c r="A53" s="13">
        <f>两日求解价格与决策!A245</f>
        <v>46236.458333333336</v>
      </c>
      <c r="B53" s="15">
        <f>两日求解价格与决策!B245</f>
        <v>11</v>
      </c>
      <c r="C53" s="15">
        <f>两日求解价格与决策!C245</f>
        <v>66.224534522516336</v>
      </c>
      <c r="D53" s="15">
        <f>两日求解价格与决策!D245</f>
        <v>5.4828197358641582</v>
      </c>
      <c r="E53" s="15">
        <f>两日求解价格与决策!E245</f>
        <v>3.0072608770224685</v>
      </c>
      <c r="F53" s="15">
        <f>两日求解价格与决策!F245</f>
        <v>0</v>
      </c>
      <c r="G53" s="15">
        <f>两日求解价格与决策!G245</f>
        <v>-4.9610275760867495</v>
      </c>
      <c r="H53" s="15" t="str">
        <f>两日求解价格与决策!H245</f>
        <v>未模拟</v>
      </c>
      <c r="I53" s="16">
        <f>两日求解价格与决策!I245</f>
        <v>32.562651349068254</v>
      </c>
      <c r="J53" s="16">
        <f>两日求解价格与决策!J245</f>
        <v>31.739130434782538</v>
      </c>
      <c r="K53" s="16">
        <f>两日求解价格与决策!K245</f>
        <v>8.9915158359378591</v>
      </c>
      <c r="L53" s="16">
        <f>两日求解价格与决策!L245</f>
        <v>40</v>
      </c>
      <c r="M53" s="16">
        <f>两日求解价格与决策!M245</f>
        <v>24</v>
      </c>
      <c r="N53" s="16">
        <f>两日求解价格与决策!N245</f>
        <v>24</v>
      </c>
      <c r="O53" s="16">
        <f>两日求解价格与决策!O245</f>
        <v>0</v>
      </c>
      <c r="P53" s="16">
        <f>两日求解价格与决策!P245</f>
        <v>1.6485942857142857</v>
      </c>
      <c r="Q53" s="17">
        <f>两日求解价格与决策!Q245</f>
        <v>24.726668548829114</v>
      </c>
      <c r="R53" s="17">
        <f>两日求解价格与决策!R245</f>
        <v>662.24534522516342</v>
      </c>
      <c r="S53" s="17">
        <f>两日求解价格与决策!S245</f>
        <v>32.896918415184949</v>
      </c>
      <c r="T53" s="17">
        <f>两日求解价格与决策!T245</f>
        <v>18.043565262134813</v>
      </c>
      <c r="U53" s="17">
        <f>两日求解价格与决策!U245</f>
        <v>0</v>
      </c>
      <c r="V53" s="17">
        <f>两日求解价格与决策!V245</f>
        <v>8.178721713207608</v>
      </c>
      <c r="W53" s="17">
        <f>两日求解价格与决策!W245</f>
        <v>746.09121916452</v>
      </c>
      <c r="X53" s="12">
        <f>两日求解价格与决策!X245</f>
        <v>746.09121916451988</v>
      </c>
      <c r="Y53" s="19">
        <f>两日求解价格与决策!Y245</f>
        <v>0</v>
      </c>
      <c r="Z53" s="12" t="str">
        <f t="shared" si="1"/>
        <v>正式执行</v>
      </c>
      <c r="AA53" s="12">
        <f>两日求解价格与决策!AA245</f>
        <v>1</v>
      </c>
      <c r="AB53" s="12">
        <f>两日求解价格与决策!AB245</f>
        <v>1</v>
      </c>
      <c r="AC53" s="12">
        <f>两日求解价格与决策!AC245</f>
        <v>0.25</v>
      </c>
      <c r="AD53" s="18">
        <f>两日求解价格与决策!AD245</f>
        <v>0.3125</v>
      </c>
      <c r="AE53" s="18">
        <f>两日求解价格与决策!AE245</f>
        <v>0.13714285714285715</v>
      </c>
      <c r="AF53" s="18">
        <f>两日求解价格与决策!AF245</f>
        <v>0</v>
      </c>
      <c r="AG53" s="18">
        <f>两日求解价格与决策!AG245</f>
        <v>0.27476571428571428</v>
      </c>
      <c r="AH53" s="12">
        <f>两日求解价格与决策!AH245</f>
        <v>175</v>
      </c>
      <c r="AI53" s="12">
        <f>两日求解价格与决策!AI245</f>
        <v>175</v>
      </c>
      <c r="AJ53" s="12">
        <f>两日求解价格与决策!AJ245</f>
        <v>0</v>
      </c>
      <c r="AK53" s="12">
        <f>两日求解价格与决策!AK245</f>
        <v>12.021000000000001</v>
      </c>
      <c r="AL53" s="12">
        <f>两日求解价格与决策!AL245</f>
        <v>71.936000000000007</v>
      </c>
      <c r="AM53" s="12">
        <f>两日求解价格与决策!AM245</f>
        <v>7.5568796535014559E-3</v>
      </c>
      <c r="AN53" s="12">
        <f>两日求解价格与决策!AN245</f>
        <v>1.0309542179210913</v>
      </c>
      <c r="AO53" s="12">
        <f>两日求解价格与决策!AO245</f>
        <v>1.6302388911912704</v>
      </c>
      <c r="AP53" s="12">
        <f>两日求解价格与决策!AP245</f>
        <v>31.739130434782538</v>
      </c>
      <c r="AQ53" s="19">
        <f>两日求解价格与决策!AQ245</f>
        <v>0</v>
      </c>
      <c r="AR53" s="12">
        <f>两日求解价格与决策!AR245</f>
        <v>5.2473000000000001</v>
      </c>
      <c r="AS53" s="14">
        <f>两日求解价格与决策!AS245</f>
        <v>46234</v>
      </c>
      <c r="AT53" s="13">
        <f>两日求解价格与决策!AT245</f>
        <v>46236.333333333336</v>
      </c>
      <c r="AU53" s="12" t="str">
        <f>两日求解价格与决策!AU245</f>
        <v>2026-08-02_41</v>
      </c>
      <c r="AV53" s="12">
        <f>两日求解价格与决策!AV245</f>
        <v>15</v>
      </c>
      <c r="AW53" s="12" t="str">
        <f>两日求解价格与决策!AW245</f>
        <v>OK</v>
      </c>
      <c r="AX53" s="12">
        <f>两日求解价格与决策!AX245</f>
        <v>128</v>
      </c>
      <c r="AY53" s="12">
        <f>两日求解价格与决策!AY245</f>
        <v>175</v>
      </c>
      <c r="AZ53" s="12">
        <f>两日求解价格与决策!AZ245</f>
        <v>175</v>
      </c>
      <c r="BA53" s="12">
        <f>两日求解价格与决策!BA245</f>
        <v>40</v>
      </c>
      <c r="BB53" s="12">
        <f>两日求解价格与决策!BB245</f>
        <v>24</v>
      </c>
      <c r="BC53" s="12">
        <f>两日求解价格与决策!BC245</f>
        <v>24</v>
      </c>
      <c r="BD53" s="14">
        <f>两日求解价格与决策!BD245</f>
        <v>46236</v>
      </c>
      <c r="BE53" s="1" t="str">
        <f>两日求解价格与决策!BE245</f>
        <v>8.991516 MW × 11.000000 × 0.250000 h = 24.726669 EUR</v>
      </c>
      <c r="BF53" s="1" t="str">
        <f>两日求解价格与决策!BF245</f>
        <v>40.000000 MW × 66.224535 × 0.250000 h = 662.245345 EUR</v>
      </c>
      <c r="BG53" s="1" t="str">
        <f>两日求解价格与决策!BG245</f>
        <v>24.000000 MW × 5.482820 × 0.250000 h = 32.896918 EUR</v>
      </c>
      <c r="BH53" s="1" t="str">
        <f>两日求解价格与决策!BH245</f>
        <v>24.000000 MW × 3.007261 × 0.250000 h = 18.043565 EUR</v>
      </c>
      <c r="BI53" s="1" t="str">
        <f>两日求解价格与决策!BI245</f>
        <v>零上调激活电量</v>
      </c>
      <c r="BJ53" s="1" t="str">
        <f>两日求解价格与决策!BJ245</f>
        <v>−(1.648594 MWh × -4.961028) = 8.178722 EUR</v>
      </c>
      <c r="BK53" s="1" t="str">
        <f>两日求解价格与决策!BK245</f>
        <v>24.726669 + 662.245345 + 32.896918 + 18.043565 + 0.000000 + 8.178722 = 746.091219 EUR</v>
      </c>
    </row>
    <row r="54" spans="1:63" ht="21" customHeight="1" x14ac:dyDescent="0.45">
      <c r="A54" s="13">
        <f>两日求解价格与决策!A246</f>
        <v>46236.46875</v>
      </c>
      <c r="B54" s="15">
        <f>两日求解价格与决策!B246</f>
        <v>3.85</v>
      </c>
      <c r="C54" s="15">
        <f>两日求解价格与决策!C246</f>
        <v>66.224534522516336</v>
      </c>
      <c r="D54" s="15">
        <f>两日求解价格与决策!D246</f>
        <v>5.4828197358641582</v>
      </c>
      <c r="E54" s="15">
        <f>两日求解价格与决策!E246</f>
        <v>3.0072608770224685</v>
      </c>
      <c r="F54" s="15">
        <f>两日求解价格与决策!F246</f>
        <v>0</v>
      </c>
      <c r="G54" s="15">
        <f>两日求解价格与决策!G246</f>
        <v>-27.92826787109561</v>
      </c>
      <c r="H54" s="15" t="str">
        <f>两日求解价格与决策!H246</f>
        <v>未模拟</v>
      </c>
      <c r="I54" s="16">
        <f>两日求解价格与决策!I246</f>
        <v>31.739130434782538</v>
      </c>
      <c r="J54" s="16">
        <f>两日求解价格与决策!J246</f>
        <v>42.702165863353969</v>
      </c>
      <c r="K54" s="16">
        <f>两日求解价格与决策!K246</f>
        <v>-36</v>
      </c>
      <c r="L54" s="16">
        <f>两日求解价格与决策!L246</f>
        <v>40</v>
      </c>
      <c r="M54" s="16">
        <f>两日求解价格与决策!M246</f>
        <v>24</v>
      </c>
      <c r="N54" s="16">
        <f>两日求解价格与决策!N246</f>
        <v>24</v>
      </c>
      <c r="O54" s="16">
        <f>两日求解价格与决策!O246</f>
        <v>0</v>
      </c>
      <c r="P54" s="16">
        <f>两日求解价格与决策!P246</f>
        <v>2.9163428571428573</v>
      </c>
      <c r="Q54" s="17">
        <f>两日求解价格与决策!Q246</f>
        <v>-34.65</v>
      </c>
      <c r="R54" s="17">
        <f>两日求解价格与决策!R246</f>
        <v>662.24534522516342</v>
      </c>
      <c r="S54" s="17">
        <f>两日求解价格与决策!S246</f>
        <v>32.896918415184949</v>
      </c>
      <c r="T54" s="17">
        <f>两日求解价格与决策!T246</f>
        <v>18.043565262134813</v>
      </c>
      <c r="U54" s="17">
        <f>两日求解价格与决策!U246</f>
        <v>0</v>
      </c>
      <c r="V54" s="17">
        <f>两日求解价格与决策!V246</f>
        <v>81.448404518242043</v>
      </c>
      <c r="W54" s="17">
        <f>两日求解价格与决策!W246</f>
        <v>759.98423342072522</v>
      </c>
      <c r="X54" s="12">
        <f>两日求解价格与决策!X246</f>
        <v>759.98423342072522</v>
      </c>
      <c r="Y54" s="19">
        <f>两日求解价格与决策!Y246</f>
        <v>0</v>
      </c>
      <c r="Z54" s="12" t="str">
        <f t="shared" si="1"/>
        <v>正式执行</v>
      </c>
      <c r="AA54" s="12">
        <f>两日求解价格与决策!AA246</f>
        <v>1</v>
      </c>
      <c r="AB54" s="12">
        <f>两日求解价格与决策!AB246</f>
        <v>1</v>
      </c>
      <c r="AC54" s="12">
        <f>两日求解价格与决策!AC246</f>
        <v>0.25</v>
      </c>
      <c r="AD54" s="18">
        <f>两日求解价格与决策!AD246</f>
        <v>0.3125</v>
      </c>
      <c r="AE54" s="18">
        <f>两日求解价格与决策!AE246</f>
        <v>0.13714285714285715</v>
      </c>
      <c r="AF54" s="18">
        <f>两日求解价格与决策!AF246</f>
        <v>0</v>
      </c>
      <c r="AG54" s="18">
        <f>两日求解价格与决策!AG246</f>
        <v>0.48605714285714285</v>
      </c>
      <c r="AH54" s="12">
        <f>两日求解价格与决策!AH246</f>
        <v>175</v>
      </c>
      <c r="AI54" s="12">
        <f>两日求解价格与决策!AI246</f>
        <v>175</v>
      </c>
      <c r="AJ54" s="12">
        <f>两日求解价格与决策!AJ246</f>
        <v>0</v>
      </c>
      <c r="AK54" s="12">
        <f>两日求解价格与决策!AK246</f>
        <v>21.265000000000001</v>
      </c>
      <c r="AL54" s="12">
        <f>两日求解价格与决策!AL246</f>
        <v>71.936000000000007</v>
      </c>
      <c r="AM54" s="12">
        <f>两日求解价格与决策!AM246</f>
        <v>3.0452876190476194E-2</v>
      </c>
      <c r="AN54" s="12">
        <f>两日求解价格与决策!AN246</f>
        <v>11.916342857142858</v>
      </c>
      <c r="AO54" s="12">
        <f>两日求解价格与决策!AO246</f>
        <v>0</v>
      </c>
      <c r="AP54" s="12">
        <f>两日求解价格与决策!AP246</f>
        <v>42.702165863353969</v>
      </c>
      <c r="AQ54" s="19">
        <f>两日求解价格与决策!AQ246</f>
        <v>0</v>
      </c>
      <c r="AR54" s="12">
        <f>两日求解价格与决策!AR246</f>
        <v>5.2473000000000001</v>
      </c>
      <c r="AS54" s="14">
        <f>两日求解价格与决策!AS246</f>
        <v>46234</v>
      </c>
      <c r="AT54" s="13">
        <f>两日求解价格与决策!AT246</f>
        <v>46236.34375</v>
      </c>
      <c r="AU54" s="12" t="str">
        <f>两日求解价格与决策!AU246</f>
        <v>2026-08-02_42</v>
      </c>
      <c r="AV54" s="12">
        <f>两日求解价格与决策!AV246</f>
        <v>15</v>
      </c>
      <c r="AW54" s="12" t="str">
        <f>两日求解价格与决策!AW246</f>
        <v>OK</v>
      </c>
      <c r="AX54" s="12">
        <f>两日求解价格与决策!AX246</f>
        <v>128</v>
      </c>
      <c r="AY54" s="12">
        <f>两日求解价格与决策!AY246</f>
        <v>175</v>
      </c>
      <c r="AZ54" s="12">
        <f>两日求解价格与决策!AZ246</f>
        <v>175</v>
      </c>
      <c r="BA54" s="12">
        <f>两日求解价格与决策!BA246</f>
        <v>40</v>
      </c>
      <c r="BB54" s="12">
        <f>两日求解价格与决策!BB246</f>
        <v>24</v>
      </c>
      <c r="BC54" s="12">
        <f>两日求解价格与决策!BC246</f>
        <v>24</v>
      </c>
      <c r="BD54" s="14">
        <f>两日求解价格与决策!BD246</f>
        <v>46236</v>
      </c>
      <c r="BE54" s="1" t="str">
        <f>两日求解价格与决策!BE246</f>
        <v>-36.000000 MW × 3.850000 × 0.250000 h = -34.650000 EUR</v>
      </c>
      <c r="BF54" s="1" t="str">
        <f>两日求解价格与决策!BF246</f>
        <v>40.000000 MW × 66.224535 × 0.250000 h = 662.245345 EUR</v>
      </c>
      <c r="BG54" s="1" t="str">
        <f>两日求解价格与决策!BG246</f>
        <v>24.000000 MW × 5.482820 × 0.250000 h = 32.896918 EUR</v>
      </c>
      <c r="BH54" s="1" t="str">
        <f>两日求解价格与决策!BH246</f>
        <v>24.000000 MW × 3.007261 × 0.250000 h = 18.043565 EUR</v>
      </c>
      <c r="BI54" s="1" t="str">
        <f>两日求解价格与决策!BI246</f>
        <v>零上调激活电量</v>
      </c>
      <c r="BJ54" s="1" t="str">
        <f>两日求解价格与决策!BJ246</f>
        <v>−(2.916343 MWh × -27.928268) = 81.448405 EUR</v>
      </c>
      <c r="BK54" s="1" t="str">
        <f>两日求解价格与决策!BK246</f>
        <v>-34.650000 + 662.245345 + 32.896918 + 18.043565 + 0.000000 + 81.448405 = 759.984233 EUR</v>
      </c>
    </row>
    <row r="55" spans="1:63" ht="21" customHeight="1" x14ac:dyDescent="0.45">
      <c r="A55" s="13">
        <f>两日求解价格与决策!A247</f>
        <v>46236.479166666664</v>
      </c>
      <c r="B55" s="15">
        <f>两日求解价格与决策!B247</f>
        <v>2.0099999999999998</v>
      </c>
      <c r="C55" s="15">
        <f>两日求解价格与决策!C247</f>
        <v>66.224534522516336</v>
      </c>
      <c r="D55" s="15">
        <f>两日求解价格与决策!D247</f>
        <v>5.4828197358641582</v>
      </c>
      <c r="E55" s="15">
        <f>两日求解价格与决策!E247</f>
        <v>3.0072608770224685</v>
      </c>
      <c r="F55" s="15">
        <f>两日求解价格与决策!F247</f>
        <v>0</v>
      </c>
      <c r="G55" s="15">
        <f>两日求解价格与决策!G247</f>
        <v>-126.7699578831018</v>
      </c>
      <c r="H55" s="15" t="str">
        <f>两日求解价格与决策!H247</f>
        <v>未模拟</v>
      </c>
      <c r="I55" s="16">
        <f>两日求解价格与决策!I247</f>
        <v>42.702165863353969</v>
      </c>
      <c r="J55" s="16">
        <f>两日求解价格与决策!J247</f>
        <v>54.773743463353966</v>
      </c>
      <c r="K55" s="16">
        <f>两日求解价格与决策!K247</f>
        <v>-36</v>
      </c>
      <c r="L55" s="16">
        <f>两日求解价格与决策!L247</f>
        <v>40</v>
      </c>
      <c r="M55" s="16">
        <f>两日求解价格与决策!M247</f>
        <v>24</v>
      </c>
      <c r="N55" s="16">
        <f>两日求解价格与决策!N247</f>
        <v>24</v>
      </c>
      <c r="O55" s="16">
        <f>两日求解价格与决策!O247</f>
        <v>0</v>
      </c>
      <c r="P55" s="16">
        <f>两日求解价格与决策!P247</f>
        <v>4.1212799999999996</v>
      </c>
      <c r="Q55" s="17">
        <f>两日求解价格与决策!Q247</f>
        <v>-18.089999999999996</v>
      </c>
      <c r="R55" s="17">
        <f>两日求解价格与决策!R247</f>
        <v>662.24534522516342</v>
      </c>
      <c r="S55" s="17">
        <f>两日求解价格与决策!S247</f>
        <v>32.896918415184949</v>
      </c>
      <c r="T55" s="17">
        <f>两日求解价格与决策!T247</f>
        <v>18.043565262134813</v>
      </c>
      <c r="U55" s="17">
        <f>两日求解价格与决策!U247</f>
        <v>0</v>
      </c>
      <c r="V55" s="17">
        <f>两日求解价格与决策!V247</f>
        <v>522.45449202446969</v>
      </c>
      <c r="W55" s="17">
        <f>两日求解价格与决策!W247</f>
        <v>1217.5503209269527</v>
      </c>
      <c r="X55" s="12">
        <f>两日求解价格与决策!X247</f>
        <v>1217.550320926953</v>
      </c>
      <c r="Y55" s="19">
        <f>两日求解价格与决策!Y247</f>
        <v>0</v>
      </c>
      <c r="Z55" s="12" t="str">
        <f t="shared" si="1"/>
        <v>正式执行</v>
      </c>
      <c r="AA55" s="12">
        <f>两日求解价格与决策!AA247</f>
        <v>1</v>
      </c>
      <c r="AB55" s="12">
        <f>两日求解价格与决策!AB247</f>
        <v>1</v>
      </c>
      <c r="AC55" s="12">
        <f>两日求解价格与决策!AC247</f>
        <v>0.25</v>
      </c>
      <c r="AD55" s="18">
        <f>两日求解价格与决策!AD247</f>
        <v>0.3125</v>
      </c>
      <c r="AE55" s="18">
        <f>两日求解价格与决策!AE247</f>
        <v>0.13714285714285715</v>
      </c>
      <c r="AF55" s="18">
        <f>两日求解价格与决策!AF247</f>
        <v>0</v>
      </c>
      <c r="AG55" s="18">
        <f>两日求解价格与决策!AG247</f>
        <v>0.68687999999999994</v>
      </c>
      <c r="AH55" s="12">
        <f>两日求解价格与决策!AH247</f>
        <v>175</v>
      </c>
      <c r="AI55" s="12">
        <f>两日求解价格与决策!AI247</f>
        <v>175</v>
      </c>
      <c r="AJ55" s="12">
        <f>两日求解价格与决策!AJ247</f>
        <v>0</v>
      </c>
      <c r="AK55" s="12">
        <f>两日求解价格与决策!AK247</f>
        <v>30.050999999999998</v>
      </c>
      <c r="AL55" s="12">
        <f>两日求解价格与决策!AL247</f>
        <v>71.936000000000007</v>
      </c>
      <c r="AM55" s="12">
        <f>两日求解价格与决策!AM247</f>
        <v>3.3532160000000005E-2</v>
      </c>
      <c r="AN55" s="12">
        <f>两日求解价格与决策!AN247</f>
        <v>13.121279999999999</v>
      </c>
      <c r="AO55" s="12">
        <f>两日求解价格与决策!AO247</f>
        <v>0</v>
      </c>
      <c r="AP55" s="12">
        <f>两日求解价格与决策!AP247</f>
        <v>54.773743463353966</v>
      </c>
      <c r="AQ55" s="19">
        <f>两日求解价格与决策!AQ247</f>
        <v>0</v>
      </c>
      <c r="AR55" s="12">
        <f>两日求解价格与决策!AR247</f>
        <v>5.2473000000000001</v>
      </c>
      <c r="AS55" s="14">
        <f>两日求解价格与决策!AS247</f>
        <v>46234</v>
      </c>
      <c r="AT55" s="13">
        <f>两日求解价格与决策!AT247</f>
        <v>46236.354166666664</v>
      </c>
      <c r="AU55" s="12" t="str">
        <f>两日求解价格与决策!AU247</f>
        <v>2026-08-02_43</v>
      </c>
      <c r="AV55" s="12">
        <f>两日求解价格与决策!AV247</f>
        <v>15</v>
      </c>
      <c r="AW55" s="12" t="str">
        <f>两日求解价格与决策!AW247</f>
        <v>OK</v>
      </c>
      <c r="AX55" s="12">
        <f>两日求解价格与决策!AX247</f>
        <v>128</v>
      </c>
      <c r="AY55" s="12">
        <f>两日求解价格与决策!AY247</f>
        <v>175</v>
      </c>
      <c r="AZ55" s="12">
        <f>两日求解价格与决策!AZ247</f>
        <v>175</v>
      </c>
      <c r="BA55" s="12">
        <f>两日求解价格与决策!BA247</f>
        <v>40</v>
      </c>
      <c r="BB55" s="12">
        <f>两日求解价格与决策!BB247</f>
        <v>24</v>
      </c>
      <c r="BC55" s="12">
        <f>两日求解价格与决策!BC247</f>
        <v>24</v>
      </c>
      <c r="BD55" s="14">
        <f>两日求解价格与决策!BD247</f>
        <v>46236</v>
      </c>
      <c r="BE55" s="1" t="str">
        <f>两日求解价格与决策!BE247</f>
        <v>-36.000000 MW × 2.010000 × 0.250000 h = -18.090000 EUR</v>
      </c>
      <c r="BF55" s="1" t="str">
        <f>两日求解价格与决策!BF247</f>
        <v>40.000000 MW × 66.224535 × 0.250000 h = 662.245345 EUR</v>
      </c>
      <c r="BG55" s="1" t="str">
        <f>两日求解价格与决策!BG247</f>
        <v>24.000000 MW × 5.482820 × 0.250000 h = 32.896918 EUR</v>
      </c>
      <c r="BH55" s="1" t="str">
        <f>两日求解价格与决策!BH247</f>
        <v>24.000000 MW × 3.007261 × 0.250000 h = 18.043565 EUR</v>
      </c>
      <c r="BI55" s="1" t="str">
        <f>两日求解价格与决策!BI247</f>
        <v>零上调激活电量</v>
      </c>
      <c r="BJ55" s="1" t="str">
        <f>两日求解价格与决策!BJ247</f>
        <v>−(4.121280 MWh × -126.769958) = 522.454492 EUR</v>
      </c>
      <c r="BK55" s="1" t="str">
        <f>两日求解价格与决策!BK247</f>
        <v>-18.090000 + 662.245345 + 32.896918 + 18.043565 + 0.000000 + 522.454492 = 1217.550321 EUR</v>
      </c>
    </row>
    <row r="56" spans="1:63" ht="21" customHeight="1" x14ac:dyDescent="0.45">
      <c r="A56" s="13">
        <f>两日求解价格与决策!A248</f>
        <v>46236.489583333336</v>
      </c>
      <c r="B56" s="15">
        <f>两日求解价格与决策!B248</f>
        <v>0.69</v>
      </c>
      <c r="C56" s="15">
        <f>两日求解价格与决策!C248</f>
        <v>66.224534522516336</v>
      </c>
      <c r="D56" s="15">
        <f>两日求解价格与决策!D248</f>
        <v>5.4828197358641582</v>
      </c>
      <c r="E56" s="15">
        <f>两日求解价格与决策!E248</f>
        <v>3.0072608770224685</v>
      </c>
      <c r="F56" s="15">
        <f>两日求解价格与决策!F248</f>
        <v>0</v>
      </c>
      <c r="G56" s="15">
        <f>两日求解价格与决策!G248</f>
        <v>-57.182360452041998</v>
      </c>
      <c r="H56" s="15" t="str">
        <f>两日求解价格与决策!H248</f>
        <v>未模拟</v>
      </c>
      <c r="I56" s="16">
        <f>两日求解价格与决策!I248</f>
        <v>54.773743463353966</v>
      </c>
      <c r="J56" s="16">
        <f>两日求解价格与决策!J248</f>
        <v>67.055648834782531</v>
      </c>
      <c r="K56" s="16">
        <f>两日求解价格与决策!K248</f>
        <v>-36</v>
      </c>
      <c r="L56" s="16">
        <f>两日求解价格与决策!L248</f>
        <v>40</v>
      </c>
      <c r="M56" s="16">
        <f>两日求解价格与决策!M248</f>
        <v>24</v>
      </c>
      <c r="N56" s="16">
        <f>两日求解价格与决策!N248</f>
        <v>24</v>
      </c>
      <c r="O56" s="16">
        <f>两日求解价格与决策!O248</f>
        <v>0</v>
      </c>
      <c r="P56" s="16">
        <f>两日求解价格与决策!P248</f>
        <v>4.3498971428571434</v>
      </c>
      <c r="Q56" s="17">
        <f>两日求解价格与决策!Q248</f>
        <v>-6.2099999999999991</v>
      </c>
      <c r="R56" s="17">
        <f>两日求解价格与决策!R248</f>
        <v>662.24534522516342</v>
      </c>
      <c r="S56" s="17">
        <f>两日求解价格与决策!S248</f>
        <v>32.896918415184949</v>
      </c>
      <c r="T56" s="17">
        <f>两日求解价格与决策!T248</f>
        <v>18.043565262134813</v>
      </c>
      <c r="U56" s="17">
        <f>两日求解价格与决策!U248</f>
        <v>0</v>
      </c>
      <c r="V56" s="17">
        <f>两日求解价格与决策!V248</f>
        <v>248.7373863521648</v>
      </c>
      <c r="W56" s="17">
        <f>两日求解价格与决策!W248</f>
        <v>955.71321525464793</v>
      </c>
      <c r="X56" s="12">
        <f>两日求解价格与决策!X248</f>
        <v>955.71321525464793</v>
      </c>
      <c r="Y56" s="19">
        <f>两日求解价格与决策!Y248</f>
        <v>0</v>
      </c>
      <c r="Z56" s="12" t="str">
        <f t="shared" si="1"/>
        <v>正式执行</v>
      </c>
      <c r="AA56" s="12">
        <f>两日求解价格与决策!AA248</f>
        <v>1</v>
      </c>
      <c r="AB56" s="12">
        <f>两日求解价格与决策!AB248</f>
        <v>1</v>
      </c>
      <c r="AC56" s="12">
        <f>两日求解价格与决策!AC248</f>
        <v>0.25</v>
      </c>
      <c r="AD56" s="18">
        <f>两日求解价格与决策!AD248</f>
        <v>0.3125</v>
      </c>
      <c r="AE56" s="18">
        <f>两日求解价格与决策!AE248</f>
        <v>0.13714285714285715</v>
      </c>
      <c r="AF56" s="18">
        <f>两日求解价格与决策!AF248</f>
        <v>0</v>
      </c>
      <c r="AG56" s="18">
        <f>两日求解价格与决策!AG248</f>
        <v>0.72498285714285715</v>
      </c>
      <c r="AH56" s="12">
        <f>两日求解价格与决策!AH248</f>
        <v>175</v>
      </c>
      <c r="AI56" s="12">
        <f>两日求解价格与决策!AI248</f>
        <v>175</v>
      </c>
      <c r="AJ56" s="12">
        <f>两日求解价格与决策!AJ248</f>
        <v>0</v>
      </c>
      <c r="AK56" s="12">
        <f>两日求解价格与决策!AK248</f>
        <v>31.718</v>
      </c>
      <c r="AL56" s="12">
        <f>两日求解价格与决策!AL248</f>
        <v>71.936000000000007</v>
      </c>
      <c r="AM56" s="12">
        <f>两日求解价格与决策!AM248</f>
        <v>3.4116403809523813E-2</v>
      </c>
      <c r="AN56" s="12">
        <f>两日求解价格与决策!AN248</f>
        <v>13.349897142857143</v>
      </c>
      <c r="AO56" s="12">
        <f>两日求解价格与决策!AO248</f>
        <v>0</v>
      </c>
      <c r="AP56" s="12">
        <f>两日求解价格与决策!AP248</f>
        <v>67.055648834782531</v>
      </c>
      <c r="AQ56" s="19">
        <f>两日求解价格与决策!AQ248</f>
        <v>0</v>
      </c>
      <c r="AR56" s="12">
        <f>两日求解价格与决策!AR248</f>
        <v>5.2473000000000001</v>
      </c>
      <c r="AS56" s="14">
        <f>两日求解价格与决策!AS248</f>
        <v>46234</v>
      </c>
      <c r="AT56" s="13">
        <f>两日求解价格与决策!AT248</f>
        <v>46236.364583333336</v>
      </c>
      <c r="AU56" s="12" t="str">
        <f>两日求解价格与决策!AU248</f>
        <v>2026-08-02_44</v>
      </c>
      <c r="AV56" s="12">
        <f>两日求解价格与决策!AV248</f>
        <v>15</v>
      </c>
      <c r="AW56" s="12" t="str">
        <f>两日求解价格与决策!AW248</f>
        <v>OK</v>
      </c>
      <c r="AX56" s="12">
        <f>两日求解价格与决策!AX248</f>
        <v>128</v>
      </c>
      <c r="AY56" s="12">
        <f>两日求解价格与决策!AY248</f>
        <v>175</v>
      </c>
      <c r="AZ56" s="12">
        <f>两日求解价格与决策!AZ248</f>
        <v>175</v>
      </c>
      <c r="BA56" s="12">
        <f>两日求解价格与决策!BA248</f>
        <v>40</v>
      </c>
      <c r="BB56" s="12">
        <f>两日求解价格与决策!BB248</f>
        <v>24</v>
      </c>
      <c r="BC56" s="12">
        <f>两日求解价格与决策!BC248</f>
        <v>24</v>
      </c>
      <c r="BD56" s="14">
        <f>两日求解价格与决策!BD248</f>
        <v>46236</v>
      </c>
      <c r="BE56" s="1" t="str">
        <f>两日求解价格与决策!BE248</f>
        <v>-36.000000 MW × 0.690000 × 0.250000 h = -6.210000 EUR</v>
      </c>
      <c r="BF56" s="1" t="str">
        <f>两日求解价格与决策!BF248</f>
        <v>40.000000 MW × 66.224535 × 0.250000 h = 662.245345 EUR</v>
      </c>
      <c r="BG56" s="1" t="str">
        <f>两日求解价格与决策!BG248</f>
        <v>24.000000 MW × 5.482820 × 0.250000 h = 32.896918 EUR</v>
      </c>
      <c r="BH56" s="1" t="str">
        <f>两日求解价格与决策!BH248</f>
        <v>24.000000 MW × 3.007261 × 0.250000 h = 18.043565 EUR</v>
      </c>
      <c r="BI56" s="1" t="str">
        <f>两日求解价格与决策!BI248</f>
        <v>零上调激活电量</v>
      </c>
      <c r="BJ56" s="1" t="str">
        <f>两日求解价格与决策!BJ248</f>
        <v>−(4.349897 MWh × -57.182360) = 248.737386 EUR</v>
      </c>
      <c r="BK56" s="1" t="str">
        <f>两日求解价格与决策!BK248</f>
        <v>-6.210000 + 662.245345 + 32.896918 + 18.043565 + 0.000000 + 248.737386 = 955.713215 EUR</v>
      </c>
    </row>
    <row r="57" spans="1:63" ht="21" customHeight="1" x14ac:dyDescent="0.45">
      <c r="A57" s="13">
        <f>两日求解价格与决策!A249</f>
        <v>46236.5</v>
      </c>
      <c r="B57" s="15">
        <f>两日求解价格与决策!B249</f>
        <v>0.51</v>
      </c>
      <c r="C57" s="15">
        <f>两日求解价格与决策!C249</f>
        <v>66.224534522516336</v>
      </c>
      <c r="D57" s="15">
        <f>两日求解价格与决策!D249</f>
        <v>5.5209345758771171</v>
      </c>
      <c r="E57" s="15">
        <f>两日求解价格与决策!E249</f>
        <v>6.8740113963371634</v>
      </c>
      <c r="F57" s="15">
        <f>两日求解价格与决策!F249</f>
        <v>0</v>
      </c>
      <c r="G57" s="15">
        <f>两日求解价格与决策!G249</f>
        <v>-220.84538715148744</v>
      </c>
      <c r="H57" s="15" t="str">
        <f>两日求解价格与决策!H249</f>
        <v>未模拟</v>
      </c>
      <c r="I57" s="16">
        <f>两日求解价格与决策!I249</f>
        <v>67.055648834782531</v>
      </c>
      <c r="J57" s="16">
        <f>两日求解价格与决策!J249</f>
        <v>78.884851120496819</v>
      </c>
      <c r="K57" s="16">
        <f>两日求解价格与决策!K249</f>
        <v>-36</v>
      </c>
      <c r="L57" s="16">
        <f>两日求解价格与决策!L249</f>
        <v>40</v>
      </c>
      <c r="M57" s="16">
        <f>两日求解价格与决策!M249</f>
        <v>24</v>
      </c>
      <c r="N57" s="16">
        <f>两日求解价格与决策!N249</f>
        <v>24</v>
      </c>
      <c r="O57" s="16">
        <f>两日求解价格与决策!O249</f>
        <v>0</v>
      </c>
      <c r="P57" s="16">
        <f>两日求解价格与决策!P249</f>
        <v>3.8578285714285712</v>
      </c>
      <c r="Q57" s="17">
        <f>两日求解价格与决策!Q249</f>
        <v>-4.59</v>
      </c>
      <c r="R57" s="17">
        <f>两日求解价格与决策!R249</f>
        <v>662.24534522516342</v>
      </c>
      <c r="S57" s="17">
        <f>两日求解价格与决策!S249</f>
        <v>33.125607455262703</v>
      </c>
      <c r="T57" s="17">
        <f>两日求解价格与决策!T249</f>
        <v>41.24406837802298</v>
      </c>
      <c r="U57" s="17">
        <f>两日求解价格与决策!U249</f>
        <v>0</v>
      </c>
      <c r="V57" s="17">
        <f>两日求解价格与决策!V249</f>
        <v>851.98364442121249</v>
      </c>
      <c r="W57" s="17">
        <f>两日求解价格与决策!W249</f>
        <v>1584.0086654796617</v>
      </c>
      <c r="X57" s="12">
        <f>两日求解价格与决策!X249</f>
        <v>1584.0086654796617</v>
      </c>
      <c r="Y57" s="19">
        <f>两日求解价格与决策!Y249</f>
        <v>0</v>
      </c>
      <c r="Z57" s="12" t="str">
        <f t="shared" si="1"/>
        <v>正式执行</v>
      </c>
      <c r="AA57" s="12">
        <f>两日求解价格与决策!AA249</f>
        <v>1</v>
      </c>
      <c r="AB57" s="12">
        <f>两日求解价格与决策!AB249</f>
        <v>1</v>
      </c>
      <c r="AC57" s="12">
        <f>两日求解价格与决策!AC249</f>
        <v>0.25</v>
      </c>
      <c r="AD57" s="18">
        <f>两日求解价格与决策!AD249</f>
        <v>0.3125</v>
      </c>
      <c r="AE57" s="18">
        <f>两日求解价格与决策!AE249</f>
        <v>0.13714285714285715</v>
      </c>
      <c r="AF57" s="18">
        <f>两日求解价格与决策!AF249</f>
        <v>0</v>
      </c>
      <c r="AG57" s="18">
        <f>两日求解价格与决策!AG249</f>
        <v>0.64297142857142853</v>
      </c>
      <c r="AH57" s="12">
        <f>两日求解价格与决策!AH249</f>
        <v>175</v>
      </c>
      <c r="AI57" s="12">
        <f>两日求解价格与决策!AI249</f>
        <v>175</v>
      </c>
      <c r="AJ57" s="12">
        <f>两日求解价格与决策!AJ249</f>
        <v>0</v>
      </c>
      <c r="AK57" s="12">
        <f>两日求解价格与决策!AK249</f>
        <v>28.13</v>
      </c>
      <c r="AL57" s="12">
        <f>两日求解价格与决策!AL249</f>
        <v>71.936000000000007</v>
      </c>
      <c r="AM57" s="12">
        <f>两日求解价格与决策!AM249</f>
        <v>3.2858895238095237E-2</v>
      </c>
      <c r="AN57" s="12">
        <f>两日求解价格与决策!AN249</f>
        <v>12.857828571428572</v>
      </c>
      <c r="AO57" s="12">
        <f>两日求解价格与决策!AO249</f>
        <v>0</v>
      </c>
      <c r="AP57" s="12">
        <f>两日求解价格与决策!AP249</f>
        <v>78.884851120496819</v>
      </c>
      <c r="AQ57" s="19">
        <f>两日求解价格与决策!AQ249</f>
        <v>0</v>
      </c>
      <c r="AR57" s="12">
        <f>两日求解价格与决策!AR249</f>
        <v>5.2473000000000001</v>
      </c>
      <c r="AS57" s="14">
        <f>两日求解价格与决策!AS249</f>
        <v>46234</v>
      </c>
      <c r="AT57" s="13">
        <f>两日求解价格与决策!AT249</f>
        <v>46236.375</v>
      </c>
      <c r="AU57" s="12" t="str">
        <f>两日求解价格与决策!AU249</f>
        <v>2026-08-02_45</v>
      </c>
      <c r="AV57" s="12">
        <f>两日求解价格与决策!AV249</f>
        <v>15</v>
      </c>
      <c r="AW57" s="12" t="str">
        <f>两日求解价格与决策!AW249</f>
        <v>OK</v>
      </c>
      <c r="AX57" s="12">
        <f>两日求解价格与决策!AX249</f>
        <v>128</v>
      </c>
      <c r="AY57" s="12">
        <f>两日求解价格与决策!AY249</f>
        <v>175</v>
      </c>
      <c r="AZ57" s="12">
        <f>两日求解价格与决策!AZ249</f>
        <v>175</v>
      </c>
      <c r="BA57" s="12">
        <f>两日求解价格与决策!BA249</f>
        <v>40</v>
      </c>
      <c r="BB57" s="12">
        <f>两日求解价格与决策!BB249</f>
        <v>24</v>
      </c>
      <c r="BC57" s="12">
        <f>两日求解价格与决策!BC249</f>
        <v>24</v>
      </c>
      <c r="BD57" s="14">
        <f>两日求解价格与决策!BD249</f>
        <v>46236</v>
      </c>
      <c r="BE57" s="1" t="str">
        <f>两日求解价格与决策!BE249</f>
        <v>-36.000000 MW × 0.510000 × 0.250000 h = -4.590000 EUR</v>
      </c>
      <c r="BF57" s="1" t="str">
        <f>两日求解价格与决策!BF249</f>
        <v>40.000000 MW × 66.224535 × 0.250000 h = 662.245345 EUR</v>
      </c>
      <c r="BG57" s="1" t="str">
        <f>两日求解价格与决策!BG249</f>
        <v>24.000000 MW × 5.520935 × 0.250000 h = 33.125607 EUR</v>
      </c>
      <c r="BH57" s="1" t="str">
        <f>两日求解价格与决策!BH249</f>
        <v>24.000000 MW × 6.874011 × 0.250000 h = 41.244068 EUR</v>
      </c>
      <c r="BI57" s="1" t="str">
        <f>两日求解价格与决策!BI249</f>
        <v>零上调激活电量</v>
      </c>
      <c r="BJ57" s="1" t="str">
        <f>两日求解价格与决策!BJ249</f>
        <v>−(3.857829 MWh × -220.845387) = 851.983644 EUR</v>
      </c>
      <c r="BK57" s="1" t="str">
        <f>两日求解价格与决策!BK249</f>
        <v>-4.590000 + 662.245345 + 33.125607 + 41.244068 + 0.000000 + 851.983644 = 1584.008665 EUR</v>
      </c>
    </row>
    <row r="58" spans="1:63" ht="21" customHeight="1" x14ac:dyDescent="0.45">
      <c r="A58" s="13">
        <f>两日求解价格与决策!A250</f>
        <v>46236.510416666664</v>
      </c>
      <c r="B58" s="15">
        <f>两日求解价格与决策!B250</f>
        <v>0.69</v>
      </c>
      <c r="C58" s="15">
        <f>两日求解价格与决策!C250</f>
        <v>66.224534522516336</v>
      </c>
      <c r="D58" s="15">
        <f>两日求解价格与决策!D250</f>
        <v>5.5209345758771171</v>
      </c>
      <c r="E58" s="15">
        <f>两日求解价格与决策!E250</f>
        <v>6.8740113963371634</v>
      </c>
      <c r="F58" s="15">
        <f>两日求解价格与决策!F250</f>
        <v>0</v>
      </c>
      <c r="G58" s="15">
        <f>两日求解价格与决策!G250</f>
        <v>-34.273435862252967</v>
      </c>
      <c r="H58" s="15" t="str">
        <f>两日求解价格与决策!H250</f>
        <v>未模拟</v>
      </c>
      <c r="I58" s="16">
        <f>两日求解价格与决策!I250</f>
        <v>78.884851120496819</v>
      </c>
      <c r="J58" s="16">
        <f>两日求解价格与决策!J250</f>
        <v>89.792623463353962</v>
      </c>
      <c r="K58" s="16">
        <f>两日求解价格与决策!K250</f>
        <v>-36</v>
      </c>
      <c r="L58" s="16">
        <f>两日求解价格与决策!L250</f>
        <v>40</v>
      </c>
      <c r="M58" s="16">
        <f>两日求解价格与决策!M250</f>
        <v>24</v>
      </c>
      <c r="N58" s="16">
        <f>两日求解价格与决策!N250</f>
        <v>24</v>
      </c>
      <c r="O58" s="16">
        <f>两日求解价格与决策!O250</f>
        <v>0</v>
      </c>
      <c r="P58" s="16">
        <f>两日求解价格与决策!P250</f>
        <v>2.856274285714286</v>
      </c>
      <c r="Q58" s="17">
        <f>两日求解价格与决策!Q250</f>
        <v>-6.2099999999999991</v>
      </c>
      <c r="R58" s="17">
        <f>两日求解价格与决策!R250</f>
        <v>662.24534522516342</v>
      </c>
      <c r="S58" s="17">
        <f>两日求解价格与决策!S250</f>
        <v>33.125607455262703</v>
      </c>
      <c r="T58" s="17">
        <f>两日求解价格与决策!T250</f>
        <v>41.24406837802298</v>
      </c>
      <c r="U58" s="17">
        <f>两日求解价格与决策!U250</f>
        <v>0</v>
      </c>
      <c r="V58" s="17">
        <f>两日求解价格与决策!V250</f>
        <v>97.894333536430992</v>
      </c>
      <c r="W58" s="17">
        <f>两日求解价格与决策!W250</f>
        <v>828.29935459488013</v>
      </c>
      <c r="X58" s="12">
        <f>两日求解价格与决策!X250</f>
        <v>828.29935459488013</v>
      </c>
      <c r="Y58" s="19">
        <f>两日求解价格与决策!Y250</f>
        <v>0</v>
      </c>
      <c r="Z58" s="12" t="str">
        <f t="shared" si="1"/>
        <v>正式执行</v>
      </c>
      <c r="AA58" s="12">
        <f>两日求解价格与决策!AA250</f>
        <v>1</v>
      </c>
      <c r="AB58" s="12">
        <f>两日求解价格与决策!AB250</f>
        <v>1</v>
      </c>
      <c r="AC58" s="12">
        <f>两日求解价格与决策!AC250</f>
        <v>0.25</v>
      </c>
      <c r="AD58" s="18">
        <f>两日求解价格与决策!AD250</f>
        <v>0.3125</v>
      </c>
      <c r="AE58" s="18">
        <f>两日求解价格与决策!AE250</f>
        <v>0.13714285714285715</v>
      </c>
      <c r="AF58" s="18">
        <f>两日求解价格与决策!AF250</f>
        <v>0</v>
      </c>
      <c r="AG58" s="18">
        <f>两日求解价格与决策!AG250</f>
        <v>0.47604571428571435</v>
      </c>
      <c r="AH58" s="12">
        <f>两日求解价格与决策!AH250</f>
        <v>175</v>
      </c>
      <c r="AI58" s="12">
        <f>两日求解价格与决策!AI250</f>
        <v>175</v>
      </c>
      <c r="AJ58" s="12">
        <f>两日求解价格与决策!AJ250</f>
        <v>0</v>
      </c>
      <c r="AK58" s="12">
        <f>两日求解价格与决策!AK250</f>
        <v>20.827000000000002</v>
      </c>
      <c r="AL58" s="12">
        <f>两日求解价格与决策!AL250</f>
        <v>71.936000000000007</v>
      </c>
      <c r="AM58" s="12">
        <f>两日求解价格与决策!AM250</f>
        <v>3.0299367619047623E-2</v>
      </c>
      <c r="AN58" s="12">
        <f>两日求解价格与决策!AN250</f>
        <v>11.856274285714285</v>
      </c>
      <c r="AO58" s="12">
        <f>两日求解价格与决策!AO250</f>
        <v>0</v>
      </c>
      <c r="AP58" s="12">
        <f>两日求解价格与决策!AP250</f>
        <v>89.792623463353962</v>
      </c>
      <c r="AQ58" s="19">
        <f>两日求解价格与决策!AQ250</f>
        <v>0</v>
      </c>
      <c r="AR58" s="12">
        <f>两日求解价格与决策!AR250</f>
        <v>5.2473000000000001</v>
      </c>
      <c r="AS58" s="14">
        <f>两日求解价格与决策!AS250</f>
        <v>46234</v>
      </c>
      <c r="AT58" s="13">
        <f>两日求解价格与决策!AT250</f>
        <v>46236.385416666664</v>
      </c>
      <c r="AU58" s="12" t="str">
        <f>两日求解价格与决策!AU250</f>
        <v>2026-08-02_46</v>
      </c>
      <c r="AV58" s="12">
        <f>两日求解价格与决策!AV250</f>
        <v>15</v>
      </c>
      <c r="AW58" s="12" t="str">
        <f>两日求解价格与决策!AW250</f>
        <v>OK</v>
      </c>
      <c r="AX58" s="12">
        <f>两日求解价格与决策!AX250</f>
        <v>128</v>
      </c>
      <c r="AY58" s="12">
        <f>两日求解价格与决策!AY250</f>
        <v>175</v>
      </c>
      <c r="AZ58" s="12">
        <f>两日求解价格与决策!AZ250</f>
        <v>175</v>
      </c>
      <c r="BA58" s="12">
        <f>两日求解价格与决策!BA250</f>
        <v>40</v>
      </c>
      <c r="BB58" s="12">
        <f>两日求解价格与决策!BB250</f>
        <v>24</v>
      </c>
      <c r="BC58" s="12">
        <f>两日求解价格与决策!BC250</f>
        <v>24</v>
      </c>
      <c r="BD58" s="14">
        <f>两日求解价格与决策!BD250</f>
        <v>46236</v>
      </c>
      <c r="BE58" s="1" t="str">
        <f>两日求解价格与决策!BE250</f>
        <v>-36.000000 MW × 0.690000 × 0.250000 h = -6.210000 EUR</v>
      </c>
      <c r="BF58" s="1" t="str">
        <f>两日求解价格与决策!BF250</f>
        <v>40.000000 MW × 66.224535 × 0.250000 h = 662.245345 EUR</v>
      </c>
      <c r="BG58" s="1" t="str">
        <f>两日求解价格与决策!BG250</f>
        <v>24.000000 MW × 5.520935 × 0.250000 h = 33.125607 EUR</v>
      </c>
      <c r="BH58" s="1" t="str">
        <f>两日求解价格与决策!BH250</f>
        <v>24.000000 MW × 6.874011 × 0.250000 h = 41.244068 EUR</v>
      </c>
      <c r="BI58" s="1" t="str">
        <f>两日求解价格与决策!BI250</f>
        <v>零上调激活电量</v>
      </c>
      <c r="BJ58" s="1" t="str">
        <f>两日求解价格与决策!BJ250</f>
        <v>−(2.856274 MWh × -34.273436) = 97.894334 EUR</v>
      </c>
      <c r="BK58" s="1" t="str">
        <f>两日求解价格与决策!BK250</f>
        <v>-6.210000 + 662.245345 + 33.125607 + 41.244068 + 0.000000 + 97.894334 = 828.299355 EUR</v>
      </c>
    </row>
    <row r="59" spans="1:63" ht="21" customHeight="1" x14ac:dyDescent="0.45">
      <c r="A59" s="13">
        <f>两日求解价格与决策!A251</f>
        <v>46236.520833333336</v>
      </c>
      <c r="B59" s="15">
        <f>两日求解价格与决策!B251</f>
        <v>1.95</v>
      </c>
      <c r="C59" s="15">
        <f>两日求解价格与决策!C251</f>
        <v>66.224534522516336</v>
      </c>
      <c r="D59" s="15">
        <f>两日求解价格与决策!D251</f>
        <v>5.5209345758771171</v>
      </c>
      <c r="E59" s="15">
        <f>两日求解价格与决策!E251</f>
        <v>6.8740113963371634</v>
      </c>
      <c r="F59" s="15">
        <f>两日求解价格与决策!F251</f>
        <v>0</v>
      </c>
      <c r="G59" s="15">
        <f>两日求解价格与决策!G251</f>
        <v>8.5459188535056132</v>
      </c>
      <c r="H59" s="15" t="str">
        <f>两日求解价格与决策!H251</f>
        <v>未模拟</v>
      </c>
      <c r="I59" s="16">
        <f>两日求解价格与决策!I251</f>
        <v>89.792623463353962</v>
      </c>
      <c r="J59" s="16">
        <f>两日求解价格与决策!J251</f>
        <v>99.291565634782543</v>
      </c>
      <c r="K59" s="16">
        <f>两日求解价格与决策!K251</f>
        <v>-36</v>
      </c>
      <c r="L59" s="16">
        <f>两日求解价格与决策!L251</f>
        <v>40</v>
      </c>
      <c r="M59" s="16">
        <f>两日求解价格与决策!M251</f>
        <v>24</v>
      </c>
      <c r="N59" s="16">
        <f>两日求解价格与决策!N251</f>
        <v>24</v>
      </c>
      <c r="O59" s="16">
        <f>两日求解价格与决策!O251</f>
        <v>0</v>
      </c>
      <c r="P59" s="16">
        <f>两日求解价格与决策!P251</f>
        <v>1.3249371428571428</v>
      </c>
      <c r="Q59" s="17">
        <f>两日求解价格与决策!Q251</f>
        <v>-17.55</v>
      </c>
      <c r="R59" s="17">
        <f>两日求解价格与决策!R251</f>
        <v>662.24534522516342</v>
      </c>
      <c r="S59" s="17">
        <f>两日求解价格与决策!S251</f>
        <v>33.125607455262703</v>
      </c>
      <c r="T59" s="17">
        <f>两日求解价格与决策!T251</f>
        <v>41.24406837802298</v>
      </c>
      <c r="U59" s="17">
        <f>两日求解价格与决策!U251</f>
        <v>0</v>
      </c>
      <c r="V59" s="17">
        <f>两日求解价格与决策!V251</f>
        <v>-11.322805308852717</v>
      </c>
      <c r="W59" s="17">
        <f>两日求解价格与决策!W251</f>
        <v>707.74221574959654</v>
      </c>
      <c r="X59" s="12">
        <f>两日求解价格与决策!X251</f>
        <v>707.74221574959643</v>
      </c>
      <c r="Y59" s="19">
        <f>两日求解价格与决策!Y251</f>
        <v>0</v>
      </c>
      <c r="Z59" s="12" t="str">
        <f t="shared" si="1"/>
        <v>正式执行</v>
      </c>
      <c r="AA59" s="12">
        <f>两日求解价格与决策!AA251</f>
        <v>1</v>
      </c>
      <c r="AB59" s="12">
        <f>两日求解价格与决策!AB251</f>
        <v>1</v>
      </c>
      <c r="AC59" s="12">
        <f>两日求解价格与决策!AC251</f>
        <v>0.25</v>
      </c>
      <c r="AD59" s="18">
        <f>两日求解价格与决策!AD251</f>
        <v>0.3125</v>
      </c>
      <c r="AE59" s="18">
        <f>两日求解价格与决策!AE251</f>
        <v>0.13714285714285715</v>
      </c>
      <c r="AF59" s="18">
        <f>两日求解价格与决策!AF251</f>
        <v>0</v>
      </c>
      <c r="AG59" s="18">
        <f>两日求解价格与决策!AG251</f>
        <v>0.22082285714285713</v>
      </c>
      <c r="AH59" s="12">
        <f>两日求解价格与决策!AH251</f>
        <v>175</v>
      </c>
      <c r="AI59" s="12">
        <f>两日求解价格与决策!AI251</f>
        <v>175</v>
      </c>
      <c r="AJ59" s="12">
        <f>两日求解价格与决策!AJ251</f>
        <v>0</v>
      </c>
      <c r="AK59" s="12">
        <f>两日求解价格与决策!AK251</f>
        <v>9.6609999999999996</v>
      </c>
      <c r="AL59" s="12">
        <f>两日求解价格与决策!AL251</f>
        <v>71.936000000000007</v>
      </c>
      <c r="AM59" s="12">
        <f>两日求解价格与决策!AM251</f>
        <v>2.6385950476190481E-2</v>
      </c>
      <c r="AN59" s="12">
        <f>两日求解价格与决策!AN251</f>
        <v>10.324937142857143</v>
      </c>
      <c r="AO59" s="12">
        <f>两日求解价格与决策!AO251</f>
        <v>0</v>
      </c>
      <c r="AP59" s="12">
        <f>两日求解价格与决策!AP251</f>
        <v>99.291565634782543</v>
      </c>
      <c r="AQ59" s="19">
        <f>两日求解价格与决策!AQ251</f>
        <v>0</v>
      </c>
      <c r="AR59" s="12">
        <f>两日求解价格与决策!AR251</f>
        <v>5.2473000000000001</v>
      </c>
      <c r="AS59" s="14">
        <f>两日求解价格与决策!AS251</f>
        <v>46234</v>
      </c>
      <c r="AT59" s="13">
        <f>两日求解价格与决策!AT251</f>
        <v>46236.395833333336</v>
      </c>
      <c r="AU59" s="12" t="str">
        <f>两日求解价格与决策!AU251</f>
        <v>2026-08-02_47</v>
      </c>
      <c r="AV59" s="12">
        <f>两日求解价格与决策!AV251</f>
        <v>15</v>
      </c>
      <c r="AW59" s="12" t="str">
        <f>两日求解价格与决策!AW251</f>
        <v>OK</v>
      </c>
      <c r="AX59" s="12">
        <f>两日求解价格与决策!AX251</f>
        <v>128</v>
      </c>
      <c r="AY59" s="12">
        <f>两日求解价格与决策!AY251</f>
        <v>175</v>
      </c>
      <c r="AZ59" s="12">
        <f>两日求解价格与决策!AZ251</f>
        <v>175</v>
      </c>
      <c r="BA59" s="12">
        <f>两日求解价格与决策!BA251</f>
        <v>40</v>
      </c>
      <c r="BB59" s="12">
        <f>两日求解价格与决策!BB251</f>
        <v>24</v>
      </c>
      <c r="BC59" s="12">
        <f>两日求解价格与决策!BC251</f>
        <v>24</v>
      </c>
      <c r="BD59" s="14">
        <f>两日求解价格与决策!BD251</f>
        <v>46236</v>
      </c>
      <c r="BE59" s="1" t="str">
        <f>两日求解价格与决策!BE251</f>
        <v>-36.000000 MW × 1.950000 × 0.250000 h = -17.550000 EUR</v>
      </c>
      <c r="BF59" s="1" t="str">
        <f>两日求解价格与决策!BF251</f>
        <v>40.000000 MW × 66.224535 × 0.250000 h = 662.245345 EUR</v>
      </c>
      <c r="BG59" s="1" t="str">
        <f>两日求解价格与决策!BG251</f>
        <v>24.000000 MW × 5.520935 × 0.250000 h = 33.125607 EUR</v>
      </c>
      <c r="BH59" s="1" t="str">
        <f>两日求解价格与决策!BH251</f>
        <v>24.000000 MW × 6.874011 × 0.250000 h = 41.244068 EUR</v>
      </c>
      <c r="BI59" s="1" t="str">
        <f>两日求解价格与决策!BI251</f>
        <v>零上调激活电量</v>
      </c>
      <c r="BJ59" s="1" t="str">
        <f>两日求解价格与决策!BJ251</f>
        <v>−(1.324937 MWh × 8.545919) = -11.322805 EUR</v>
      </c>
      <c r="BK59" s="1" t="str">
        <f>两日求解价格与决策!BK251</f>
        <v>-17.550000 + 662.245345 + 33.125607 + 41.244068 + 0.000000 + -11.322805 = 707.742216 EUR</v>
      </c>
    </row>
    <row r="60" spans="1:63" ht="21" customHeight="1" x14ac:dyDescent="0.45">
      <c r="A60" s="13">
        <f>两日求解价格与决策!A252</f>
        <v>46236.53125</v>
      </c>
      <c r="B60" s="15">
        <f>两日求解价格与决策!B252</f>
        <v>2.4300000000000002</v>
      </c>
      <c r="C60" s="15">
        <f>两日求解价格与决策!C252</f>
        <v>66.224534522516336</v>
      </c>
      <c r="D60" s="15">
        <f>两日求解价格与决策!D252</f>
        <v>5.5209345758771171</v>
      </c>
      <c r="E60" s="15">
        <f>两日求解价格与决策!E252</f>
        <v>6.8740113963371634</v>
      </c>
      <c r="F60" s="15">
        <f>两日求解价格与决策!F252</f>
        <v>0</v>
      </c>
      <c r="G60" s="15">
        <f>两日求解价格与决策!G252</f>
        <v>-23.469403312179598</v>
      </c>
      <c r="H60" s="15" t="str">
        <f>两日求解价格与决策!H252</f>
        <v>未模拟</v>
      </c>
      <c r="I60" s="16">
        <f>两日求解价格与决策!I252</f>
        <v>99.291565634782543</v>
      </c>
      <c r="J60" s="16">
        <f>两日求解价格与决策!J252</f>
        <v>109.49429203478255</v>
      </c>
      <c r="K60" s="16">
        <f>两日求解价格与决策!K252</f>
        <v>-36</v>
      </c>
      <c r="L60" s="16">
        <f>两日求解价格与决策!L252</f>
        <v>40</v>
      </c>
      <c r="M60" s="16">
        <f>两日求解价格与决策!M252</f>
        <v>24</v>
      </c>
      <c r="N60" s="16">
        <f>两日求解价格与决策!N252</f>
        <v>24</v>
      </c>
      <c r="O60" s="16">
        <f>两日求解价格与决策!O252</f>
        <v>0</v>
      </c>
      <c r="P60" s="16">
        <f>两日求解价格与决策!P252</f>
        <v>2.0899200000000002</v>
      </c>
      <c r="Q60" s="17">
        <f>两日求解价格与决策!Q252</f>
        <v>-21.87</v>
      </c>
      <c r="R60" s="17">
        <f>两日求解价格与决策!R252</f>
        <v>662.24534522516342</v>
      </c>
      <c r="S60" s="17">
        <f>两日求解价格与决策!S252</f>
        <v>33.125607455262703</v>
      </c>
      <c r="T60" s="17">
        <f>两日求解价格与决策!T252</f>
        <v>41.24406837802298</v>
      </c>
      <c r="U60" s="17">
        <f>两日求解价格与决策!U252</f>
        <v>0</v>
      </c>
      <c r="V60" s="17">
        <f>两日求解价格与决策!V252</f>
        <v>49.04917537019039</v>
      </c>
      <c r="W60" s="17">
        <f>两日求解价格与决策!W252</f>
        <v>763.79419642863957</v>
      </c>
      <c r="X60" s="12">
        <f>两日求解价格与决策!X252</f>
        <v>763.79419642863945</v>
      </c>
      <c r="Y60" s="19">
        <f>两日求解价格与决策!Y252</f>
        <v>0</v>
      </c>
      <c r="Z60" s="12" t="str">
        <f t="shared" si="1"/>
        <v>正式执行</v>
      </c>
      <c r="AA60" s="12">
        <f>两日求解价格与决策!AA252</f>
        <v>1</v>
      </c>
      <c r="AB60" s="12">
        <f>两日求解价格与决策!AB252</f>
        <v>1</v>
      </c>
      <c r="AC60" s="12">
        <f>两日求解价格与决策!AC252</f>
        <v>0.25</v>
      </c>
      <c r="AD60" s="18">
        <f>两日求解价格与决策!AD252</f>
        <v>0.3125</v>
      </c>
      <c r="AE60" s="18">
        <f>两日求解价格与决策!AE252</f>
        <v>0.13714285714285715</v>
      </c>
      <c r="AF60" s="18">
        <f>两日求解价格与决策!AF252</f>
        <v>0</v>
      </c>
      <c r="AG60" s="18">
        <f>两日求解价格与决策!AG252</f>
        <v>0.34832000000000002</v>
      </c>
      <c r="AH60" s="12">
        <f>两日求解价格与决策!AH252</f>
        <v>175</v>
      </c>
      <c r="AI60" s="12">
        <f>两日求解价格与决策!AI252</f>
        <v>175</v>
      </c>
      <c r="AJ60" s="12">
        <f>两日求解价格与决策!AJ252</f>
        <v>0</v>
      </c>
      <c r="AK60" s="12">
        <f>两日求解价格与决策!AK252</f>
        <v>15.239000000000001</v>
      </c>
      <c r="AL60" s="12">
        <f>两日求解价格与决策!AL252</f>
        <v>71.936000000000007</v>
      </c>
      <c r="AM60" s="12">
        <f>两日求解价格与决策!AM252</f>
        <v>2.8340906666666672E-2</v>
      </c>
      <c r="AN60" s="12">
        <f>两日求解价格与决策!AN252</f>
        <v>11.089919999999999</v>
      </c>
      <c r="AO60" s="12">
        <f>两日求解价格与决策!AO252</f>
        <v>0</v>
      </c>
      <c r="AP60" s="12">
        <f>两日求解价格与决策!AP252</f>
        <v>109.49429203478255</v>
      </c>
      <c r="AQ60" s="19">
        <f>两日求解价格与决策!AQ252</f>
        <v>0</v>
      </c>
      <c r="AR60" s="12">
        <f>两日求解价格与决策!AR252</f>
        <v>5.2473000000000001</v>
      </c>
      <c r="AS60" s="14">
        <f>两日求解价格与决策!AS252</f>
        <v>46234</v>
      </c>
      <c r="AT60" s="13">
        <f>两日求解价格与决策!AT252</f>
        <v>46236.40625</v>
      </c>
      <c r="AU60" s="12" t="str">
        <f>两日求解价格与决策!AU252</f>
        <v>2026-08-02_48</v>
      </c>
      <c r="AV60" s="12">
        <f>两日求解价格与决策!AV252</f>
        <v>15</v>
      </c>
      <c r="AW60" s="12" t="str">
        <f>两日求解价格与决策!AW252</f>
        <v>OK</v>
      </c>
      <c r="AX60" s="12">
        <f>两日求解价格与决策!AX252</f>
        <v>128</v>
      </c>
      <c r="AY60" s="12">
        <f>两日求解价格与决策!AY252</f>
        <v>175</v>
      </c>
      <c r="AZ60" s="12">
        <f>两日求解价格与决策!AZ252</f>
        <v>175</v>
      </c>
      <c r="BA60" s="12">
        <f>两日求解价格与决策!BA252</f>
        <v>40</v>
      </c>
      <c r="BB60" s="12">
        <f>两日求解价格与决策!BB252</f>
        <v>24</v>
      </c>
      <c r="BC60" s="12">
        <f>两日求解价格与决策!BC252</f>
        <v>24</v>
      </c>
      <c r="BD60" s="14">
        <f>两日求解价格与决策!BD252</f>
        <v>46236</v>
      </c>
      <c r="BE60" s="1" t="str">
        <f>两日求解价格与决策!BE252</f>
        <v>-36.000000 MW × 2.430000 × 0.250000 h = -21.870000 EUR</v>
      </c>
      <c r="BF60" s="1" t="str">
        <f>两日求解价格与决策!BF252</f>
        <v>40.000000 MW × 66.224535 × 0.250000 h = 662.245345 EUR</v>
      </c>
      <c r="BG60" s="1" t="str">
        <f>两日求解价格与决策!BG252</f>
        <v>24.000000 MW × 5.520935 × 0.250000 h = 33.125607 EUR</v>
      </c>
      <c r="BH60" s="1" t="str">
        <f>两日求解价格与决策!BH252</f>
        <v>24.000000 MW × 6.874011 × 0.250000 h = 41.244068 EUR</v>
      </c>
      <c r="BI60" s="1" t="str">
        <f>两日求解价格与决策!BI252</f>
        <v>零上调激活电量</v>
      </c>
      <c r="BJ60" s="1" t="str">
        <f>两日求解价格与决策!BJ252</f>
        <v>−(2.089920 MWh × -23.469403) = 49.049175 EUR</v>
      </c>
      <c r="BK60" s="1" t="str">
        <f>两日求解价格与决策!BK252</f>
        <v>-21.870000 + 662.245345 + 33.125607 + 41.244068 + 0.000000 + 49.049175 = 763.794196 EUR</v>
      </c>
    </row>
    <row r="61" spans="1:63" ht="21" customHeight="1" x14ac:dyDescent="0.45">
      <c r="A61" s="13">
        <f>两日求解价格与决策!A253</f>
        <v>46236.541666666664</v>
      </c>
      <c r="B61" s="15">
        <f>两日求解价格与决策!B253</f>
        <v>3.03</v>
      </c>
      <c r="C61" s="15">
        <f>两日求解价格与决策!C253</f>
        <v>66.224534522516336</v>
      </c>
      <c r="D61" s="15">
        <f>两日求解价格与决策!D253</f>
        <v>5.4732910258609184</v>
      </c>
      <c r="E61" s="15">
        <f>两日求解价格与决策!E253</f>
        <v>6.8606712023326279</v>
      </c>
      <c r="F61" s="15">
        <f>两日求解价格与决策!F253</f>
        <v>0</v>
      </c>
      <c r="G61" s="15">
        <f>两日求解价格与决策!G253</f>
        <v>34.425514073904672</v>
      </c>
      <c r="H61" s="15" t="str">
        <f>两日求解价格与决策!H253</f>
        <v>未模拟</v>
      </c>
      <c r="I61" s="16">
        <f>两日求解价格与决策!I253</f>
        <v>109.49429203478255</v>
      </c>
      <c r="J61" s="16">
        <f>两日求解价格与决策!J253</f>
        <v>118.27557112049683</v>
      </c>
      <c r="K61" s="16">
        <f>两日求解价格与决策!K253</f>
        <v>-36</v>
      </c>
      <c r="L61" s="16">
        <f>两日求解价格与决策!L253</f>
        <v>40</v>
      </c>
      <c r="M61" s="16">
        <f>两日求解价格与决策!M253</f>
        <v>24</v>
      </c>
      <c r="N61" s="16">
        <f>两日求解价格与决策!N253</f>
        <v>24</v>
      </c>
      <c r="O61" s="16">
        <f>两日求解价格与决策!O253</f>
        <v>0</v>
      </c>
      <c r="P61" s="16">
        <f>两日求解价格与决策!P253</f>
        <v>0.54486857142857148</v>
      </c>
      <c r="Q61" s="17">
        <f>两日求解价格与决策!Q253</f>
        <v>-27.27</v>
      </c>
      <c r="R61" s="17">
        <f>两日求解价格与决策!R253</f>
        <v>662.24534522516342</v>
      </c>
      <c r="S61" s="17">
        <f>两日求解价格与决策!S253</f>
        <v>32.839746155165514</v>
      </c>
      <c r="T61" s="17">
        <f>两日求解价格与决策!T253</f>
        <v>41.164027213995766</v>
      </c>
      <c r="U61" s="17">
        <f>两日求解价格与决策!U253</f>
        <v>0</v>
      </c>
      <c r="V61" s="17">
        <f>两日求解价格与决策!V253</f>
        <v>-18.75738067414262</v>
      </c>
      <c r="W61" s="17">
        <f>两日求解价格与决策!W253</f>
        <v>690.22173792018202</v>
      </c>
      <c r="X61" s="12">
        <f>两日求解价格与决策!X253</f>
        <v>690.22173792018202</v>
      </c>
      <c r="Y61" s="19">
        <f>两日求解价格与决策!Y253</f>
        <v>0</v>
      </c>
      <c r="Z61" s="12" t="str">
        <f t="shared" si="1"/>
        <v>正式执行</v>
      </c>
      <c r="AA61" s="12">
        <f>两日求解价格与决策!AA253</f>
        <v>1</v>
      </c>
      <c r="AB61" s="12">
        <f>两日求解价格与决策!AB253</f>
        <v>1</v>
      </c>
      <c r="AC61" s="12">
        <f>两日求解价格与决策!AC253</f>
        <v>0.25</v>
      </c>
      <c r="AD61" s="18">
        <f>两日求解价格与决策!AD253</f>
        <v>0.3125</v>
      </c>
      <c r="AE61" s="18">
        <f>两日求解价格与决策!AE253</f>
        <v>0.13714285714285715</v>
      </c>
      <c r="AF61" s="18">
        <f>两日求解价格与决策!AF253</f>
        <v>0</v>
      </c>
      <c r="AG61" s="18">
        <f>两日求解价格与决策!AG253</f>
        <v>9.0811428571428571E-2</v>
      </c>
      <c r="AH61" s="12">
        <f>两日求解价格与决策!AH253</f>
        <v>175</v>
      </c>
      <c r="AI61" s="12">
        <f>两日求解价格与决策!AI253</f>
        <v>175</v>
      </c>
      <c r="AJ61" s="12">
        <f>两日求解价格与决策!AJ253</f>
        <v>0</v>
      </c>
      <c r="AK61" s="12">
        <f>两日求解价格与决策!AK253</f>
        <v>3.9729999999999999</v>
      </c>
      <c r="AL61" s="12">
        <f>两日求解价格与决策!AL253</f>
        <v>71.936000000000007</v>
      </c>
      <c r="AM61" s="12">
        <f>两日求解价格与决策!AM253</f>
        <v>2.4392441904761905E-2</v>
      </c>
      <c r="AN61" s="12">
        <f>两日求解价格与决策!AN253</f>
        <v>9.544868571428573</v>
      </c>
      <c r="AO61" s="12">
        <f>两日求解价格与决策!AO253</f>
        <v>0</v>
      </c>
      <c r="AP61" s="12">
        <f>两日求解价格与决策!AP253</f>
        <v>118.27557112049683</v>
      </c>
      <c r="AQ61" s="19">
        <f>两日求解价格与决策!AQ253</f>
        <v>0</v>
      </c>
      <c r="AR61" s="12">
        <f>两日求解价格与决策!AR253</f>
        <v>5.2473000000000001</v>
      </c>
      <c r="AS61" s="14">
        <f>两日求解价格与决策!AS253</f>
        <v>46234</v>
      </c>
      <c r="AT61" s="13">
        <f>两日求解价格与决策!AT253</f>
        <v>46236.416666666664</v>
      </c>
      <c r="AU61" s="12" t="str">
        <f>两日求解价格与决策!AU253</f>
        <v>2026-08-02_49</v>
      </c>
      <c r="AV61" s="12">
        <f>两日求解价格与决策!AV253</f>
        <v>15</v>
      </c>
      <c r="AW61" s="12" t="str">
        <f>两日求解价格与决策!AW253</f>
        <v>OK</v>
      </c>
      <c r="AX61" s="12">
        <f>两日求解价格与决策!AX253</f>
        <v>128</v>
      </c>
      <c r="AY61" s="12">
        <f>两日求解价格与决策!AY253</f>
        <v>175</v>
      </c>
      <c r="AZ61" s="12">
        <f>两日求解价格与决策!AZ253</f>
        <v>175</v>
      </c>
      <c r="BA61" s="12">
        <f>两日求解价格与决策!BA253</f>
        <v>40</v>
      </c>
      <c r="BB61" s="12">
        <f>两日求解价格与决策!BB253</f>
        <v>24</v>
      </c>
      <c r="BC61" s="12">
        <f>两日求解价格与决策!BC253</f>
        <v>24</v>
      </c>
      <c r="BD61" s="14">
        <f>两日求解价格与决策!BD253</f>
        <v>46236</v>
      </c>
      <c r="BE61" s="1" t="str">
        <f>两日求解价格与决策!BE253</f>
        <v>-36.000000 MW × 3.030000 × 0.250000 h = -27.270000 EUR</v>
      </c>
      <c r="BF61" s="1" t="str">
        <f>两日求解价格与决策!BF253</f>
        <v>40.000000 MW × 66.224535 × 0.250000 h = 662.245345 EUR</v>
      </c>
      <c r="BG61" s="1" t="str">
        <f>两日求解价格与决策!BG253</f>
        <v>24.000000 MW × 5.473291 × 0.250000 h = 32.839746 EUR</v>
      </c>
      <c r="BH61" s="1" t="str">
        <f>两日求解价格与决策!BH253</f>
        <v>24.000000 MW × 6.860671 × 0.250000 h = 41.164027 EUR</v>
      </c>
      <c r="BI61" s="1" t="str">
        <f>两日求解价格与决策!BI253</f>
        <v>零上调激活电量</v>
      </c>
      <c r="BJ61" s="1" t="str">
        <f>两日求解价格与决策!BJ253</f>
        <v>−(0.544869 MWh × 34.425514) = -18.757381 EUR</v>
      </c>
      <c r="BK61" s="1" t="str">
        <f>两日求解价格与决策!BK253</f>
        <v>-27.270000 + 662.245345 + 32.839746 + 41.164027 + 0.000000 + -18.757381 = 690.221738 EUR</v>
      </c>
    </row>
    <row r="62" spans="1:63" ht="21" customHeight="1" x14ac:dyDescent="0.45">
      <c r="A62" s="13">
        <f>两日求解价格与决策!A254</f>
        <v>46236.552083333336</v>
      </c>
      <c r="B62" s="15">
        <f>两日求解价格与决策!B254</f>
        <v>3</v>
      </c>
      <c r="C62" s="15">
        <f>两日求解价格与决策!C254</f>
        <v>66.224534522516336</v>
      </c>
      <c r="D62" s="15">
        <f>两日求解价格与决策!D254</f>
        <v>5.4732910258609184</v>
      </c>
      <c r="E62" s="15">
        <f>两日求解价格与决策!E254</f>
        <v>6.8606712023326279</v>
      </c>
      <c r="F62" s="15">
        <f>两日求解价格与决策!F254</f>
        <v>89.209688792331292</v>
      </c>
      <c r="G62" s="15">
        <f>两日求解价格与决策!G254</f>
        <v>12.709012253921065</v>
      </c>
      <c r="H62" s="15" t="str">
        <f>两日求解价格与决策!H254</f>
        <v>未模拟</v>
      </c>
      <c r="I62" s="16">
        <f>两日求解价格与决策!I254</f>
        <v>118.27557112049683</v>
      </c>
      <c r="J62" s="16">
        <f>两日求解价格与决策!J254</f>
        <v>126.94556700621112</v>
      </c>
      <c r="K62" s="16">
        <f>两日求解价格与决策!K254</f>
        <v>-36</v>
      </c>
      <c r="L62" s="16">
        <f>两日求解价格与决策!L254</f>
        <v>40</v>
      </c>
      <c r="M62" s="16">
        <f>两日求解价格与决策!M254</f>
        <v>24</v>
      </c>
      <c r="N62" s="16">
        <f>两日求解价格与决策!N254</f>
        <v>24</v>
      </c>
      <c r="O62" s="16">
        <f>两日求解价格与决策!O254</f>
        <v>5.7600000000000004E-3</v>
      </c>
      <c r="P62" s="16">
        <f>两日求解价格与决策!P254</f>
        <v>0.42966857142857146</v>
      </c>
      <c r="Q62" s="17">
        <f>两日求解价格与决策!Q254</f>
        <v>-27</v>
      </c>
      <c r="R62" s="17">
        <f>两日求解价格与决策!R254</f>
        <v>662.24534522516342</v>
      </c>
      <c r="S62" s="17">
        <f>两日求解价格与决策!S254</f>
        <v>32.839746155165514</v>
      </c>
      <c r="T62" s="17">
        <f>两日求解价格与决策!T254</f>
        <v>41.164027213995766</v>
      </c>
      <c r="U62" s="17">
        <f>两日求解价格与决策!U254</f>
        <v>0.5138478074438283</v>
      </c>
      <c r="V62" s="17">
        <f>两日求解价格与决策!V254</f>
        <v>-5.4606631394104728</v>
      </c>
      <c r="W62" s="17">
        <f>两日求解价格与决策!W254</f>
        <v>704.30230326235801</v>
      </c>
      <c r="X62" s="12">
        <f>两日求解价格与决策!X254</f>
        <v>704.30230326235801</v>
      </c>
      <c r="Y62" s="19">
        <f>两日求解价格与决策!Y254</f>
        <v>0</v>
      </c>
      <c r="Z62" s="12" t="str">
        <f t="shared" si="1"/>
        <v>正式执行</v>
      </c>
      <c r="AA62" s="12">
        <f>两日求解价格与决策!AA254</f>
        <v>1</v>
      </c>
      <c r="AB62" s="12">
        <f>两日求解价格与决策!AB254</f>
        <v>1</v>
      </c>
      <c r="AC62" s="12">
        <f>两日求解价格与决策!AC254</f>
        <v>0.25</v>
      </c>
      <c r="AD62" s="18">
        <f>两日求解价格与决策!AD254</f>
        <v>0.3125</v>
      </c>
      <c r="AE62" s="18">
        <f>两日求解价格与决策!AE254</f>
        <v>0.13714285714285715</v>
      </c>
      <c r="AF62" s="18">
        <f>两日求解价格与决策!AF254</f>
        <v>9.6000000000000002E-4</v>
      </c>
      <c r="AG62" s="18">
        <f>两日求解价格与决策!AG254</f>
        <v>7.1611428571428576E-2</v>
      </c>
      <c r="AH62" s="12">
        <f>两日求解价格与决策!AH254</f>
        <v>175</v>
      </c>
      <c r="AI62" s="12">
        <f>两日求解价格与决策!AI254</f>
        <v>175</v>
      </c>
      <c r="AJ62" s="12">
        <f>两日求解价格与决策!AJ254</f>
        <v>4.2000000000000003E-2</v>
      </c>
      <c r="AK62" s="12">
        <f>两日求解价格与决策!AK254</f>
        <v>3.133</v>
      </c>
      <c r="AL62" s="12">
        <f>两日求解价格与决策!AL254</f>
        <v>71.936000000000007</v>
      </c>
      <c r="AM62" s="12">
        <f>两日求解价格与决策!AM254</f>
        <v>2.4083321904761909E-2</v>
      </c>
      <c r="AN62" s="12">
        <f>两日求解价格与决策!AN254</f>
        <v>9.4239085714285711</v>
      </c>
      <c r="AO62" s="12">
        <f>两日求解价格与决策!AO254</f>
        <v>0</v>
      </c>
      <c r="AP62" s="12">
        <f>两日求解价格与决策!AP254</f>
        <v>126.94556700621112</v>
      </c>
      <c r="AQ62" s="19">
        <f>两日求解价格与决策!AQ254</f>
        <v>0</v>
      </c>
      <c r="AR62" s="12">
        <f>两日求解价格与决策!AR254</f>
        <v>5.2473000000000001</v>
      </c>
      <c r="AS62" s="14">
        <f>两日求解价格与决策!AS254</f>
        <v>46234</v>
      </c>
      <c r="AT62" s="13">
        <f>两日求解价格与决策!AT254</f>
        <v>46236.427083333336</v>
      </c>
      <c r="AU62" s="12" t="str">
        <f>两日求解价格与决策!AU254</f>
        <v>2026-08-02_50</v>
      </c>
      <c r="AV62" s="12">
        <f>两日求解价格与决策!AV254</f>
        <v>15</v>
      </c>
      <c r="AW62" s="12" t="str">
        <f>两日求解价格与决策!AW254</f>
        <v>OK</v>
      </c>
      <c r="AX62" s="12">
        <f>两日求解价格与决策!AX254</f>
        <v>128</v>
      </c>
      <c r="AY62" s="12">
        <f>两日求解价格与决策!AY254</f>
        <v>175</v>
      </c>
      <c r="AZ62" s="12">
        <f>两日求解价格与决策!AZ254</f>
        <v>175</v>
      </c>
      <c r="BA62" s="12">
        <f>两日求解价格与决策!BA254</f>
        <v>40</v>
      </c>
      <c r="BB62" s="12">
        <f>两日求解价格与决策!BB254</f>
        <v>24</v>
      </c>
      <c r="BC62" s="12">
        <f>两日求解价格与决策!BC254</f>
        <v>24</v>
      </c>
      <c r="BD62" s="14">
        <f>两日求解价格与决策!BD254</f>
        <v>46236</v>
      </c>
      <c r="BE62" s="1" t="str">
        <f>两日求解价格与决策!BE254</f>
        <v>-36.000000 MW × 3.000000 × 0.250000 h = -27.000000 EUR</v>
      </c>
      <c r="BF62" s="1" t="str">
        <f>两日求解价格与决策!BF254</f>
        <v>40.000000 MW × 66.224535 × 0.250000 h = 662.245345 EUR</v>
      </c>
      <c r="BG62" s="1" t="str">
        <f>两日求解价格与决策!BG254</f>
        <v>24.000000 MW × 5.473291 × 0.250000 h = 32.839746 EUR</v>
      </c>
      <c r="BH62" s="1" t="str">
        <f>两日求解价格与决策!BH254</f>
        <v>24.000000 MW × 6.860671 × 0.250000 h = 41.164027 EUR</v>
      </c>
      <c r="BI62" s="1" t="str">
        <f>两日求解价格与决策!BI254</f>
        <v>0.005760 MWh × 89.209689 = 0.513848 EUR</v>
      </c>
      <c r="BJ62" s="1" t="str">
        <f>两日求解价格与决策!BJ254</f>
        <v>−(0.429669 MWh × 12.709012) = -5.460663 EUR</v>
      </c>
      <c r="BK62" s="1" t="str">
        <f>两日求解价格与决策!BK254</f>
        <v>-27.000000 + 662.245345 + 32.839746 + 41.164027 + 0.513848 + -5.460663 = 704.302303 EUR</v>
      </c>
    </row>
    <row r="63" spans="1:63" ht="21" customHeight="1" x14ac:dyDescent="0.45">
      <c r="A63" s="13">
        <f>两日求解价格与决策!A255</f>
        <v>46236.5625</v>
      </c>
      <c r="B63" s="15">
        <f>两日求解价格与决策!B255</f>
        <v>3.56</v>
      </c>
      <c r="C63" s="15">
        <f>两日求解价格与决策!C255</f>
        <v>66.224534522516336</v>
      </c>
      <c r="D63" s="15">
        <f>两日求解价格与决策!D255</f>
        <v>5.4732910258609184</v>
      </c>
      <c r="E63" s="15">
        <f>两日求解价格与决策!E255</f>
        <v>6.8606712023326279</v>
      </c>
      <c r="F63" s="15">
        <f>两日求解价格与决策!F255</f>
        <v>89.209688792331292</v>
      </c>
      <c r="G63" s="15">
        <f>两日求解价格与决策!G255</f>
        <v>-2.9539001010043262</v>
      </c>
      <c r="H63" s="15" t="str">
        <f>两日求解价格与决策!H255</f>
        <v>未模拟</v>
      </c>
      <c r="I63" s="16">
        <f>两日求解价格与决策!I255</f>
        <v>126.94556700621112</v>
      </c>
      <c r="J63" s="16">
        <f>两日求解价格与决策!J255</f>
        <v>135.72861249192542</v>
      </c>
      <c r="K63" s="16">
        <f>两日求解价格与决策!K255</f>
        <v>-36</v>
      </c>
      <c r="L63" s="16">
        <f>两日求解价格与决策!L255</f>
        <v>40</v>
      </c>
      <c r="M63" s="16">
        <f>两日求解价格与决策!M255</f>
        <v>24</v>
      </c>
      <c r="N63" s="16">
        <f>两日求解价格与决策!N255</f>
        <v>24</v>
      </c>
      <c r="O63" s="16">
        <f>两日求解价格与决策!O255</f>
        <v>2.3314285714285715E-3</v>
      </c>
      <c r="P63" s="16">
        <f>两日求解价格与决策!P255</f>
        <v>0.54911999999999994</v>
      </c>
      <c r="Q63" s="17">
        <f>两日求解价格与决策!Q255</f>
        <v>-32.04</v>
      </c>
      <c r="R63" s="17">
        <f>两日求解价格与决策!R255</f>
        <v>662.24534522516342</v>
      </c>
      <c r="S63" s="17">
        <f>两日求解价格与决策!S255</f>
        <v>32.839746155165514</v>
      </c>
      <c r="T63" s="17">
        <f>两日求解价格与决策!T255</f>
        <v>41.164027213995766</v>
      </c>
      <c r="U63" s="17">
        <f>两日求解价格与决策!U255</f>
        <v>0.2079860172986924</v>
      </c>
      <c r="V63" s="17">
        <f>两日求解价格与决策!V255</f>
        <v>1.6220456234634955</v>
      </c>
      <c r="W63" s="17">
        <f>两日求解价格与决策!W255</f>
        <v>706.03915023508682</v>
      </c>
      <c r="X63" s="12">
        <f>两日求解价格与决策!X255</f>
        <v>706.03915023508694</v>
      </c>
      <c r="Y63" s="19">
        <f>两日求解价格与决策!Y255</f>
        <v>0</v>
      </c>
      <c r="Z63" s="12" t="str">
        <f t="shared" si="1"/>
        <v>正式执行</v>
      </c>
      <c r="AA63" s="12">
        <f>两日求解价格与决策!AA255</f>
        <v>1</v>
      </c>
      <c r="AB63" s="12">
        <f>两日求解价格与决策!AB255</f>
        <v>1</v>
      </c>
      <c r="AC63" s="12">
        <f>两日求解价格与决策!AC255</f>
        <v>0.25</v>
      </c>
      <c r="AD63" s="18">
        <f>两日求解价格与决策!AD255</f>
        <v>0.3125</v>
      </c>
      <c r="AE63" s="18">
        <f>两日求解价格与决策!AE255</f>
        <v>0.13714285714285715</v>
      </c>
      <c r="AF63" s="18">
        <f>两日求解价格与决策!AF255</f>
        <v>3.8857142857142861E-4</v>
      </c>
      <c r="AG63" s="18">
        <f>两日求解价格与决策!AG255</f>
        <v>9.151999999999999E-2</v>
      </c>
      <c r="AH63" s="12">
        <f>两日求解价格与决策!AH255</f>
        <v>175</v>
      </c>
      <c r="AI63" s="12">
        <f>两日求解价格与决策!AI255</f>
        <v>175</v>
      </c>
      <c r="AJ63" s="12">
        <f>两日求解价格与决策!AJ255</f>
        <v>1.7000000000000001E-2</v>
      </c>
      <c r="AK63" s="12">
        <f>两日求解价格与决策!AK255</f>
        <v>4.0039999999999996</v>
      </c>
      <c r="AL63" s="12">
        <f>两日求解价格与决策!AL255</f>
        <v>71.936000000000007</v>
      </c>
      <c r="AM63" s="12">
        <f>两日求解价格与决策!AM255</f>
        <v>2.4397348571428574E-2</v>
      </c>
      <c r="AN63" s="12">
        <f>两日求解价格与决策!AN255</f>
        <v>9.5467885714285696</v>
      </c>
      <c r="AO63" s="12">
        <f>两日求解价格与决策!AO255</f>
        <v>0</v>
      </c>
      <c r="AP63" s="12">
        <f>两日求解价格与决策!AP255</f>
        <v>135.72861249192542</v>
      </c>
      <c r="AQ63" s="19">
        <f>两日求解价格与决策!AQ255</f>
        <v>0</v>
      </c>
      <c r="AR63" s="12">
        <f>两日求解价格与决策!AR255</f>
        <v>5.2473000000000001</v>
      </c>
      <c r="AS63" s="14">
        <f>两日求解价格与决策!AS255</f>
        <v>46234</v>
      </c>
      <c r="AT63" s="13">
        <f>两日求解价格与决策!AT255</f>
        <v>46236.4375</v>
      </c>
      <c r="AU63" s="12" t="str">
        <f>两日求解价格与决策!AU255</f>
        <v>2026-08-02_51</v>
      </c>
      <c r="AV63" s="12">
        <f>两日求解价格与决策!AV255</f>
        <v>15</v>
      </c>
      <c r="AW63" s="12" t="str">
        <f>两日求解价格与决策!AW255</f>
        <v>OK</v>
      </c>
      <c r="AX63" s="12">
        <f>两日求解价格与决策!AX255</f>
        <v>128</v>
      </c>
      <c r="AY63" s="12">
        <f>两日求解价格与决策!AY255</f>
        <v>175</v>
      </c>
      <c r="AZ63" s="12">
        <f>两日求解价格与决策!AZ255</f>
        <v>175</v>
      </c>
      <c r="BA63" s="12">
        <f>两日求解价格与决策!BA255</f>
        <v>40</v>
      </c>
      <c r="BB63" s="12">
        <f>两日求解价格与决策!BB255</f>
        <v>24</v>
      </c>
      <c r="BC63" s="12">
        <f>两日求解价格与决策!BC255</f>
        <v>24</v>
      </c>
      <c r="BD63" s="14">
        <f>两日求解价格与决策!BD255</f>
        <v>46236</v>
      </c>
      <c r="BE63" s="1" t="str">
        <f>两日求解价格与决策!BE255</f>
        <v>-36.000000 MW × 3.560000 × 0.250000 h = -32.040000 EUR</v>
      </c>
      <c r="BF63" s="1" t="str">
        <f>两日求解价格与决策!BF255</f>
        <v>40.000000 MW × 66.224535 × 0.250000 h = 662.245345 EUR</v>
      </c>
      <c r="BG63" s="1" t="str">
        <f>两日求解价格与决策!BG255</f>
        <v>24.000000 MW × 5.473291 × 0.250000 h = 32.839746 EUR</v>
      </c>
      <c r="BH63" s="1" t="str">
        <f>两日求解价格与决策!BH255</f>
        <v>24.000000 MW × 6.860671 × 0.250000 h = 41.164027 EUR</v>
      </c>
      <c r="BI63" s="1" t="str">
        <f>两日求解价格与决策!BI255</f>
        <v>0.002331 MWh × 89.209689 = 0.207986 EUR</v>
      </c>
      <c r="BJ63" s="1" t="str">
        <f>两日求解价格与决策!BJ255</f>
        <v>−(0.549120 MWh × -2.953900) = 1.622046 EUR</v>
      </c>
      <c r="BK63" s="1" t="str">
        <f>两日求解价格与决策!BK255</f>
        <v>-32.040000 + 662.245345 + 32.839746 + 41.164027 + 0.207986 + 1.622046 = 706.039150 EUR</v>
      </c>
    </row>
    <row r="64" spans="1:63" ht="21" customHeight="1" x14ac:dyDescent="0.45">
      <c r="A64" s="13">
        <f>两日求解价格与决策!A256</f>
        <v>46236.572916666664</v>
      </c>
      <c r="B64" s="15">
        <f>两日求解价格与决策!B256</f>
        <v>4.21</v>
      </c>
      <c r="C64" s="15">
        <f>两日求解价格与决策!C256</f>
        <v>66.224534522516336</v>
      </c>
      <c r="D64" s="15">
        <f>两日求解价格与决策!D256</f>
        <v>5.4732910258609184</v>
      </c>
      <c r="E64" s="15">
        <f>两日求解价格与决策!E256</f>
        <v>6.8606712023326279</v>
      </c>
      <c r="F64" s="15">
        <f>两日求解价格与决策!F256</f>
        <v>0</v>
      </c>
      <c r="G64" s="15">
        <f>两日求解价格与决策!G256</f>
        <v>-22.43973090922951</v>
      </c>
      <c r="H64" s="15" t="str">
        <f>两日求解价格与决策!H256</f>
        <v>未模拟</v>
      </c>
      <c r="I64" s="16">
        <f>两日求解价格与决策!I256</f>
        <v>135.72861249192542</v>
      </c>
      <c r="J64" s="16">
        <f>两日求解价格与决策!J256</f>
        <v>137.20343032049684</v>
      </c>
      <c r="K64" s="16">
        <f>两日求解价格与决策!K256</f>
        <v>0</v>
      </c>
      <c r="L64" s="16">
        <f>两日求解价格与决策!L256</f>
        <v>40</v>
      </c>
      <c r="M64" s="16">
        <f>两日求解价格与决策!M256</f>
        <v>24</v>
      </c>
      <c r="N64" s="16">
        <f>两日求解价格与决策!N256</f>
        <v>24</v>
      </c>
      <c r="O64" s="16">
        <f>两日求解价格与决策!O256</f>
        <v>0</v>
      </c>
      <c r="P64" s="16">
        <f>两日求解价格与决策!P256</f>
        <v>1.6030628571428571</v>
      </c>
      <c r="Q64" s="17">
        <f>两日求解价格与决策!Q256</f>
        <v>0</v>
      </c>
      <c r="R64" s="17">
        <f>两日求解价格与决策!R256</f>
        <v>662.24534522516342</v>
      </c>
      <c r="S64" s="17">
        <f>两日求解价格与决策!S256</f>
        <v>32.839746155165514</v>
      </c>
      <c r="T64" s="17">
        <f>两日求解价格与决策!T256</f>
        <v>41.164027213995766</v>
      </c>
      <c r="U64" s="17">
        <f>两日求解价格与决策!U256</f>
        <v>0</v>
      </c>
      <c r="V64" s="17">
        <f>两日求解价格与决策!V256</f>
        <v>35.972299144866341</v>
      </c>
      <c r="W64" s="17">
        <f>两日求解价格与决策!W256</f>
        <v>772.221417739191</v>
      </c>
      <c r="X64" s="12">
        <f>两日求解价格与决策!X256</f>
        <v>772.221417739191</v>
      </c>
      <c r="Y64" s="19">
        <f>两日求解价格与决策!Y256</f>
        <v>0</v>
      </c>
      <c r="Z64" s="12" t="str">
        <f t="shared" si="1"/>
        <v>正式执行</v>
      </c>
      <c r="AA64" s="12">
        <f>两日求解价格与决策!AA256</f>
        <v>1</v>
      </c>
      <c r="AB64" s="12">
        <f>两日求解价格与决策!AB256</f>
        <v>1</v>
      </c>
      <c r="AC64" s="12">
        <f>两日求解价格与决策!AC256</f>
        <v>0.25</v>
      </c>
      <c r="AD64" s="18">
        <f>两日求解价格与决策!AD256</f>
        <v>0.3125</v>
      </c>
      <c r="AE64" s="18">
        <f>两日求解价格与决策!AE256</f>
        <v>0.13714285714285715</v>
      </c>
      <c r="AF64" s="18">
        <f>两日求解价格与决策!AF256</f>
        <v>0</v>
      </c>
      <c r="AG64" s="18">
        <f>两日求解价格与决策!AG256</f>
        <v>0.26717714285714284</v>
      </c>
      <c r="AH64" s="12">
        <f>两日求解价格与决策!AH256</f>
        <v>175</v>
      </c>
      <c r="AI64" s="12">
        <f>两日求解价格与决策!AI256</f>
        <v>175</v>
      </c>
      <c r="AJ64" s="12">
        <f>两日求解价格与决策!AJ256</f>
        <v>0</v>
      </c>
      <c r="AK64" s="12">
        <f>两日求解价格与决策!AK256</f>
        <v>11.689</v>
      </c>
      <c r="AL64" s="12">
        <f>两日求解价格与决策!AL256</f>
        <v>71.936000000000007</v>
      </c>
      <c r="AM64" s="12">
        <f>两日求解价格与决策!AM256</f>
        <v>4.0967161904761906E-3</v>
      </c>
      <c r="AN64" s="12">
        <f>两日求解价格与决策!AN256</f>
        <v>1.6030628571428571</v>
      </c>
      <c r="AO64" s="12">
        <f>两日求解价格与决策!AO256</f>
        <v>0</v>
      </c>
      <c r="AP64" s="12">
        <f>两日求解价格与决策!AP256</f>
        <v>137.20343032049684</v>
      </c>
      <c r="AQ64" s="19">
        <f>两日求解价格与决策!AQ256</f>
        <v>0</v>
      </c>
      <c r="AR64" s="12">
        <f>两日求解价格与决策!AR256</f>
        <v>5.2473000000000001</v>
      </c>
      <c r="AS64" s="14">
        <f>两日求解价格与决策!AS256</f>
        <v>46234</v>
      </c>
      <c r="AT64" s="13">
        <f>两日求解价格与决策!AT256</f>
        <v>46236.447916666664</v>
      </c>
      <c r="AU64" s="12" t="str">
        <f>两日求解价格与决策!AU256</f>
        <v>2026-08-02_52</v>
      </c>
      <c r="AV64" s="12">
        <f>两日求解价格与决策!AV256</f>
        <v>15</v>
      </c>
      <c r="AW64" s="12" t="str">
        <f>两日求解价格与决策!AW256</f>
        <v>OK</v>
      </c>
      <c r="AX64" s="12">
        <f>两日求解价格与决策!AX256</f>
        <v>128</v>
      </c>
      <c r="AY64" s="12">
        <f>两日求解价格与决策!AY256</f>
        <v>175</v>
      </c>
      <c r="AZ64" s="12">
        <f>两日求解价格与决策!AZ256</f>
        <v>175</v>
      </c>
      <c r="BA64" s="12">
        <f>两日求解价格与决策!BA256</f>
        <v>40</v>
      </c>
      <c r="BB64" s="12">
        <f>两日求解价格与决策!BB256</f>
        <v>24</v>
      </c>
      <c r="BC64" s="12">
        <f>两日求解价格与决策!BC256</f>
        <v>24</v>
      </c>
      <c r="BD64" s="14">
        <f>两日求解价格与决策!BD256</f>
        <v>46236</v>
      </c>
      <c r="BE64" s="1" t="str">
        <f>两日求解价格与决策!BE256</f>
        <v>零头寸，无结算现金</v>
      </c>
      <c r="BF64" s="1" t="str">
        <f>两日求解价格与决策!BF256</f>
        <v>40.000000 MW × 66.224535 × 0.250000 h = 662.245345 EUR</v>
      </c>
      <c r="BG64" s="1" t="str">
        <f>两日求解价格与决策!BG256</f>
        <v>24.000000 MW × 5.473291 × 0.250000 h = 32.839746 EUR</v>
      </c>
      <c r="BH64" s="1" t="str">
        <f>两日求解价格与决策!BH256</f>
        <v>24.000000 MW × 6.860671 × 0.250000 h = 41.164027 EUR</v>
      </c>
      <c r="BI64" s="1" t="str">
        <f>两日求解价格与决策!BI256</f>
        <v>零上调激活电量</v>
      </c>
      <c r="BJ64" s="1" t="str">
        <f>两日求解价格与决策!BJ256</f>
        <v>−(1.603063 MWh × -22.439731) = 35.972299 EUR</v>
      </c>
      <c r="BK64" s="1" t="str">
        <f>两日求解价格与决策!BK256</f>
        <v>0.000000 + 662.245345 + 32.839746 + 41.164027 + 0.000000 + 35.972299 = 772.221418 EUR</v>
      </c>
    </row>
    <row r="65" spans="1:63" ht="21" customHeight="1" x14ac:dyDescent="0.45">
      <c r="A65" s="13">
        <f>两日求解价格与决策!A257</f>
        <v>46236.583333333336</v>
      </c>
      <c r="B65" s="15">
        <f>两日求解价格与决策!B257</f>
        <v>4.21</v>
      </c>
      <c r="C65" s="15">
        <f>两日求解价格与决策!C257</f>
        <v>66.224534522516336</v>
      </c>
      <c r="D65" s="15">
        <f>两日求解价格与决策!D257</f>
        <v>5.4732910258609184</v>
      </c>
      <c r="E65" s="15">
        <f>两日求解价格与决策!E257</f>
        <v>6.8606712023326279</v>
      </c>
      <c r="F65" s="15">
        <f>两日求解价格与决策!F257</f>
        <v>0</v>
      </c>
      <c r="G65" s="15">
        <f>两日求解价格与决策!G257</f>
        <v>-79.688792331294195</v>
      </c>
      <c r="H65" s="15" t="str">
        <f>两日求解价格与决策!H257</f>
        <v>未模拟</v>
      </c>
      <c r="I65" s="16">
        <f>两日求解价格与决策!I257</f>
        <v>137.20343032049684</v>
      </c>
      <c r="J65" s="16">
        <f>两日求解价格与决策!J257</f>
        <v>142.53650611677011</v>
      </c>
      <c r="K65" s="16">
        <f>两日求解价格与决策!K257</f>
        <v>-9.7215032136105002</v>
      </c>
      <c r="L65" s="16">
        <f>两日求解价格与决策!L257</f>
        <v>40</v>
      </c>
      <c r="M65" s="16">
        <f>两日求解价格与决策!M257</f>
        <v>24</v>
      </c>
      <c r="N65" s="16">
        <f>两日求解价格与决策!N257</f>
        <v>24</v>
      </c>
      <c r="O65" s="16">
        <f>两日求解价格与决策!O257</f>
        <v>0</v>
      </c>
      <c r="P65" s="16">
        <f>两日求解价格与决策!P257</f>
        <v>3.3664457142857147</v>
      </c>
      <c r="Q65" s="17">
        <f>两日求解价格与决策!Q257</f>
        <v>-10.231882132325051</v>
      </c>
      <c r="R65" s="17">
        <f>两日求解价格与决策!R257</f>
        <v>662.24534522516342</v>
      </c>
      <c r="S65" s="17">
        <f>两日求解价格与决策!S257</f>
        <v>32.839746155165514</v>
      </c>
      <c r="T65" s="17">
        <f>两日求解价格与决策!T257</f>
        <v>41.164027213995766</v>
      </c>
      <c r="U65" s="17">
        <f>两日求解价格与决策!U257</f>
        <v>0</v>
      </c>
      <c r="V65" s="17">
        <f>两日求解价格与决策!V257</f>
        <v>268.26799342028966</v>
      </c>
      <c r="W65" s="17">
        <f>两日求解价格与决策!W257</f>
        <v>994.28522988228929</v>
      </c>
      <c r="X65" s="12">
        <f>两日求解价格与决策!X257</f>
        <v>994.28522988228929</v>
      </c>
      <c r="Y65" s="19">
        <f>两日求解价格与决策!Y257</f>
        <v>0</v>
      </c>
      <c r="Z65" s="12" t="str">
        <f t="shared" si="1"/>
        <v>正式执行</v>
      </c>
      <c r="AA65" s="12">
        <f>两日求解价格与决策!AA257</f>
        <v>1</v>
      </c>
      <c r="AB65" s="12">
        <f>两日求解价格与决策!AB257</f>
        <v>1</v>
      </c>
      <c r="AC65" s="12">
        <f>两日求解价格与决策!AC257</f>
        <v>0.25</v>
      </c>
      <c r="AD65" s="18">
        <f>两日求解价格与决策!AD257</f>
        <v>0.3125</v>
      </c>
      <c r="AE65" s="18">
        <f>两日求解价格与决策!AE257</f>
        <v>0.13714285714285715</v>
      </c>
      <c r="AF65" s="18">
        <f>两日求解价格与决策!AF257</f>
        <v>0</v>
      </c>
      <c r="AG65" s="18">
        <f>两日求解价格与决策!AG257</f>
        <v>0.56107428571428575</v>
      </c>
      <c r="AH65" s="12">
        <f>两日求解价格与决策!AH257</f>
        <v>175</v>
      </c>
      <c r="AI65" s="12">
        <f>两日求解价格与决策!AI257</f>
        <v>175</v>
      </c>
      <c r="AJ65" s="12">
        <f>两日求解价格与决策!AJ257</f>
        <v>0</v>
      </c>
      <c r="AK65" s="12">
        <f>两日求解价格与决策!AK257</f>
        <v>24.547000000000001</v>
      </c>
      <c r="AL65" s="12">
        <f>两日求解价格与决策!AL257</f>
        <v>71.936000000000007</v>
      </c>
      <c r="AM65" s="12">
        <f>两日求解价格与决策!AM257</f>
        <v>1.4814099434092422E-2</v>
      </c>
      <c r="AN65" s="12">
        <f>两日求解价格与决策!AN257</f>
        <v>5.7968215176883398</v>
      </c>
      <c r="AO65" s="12">
        <f>两日求解价格与决策!AO257</f>
        <v>0</v>
      </c>
      <c r="AP65" s="12">
        <f>两日求解价格与决策!AP257</f>
        <v>142.53650611677011</v>
      </c>
      <c r="AQ65" s="19">
        <f>两日求解价格与决策!AQ257</f>
        <v>0</v>
      </c>
      <c r="AR65" s="12">
        <f>两日求解价格与决策!AR257</f>
        <v>5.2473000000000001</v>
      </c>
      <c r="AS65" s="14">
        <f>两日求解价格与决策!AS257</f>
        <v>46234</v>
      </c>
      <c r="AT65" s="13">
        <f>两日求解价格与决策!AT257</f>
        <v>46236.458333333336</v>
      </c>
      <c r="AU65" s="12" t="str">
        <f>两日求解价格与决策!AU257</f>
        <v>2026-08-02_53</v>
      </c>
      <c r="AV65" s="12">
        <f>两日求解价格与决策!AV257</f>
        <v>15</v>
      </c>
      <c r="AW65" s="12" t="str">
        <f>两日求解价格与决策!AW257</f>
        <v>OK</v>
      </c>
      <c r="AX65" s="12">
        <f>两日求解价格与决策!AX257</f>
        <v>128</v>
      </c>
      <c r="AY65" s="12">
        <f>两日求解价格与决策!AY257</f>
        <v>175</v>
      </c>
      <c r="AZ65" s="12">
        <f>两日求解价格与决策!AZ257</f>
        <v>175</v>
      </c>
      <c r="BA65" s="12">
        <f>两日求解价格与决策!BA257</f>
        <v>40</v>
      </c>
      <c r="BB65" s="12">
        <f>两日求解价格与决策!BB257</f>
        <v>24</v>
      </c>
      <c r="BC65" s="12">
        <f>两日求解价格与决策!BC257</f>
        <v>24</v>
      </c>
      <c r="BD65" s="14">
        <f>两日求解价格与决策!BD257</f>
        <v>46236</v>
      </c>
      <c r="BE65" s="1" t="str">
        <f>两日求解价格与决策!BE257</f>
        <v>-9.721503 MW × 4.210000 × 0.250000 h = -10.231882 EUR</v>
      </c>
      <c r="BF65" s="1" t="str">
        <f>两日求解价格与决策!BF257</f>
        <v>40.000000 MW × 66.224535 × 0.250000 h = 662.245345 EUR</v>
      </c>
      <c r="BG65" s="1" t="str">
        <f>两日求解价格与决策!BG257</f>
        <v>24.000000 MW × 5.473291 × 0.250000 h = 32.839746 EUR</v>
      </c>
      <c r="BH65" s="1" t="str">
        <f>两日求解价格与决策!BH257</f>
        <v>24.000000 MW × 6.860671 × 0.250000 h = 41.164027 EUR</v>
      </c>
      <c r="BI65" s="1" t="str">
        <f>两日求解价格与决策!BI257</f>
        <v>零上调激活电量</v>
      </c>
      <c r="BJ65" s="1" t="str">
        <f>两日求解价格与决策!BJ257</f>
        <v>−(3.366446 MWh × -79.688792) = 268.267993 EUR</v>
      </c>
      <c r="BK65" s="1" t="str">
        <f>两日求解价格与决策!BK257</f>
        <v>-10.231882 + 662.245345 + 32.839746 + 41.164027 + 0.000000 + 268.267993 = 994.285230 EUR</v>
      </c>
    </row>
    <row r="66" spans="1:63" ht="21" customHeight="1" x14ac:dyDescent="0.45">
      <c r="A66" s="13">
        <f>两日求解价格与决策!A258</f>
        <v>46236.59375</v>
      </c>
      <c r="B66" s="15">
        <f>两日求解价格与决策!B258</f>
        <v>2.74</v>
      </c>
      <c r="C66" s="15">
        <f>两日求解价格与决策!C258</f>
        <v>66.224534522516336</v>
      </c>
      <c r="D66" s="15">
        <f>两日求解价格与决策!D258</f>
        <v>5.4732910258609184</v>
      </c>
      <c r="E66" s="15">
        <f>两日求解价格与决策!E258</f>
        <v>6.8606712023326279</v>
      </c>
      <c r="F66" s="15">
        <f>两日求解价格与决策!F258</f>
        <v>0</v>
      </c>
      <c r="G66" s="15">
        <f>两日求解价格与决策!G258</f>
        <v>-75.205153126369751</v>
      </c>
      <c r="H66" s="15" t="str">
        <f>两日求解价格与决策!H258</f>
        <v>未模拟</v>
      </c>
      <c r="I66" s="16">
        <f>两日求解价格与决策!I258</f>
        <v>142.53650611677011</v>
      </c>
      <c r="J66" s="16">
        <f>两日求解价格与决策!J258</f>
        <v>152.67753468819868</v>
      </c>
      <c r="K66" s="16">
        <f>两日求解价格与决策!K258</f>
        <v>-36</v>
      </c>
      <c r="L66" s="16">
        <f>两日求解价格与决策!L258</f>
        <v>40</v>
      </c>
      <c r="M66" s="16">
        <f>两日求解价格与决策!M258</f>
        <v>24</v>
      </c>
      <c r="N66" s="16">
        <f>两日求解价格与决策!N258</f>
        <v>24</v>
      </c>
      <c r="O66" s="16">
        <f>两日求解价格与决策!O258</f>
        <v>0</v>
      </c>
      <c r="P66" s="16">
        <f>两日求解价格与决策!P258</f>
        <v>2.0228571428571427</v>
      </c>
      <c r="Q66" s="17">
        <f>两日求解价格与决策!Q258</f>
        <v>-24.660000000000004</v>
      </c>
      <c r="R66" s="17">
        <f>两日求解价格与决策!R258</f>
        <v>662.24534522516342</v>
      </c>
      <c r="S66" s="17">
        <f>两日求解价格与决策!S258</f>
        <v>32.839746155165514</v>
      </c>
      <c r="T66" s="17">
        <f>两日求解价格与决策!T258</f>
        <v>41.164027213995766</v>
      </c>
      <c r="U66" s="17">
        <f>两日求解价格与决策!U258</f>
        <v>0</v>
      </c>
      <c r="V66" s="17">
        <f>两日求解价格与决策!V258</f>
        <v>152.12928118134224</v>
      </c>
      <c r="W66" s="17">
        <f>两日求解价格与决策!W258</f>
        <v>863.71839977566685</v>
      </c>
      <c r="X66" s="12">
        <f>两日求解价格与决策!X258</f>
        <v>863.71839977566697</v>
      </c>
      <c r="Y66" s="19">
        <f>两日求解价格与决策!Y258</f>
        <v>0</v>
      </c>
      <c r="Z66" s="12" t="str">
        <f t="shared" si="1"/>
        <v>正式执行</v>
      </c>
      <c r="AA66" s="12">
        <f>两日求解价格与决策!AA258</f>
        <v>1</v>
      </c>
      <c r="AB66" s="12">
        <f>两日求解价格与决策!AB258</f>
        <v>1</v>
      </c>
      <c r="AC66" s="12">
        <f>两日求解价格与决策!AC258</f>
        <v>0.25</v>
      </c>
      <c r="AD66" s="18">
        <f>两日求解价格与决策!AD258</f>
        <v>0.3125</v>
      </c>
      <c r="AE66" s="18">
        <f>两日求解价格与决策!AE258</f>
        <v>0.13714285714285715</v>
      </c>
      <c r="AF66" s="18">
        <f>两日求解价格与决策!AF258</f>
        <v>0</v>
      </c>
      <c r="AG66" s="18">
        <f>两日求解价格与决策!AG258</f>
        <v>0.33714285714285713</v>
      </c>
      <c r="AH66" s="12">
        <f>两日求解价格与决策!AH258</f>
        <v>175</v>
      </c>
      <c r="AI66" s="12">
        <f>两日求解价格与决策!AI258</f>
        <v>175</v>
      </c>
      <c r="AJ66" s="12">
        <f>两日求解价格与决策!AJ258</f>
        <v>0</v>
      </c>
      <c r="AK66" s="12">
        <f>两日求解价格与决策!AK258</f>
        <v>14.75</v>
      </c>
      <c r="AL66" s="12">
        <f>两日求解价格与决策!AL258</f>
        <v>71.936000000000007</v>
      </c>
      <c r="AM66" s="12">
        <f>两日求解价格与决策!AM258</f>
        <v>2.8169523809523811E-2</v>
      </c>
      <c r="AN66" s="12">
        <f>两日求解价格与决策!AN258</f>
        <v>11.022857142857141</v>
      </c>
      <c r="AO66" s="12">
        <f>两日求解价格与决策!AO258</f>
        <v>0</v>
      </c>
      <c r="AP66" s="12">
        <f>两日求解价格与决策!AP258</f>
        <v>152.6775346881987</v>
      </c>
      <c r="AQ66" s="19">
        <f>两日求解价格与决策!AQ258</f>
        <v>0</v>
      </c>
      <c r="AR66" s="12">
        <f>两日求解价格与决策!AR258</f>
        <v>5.2473000000000001</v>
      </c>
      <c r="AS66" s="14">
        <f>两日求解价格与决策!AS258</f>
        <v>46234</v>
      </c>
      <c r="AT66" s="13">
        <f>两日求解价格与决策!AT258</f>
        <v>46236.46875</v>
      </c>
      <c r="AU66" s="12" t="str">
        <f>两日求解价格与决策!AU258</f>
        <v>2026-08-02_54</v>
      </c>
      <c r="AV66" s="12">
        <f>两日求解价格与决策!AV258</f>
        <v>15</v>
      </c>
      <c r="AW66" s="12" t="str">
        <f>两日求解价格与决策!AW258</f>
        <v>OK</v>
      </c>
      <c r="AX66" s="12">
        <f>两日求解价格与决策!AX258</f>
        <v>128</v>
      </c>
      <c r="AY66" s="12">
        <f>两日求解价格与决策!AY258</f>
        <v>175</v>
      </c>
      <c r="AZ66" s="12">
        <f>两日求解价格与决策!AZ258</f>
        <v>175</v>
      </c>
      <c r="BA66" s="12">
        <f>两日求解价格与决策!BA258</f>
        <v>40</v>
      </c>
      <c r="BB66" s="12">
        <f>两日求解价格与决策!BB258</f>
        <v>24</v>
      </c>
      <c r="BC66" s="12">
        <f>两日求解价格与决策!BC258</f>
        <v>24</v>
      </c>
      <c r="BD66" s="14">
        <f>两日求解价格与决策!BD258</f>
        <v>46236</v>
      </c>
      <c r="BE66" s="1" t="str">
        <f>两日求解价格与决策!BE258</f>
        <v>-36.000000 MW × 2.740000 × 0.250000 h = -24.660000 EUR</v>
      </c>
      <c r="BF66" s="1" t="str">
        <f>两日求解价格与决策!BF258</f>
        <v>40.000000 MW × 66.224535 × 0.250000 h = 662.245345 EUR</v>
      </c>
      <c r="BG66" s="1" t="str">
        <f>两日求解价格与决策!BG258</f>
        <v>24.000000 MW × 5.473291 × 0.250000 h = 32.839746 EUR</v>
      </c>
      <c r="BH66" s="1" t="str">
        <f>两日求解价格与决策!BH258</f>
        <v>24.000000 MW × 6.860671 × 0.250000 h = 41.164027 EUR</v>
      </c>
      <c r="BI66" s="1" t="str">
        <f>两日求解价格与决策!BI258</f>
        <v>零上调激活电量</v>
      </c>
      <c r="BJ66" s="1" t="str">
        <f>两日求解价格与决策!BJ258</f>
        <v>−(2.022857 MWh × -75.205153) = 152.129281 EUR</v>
      </c>
      <c r="BK66" s="1" t="str">
        <f>两日求解价格与决策!BK258</f>
        <v>-24.660000 + 662.245345 + 32.839746 + 41.164027 + 0.000000 + 152.129281 = 863.718400 EUR</v>
      </c>
    </row>
    <row r="67" spans="1:63" ht="21" customHeight="1" x14ac:dyDescent="0.45">
      <c r="A67" s="13">
        <f>两日求解价格与决策!A259</f>
        <v>46236.604166666664</v>
      </c>
      <c r="B67" s="15">
        <f>两日求解价格与决策!B259</f>
        <v>3.75</v>
      </c>
      <c r="C67" s="15">
        <f>两日求解价格与决策!C259</f>
        <v>66.224534522516336</v>
      </c>
      <c r="D67" s="15">
        <f>两日求解价格与决策!D259</f>
        <v>5.4732910258609184</v>
      </c>
      <c r="E67" s="15">
        <f>两日求解价格与决策!E259</f>
        <v>6.8606712023326279</v>
      </c>
      <c r="F67" s="15">
        <f>两日求解价格与决策!F259</f>
        <v>0</v>
      </c>
      <c r="G67" s="15">
        <f>两日求解价格与决策!G259</f>
        <v>18.340289291635695</v>
      </c>
      <c r="H67" s="15" t="str">
        <f>两日求解价格与决策!H259</f>
        <v>未模拟</v>
      </c>
      <c r="I67" s="16">
        <f>两日求解价格与决策!I259</f>
        <v>152.67753468819868</v>
      </c>
      <c r="J67" s="16">
        <f>两日求解价格与决策!J259</f>
        <v>161.38815777391295</v>
      </c>
      <c r="K67" s="16">
        <f>两日求解价格与决策!K259</f>
        <v>-36</v>
      </c>
      <c r="L67" s="16">
        <f>两日求解价格与决策!L259</f>
        <v>40</v>
      </c>
      <c r="M67" s="16">
        <f>两日求解价格与决策!M259</f>
        <v>24</v>
      </c>
      <c r="N67" s="16">
        <f>两日求解价格与决策!N259</f>
        <v>24</v>
      </c>
      <c r="O67" s="16">
        <f>两日求解价格与决策!O259</f>
        <v>0</v>
      </c>
      <c r="P67" s="16">
        <f>两日求解价格与决策!P259</f>
        <v>0.46806857142857139</v>
      </c>
      <c r="Q67" s="17">
        <f>两日求解价格与决策!Q259</f>
        <v>-33.75</v>
      </c>
      <c r="R67" s="17">
        <f>两日求解价格与决策!R259</f>
        <v>662.24534522516342</v>
      </c>
      <c r="S67" s="17">
        <f>两日求解价格与决策!S259</f>
        <v>32.839746155165514</v>
      </c>
      <c r="T67" s="17">
        <f>两日求解价格与决策!T259</f>
        <v>41.164027213995766</v>
      </c>
      <c r="U67" s="17">
        <f>两日求解价格与决策!U259</f>
        <v>0</v>
      </c>
      <c r="V67" s="17">
        <f>两日求解价格与决策!V259</f>
        <v>-8.5845130083226451</v>
      </c>
      <c r="W67" s="17">
        <f>两日求解价格与决策!W259</f>
        <v>693.91460558600193</v>
      </c>
      <c r="X67" s="12">
        <f>两日求解价格与决策!X259</f>
        <v>693.91460558600204</v>
      </c>
      <c r="Y67" s="19">
        <f>两日求解价格与决策!Y259</f>
        <v>0</v>
      </c>
      <c r="Z67" s="12" t="str">
        <f t="shared" si="1"/>
        <v>正式执行</v>
      </c>
      <c r="AA67" s="12">
        <f>两日求解价格与决策!AA259</f>
        <v>1</v>
      </c>
      <c r="AB67" s="12">
        <f>两日求解价格与决策!AB259</f>
        <v>1</v>
      </c>
      <c r="AC67" s="12">
        <f>两日求解价格与决策!AC259</f>
        <v>0.25</v>
      </c>
      <c r="AD67" s="18">
        <f>两日求解价格与决策!AD259</f>
        <v>0.3125</v>
      </c>
      <c r="AE67" s="18">
        <f>两日求解价格与决策!AE259</f>
        <v>0.13714285714285715</v>
      </c>
      <c r="AF67" s="18">
        <f>两日求解价格与决策!AF259</f>
        <v>0</v>
      </c>
      <c r="AG67" s="18">
        <f>两日求解价格与决策!AG259</f>
        <v>7.8011428571428565E-2</v>
      </c>
      <c r="AH67" s="12">
        <f>两日求解价格与决策!AH259</f>
        <v>175</v>
      </c>
      <c r="AI67" s="12">
        <f>两日求解价格与决策!AI259</f>
        <v>175</v>
      </c>
      <c r="AJ67" s="12">
        <f>两日求解价格与决策!AJ259</f>
        <v>0</v>
      </c>
      <c r="AK67" s="12">
        <f>两日求解价格与决策!AK259</f>
        <v>3.4129999999999998</v>
      </c>
      <c r="AL67" s="12">
        <f>两日求解价格与决策!AL259</f>
        <v>71.936000000000007</v>
      </c>
      <c r="AM67" s="12">
        <f>两日求解价格与决策!AM259</f>
        <v>2.4196175238095242E-2</v>
      </c>
      <c r="AN67" s="12">
        <f>两日求解价格与决策!AN259</f>
        <v>9.4680685714285708</v>
      </c>
      <c r="AO67" s="12">
        <f>两日求解价格与决策!AO259</f>
        <v>0</v>
      </c>
      <c r="AP67" s="12">
        <f>两日求解价格与决策!AP259</f>
        <v>161.38815777391298</v>
      </c>
      <c r="AQ67" s="19">
        <f>两日求解价格与决策!AQ259</f>
        <v>0</v>
      </c>
      <c r="AR67" s="12">
        <f>两日求解价格与决策!AR259</f>
        <v>5.2473000000000001</v>
      </c>
      <c r="AS67" s="14">
        <f>两日求解价格与决策!AS259</f>
        <v>46234</v>
      </c>
      <c r="AT67" s="13">
        <f>两日求解价格与决策!AT259</f>
        <v>46236.479166666664</v>
      </c>
      <c r="AU67" s="12" t="str">
        <f>两日求解价格与决策!AU259</f>
        <v>2026-08-02_55</v>
      </c>
      <c r="AV67" s="12">
        <f>两日求解价格与决策!AV259</f>
        <v>15</v>
      </c>
      <c r="AW67" s="12" t="str">
        <f>两日求解价格与决策!AW259</f>
        <v>OK</v>
      </c>
      <c r="AX67" s="12">
        <f>两日求解价格与决策!AX259</f>
        <v>128</v>
      </c>
      <c r="AY67" s="12">
        <f>两日求解价格与决策!AY259</f>
        <v>175</v>
      </c>
      <c r="AZ67" s="12">
        <f>两日求解价格与决策!AZ259</f>
        <v>175</v>
      </c>
      <c r="BA67" s="12">
        <f>两日求解价格与决策!BA259</f>
        <v>40</v>
      </c>
      <c r="BB67" s="12">
        <f>两日求解价格与决策!BB259</f>
        <v>24</v>
      </c>
      <c r="BC67" s="12">
        <f>两日求解价格与决策!BC259</f>
        <v>24</v>
      </c>
      <c r="BD67" s="14">
        <f>两日求解价格与决策!BD259</f>
        <v>46236</v>
      </c>
      <c r="BE67" s="1" t="str">
        <f>两日求解价格与决策!BE259</f>
        <v>-36.000000 MW × 3.750000 × 0.250000 h = -33.750000 EUR</v>
      </c>
      <c r="BF67" s="1" t="str">
        <f>两日求解价格与决策!BF259</f>
        <v>40.000000 MW × 66.224535 × 0.250000 h = 662.245345 EUR</v>
      </c>
      <c r="BG67" s="1" t="str">
        <f>两日求解价格与决策!BG259</f>
        <v>24.000000 MW × 5.473291 × 0.250000 h = 32.839746 EUR</v>
      </c>
      <c r="BH67" s="1" t="str">
        <f>两日求解价格与决策!BH259</f>
        <v>24.000000 MW × 6.860671 × 0.250000 h = 41.164027 EUR</v>
      </c>
      <c r="BI67" s="1" t="str">
        <f>两日求解价格与决策!BI259</f>
        <v>零上调激活电量</v>
      </c>
      <c r="BJ67" s="1" t="str">
        <f>两日求解价格与决策!BJ259</f>
        <v>−(0.468069 MWh × 18.340289) = -8.584513 EUR</v>
      </c>
      <c r="BK67" s="1" t="str">
        <f>两日求解价格与决策!BK259</f>
        <v>-33.750000 + 662.245345 + 32.839746 + 41.164027 + 0.000000 + -8.584513 = 693.914606 EUR</v>
      </c>
    </row>
    <row r="68" spans="1:63" ht="21" customHeight="1" x14ac:dyDescent="0.45">
      <c r="A68" s="13">
        <f>两日求解价格与决策!A260</f>
        <v>46236.614583333336</v>
      </c>
      <c r="B68" s="15">
        <f>两日求解价格与决策!B260</f>
        <v>2.42</v>
      </c>
      <c r="C68" s="15">
        <f>两日求解价格与决策!C260</f>
        <v>66.224534522516336</v>
      </c>
      <c r="D68" s="15">
        <f>两日求解价格与决策!D260</f>
        <v>5.4732910258609184</v>
      </c>
      <c r="E68" s="15">
        <f>两日求解价格与决策!E260</f>
        <v>6.8606712023326279</v>
      </c>
      <c r="F68" s="15">
        <f>两日求解价格与决策!F260</f>
        <v>89.036266270272321</v>
      </c>
      <c r="G68" s="15">
        <f>两日求解价格与决策!G260</f>
        <v>5.166085415356469</v>
      </c>
      <c r="H68" s="15" t="str">
        <f>两日求解价格与决策!H260</f>
        <v>未模拟</v>
      </c>
      <c r="I68" s="16">
        <f>两日求解价格与决策!I260</f>
        <v>161.38815777391295</v>
      </c>
      <c r="J68" s="16">
        <f>两日求解价格与决策!J260</f>
        <v>170.74137194534154</v>
      </c>
      <c r="K68" s="16">
        <f>两日求解价格与决策!K260</f>
        <v>-36</v>
      </c>
      <c r="L68" s="16">
        <f>两日求解价格与决策!L260</f>
        <v>40</v>
      </c>
      <c r="M68" s="16">
        <f>两日求解价格与决策!M260</f>
        <v>24</v>
      </c>
      <c r="N68" s="16">
        <f>两日求解价格与决策!N260</f>
        <v>24</v>
      </c>
      <c r="O68" s="16">
        <f>两日求解价格与决策!O260</f>
        <v>3.977142857142857E-3</v>
      </c>
      <c r="P68" s="16">
        <f>两日求解价格与决策!P260</f>
        <v>1.1705142857142856</v>
      </c>
      <c r="Q68" s="17">
        <f>两日求解价格与决策!Q260</f>
        <v>-21.78</v>
      </c>
      <c r="R68" s="17">
        <f>两日求解价格与决策!R260</f>
        <v>662.24534522516342</v>
      </c>
      <c r="S68" s="17">
        <f>两日求解价格与决策!S260</f>
        <v>32.839746155165514</v>
      </c>
      <c r="T68" s="17">
        <f>两日求解价格与决策!T260</f>
        <v>41.164027213995766</v>
      </c>
      <c r="U68" s="17">
        <f>两日求解价格与决策!U260</f>
        <v>0.35410995042348303</v>
      </c>
      <c r="V68" s="17">
        <f>两日求解价格与决策!V260</f>
        <v>-6.0469767798949663</v>
      </c>
      <c r="W68" s="17">
        <f>两日求解价格与决策!W260</f>
        <v>708.7762517648531</v>
      </c>
      <c r="X68" s="12">
        <f>两日求解价格与决策!X260</f>
        <v>708.77625176485321</v>
      </c>
      <c r="Y68" s="19">
        <f>两日求解价格与决策!Y260</f>
        <v>0</v>
      </c>
      <c r="Z68" s="12" t="str">
        <f t="shared" si="1"/>
        <v>正式执行</v>
      </c>
      <c r="AA68" s="12">
        <f>两日求解价格与决策!AA260</f>
        <v>1</v>
      </c>
      <c r="AB68" s="12">
        <f>两日求解价格与决策!AB260</f>
        <v>1</v>
      </c>
      <c r="AC68" s="12">
        <f>两日求解价格与决策!AC260</f>
        <v>0.25</v>
      </c>
      <c r="AD68" s="18">
        <f>两日求解价格与决策!AD260</f>
        <v>0.3125</v>
      </c>
      <c r="AE68" s="18">
        <f>两日求解价格与决策!AE260</f>
        <v>0.13714285714285715</v>
      </c>
      <c r="AF68" s="18">
        <f>两日求解价格与决策!AF260</f>
        <v>6.6285714285714288E-4</v>
      </c>
      <c r="AG68" s="18">
        <f>两日求解价格与决策!AG260</f>
        <v>0.19508571428571428</v>
      </c>
      <c r="AH68" s="12">
        <f>两日求解价格与决策!AH260</f>
        <v>175</v>
      </c>
      <c r="AI68" s="12">
        <f>两日求解价格与决策!AI260</f>
        <v>175</v>
      </c>
      <c r="AJ68" s="12">
        <f>两日求解价格与决策!AJ260</f>
        <v>2.9000000000000001E-2</v>
      </c>
      <c r="AK68" s="12">
        <f>两日求解价格与决策!AK260</f>
        <v>8.5350000000000001</v>
      </c>
      <c r="AL68" s="12">
        <f>两日求解价格与决策!AL260</f>
        <v>71.936000000000007</v>
      </c>
      <c r="AM68" s="12">
        <f>两日求解价格与决策!AM260</f>
        <v>2.5981150476190477E-2</v>
      </c>
      <c r="AN68" s="12">
        <f>两日求解价格与决策!AN260</f>
        <v>10.166537142857143</v>
      </c>
      <c r="AO68" s="12">
        <f>两日求解价格与决策!AO260</f>
        <v>0</v>
      </c>
      <c r="AP68" s="12">
        <f>两日求解价格与决策!AP260</f>
        <v>170.74137194534157</v>
      </c>
      <c r="AQ68" s="19">
        <f>两日求解价格与决策!AQ260</f>
        <v>0</v>
      </c>
      <c r="AR68" s="12">
        <f>两日求解价格与决策!AR260</f>
        <v>5.2473000000000001</v>
      </c>
      <c r="AS68" s="14">
        <f>两日求解价格与决策!AS260</f>
        <v>46234</v>
      </c>
      <c r="AT68" s="13">
        <f>两日求解价格与决策!AT260</f>
        <v>46236.489583333336</v>
      </c>
      <c r="AU68" s="12" t="str">
        <f>两日求解价格与决策!AU260</f>
        <v>2026-08-02_56</v>
      </c>
      <c r="AV68" s="12">
        <f>两日求解价格与决策!AV260</f>
        <v>15</v>
      </c>
      <c r="AW68" s="12" t="str">
        <f>两日求解价格与决策!AW260</f>
        <v>OK</v>
      </c>
      <c r="AX68" s="12">
        <f>两日求解价格与决策!AX260</f>
        <v>128</v>
      </c>
      <c r="AY68" s="12">
        <f>两日求解价格与决策!AY260</f>
        <v>175</v>
      </c>
      <c r="AZ68" s="12">
        <f>两日求解价格与决策!AZ260</f>
        <v>175</v>
      </c>
      <c r="BA68" s="12">
        <f>两日求解价格与决策!BA260</f>
        <v>40</v>
      </c>
      <c r="BB68" s="12">
        <f>两日求解价格与决策!BB260</f>
        <v>24</v>
      </c>
      <c r="BC68" s="12">
        <f>两日求解价格与决策!BC260</f>
        <v>24</v>
      </c>
      <c r="BD68" s="14">
        <f>两日求解价格与决策!BD260</f>
        <v>46236</v>
      </c>
      <c r="BE68" s="1" t="str">
        <f>两日求解价格与决策!BE260</f>
        <v>-36.000000 MW × 2.420000 × 0.250000 h = -21.780000 EUR</v>
      </c>
      <c r="BF68" s="1" t="str">
        <f>两日求解价格与决策!BF260</f>
        <v>40.000000 MW × 66.224535 × 0.250000 h = 662.245345 EUR</v>
      </c>
      <c r="BG68" s="1" t="str">
        <f>两日求解价格与决策!BG260</f>
        <v>24.000000 MW × 5.473291 × 0.250000 h = 32.839746 EUR</v>
      </c>
      <c r="BH68" s="1" t="str">
        <f>两日求解价格与决策!BH260</f>
        <v>24.000000 MW × 6.860671 × 0.250000 h = 41.164027 EUR</v>
      </c>
      <c r="BI68" s="1" t="str">
        <f>两日求解价格与决策!BI260</f>
        <v>0.003977 MWh × 89.036266 = 0.354110 EUR</v>
      </c>
      <c r="BJ68" s="1" t="str">
        <f>两日求解价格与决策!BJ260</f>
        <v>−(1.170514 MWh × 5.166085) = -6.046977 EUR</v>
      </c>
      <c r="BK68" s="1" t="str">
        <f>两日求解价格与决策!BK260</f>
        <v>-21.780000 + 662.245345 + 32.839746 + 41.164027 + 0.354110 + -6.046977 = 708.776252 EUR</v>
      </c>
    </row>
    <row r="69" spans="1:63" ht="21" customHeight="1" x14ac:dyDescent="0.45">
      <c r="A69" s="13">
        <f>两日求解价格与决策!A261</f>
        <v>46236.625</v>
      </c>
      <c r="B69" s="15">
        <f>两日求解价格与决策!B261</f>
        <v>5.0999999999999996</v>
      </c>
      <c r="C69" s="15">
        <f>两日求解价格与决策!C261</f>
        <v>66.224534522516336</v>
      </c>
      <c r="D69" s="15">
        <f>两日求解价格与决策!D261</f>
        <v>5.3627579898233382</v>
      </c>
      <c r="E69" s="15">
        <f>两日求解价格与决策!E261</f>
        <v>6.8606712023326279</v>
      </c>
      <c r="F69" s="15">
        <f>两日求解价格与决策!F261</f>
        <v>0</v>
      </c>
      <c r="G69" s="15">
        <f>两日求解价格与决策!G261</f>
        <v>-43.963181064547477</v>
      </c>
      <c r="H69" s="15" t="str">
        <f>两日求解价格与决策!H261</f>
        <v>未模拟</v>
      </c>
      <c r="I69" s="16">
        <f>两日求解价格与决策!I261</f>
        <v>170.74137194534154</v>
      </c>
      <c r="J69" s="16">
        <f>两日求解价格与决策!J261</f>
        <v>164.49108623105582</v>
      </c>
      <c r="K69" s="16">
        <f>两日求解价格与决策!K261</f>
        <v>35.999999999999993</v>
      </c>
      <c r="L69" s="16">
        <f>两日求解价格与决策!L261</f>
        <v>40</v>
      </c>
      <c r="M69" s="16">
        <f>两日求解价格与决策!M261</f>
        <v>24</v>
      </c>
      <c r="N69" s="16">
        <f>两日求解价格与决策!N261</f>
        <v>24</v>
      </c>
      <c r="O69" s="16">
        <f>两日求解价格与决策!O261</f>
        <v>0</v>
      </c>
      <c r="P69" s="16">
        <f>两日求解价格与决策!P261</f>
        <v>3.2497371428571431</v>
      </c>
      <c r="Q69" s="17">
        <f>两日求解价格与决策!Q261</f>
        <v>45.899999999999984</v>
      </c>
      <c r="R69" s="17">
        <f>两日求解价格与决策!R261</f>
        <v>662.24534522516342</v>
      </c>
      <c r="S69" s="17">
        <f>两日求解价格与决策!S261</f>
        <v>32.176547938940033</v>
      </c>
      <c r="T69" s="17">
        <f>两日求解价格与决策!T261</f>
        <v>41.164027213995766</v>
      </c>
      <c r="U69" s="17">
        <f>两日求解价格与决策!U261</f>
        <v>0</v>
      </c>
      <c r="V69" s="17">
        <f>两日求解价格与决策!V261</f>
        <v>142.86878242361377</v>
      </c>
      <c r="W69" s="17">
        <f>两日求解价格与决策!W261</f>
        <v>924.35470280171296</v>
      </c>
      <c r="X69" s="12">
        <f>两日求解价格与决策!X261</f>
        <v>924.35470280171296</v>
      </c>
      <c r="Y69" s="19">
        <f>两日求解价格与决策!Y261</f>
        <v>0</v>
      </c>
      <c r="Z69" s="12" t="str">
        <f t="shared" si="1"/>
        <v>正式执行</v>
      </c>
      <c r="AA69" s="12">
        <f>两日求解价格与决策!AA261</f>
        <v>1</v>
      </c>
      <c r="AB69" s="12">
        <f>两日求解价格与决策!AB261</f>
        <v>1</v>
      </c>
      <c r="AC69" s="12">
        <f>两日求解价格与决策!AC261</f>
        <v>0.25</v>
      </c>
      <c r="AD69" s="18">
        <f>两日求解价格与决策!AD261</f>
        <v>0.3125</v>
      </c>
      <c r="AE69" s="18">
        <f>两日求解价格与决策!AE261</f>
        <v>0.13714285714285715</v>
      </c>
      <c r="AF69" s="18">
        <f>两日求解价格与决策!AF261</f>
        <v>0</v>
      </c>
      <c r="AG69" s="18">
        <f>两日求解价格与决策!AG261</f>
        <v>0.54162285714285718</v>
      </c>
      <c r="AH69" s="12">
        <f>两日求解价格与决策!AH261</f>
        <v>175</v>
      </c>
      <c r="AI69" s="12">
        <f>两日求解价格与决策!AI261</f>
        <v>175</v>
      </c>
      <c r="AJ69" s="12">
        <f>两日求解价格与决策!AJ261</f>
        <v>0</v>
      </c>
      <c r="AK69" s="12">
        <f>两日求解价格与决策!AK261</f>
        <v>23.696000000000002</v>
      </c>
      <c r="AL69" s="12">
        <f>两日求解价格与决策!AL261</f>
        <v>71.936000000000007</v>
      </c>
      <c r="AM69" s="12">
        <f>两日求解价格与决策!AM261</f>
        <v>1.7361904761904759E-2</v>
      </c>
      <c r="AN69" s="12">
        <f>两日求解价格与决策!AN261</f>
        <v>0</v>
      </c>
      <c r="AO69" s="12">
        <f>两日求解价格与决策!AO261</f>
        <v>5.7502628571428547</v>
      </c>
      <c r="AP69" s="12">
        <f>两日求解价格与决策!AP261</f>
        <v>164.49108623105585</v>
      </c>
      <c r="AQ69" s="19">
        <f>两日求解价格与决策!AQ261</f>
        <v>0</v>
      </c>
      <c r="AR69" s="12">
        <f>两日求解价格与决策!AR261</f>
        <v>5.2473000000000001</v>
      </c>
      <c r="AS69" s="14">
        <f>两日求解价格与决策!AS261</f>
        <v>46234</v>
      </c>
      <c r="AT69" s="13">
        <f>两日求解价格与决策!AT261</f>
        <v>46236.5</v>
      </c>
      <c r="AU69" s="12" t="str">
        <f>两日求解价格与决策!AU261</f>
        <v>2026-08-02_57</v>
      </c>
      <c r="AV69" s="12">
        <f>两日求解价格与决策!AV261</f>
        <v>15</v>
      </c>
      <c r="AW69" s="12" t="str">
        <f>两日求解价格与决策!AW261</f>
        <v>OK</v>
      </c>
      <c r="AX69" s="12">
        <f>两日求解价格与决策!AX261</f>
        <v>128</v>
      </c>
      <c r="AY69" s="12">
        <f>两日求解价格与决策!AY261</f>
        <v>175</v>
      </c>
      <c r="AZ69" s="12">
        <f>两日求解价格与决策!AZ261</f>
        <v>175</v>
      </c>
      <c r="BA69" s="12">
        <f>两日求解价格与决策!BA261</f>
        <v>40</v>
      </c>
      <c r="BB69" s="12">
        <f>两日求解价格与决策!BB261</f>
        <v>24</v>
      </c>
      <c r="BC69" s="12">
        <f>两日求解价格与决策!BC261</f>
        <v>24</v>
      </c>
      <c r="BD69" s="14">
        <f>两日求解价格与决策!BD261</f>
        <v>46236</v>
      </c>
      <c r="BE69" s="1" t="str">
        <f>两日求解价格与决策!BE261</f>
        <v>36.000000 MW × 5.100000 × 0.250000 h = 45.900000 EUR</v>
      </c>
      <c r="BF69" s="1" t="str">
        <f>两日求解价格与决策!BF261</f>
        <v>40.000000 MW × 66.224535 × 0.250000 h = 662.245345 EUR</v>
      </c>
      <c r="BG69" s="1" t="str">
        <f>两日求解价格与决策!BG261</f>
        <v>24.000000 MW × 5.362758 × 0.250000 h = 32.176548 EUR</v>
      </c>
      <c r="BH69" s="1" t="str">
        <f>两日求解价格与决策!BH261</f>
        <v>24.000000 MW × 6.860671 × 0.250000 h = 41.164027 EUR</v>
      </c>
      <c r="BI69" s="1" t="str">
        <f>两日求解价格与决策!BI261</f>
        <v>零上调激活电量</v>
      </c>
      <c r="BJ69" s="1" t="str">
        <f>两日求解价格与决策!BJ261</f>
        <v>−(3.249737 MWh × -43.963181) = 142.868782 EUR</v>
      </c>
      <c r="BK69" s="1" t="str">
        <f>两日求解价格与决策!BK261</f>
        <v>45.900000 + 662.245345 + 32.176548 + 41.164027 + 0.000000 + 142.868782 = 924.354703 EUR</v>
      </c>
    </row>
    <row r="70" spans="1:63" ht="21" customHeight="1" x14ac:dyDescent="0.45">
      <c r="A70" s="13">
        <f>两日求解价格与决策!A262</f>
        <v>46236.635416666664</v>
      </c>
      <c r="B70" s="15">
        <f>两日求解价格与决策!B262</f>
        <v>5.09</v>
      </c>
      <c r="C70" s="15">
        <f>两日求解价格与决策!C262</f>
        <v>66.224534522516336</v>
      </c>
      <c r="D70" s="15">
        <f>两日求解价格与决策!D262</f>
        <v>5.3627579898233382</v>
      </c>
      <c r="E70" s="15">
        <f>两日求解价格与决策!E262</f>
        <v>6.8606712023326279</v>
      </c>
      <c r="F70" s="15">
        <f>两日求解价格与决策!F262</f>
        <v>110.4855830617651</v>
      </c>
      <c r="G70" s="15">
        <f>两日求解价格与决策!G262</f>
        <v>-21.570331408533914</v>
      </c>
      <c r="H70" s="15" t="str">
        <f>两日求解价格与决策!H262</f>
        <v>未模拟</v>
      </c>
      <c r="I70" s="16">
        <f>两日求解价格与决策!I262</f>
        <v>164.49108623105582</v>
      </c>
      <c r="J70" s="16">
        <f>两日求解价格与决策!J262</f>
        <v>155.88686262857135</v>
      </c>
      <c r="K70" s="16">
        <f>两日求解价格与决策!K262</f>
        <v>35.999999999999993</v>
      </c>
      <c r="L70" s="16">
        <f>两日求解价格与决策!L262</f>
        <v>40</v>
      </c>
      <c r="M70" s="16">
        <f>两日求解价格与决策!M262</f>
        <v>24</v>
      </c>
      <c r="N70" s="16">
        <f>两日求解价格与决策!N262</f>
        <v>24</v>
      </c>
      <c r="O70" s="16">
        <f>两日求解价格与决策!O262</f>
        <v>0.10614857142857144</v>
      </c>
      <c r="P70" s="16">
        <f>两日求解价格与决策!P262</f>
        <v>1.1902628571428573</v>
      </c>
      <c r="Q70" s="17">
        <f>两日求解价格与决策!Q262</f>
        <v>45.809999999999988</v>
      </c>
      <c r="R70" s="17">
        <f>两日求解价格与决策!R262</f>
        <v>662.24534522516342</v>
      </c>
      <c r="S70" s="17">
        <f>两日求解价格与决策!S262</f>
        <v>32.176547938940033</v>
      </c>
      <c r="T70" s="17">
        <f>两日求解价格与决策!T262</f>
        <v>41.164027213995766</v>
      </c>
      <c r="U70" s="17">
        <f>两日求解价格与决策!U262</f>
        <v>11.727886805459136</v>
      </c>
      <c r="V70" s="17">
        <f>两日求解价格与决策!V262</f>
        <v>25.67436429183989</v>
      </c>
      <c r="W70" s="17">
        <f>两日求解价格与决策!W262</f>
        <v>818.79817147539814</v>
      </c>
      <c r="X70" s="12">
        <f>两日求解价格与决策!X262</f>
        <v>818.79817147539825</v>
      </c>
      <c r="Y70" s="19">
        <f>两日求解价格与决策!Y262</f>
        <v>0</v>
      </c>
      <c r="Z70" s="12" t="str">
        <f t="shared" si="1"/>
        <v>正式执行</v>
      </c>
      <c r="AA70" s="12">
        <f>两日求解价格与决策!AA262</f>
        <v>1</v>
      </c>
      <c r="AB70" s="12">
        <f>两日求解价格与决策!AB262</f>
        <v>1</v>
      </c>
      <c r="AC70" s="12">
        <f>两日求解价格与决策!AC262</f>
        <v>0.25</v>
      </c>
      <c r="AD70" s="18">
        <f>两日求解价格与决策!AD262</f>
        <v>0.3125</v>
      </c>
      <c r="AE70" s="18">
        <f>两日求解价格与决策!AE262</f>
        <v>0.13714285714285715</v>
      </c>
      <c r="AF70" s="18">
        <f>两日求解价格与决策!AF262</f>
        <v>1.7691428571428573E-2</v>
      </c>
      <c r="AG70" s="18">
        <f>两日求解价格与决策!AG262</f>
        <v>0.19837714285714286</v>
      </c>
      <c r="AH70" s="12">
        <f>两日求解价格与决策!AH262</f>
        <v>175</v>
      </c>
      <c r="AI70" s="12">
        <f>两日求解价格与决策!AI262</f>
        <v>175</v>
      </c>
      <c r="AJ70" s="12">
        <f>两日求解价格与决策!AJ262</f>
        <v>0.77400000000000002</v>
      </c>
      <c r="AK70" s="12">
        <f>两日求解价格与决策!AK262</f>
        <v>8.6790000000000003</v>
      </c>
      <c r="AL70" s="12">
        <f>两日求解价格与决策!AL262</f>
        <v>71.936000000000007</v>
      </c>
      <c r="AM70" s="12">
        <f>两日求解价格与决策!AM262</f>
        <v>2.3900621118012416E-2</v>
      </c>
      <c r="AN70" s="12">
        <f>两日求解价格与决策!AN262</f>
        <v>0</v>
      </c>
      <c r="AO70" s="12">
        <f>两日求解价格与决策!AO262</f>
        <v>7.9158857142857117</v>
      </c>
      <c r="AP70" s="12">
        <f>两日求解价格与决策!AP262</f>
        <v>155.88686262857138</v>
      </c>
      <c r="AQ70" s="19">
        <f>两日求解价格与决策!AQ262</f>
        <v>0</v>
      </c>
      <c r="AR70" s="12">
        <f>两日求解价格与决策!AR262</f>
        <v>5.2473000000000001</v>
      </c>
      <c r="AS70" s="14">
        <f>两日求解价格与决策!AS262</f>
        <v>46234</v>
      </c>
      <c r="AT70" s="13">
        <f>两日求解价格与决策!AT262</f>
        <v>46236.510416666664</v>
      </c>
      <c r="AU70" s="12" t="str">
        <f>两日求解价格与决策!AU262</f>
        <v>2026-08-02_58</v>
      </c>
      <c r="AV70" s="12">
        <f>两日求解价格与决策!AV262</f>
        <v>15</v>
      </c>
      <c r="AW70" s="12" t="str">
        <f>两日求解价格与决策!AW262</f>
        <v>OK</v>
      </c>
      <c r="AX70" s="12">
        <f>两日求解价格与决策!AX262</f>
        <v>128</v>
      </c>
      <c r="AY70" s="12">
        <f>两日求解价格与决策!AY262</f>
        <v>175</v>
      </c>
      <c r="AZ70" s="12">
        <f>两日求解价格与决策!AZ262</f>
        <v>175</v>
      </c>
      <c r="BA70" s="12">
        <f>两日求解价格与决策!BA262</f>
        <v>40</v>
      </c>
      <c r="BB70" s="12">
        <f>两日求解价格与决策!BB262</f>
        <v>24</v>
      </c>
      <c r="BC70" s="12">
        <f>两日求解价格与决策!BC262</f>
        <v>24</v>
      </c>
      <c r="BD70" s="14">
        <f>两日求解价格与决策!BD262</f>
        <v>46236</v>
      </c>
      <c r="BE70" s="1" t="str">
        <f>两日求解价格与决策!BE262</f>
        <v>36.000000 MW × 5.090000 × 0.250000 h = 45.810000 EUR</v>
      </c>
      <c r="BF70" s="1" t="str">
        <f>两日求解价格与决策!BF262</f>
        <v>40.000000 MW × 66.224535 × 0.250000 h = 662.245345 EUR</v>
      </c>
      <c r="BG70" s="1" t="str">
        <f>两日求解价格与决策!BG262</f>
        <v>24.000000 MW × 5.362758 × 0.250000 h = 32.176548 EUR</v>
      </c>
      <c r="BH70" s="1" t="str">
        <f>两日求解价格与决策!BH262</f>
        <v>24.000000 MW × 6.860671 × 0.250000 h = 41.164027 EUR</v>
      </c>
      <c r="BI70" s="1" t="str">
        <f>两日求解价格与决策!BI262</f>
        <v>0.106149 MWh × 110.485583 = 11.727887 EUR</v>
      </c>
      <c r="BJ70" s="1" t="str">
        <f>两日求解价格与决策!BJ262</f>
        <v>−(1.190263 MWh × -21.570331) = 25.674364 EUR</v>
      </c>
      <c r="BK70" s="1" t="str">
        <f>两日求解价格与决策!BK262</f>
        <v>45.810000 + 662.245345 + 32.176548 + 41.164027 + 11.727887 + 25.674364 = 818.798171 EUR</v>
      </c>
    </row>
    <row r="71" spans="1:63" ht="21" customHeight="1" x14ac:dyDescent="0.45">
      <c r="A71" s="13">
        <f>两日求解价格与决策!A263</f>
        <v>46236.645833333336</v>
      </c>
      <c r="B71" s="15">
        <f>两日求解价格与决策!B263</f>
        <v>3.9</v>
      </c>
      <c r="C71" s="15">
        <f>两日求解价格与决策!C263</f>
        <v>66.224534522516336</v>
      </c>
      <c r="D71" s="15">
        <f>两日求解价格与决策!D263</f>
        <v>5.3627579898233382</v>
      </c>
      <c r="E71" s="15">
        <f>两日求解价格与决策!E263</f>
        <v>6.8606712023326279</v>
      </c>
      <c r="F71" s="15">
        <f>两日求解价格与决策!F263</f>
        <v>107.0611552608008</v>
      </c>
      <c r="G71" s="15">
        <f>两日求解价格与决策!G263</f>
        <v>0</v>
      </c>
      <c r="H71" s="15" t="str">
        <f>两日求解价格与决策!H263</f>
        <v>未模拟</v>
      </c>
      <c r="I71" s="16">
        <f>两日求解价格与决策!I263</f>
        <v>155.88686262857135</v>
      </c>
      <c r="J71" s="16">
        <f>两日求解价格与决策!J263</f>
        <v>163.95653485714277</v>
      </c>
      <c r="K71" s="16">
        <f>两日求解价格与决策!K263</f>
        <v>-36</v>
      </c>
      <c r="L71" s="16">
        <f>两日求解价格与决策!L263</f>
        <v>40</v>
      </c>
      <c r="M71" s="16">
        <f>两日求解价格与决策!M263</f>
        <v>24</v>
      </c>
      <c r="N71" s="16">
        <f>两日求解价格与决策!N263</f>
        <v>24</v>
      </c>
      <c r="O71" s="16">
        <f>两日求解价格与决策!O263</f>
        <v>0.22861714285714288</v>
      </c>
      <c r="P71" s="16">
        <f>两日求解价格与决策!P263</f>
        <v>0</v>
      </c>
      <c r="Q71" s="17">
        <f>两日求解价格与决策!Q263</f>
        <v>-35.1</v>
      </c>
      <c r="R71" s="17">
        <f>两日求解价格与决策!R263</f>
        <v>662.24534522516342</v>
      </c>
      <c r="S71" s="17">
        <f>两日求解价格与决策!S263</f>
        <v>32.176547938940033</v>
      </c>
      <c r="T71" s="17">
        <f>两日求解价格与决策!T263</f>
        <v>41.164027213995766</v>
      </c>
      <c r="U71" s="17">
        <f>两日求解价格与决策!U263</f>
        <v>24.47601542670925</v>
      </c>
      <c r="V71" s="17">
        <f>两日求解价格与决策!V263</f>
        <v>0</v>
      </c>
      <c r="W71" s="17">
        <f>两日求解价格与决策!W263</f>
        <v>724.96193580480849</v>
      </c>
      <c r="X71" s="12">
        <f>两日求解价格与决策!X263</f>
        <v>724.96193580480849</v>
      </c>
      <c r="Y71" s="19">
        <f>两日求解价格与决策!Y263</f>
        <v>0</v>
      </c>
      <c r="Z71" s="12" t="str">
        <f t="shared" si="1"/>
        <v>正式执行</v>
      </c>
      <c r="AA71" s="12">
        <f>两日求解价格与决策!AA263</f>
        <v>1</v>
      </c>
      <c r="AB71" s="12">
        <f>两日求解价格与决策!AB263</f>
        <v>1</v>
      </c>
      <c r="AC71" s="12">
        <f>两日求解价格与决策!AC263</f>
        <v>0.25</v>
      </c>
      <c r="AD71" s="18">
        <f>两日求解价格与决策!AD263</f>
        <v>0.3125</v>
      </c>
      <c r="AE71" s="18">
        <f>两日求解价格与决策!AE263</f>
        <v>0.13714285714285715</v>
      </c>
      <c r="AF71" s="18">
        <f>两日求解价格与决策!AF263</f>
        <v>3.8102857142857147E-2</v>
      </c>
      <c r="AG71" s="18">
        <f>两日求解价格与决策!AG263</f>
        <v>0</v>
      </c>
      <c r="AH71" s="12">
        <f>两日求解价格与决策!AH263</f>
        <v>175</v>
      </c>
      <c r="AI71" s="12">
        <f>两日求解价格与决策!AI263</f>
        <v>175</v>
      </c>
      <c r="AJ71" s="12">
        <f>两日求解价格与决策!AJ263</f>
        <v>1.667</v>
      </c>
      <c r="AK71" s="12">
        <f>两日求解价格与决策!AK263</f>
        <v>0</v>
      </c>
      <c r="AL71" s="12">
        <f>两日求解价格与决策!AL263</f>
        <v>71.936000000000007</v>
      </c>
      <c r="AM71" s="12">
        <f>两日求解价格与决策!AM263</f>
        <v>2.2415756190476192E-2</v>
      </c>
      <c r="AN71" s="12">
        <f>两日求解价格与决策!AN263</f>
        <v>8.7713828571428571</v>
      </c>
      <c r="AO71" s="12">
        <f>两日求解价格与决策!AO263</f>
        <v>0</v>
      </c>
      <c r="AP71" s="12">
        <f>两日求解价格与决策!AP263</f>
        <v>163.9565348571428</v>
      </c>
      <c r="AQ71" s="19">
        <f>两日求解价格与决策!AQ263</f>
        <v>0</v>
      </c>
      <c r="AR71" s="12">
        <f>两日求解价格与决策!AR263</f>
        <v>5.2473000000000001</v>
      </c>
      <c r="AS71" s="14">
        <f>两日求解价格与决策!AS263</f>
        <v>46234</v>
      </c>
      <c r="AT71" s="13">
        <f>两日求解价格与决策!AT263</f>
        <v>46236.520833333336</v>
      </c>
      <c r="AU71" s="12" t="str">
        <f>两日求解价格与决策!AU263</f>
        <v>2026-08-02_59</v>
      </c>
      <c r="AV71" s="12">
        <f>两日求解价格与决策!AV263</f>
        <v>15</v>
      </c>
      <c r="AW71" s="12" t="str">
        <f>两日求解价格与决策!AW263</f>
        <v>OK</v>
      </c>
      <c r="AX71" s="12">
        <f>两日求解价格与决策!AX263</f>
        <v>128</v>
      </c>
      <c r="AY71" s="12">
        <f>两日求解价格与决策!AY263</f>
        <v>175</v>
      </c>
      <c r="AZ71" s="12">
        <f>两日求解价格与决策!AZ263</f>
        <v>175</v>
      </c>
      <c r="BA71" s="12">
        <f>两日求解价格与决策!BA263</f>
        <v>40</v>
      </c>
      <c r="BB71" s="12">
        <f>两日求解价格与决策!BB263</f>
        <v>24</v>
      </c>
      <c r="BC71" s="12">
        <f>两日求解价格与决策!BC263</f>
        <v>24</v>
      </c>
      <c r="BD71" s="14">
        <f>两日求解价格与决策!BD263</f>
        <v>46236</v>
      </c>
      <c r="BE71" s="1" t="str">
        <f>两日求解价格与决策!BE263</f>
        <v>-36.000000 MW × 3.900000 × 0.250000 h = -35.100000 EUR</v>
      </c>
      <c r="BF71" s="1" t="str">
        <f>两日求解价格与决策!BF263</f>
        <v>40.000000 MW × 66.224535 × 0.250000 h = 662.245345 EUR</v>
      </c>
      <c r="BG71" s="1" t="str">
        <f>两日求解价格与决策!BG263</f>
        <v>24.000000 MW × 5.362758 × 0.250000 h = 32.176548 EUR</v>
      </c>
      <c r="BH71" s="1" t="str">
        <f>两日求解价格与决策!BH263</f>
        <v>24.000000 MW × 6.860671 × 0.250000 h = 41.164027 EUR</v>
      </c>
      <c r="BI71" s="1" t="str">
        <f>两日求解价格与决策!BI263</f>
        <v>0.228617 MWh × 107.061155 = 24.476015 EUR</v>
      </c>
      <c r="BJ71" s="1" t="str">
        <f>两日求解价格与决策!BJ263</f>
        <v>零下调激活电量</v>
      </c>
      <c r="BK71" s="1" t="str">
        <f>两日求解价格与决策!BK263</f>
        <v>-35.100000 + 662.245345 + 32.176548 + 41.164027 + 24.476015 + 0.000000 = 724.961936 EUR</v>
      </c>
    </row>
    <row r="72" spans="1:63" ht="21" customHeight="1" x14ac:dyDescent="0.45">
      <c r="A72" s="13">
        <f>两日求解价格与决策!A264</f>
        <v>46236.65625</v>
      </c>
      <c r="B72" s="15">
        <f>两日求解价格与决策!B264</f>
        <v>3.13</v>
      </c>
      <c r="C72" s="15">
        <f>两日求解价格与决策!C264</f>
        <v>66.224534522516336</v>
      </c>
      <c r="D72" s="15">
        <f>两日求解价格与决策!D264</f>
        <v>5.3627579898233382</v>
      </c>
      <c r="E72" s="15">
        <f>两日求解价格与决策!E264</f>
        <v>6.8606712023326279</v>
      </c>
      <c r="F72" s="15">
        <f>两日求解价格与决策!F264</f>
        <v>117.19493834924627</v>
      </c>
      <c r="G72" s="15">
        <f>两日求解价格与决策!G264</f>
        <v>0</v>
      </c>
      <c r="H72" s="15" t="str">
        <f>两日求解价格与决策!H264</f>
        <v>未模拟</v>
      </c>
      <c r="I72" s="16">
        <f>两日求解价格与决策!I264</f>
        <v>163.95653485714277</v>
      </c>
      <c r="J72" s="16">
        <f>两日求解价格与决策!J264</f>
        <v>171.59432228571418</v>
      </c>
      <c r="K72" s="16">
        <f>两日求解价格与决策!K264</f>
        <v>-36</v>
      </c>
      <c r="L72" s="16">
        <f>两日求解价格与决策!L264</f>
        <v>40</v>
      </c>
      <c r="M72" s="16">
        <f>两日求解价格与决策!M264</f>
        <v>24</v>
      </c>
      <c r="N72" s="16">
        <f>两日求解价格与决策!N264</f>
        <v>24</v>
      </c>
      <c r="O72" s="16">
        <f>两日求解价格与决策!O264</f>
        <v>0.69805714285714282</v>
      </c>
      <c r="P72" s="16">
        <f>两日求解价格与决策!P264</f>
        <v>0</v>
      </c>
      <c r="Q72" s="17">
        <f>两日求解价格与决策!Q264</f>
        <v>-28.169999999999998</v>
      </c>
      <c r="R72" s="17">
        <f>两日求解价格与决策!R264</f>
        <v>662.24534522516342</v>
      </c>
      <c r="S72" s="17">
        <f>两日求解价格与决策!S264</f>
        <v>32.176547938940033</v>
      </c>
      <c r="T72" s="17">
        <f>两日求解价格与决策!T264</f>
        <v>41.164027213995766</v>
      </c>
      <c r="U72" s="17">
        <f>两日求解价格与决策!U264</f>
        <v>81.808763821393853</v>
      </c>
      <c r="V72" s="17">
        <f>两日求解价格与决策!V264</f>
        <v>0</v>
      </c>
      <c r="W72" s="17">
        <f>两日求解价格与决策!W264</f>
        <v>789.22468419949314</v>
      </c>
      <c r="X72" s="12">
        <f>两日求解价格与决策!X264</f>
        <v>789.22468419949303</v>
      </c>
      <c r="Y72" s="19">
        <f>两日求解价格与决策!Y264</f>
        <v>0</v>
      </c>
      <c r="Z72" s="12" t="str">
        <f t="shared" si="1"/>
        <v>正式执行</v>
      </c>
      <c r="AA72" s="12">
        <f>两日求解价格与决策!AA264</f>
        <v>1</v>
      </c>
      <c r="AB72" s="12">
        <f>两日求解价格与决策!AB264</f>
        <v>1</v>
      </c>
      <c r="AC72" s="12">
        <f>两日求解价格与决策!AC264</f>
        <v>0.25</v>
      </c>
      <c r="AD72" s="18">
        <f>两日求解价格与决策!AD264</f>
        <v>0.3125</v>
      </c>
      <c r="AE72" s="18">
        <f>两日求解价格与决策!AE264</f>
        <v>0.13714285714285715</v>
      </c>
      <c r="AF72" s="18">
        <f>两日求解价格与决策!AF264</f>
        <v>0.11634285714285714</v>
      </c>
      <c r="AG72" s="18">
        <f>两日求解价格与决策!AG264</f>
        <v>0</v>
      </c>
      <c r="AH72" s="12">
        <f>两日求解价格与决策!AH264</f>
        <v>175</v>
      </c>
      <c r="AI72" s="12">
        <f>两日求解价格与决策!AI264</f>
        <v>175</v>
      </c>
      <c r="AJ72" s="12">
        <f>两日求解价格与决策!AJ264</f>
        <v>5.09</v>
      </c>
      <c r="AK72" s="12">
        <f>两日求解价格与决策!AK264</f>
        <v>0</v>
      </c>
      <c r="AL72" s="12">
        <f>两日求解价格与决策!AL264</f>
        <v>71.936000000000007</v>
      </c>
      <c r="AM72" s="12">
        <f>两日求解价格与决策!AM264</f>
        <v>2.1216076190476194E-2</v>
      </c>
      <c r="AN72" s="12">
        <f>两日求解价格与决策!AN264</f>
        <v>8.3019428571428566</v>
      </c>
      <c r="AO72" s="12">
        <f>两日求解价格与决策!AO264</f>
        <v>0</v>
      </c>
      <c r="AP72" s="12">
        <f>两日求解价格与决策!AP264</f>
        <v>171.59432228571421</v>
      </c>
      <c r="AQ72" s="19">
        <f>两日求解价格与决策!AQ264</f>
        <v>0</v>
      </c>
      <c r="AR72" s="12">
        <f>两日求解价格与决策!AR264</f>
        <v>5.2473000000000001</v>
      </c>
      <c r="AS72" s="14">
        <f>两日求解价格与决策!AS264</f>
        <v>46234</v>
      </c>
      <c r="AT72" s="13">
        <f>两日求解价格与决策!AT264</f>
        <v>46236.53125</v>
      </c>
      <c r="AU72" s="12" t="str">
        <f>两日求解价格与决策!AU264</f>
        <v>2026-08-02_60</v>
      </c>
      <c r="AV72" s="12">
        <f>两日求解价格与决策!AV264</f>
        <v>15</v>
      </c>
      <c r="AW72" s="12" t="str">
        <f>两日求解价格与决策!AW264</f>
        <v>OK</v>
      </c>
      <c r="AX72" s="12">
        <f>两日求解价格与决策!AX264</f>
        <v>128</v>
      </c>
      <c r="AY72" s="12">
        <f>两日求解价格与决策!AY264</f>
        <v>175</v>
      </c>
      <c r="AZ72" s="12">
        <f>两日求解价格与决策!AZ264</f>
        <v>175</v>
      </c>
      <c r="BA72" s="12">
        <f>两日求解价格与决策!BA264</f>
        <v>40</v>
      </c>
      <c r="BB72" s="12">
        <f>两日求解价格与决策!BB264</f>
        <v>24</v>
      </c>
      <c r="BC72" s="12">
        <f>两日求解价格与决策!BC264</f>
        <v>24</v>
      </c>
      <c r="BD72" s="14">
        <f>两日求解价格与决策!BD264</f>
        <v>46236</v>
      </c>
      <c r="BE72" s="1" t="str">
        <f>两日求解价格与决策!BE264</f>
        <v>-36.000000 MW × 3.130000 × 0.250000 h = -28.170000 EUR</v>
      </c>
      <c r="BF72" s="1" t="str">
        <f>两日求解价格与决策!BF264</f>
        <v>40.000000 MW × 66.224535 × 0.250000 h = 662.245345 EUR</v>
      </c>
      <c r="BG72" s="1" t="str">
        <f>两日求解价格与决策!BG264</f>
        <v>24.000000 MW × 5.362758 × 0.250000 h = 32.176548 EUR</v>
      </c>
      <c r="BH72" s="1" t="str">
        <f>两日求解价格与决策!BH264</f>
        <v>24.000000 MW × 6.860671 × 0.250000 h = 41.164027 EUR</v>
      </c>
      <c r="BI72" s="1" t="str">
        <f>两日求解价格与决策!BI264</f>
        <v>0.698057 MWh × 117.194938 = 81.808764 EUR</v>
      </c>
      <c r="BJ72" s="1" t="str">
        <f>两日求解价格与决策!BJ264</f>
        <v>零下调激活电量</v>
      </c>
      <c r="BK72" s="1" t="str">
        <f>两日求解价格与决策!BK264</f>
        <v>-28.170000 + 662.245345 + 32.176548 + 41.164027 + 81.808764 + 0.000000 = 789.224684 EUR</v>
      </c>
    </row>
    <row r="73" spans="1:63" ht="21" customHeight="1" x14ac:dyDescent="0.45">
      <c r="A73" s="13">
        <f>两日求解价格与决策!A265</f>
        <v>46236.666666666664</v>
      </c>
      <c r="B73" s="15">
        <f>两日求解价格与决策!B265</f>
        <v>7.62</v>
      </c>
      <c r="C73" s="15">
        <f>两日求解价格与决策!C265</f>
        <v>66.224534522516336</v>
      </c>
      <c r="D73" s="15">
        <f>两日求解价格与决策!D265</f>
        <v>5.2998685038019548</v>
      </c>
      <c r="E73" s="15">
        <f>两日求解价格与决策!E265</f>
        <v>3.0072608770224685</v>
      </c>
      <c r="F73" s="15">
        <f>两日求解价格与决策!F265</f>
        <v>128.82815924380157</v>
      </c>
      <c r="G73" s="15">
        <f>两日求解价格与决策!G265</f>
        <v>76.229680025918086</v>
      </c>
      <c r="H73" s="15" t="str">
        <f>两日求解价格与决策!H265</f>
        <v>未模拟</v>
      </c>
      <c r="I73" s="16">
        <f>两日求解价格与决策!I265</f>
        <v>171.59432228571418</v>
      </c>
      <c r="J73" s="16">
        <f>两日求解价格与决策!J265</f>
        <v>171.23522981366452</v>
      </c>
      <c r="K73" s="16">
        <f>两日求解价格与决策!K265</f>
        <v>0</v>
      </c>
      <c r="L73" s="16">
        <f>两日求解价格与决策!L265</f>
        <v>40</v>
      </c>
      <c r="M73" s="16">
        <f>两日求解价格与决策!M265</f>
        <v>24</v>
      </c>
      <c r="N73" s="16">
        <f>两日求解价格与决策!N265</f>
        <v>24</v>
      </c>
      <c r="O73" s="16">
        <f>两日求解价格与决策!O265</f>
        <v>0.3355885714285714</v>
      </c>
      <c r="P73" s="16">
        <f>两日求解价格与决策!P265</f>
        <v>6.1714285714285716E-3</v>
      </c>
      <c r="Q73" s="17">
        <f>两日求解价格与决策!Q265</f>
        <v>0</v>
      </c>
      <c r="R73" s="17">
        <f>两日求解价格与决策!R265</f>
        <v>662.24534522516342</v>
      </c>
      <c r="S73" s="17">
        <f>两日求解价格与决策!S265</f>
        <v>31.799211022811729</v>
      </c>
      <c r="T73" s="17">
        <f>两日求解价格与决策!T265</f>
        <v>18.043565262134813</v>
      </c>
      <c r="U73" s="17">
        <f>两日求解价格与决策!U265</f>
        <v>43.233257920399872</v>
      </c>
      <c r="V73" s="17">
        <f>两日求解价格与决策!V265</f>
        <v>-0.47044602530280877</v>
      </c>
      <c r="W73" s="17">
        <f>两日求解价格与决策!W265</f>
        <v>754.850933405207</v>
      </c>
      <c r="X73" s="12">
        <f>两日求解价格与决策!X265</f>
        <v>754.850933405207</v>
      </c>
      <c r="Y73" s="19">
        <f>两日求解价格与决策!Y265</f>
        <v>0</v>
      </c>
      <c r="Z73" s="12" t="str">
        <f t="shared" ref="Z73:Z104" si="2">"正式执行"</f>
        <v>正式执行</v>
      </c>
      <c r="AA73" s="12">
        <f>两日求解价格与决策!AA265</f>
        <v>1</v>
      </c>
      <c r="AB73" s="12">
        <f>两日求解价格与决策!AB265</f>
        <v>1</v>
      </c>
      <c r="AC73" s="12">
        <f>两日求解价格与决策!AC265</f>
        <v>0.25</v>
      </c>
      <c r="AD73" s="18">
        <f>两日求解价格与决策!AD265</f>
        <v>0.3125</v>
      </c>
      <c r="AE73" s="18">
        <f>两日求解价格与决策!AE265</f>
        <v>0.13714285714285715</v>
      </c>
      <c r="AF73" s="18">
        <f>两日求解价格与决策!AF265</f>
        <v>5.5931428571428569E-2</v>
      </c>
      <c r="AG73" s="18">
        <f>两日求解价格与决策!AG265</f>
        <v>1.0285714285714286E-3</v>
      </c>
      <c r="AH73" s="12">
        <f>两日求解价格与决策!AH265</f>
        <v>175</v>
      </c>
      <c r="AI73" s="12">
        <f>两日求解价格与决策!AI265</f>
        <v>175</v>
      </c>
      <c r="AJ73" s="12">
        <f>两日求解价格与决策!AJ265</f>
        <v>2.4470000000000001</v>
      </c>
      <c r="AK73" s="12">
        <f>两日求解价格与决策!AK265</f>
        <v>4.4999999999999998E-2</v>
      </c>
      <c r="AL73" s="12">
        <f>两日求解价格与决策!AL265</f>
        <v>71.936000000000007</v>
      </c>
      <c r="AM73" s="12">
        <f>两日求解价格与决策!AM265</f>
        <v>1.0290219461697721E-3</v>
      </c>
      <c r="AN73" s="12">
        <f>两日求解价格与决策!AN265</f>
        <v>6.1714285714285716E-3</v>
      </c>
      <c r="AO73" s="12">
        <f>两日求解价格与决策!AO265</f>
        <v>0.3355885714285714</v>
      </c>
      <c r="AP73" s="12">
        <f>两日求解价格与决策!AP265</f>
        <v>171.23522981366455</v>
      </c>
      <c r="AQ73" s="19">
        <f>两日求解价格与决策!AQ265</f>
        <v>0</v>
      </c>
      <c r="AR73" s="12">
        <f>两日求解价格与决策!AR265</f>
        <v>5.2473000000000001</v>
      </c>
      <c r="AS73" s="14">
        <f>两日求解价格与决策!AS265</f>
        <v>46234</v>
      </c>
      <c r="AT73" s="13">
        <f>两日求解价格与决策!AT265</f>
        <v>46236.541666666664</v>
      </c>
      <c r="AU73" s="12" t="str">
        <f>两日求解价格与决策!AU265</f>
        <v>2026-08-02_61</v>
      </c>
      <c r="AV73" s="12">
        <f>两日求解价格与决策!AV265</f>
        <v>15</v>
      </c>
      <c r="AW73" s="12" t="str">
        <f>两日求解价格与决策!AW265</f>
        <v>OK</v>
      </c>
      <c r="AX73" s="12">
        <f>两日求解价格与决策!AX265</f>
        <v>128</v>
      </c>
      <c r="AY73" s="12">
        <f>两日求解价格与决策!AY265</f>
        <v>175</v>
      </c>
      <c r="AZ73" s="12">
        <f>两日求解价格与决策!AZ265</f>
        <v>175</v>
      </c>
      <c r="BA73" s="12">
        <f>两日求解价格与决策!BA265</f>
        <v>40</v>
      </c>
      <c r="BB73" s="12">
        <f>两日求解价格与决策!BB265</f>
        <v>24</v>
      </c>
      <c r="BC73" s="12">
        <f>两日求解价格与决策!BC265</f>
        <v>24</v>
      </c>
      <c r="BD73" s="14">
        <f>两日求解价格与决策!BD265</f>
        <v>46236</v>
      </c>
      <c r="BE73" s="1" t="str">
        <f>两日求解价格与决策!BE265</f>
        <v>零头寸，无结算现金</v>
      </c>
      <c r="BF73" s="1" t="str">
        <f>两日求解价格与决策!BF265</f>
        <v>40.000000 MW × 66.224535 × 0.250000 h = 662.245345 EUR</v>
      </c>
      <c r="BG73" s="1" t="str">
        <f>两日求解价格与决策!BG265</f>
        <v>24.000000 MW × 5.299869 × 0.250000 h = 31.799211 EUR</v>
      </c>
      <c r="BH73" s="1" t="str">
        <f>两日求解价格与决策!BH265</f>
        <v>24.000000 MW × 3.007261 × 0.250000 h = 18.043565 EUR</v>
      </c>
      <c r="BI73" s="1" t="str">
        <f>两日求解价格与决策!BI265</f>
        <v>0.335589 MWh × 128.828159 = 43.233258 EUR</v>
      </c>
      <c r="BJ73" s="1" t="str">
        <f>两日求解价格与决策!BJ265</f>
        <v>−(0.006171 MWh × 76.229680) = -0.470446 EUR</v>
      </c>
      <c r="BK73" s="1" t="str">
        <f>两日求解价格与决策!BK265</f>
        <v>0.000000 + 662.245345 + 31.799211 + 18.043565 + 43.233258 + -0.470446 = 754.850933 EUR</v>
      </c>
    </row>
    <row r="74" spans="1:63" ht="21" customHeight="1" x14ac:dyDescent="0.45">
      <c r="A74" s="13">
        <f>两日求解价格与决策!A266</f>
        <v>46236.677083333336</v>
      </c>
      <c r="B74" s="15">
        <f>两日求解价格与决策!B266</f>
        <v>7.14</v>
      </c>
      <c r="C74" s="15">
        <f>两日求解价格与决策!C266</f>
        <v>66.224534522516336</v>
      </c>
      <c r="D74" s="15">
        <f>两日求解价格与决策!D266</f>
        <v>5.2998685038019548</v>
      </c>
      <c r="E74" s="15">
        <f>两日求解价格与决策!E266</f>
        <v>3.0072608770224685</v>
      </c>
      <c r="F74" s="15">
        <f>两日求解价格与决策!F266</f>
        <v>93.550969069807323</v>
      </c>
      <c r="G74" s="15">
        <f>两日求解价格与决策!G266</f>
        <v>66.991023955176942</v>
      </c>
      <c r="H74" s="15" t="str">
        <f>两日求解价格与决策!H266</f>
        <v>未模拟</v>
      </c>
      <c r="I74" s="16">
        <f>两日求解价格与决策!I266</f>
        <v>171.23522981366452</v>
      </c>
      <c r="J74" s="16">
        <f>两日求解价格与决策!J266</f>
        <v>171.59054708838389</v>
      </c>
      <c r="K74" s="16">
        <f>两日求解价格与决策!K266</f>
        <v>-1.513646080067296</v>
      </c>
      <c r="L74" s="16">
        <f>两日求解价格与决策!L266</f>
        <v>40</v>
      </c>
      <c r="M74" s="16">
        <f>两日求解价格与决策!M266</f>
        <v>24</v>
      </c>
      <c r="N74" s="16">
        <f>两日求解价格与决策!N266</f>
        <v>24</v>
      </c>
      <c r="O74" s="16">
        <f>两日求解价格与决策!O266</f>
        <v>1.782857142857143E-2</v>
      </c>
      <c r="P74" s="16">
        <f>两日求解价格与决策!P266</f>
        <v>2.8662857142857139E-2</v>
      </c>
      <c r="Q74" s="17">
        <f>两日求解价格与决策!Q266</f>
        <v>-2.7018582529201232</v>
      </c>
      <c r="R74" s="17">
        <f>两日求解价格与决策!R266</f>
        <v>662.24534522516342</v>
      </c>
      <c r="S74" s="17">
        <f>两日求解价格与决策!S266</f>
        <v>31.799211022811729</v>
      </c>
      <c r="T74" s="17">
        <f>两日求解价格与决策!T266</f>
        <v>18.043565262134813</v>
      </c>
      <c r="U74" s="17">
        <f>两日求解价格与决策!U266</f>
        <v>1.6678801342731364</v>
      </c>
      <c r="V74" s="17">
        <f>两日求解价格与决策!V266</f>
        <v>-1.9201541494809571</v>
      </c>
      <c r="W74" s="17">
        <f>两日求解价格与决策!W266</f>
        <v>709.13398924198202</v>
      </c>
      <c r="X74" s="12">
        <f>两日求解价格与决策!X266</f>
        <v>709.13398924198202</v>
      </c>
      <c r="Y74" s="19">
        <f>两日求解价格与决策!Y266</f>
        <v>0</v>
      </c>
      <c r="Z74" s="12" t="str">
        <f t="shared" si="2"/>
        <v>正式执行</v>
      </c>
      <c r="AA74" s="12">
        <f>两日求解价格与决策!AA266</f>
        <v>1</v>
      </c>
      <c r="AB74" s="12">
        <f>两日求解价格与决策!AB266</f>
        <v>1</v>
      </c>
      <c r="AC74" s="12">
        <f>两日求解价格与决策!AC266</f>
        <v>0.25</v>
      </c>
      <c r="AD74" s="18">
        <f>两日求解价格与决策!AD266</f>
        <v>0.3125</v>
      </c>
      <c r="AE74" s="18">
        <f>两日求解价格与决策!AE266</f>
        <v>0.13714285714285715</v>
      </c>
      <c r="AF74" s="18">
        <f>两日求解价格与决策!AF266</f>
        <v>2.9714285714285715E-3</v>
      </c>
      <c r="AG74" s="18">
        <f>两日求解价格与决策!AG266</f>
        <v>4.7771428571428565E-3</v>
      </c>
      <c r="AH74" s="12">
        <f>两日求解价格与决策!AH266</f>
        <v>175</v>
      </c>
      <c r="AI74" s="12">
        <f>两日求解价格与决策!AI266</f>
        <v>175</v>
      </c>
      <c r="AJ74" s="12">
        <f>两日求解价格与决策!AJ266</f>
        <v>0.13</v>
      </c>
      <c r="AK74" s="12">
        <f>两日求解价格与决策!AK266</f>
        <v>0.20899999999999999</v>
      </c>
      <c r="AL74" s="12">
        <f>两日求解价格与决策!AL266</f>
        <v>71.936000000000007</v>
      </c>
      <c r="AM74" s="12">
        <f>两日求解价格与决策!AM266</f>
        <v>1.0878628924948458E-3</v>
      </c>
      <c r="AN74" s="12">
        <f>两日求解价格与决策!AN266</f>
        <v>0.40594995435734538</v>
      </c>
      <c r="AO74" s="12">
        <f>两日求解价格与决策!AO266</f>
        <v>1.6704148626235722E-2</v>
      </c>
      <c r="AP74" s="12">
        <f>两日求解价格与决策!AP266</f>
        <v>171.59054708838391</v>
      </c>
      <c r="AQ74" s="19">
        <f>两日求解价格与决策!AQ266</f>
        <v>0</v>
      </c>
      <c r="AR74" s="12">
        <f>两日求解价格与决策!AR266</f>
        <v>5.2473000000000001</v>
      </c>
      <c r="AS74" s="14">
        <f>两日求解价格与决策!AS266</f>
        <v>46234</v>
      </c>
      <c r="AT74" s="13">
        <f>两日求解价格与决策!AT266</f>
        <v>46236.552083333336</v>
      </c>
      <c r="AU74" s="12" t="str">
        <f>两日求解价格与决策!AU266</f>
        <v>2026-08-02_62</v>
      </c>
      <c r="AV74" s="12">
        <f>两日求解价格与决策!AV266</f>
        <v>15</v>
      </c>
      <c r="AW74" s="12" t="str">
        <f>两日求解价格与决策!AW266</f>
        <v>OK</v>
      </c>
      <c r="AX74" s="12">
        <f>两日求解价格与决策!AX266</f>
        <v>128</v>
      </c>
      <c r="AY74" s="12">
        <f>两日求解价格与决策!AY266</f>
        <v>175</v>
      </c>
      <c r="AZ74" s="12">
        <f>两日求解价格与决策!AZ266</f>
        <v>175</v>
      </c>
      <c r="BA74" s="12">
        <f>两日求解价格与决策!BA266</f>
        <v>40</v>
      </c>
      <c r="BB74" s="12">
        <f>两日求解价格与决策!BB266</f>
        <v>24</v>
      </c>
      <c r="BC74" s="12">
        <f>两日求解价格与决策!BC266</f>
        <v>24</v>
      </c>
      <c r="BD74" s="14">
        <f>两日求解价格与决策!BD266</f>
        <v>46236</v>
      </c>
      <c r="BE74" s="1" t="str">
        <f>两日求解价格与决策!BE266</f>
        <v>-1.513646 MW × 7.140000 × 0.250000 h = -2.701858 EUR</v>
      </c>
      <c r="BF74" s="1" t="str">
        <f>两日求解价格与决策!BF266</f>
        <v>40.000000 MW × 66.224535 × 0.250000 h = 662.245345 EUR</v>
      </c>
      <c r="BG74" s="1" t="str">
        <f>两日求解价格与决策!BG266</f>
        <v>24.000000 MW × 5.299869 × 0.250000 h = 31.799211 EUR</v>
      </c>
      <c r="BH74" s="1" t="str">
        <f>两日求解价格与决策!BH266</f>
        <v>24.000000 MW × 3.007261 × 0.250000 h = 18.043565 EUR</v>
      </c>
      <c r="BI74" s="1" t="str">
        <f>两日求解价格与决策!BI266</f>
        <v>0.017829 MWh × 93.550969 = 1.667880 EUR</v>
      </c>
      <c r="BJ74" s="1" t="str">
        <f>两日求解价格与决策!BJ266</f>
        <v>−(0.028663 MWh × 66.991024) = -1.920154 EUR</v>
      </c>
      <c r="BK74" s="1" t="str">
        <f>两日求解价格与决策!BK266</f>
        <v>-2.701858 + 662.245345 + 31.799211 + 18.043565 + 1.667880 + -1.920154 = 709.133989 EUR</v>
      </c>
    </row>
    <row r="75" spans="1:63" ht="21" customHeight="1" x14ac:dyDescent="0.45">
      <c r="A75" s="13">
        <f>两日求解价格与决策!A267</f>
        <v>46236.6875</v>
      </c>
      <c r="B75" s="15">
        <f>两日求解价格与决策!B267</f>
        <v>7.94</v>
      </c>
      <c r="C75" s="15">
        <f>两日求解价格与决策!C267</f>
        <v>66.224534522516336</v>
      </c>
      <c r="D75" s="15">
        <f>两日求解价格与决策!D267</f>
        <v>5.2998685038019548</v>
      </c>
      <c r="E75" s="15">
        <f>两日求解价格与决策!E267</f>
        <v>3.0072608770224685</v>
      </c>
      <c r="F75" s="15">
        <f>两日求解价格与决策!F267</f>
        <v>132.17673851314009</v>
      </c>
      <c r="G75" s="15">
        <f>两日求解价格与决策!G267</f>
        <v>76.229680025918086</v>
      </c>
      <c r="H75" s="15" t="str">
        <f>两日求解价格与决策!H267</f>
        <v>未模拟</v>
      </c>
      <c r="I75" s="16">
        <f>两日求解价格与决策!I267</f>
        <v>171.59054708838389</v>
      </c>
      <c r="J75" s="16">
        <f>两日求解价格与决策!J267</f>
        <v>171.59459487911656</v>
      </c>
      <c r="K75" s="16">
        <f>两日求解价格与决策!K267</f>
        <v>-2.8374356393544509</v>
      </c>
      <c r="L75" s="16">
        <f>两日求解价格与决策!L267</f>
        <v>40</v>
      </c>
      <c r="M75" s="16">
        <f>两日求解价格与决策!M267</f>
        <v>24</v>
      </c>
      <c r="N75" s="16">
        <f>两日求解价格与决策!N267</f>
        <v>24</v>
      </c>
      <c r="O75" s="16">
        <f>两日求解价格与决策!O267</f>
        <v>0.61563428571428569</v>
      </c>
      <c r="P75" s="16">
        <f>两日求解价格与决策!P267</f>
        <v>9.1885714285714296E-3</v>
      </c>
      <c r="Q75" s="17">
        <f>两日求解价格与决策!Q267</f>
        <v>-5.6323097441185856</v>
      </c>
      <c r="R75" s="17">
        <f>两日求解价格与决策!R267</f>
        <v>662.24534522516342</v>
      </c>
      <c r="S75" s="17">
        <f>两日求解价格与决策!S267</f>
        <v>31.799211022811729</v>
      </c>
      <c r="T75" s="17">
        <f>两日求解价格与决策!T267</f>
        <v>18.043565262134813</v>
      </c>
      <c r="U75" s="17">
        <f>两日求解价格与决策!U267</f>
        <v>81.372532002580911</v>
      </c>
      <c r="V75" s="17">
        <f>两日求解价格与决策!V267</f>
        <v>-0.70044185989529317</v>
      </c>
      <c r="W75" s="17">
        <f>两日求解价格与决策!W267</f>
        <v>787.12790190867702</v>
      </c>
      <c r="X75" s="12">
        <f>两日求解价格与决策!X267</f>
        <v>787.12790190867702</v>
      </c>
      <c r="Y75" s="19">
        <f>两日求解价格与决策!Y267</f>
        <v>0</v>
      </c>
      <c r="Z75" s="12" t="str">
        <f t="shared" si="2"/>
        <v>正式执行</v>
      </c>
      <c r="AA75" s="12">
        <f>两日求解价格与决策!AA267</f>
        <v>1</v>
      </c>
      <c r="AB75" s="12">
        <f>两日求解价格与决策!AB267</f>
        <v>1</v>
      </c>
      <c r="AC75" s="12">
        <f>两日求解价格与决策!AC267</f>
        <v>0.25</v>
      </c>
      <c r="AD75" s="18">
        <f>两日求解价格与决策!AD267</f>
        <v>0.3125</v>
      </c>
      <c r="AE75" s="18">
        <f>两日求解价格与决策!AE267</f>
        <v>0.13714285714285715</v>
      </c>
      <c r="AF75" s="18">
        <f>两日求解价格与决策!AF267</f>
        <v>0.10260571428571429</v>
      </c>
      <c r="AG75" s="18">
        <f>两日求解价格与决策!AG267</f>
        <v>1.5314285714285716E-3</v>
      </c>
      <c r="AH75" s="12">
        <f>两日求解价格与决策!AH267</f>
        <v>175</v>
      </c>
      <c r="AI75" s="12">
        <f>两日求解价格与决策!AI267</f>
        <v>175</v>
      </c>
      <c r="AJ75" s="12">
        <f>两日求解价格与决策!AJ267</f>
        <v>4.4889999999999999</v>
      </c>
      <c r="AK75" s="12">
        <f>两日求解价格与决策!AK267</f>
        <v>6.7000000000000004E-2</v>
      </c>
      <c r="AL75" s="12">
        <f>两日求解价格与决策!AL267</f>
        <v>71.936000000000007</v>
      </c>
      <c r="AM75" s="12">
        <f>两日求解价格与决策!AM267</f>
        <v>3.2893236221158834E-3</v>
      </c>
      <c r="AN75" s="12">
        <f>两日求解价格与决策!AN267</f>
        <v>0.64576320363825768</v>
      </c>
      <c r="AO75" s="12">
        <f>两日求解价格与决策!AO267</f>
        <v>0.54285000808535933</v>
      </c>
      <c r="AP75" s="12">
        <f>两日求解价格与决策!AP267</f>
        <v>171.59459487911658</v>
      </c>
      <c r="AQ75" s="19">
        <f>两日求解价格与决策!AQ267</f>
        <v>0</v>
      </c>
      <c r="AR75" s="12">
        <f>两日求解价格与决策!AR267</f>
        <v>5.2473000000000001</v>
      </c>
      <c r="AS75" s="14">
        <f>两日求解价格与决策!AS267</f>
        <v>46234</v>
      </c>
      <c r="AT75" s="13">
        <f>两日求解价格与决策!AT267</f>
        <v>46236.5625</v>
      </c>
      <c r="AU75" s="12" t="str">
        <f>两日求解价格与决策!AU267</f>
        <v>2026-08-02_63</v>
      </c>
      <c r="AV75" s="12">
        <f>两日求解价格与决策!AV267</f>
        <v>15</v>
      </c>
      <c r="AW75" s="12" t="str">
        <f>两日求解价格与决策!AW267</f>
        <v>OK</v>
      </c>
      <c r="AX75" s="12">
        <f>两日求解价格与决策!AX267</f>
        <v>128</v>
      </c>
      <c r="AY75" s="12">
        <f>两日求解价格与决策!AY267</f>
        <v>175</v>
      </c>
      <c r="AZ75" s="12">
        <f>两日求解价格与决策!AZ267</f>
        <v>175</v>
      </c>
      <c r="BA75" s="12">
        <f>两日求解价格与决策!BA267</f>
        <v>40</v>
      </c>
      <c r="BB75" s="12">
        <f>两日求解价格与决策!BB267</f>
        <v>24</v>
      </c>
      <c r="BC75" s="12">
        <f>两日求解价格与决策!BC267</f>
        <v>24</v>
      </c>
      <c r="BD75" s="14">
        <f>两日求解价格与决策!BD267</f>
        <v>46236</v>
      </c>
      <c r="BE75" s="1" t="str">
        <f>两日求解价格与决策!BE267</f>
        <v>-2.837436 MW × 7.940000 × 0.250000 h = -5.632310 EUR</v>
      </c>
      <c r="BF75" s="1" t="str">
        <f>两日求解价格与决策!BF267</f>
        <v>40.000000 MW × 66.224535 × 0.250000 h = 662.245345 EUR</v>
      </c>
      <c r="BG75" s="1" t="str">
        <f>两日求解价格与决策!BG267</f>
        <v>24.000000 MW × 5.299869 × 0.250000 h = 31.799211 EUR</v>
      </c>
      <c r="BH75" s="1" t="str">
        <f>两日求解价格与决策!BH267</f>
        <v>24.000000 MW × 3.007261 × 0.250000 h = 18.043565 EUR</v>
      </c>
      <c r="BI75" s="1" t="str">
        <f>两日求解价格与决策!BI267</f>
        <v>0.615634 MWh × 132.176739 = 81.372532 EUR</v>
      </c>
      <c r="BJ75" s="1" t="str">
        <f>两日求解价格与决策!BJ267</f>
        <v>−(0.009189 MWh × 76.229680) = -0.700442 EUR</v>
      </c>
      <c r="BK75" s="1" t="str">
        <f>两日求解价格与决策!BK267</f>
        <v>-5.632310 + 662.245345 + 31.799211 + 18.043565 + 81.372532 + -0.700442 = 787.127902 EUR</v>
      </c>
    </row>
    <row r="76" spans="1:63" ht="21" customHeight="1" x14ac:dyDescent="0.45">
      <c r="A76" s="13">
        <f>两日求解价格与决策!A268</f>
        <v>46236.697916666664</v>
      </c>
      <c r="B76" s="15">
        <f>两日求解价格与决策!B268</f>
        <v>8.4700000000000006</v>
      </c>
      <c r="C76" s="15">
        <f>两日求解价格与决策!C268</f>
        <v>66.224534522516336</v>
      </c>
      <c r="D76" s="15">
        <f>两日求解价格与决策!D268</f>
        <v>5.2998685038019548</v>
      </c>
      <c r="E76" s="15">
        <f>两日求解价格与决策!E268</f>
        <v>3.0072608770224685</v>
      </c>
      <c r="F76" s="15">
        <f>两日求解价格与决策!F268</f>
        <v>109.33889809997522</v>
      </c>
      <c r="G76" s="15">
        <f>两日求解价格与决策!G268</f>
        <v>76.229680025918086</v>
      </c>
      <c r="H76" s="15" t="str">
        <f>两日求解价格与决策!H268</f>
        <v>未模拟</v>
      </c>
      <c r="I76" s="16">
        <f>两日求解价格与决策!I268</f>
        <v>171.59459487911656</v>
      </c>
      <c r="J76" s="16">
        <f>两日求解价格与决策!J268</f>
        <v>171.57098014626055</v>
      </c>
      <c r="K76" s="16">
        <f>两日求解价格与决策!K268</f>
        <v>-0.47971414569927678</v>
      </c>
      <c r="L76" s="16">
        <f>两日求解价格与决策!L268</f>
        <v>40</v>
      </c>
      <c r="M76" s="16">
        <f>两日求解价格与决策!M268</f>
        <v>24</v>
      </c>
      <c r="N76" s="16">
        <f>两日求解价格与决策!N268</f>
        <v>24</v>
      </c>
      <c r="O76" s="16">
        <f>两日求解价格与决策!O268</f>
        <v>0.12850285714285714</v>
      </c>
      <c r="P76" s="16">
        <f>两日求解价格与决策!P268</f>
        <v>5.7600000000000004E-3</v>
      </c>
      <c r="Q76" s="17">
        <f>两日求解价格与决策!Q268</f>
        <v>-1.0157947035182187</v>
      </c>
      <c r="R76" s="17">
        <f>两日求解价格与决策!R268</f>
        <v>662.24534522516342</v>
      </c>
      <c r="S76" s="17">
        <f>两日求解价格与决策!S268</f>
        <v>31.799211022811729</v>
      </c>
      <c r="T76" s="17">
        <f>两日求解价格与决策!T268</f>
        <v>18.043565262134813</v>
      </c>
      <c r="U76" s="17">
        <f>两日求解价格与决策!U268</f>
        <v>14.050360802698531</v>
      </c>
      <c r="V76" s="17">
        <f>两日求解价格与决策!V268</f>
        <v>-0.43908295694928823</v>
      </c>
      <c r="W76" s="17">
        <f>两日求解价格与决策!W268</f>
        <v>724.68360465234105</v>
      </c>
      <c r="X76" s="12">
        <f>两日求解价格与决策!X268</f>
        <v>724.68360465234093</v>
      </c>
      <c r="Y76" s="19">
        <f>两日求解价格与决策!Y268</f>
        <v>0</v>
      </c>
      <c r="Z76" s="12" t="str">
        <f t="shared" si="2"/>
        <v>正式执行</v>
      </c>
      <c r="AA76" s="12">
        <f>两日求解价格与决策!AA268</f>
        <v>1</v>
      </c>
      <c r="AB76" s="12">
        <f>两日求解价格与决策!AB268</f>
        <v>1</v>
      </c>
      <c r="AC76" s="12">
        <f>两日求解价格与决策!AC268</f>
        <v>0.25</v>
      </c>
      <c r="AD76" s="18">
        <f>两日求解价格与决策!AD268</f>
        <v>0.3125</v>
      </c>
      <c r="AE76" s="18">
        <f>两日求解价格与决策!AE268</f>
        <v>0.13714285714285715</v>
      </c>
      <c r="AF76" s="18">
        <f>两日求解价格与决策!AF268</f>
        <v>2.1417142857142857E-2</v>
      </c>
      <c r="AG76" s="18">
        <f>两日求解价格与决策!AG268</f>
        <v>9.6000000000000002E-4</v>
      </c>
      <c r="AH76" s="12">
        <f>两日求解价格与决策!AH268</f>
        <v>175</v>
      </c>
      <c r="AI76" s="12">
        <f>两日求解价格与决策!AI268</f>
        <v>175</v>
      </c>
      <c r="AJ76" s="12">
        <f>两日求解价格与决策!AJ268</f>
        <v>0.93700000000000006</v>
      </c>
      <c r="AK76" s="12">
        <f>两日求解价格与决策!AK268</f>
        <v>4.2000000000000003E-2</v>
      </c>
      <c r="AL76" s="12">
        <f>两日求解价格与决策!AL268</f>
        <v>71.936000000000007</v>
      </c>
      <c r="AM76" s="12">
        <f>两日求解价格与决策!AM268</f>
        <v>6.9487653038540517E-4</v>
      </c>
      <c r="AN76" s="12">
        <f>两日求解价格与决策!AN268</f>
        <v>0.1231200098275608</v>
      </c>
      <c r="AO76" s="12">
        <f>两日求解价格与决策!AO268</f>
        <v>0.12593433054559874</v>
      </c>
      <c r="AP76" s="12">
        <f>两日求解价格与决策!AP268</f>
        <v>171.57098014626058</v>
      </c>
      <c r="AQ76" s="19">
        <f>两日求解价格与决策!AQ268</f>
        <v>0</v>
      </c>
      <c r="AR76" s="12">
        <f>两日求解价格与决策!AR268</f>
        <v>5.2473000000000001</v>
      </c>
      <c r="AS76" s="14">
        <f>两日求解价格与决策!AS268</f>
        <v>46234</v>
      </c>
      <c r="AT76" s="13">
        <f>两日求解价格与决策!AT268</f>
        <v>46236.572916666664</v>
      </c>
      <c r="AU76" s="12" t="str">
        <f>两日求解价格与决策!AU268</f>
        <v>2026-08-02_64</v>
      </c>
      <c r="AV76" s="12">
        <f>两日求解价格与决策!AV268</f>
        <v>15</v>
      </c>
      <c r="AW76" s="12" t="str">
        <f>两日求解价格与决策!AW268</f>
        <v>OK</v>
      </c>
      <c r="AX76" s="12">
        <f>两日求解价格与决策!AX268</f>
        <v>128</v>
      </c>
      <c r="AY76" s="12">
        <f>两日求解价格与决策!AY268</f>
        <v>175</v>
      </c>
      <c r="AZ76" s="12">
        <f>两日求解价格与决策!AZ268</f>
        <v>175</v>
      </c>
      <c r="BA76" s="12">
        <f>两日求解价格与决策!BA268</f>
        <v>40</v>
      </c>
      <c r="BB76" s="12">
        <f>两日求解价格与决策!BB268</f>
        <v>24</v>
      </c>
      <c r="BC76" s="12">
        <f>两日求解价格与决策!BC268</f>
        <v>24</v>
      </c>
      <c r="BD76" s="14">
        <f>两日求解价格与决策!BD268</f>
        <v>46236</v>
      </c>
      <c r="BE76" s="1" t="str">
        <f>两日求解价格与决策!BE268</f>
        <v>-0.479714 MW × 8.470000 × 0.250000 h = -1.015795 EUR</v>
      </c>
      <c r="BF76" s="1" t="str">
        <f>两日求解价格与决策!BF268</f>
        <v>40.000000 MW × 66.224535 × 0.250000 h = 662.245345 EUR</v>
      </c>
      <c r="BG76" s="1" t="str">
        <f>两日求解价格与决策!BG268</f>
        <v>24.000000 MW × 5.299869 × 0.250000 h = 31.799211 EUR</v>
      </c>
      <c r="BH76" s="1" t="str">
        <f>两日求解价格与决策!BH268</f>
        <v>24.000000 MW × 3.007261 × 0.250000 h = 18.043565 EUR</v>
      </c>
      <c r="BI76" s="1" t="str">
        <f>两日求解价格与决策!BI268</f>
        <v>0.128503 MWh × 109.338898 = 14.050361 EUR</v>
      </c>
      <c r="BJ76" s="1" t="str">
        <f>两日求解价格与决策!BJ268</f>
        <v>−(0.005760 MWh × 76.229680) = -0.439083 EUR</v>
      </c>
      <c r="BK76" s="1" t="str">
        <f>两日求解价格与决策!BK268</f>
        <v>-1.015795 + 662.245345 + 31.799211 + 18.043565 + 14.050361 + -0.439083 = 724.683605 EUR</v>
      </c>
    </row>
    <row r="77" spans="1:63" ht="21" customHeight="1" x14ac:dyDescent="0.45">
      <c r="A77" s="13">
        <f>两日求解价格与决策!A269</f>
        <v>46236.708333333336</v>
      </c>
      <c r="B77" s="15">
        <f>两日求解价格与决策!B269</f>
        <v>12.63</v>
      </c>
      <c r="C77" s="15">
        <f>两日求解价格与决策!C269</f>
        <v>60.030873020410496</v>
      </c>
      <c r="D77" s="15">
        <f>两日求解价格与决策!D269</f>
        <v>6.0335791740514164</v>
      </c>
      <c r="E77" s="15">
        <f>两日求解价格与决策!E269</f>
        <v>3.0072608770224685</v>
      </c>
      <c r="F77" s="15">
        <f>两日求解价格与决策!F269</f>
        <v>133.21136584529185</v>
      </c>
      <c r="G77" s="15">
        <f>两日求解价格与决策!G269</f>
        <v>76.229680025918086</v>
      </c>
      <c r="H77" s="15" t="str">
        <f>两日求解价格与决策!H269</f>
        <v>未模拟</v>
      </c>
      <c r="I77" s="16">
        <f>两日求解价格与决策!I269</f>
        <v>171.57098014626055</v>
      </c>
      <c r="J77" s="16">
        <f>两日求解价格与决策!J269</f>
        <v>171.53194687003597</v>
      </c>
      <c r="K77" s="16">
        <f>两日求解价格与决策!K269</f>
        <v>0.20654795542531273</v>
      </c>
      <c r="L77" s="16">
        <f>两日求解价格与决策!L269</f>
        <v>40</v>
      </c>
      <c r="M77" s="16">
        <f>两日求解价格与决策!M269</f>
        <v>24</v>
      </c>
      <c r="N77" s="16">
        <f>两日求解价格与决策!N269</f>
        <v>24</v>
      </c>
      <c r="O77" s="16">
        <f>两日求解价格与决策!O269</f>
        <v>1.1245714285714286E-2</v>
      </c>
      <c r="P77" s="16">
        <f>两日求解价格与决策!P269</f>
        <v>3.1817142857142856E-2</v>
      </c>
      <c r="Q77" s="17">
        <f>两日求解价格与决策!Q269</f>
        <v>0.65217516925542496</v>
      </c>
      <c r="R77" s="17">
        <f>两日求解价格与决策!R269</f>
        <v>600.3087302041049</v>
      </c>
      <c r="S77" s="17">
        <f>两日求解价格与决策!S269</f>
        <v>36.201475044308495</v>
      </c>
      <c r="T77" s="17">
        <f>两日求解价格与决策!T269</f>
        <v>18.043565262134813</v>
      </c>
      <c r="U77" s="17">
        <f>两日求解价格与决策!U269</f>
        <v>1.4980569599059106</v>
      </c>
      <c r="V77" s="17">
        <f>两日求解价格与决策!V269</f>
        <v>-2.4254106193389249</v>
      </c>
      <c r="W77" s="17">
        <f>两日求解价格与决策!W269</f>
        <v>654.27859202037075</v>
      </c>
      <c r="X77" s="12">
        <f>两日求解价格与决策!X269</f>
        <v>654.27859202037064</v>
      </c>
      <c r="Y77" s="19">
        <f>两日求解价格与决策!Y269</f>
        <v>0</v>
      </c>
      <c r="Z77" s="12" t="str">
        <f t="shared" si="2"/>
        <v>正式执行</v>
      </c>
      <c r="AA77" s="12">
        <f>两日求解价格与决策!AA269</f>
        <v>1</v>
      </c>
      <c r="AB77" s="12">
        <f>两日求解价格与决策!AB269</f>
        <v>1</v>
      </c>
      <c r="AC77" s="12">
        <f>两日求解价格与决策!AC269</f>
        <v>0.25</v>
      </c>
      <c r="AD77" s="18">
        <f>两日求解价格与决策!AD269</f>
        <v>0.3125</v>
      </c>
      <c r="AE77" s="18">
        <f>两日求解价格与决策!AE269</f>
        <v>0.13714285714285715</v>
      </c>
      <c r="AF77" s="18">
        <f>两日求解价格与决策!AF269</f>
        <v>1.8742857142857144E-3</v>
      </c>
      <c r="AG77" s="18">
        <f>两日求解价格与决策!AG269</f>
        <v>5.302857142857143E-3</v>
      </c>
      <c r="AH77" s="12">
        <f>两日求解价格与决策!AH269</f>
        <v>175</v>
      </c>
      <c r="AI77" s="12">
        <f>两日求解价格与决策!AI269</f>
        <v>175</v>
      </c>
      <c r="AJ77" s="12">
        <f>两日求解价格与决策!AJ269</f>
        <v>8.2000000000000003E-2</v>
      </c>
      <c r="AK77" s="12">
        <f>两日求解价格与决策!AK269</f>
        <v>0.23200000000000001</v>
      </c>
      <c r="AL77" s="12">
        <f>两日求解价格与决策!AL269</f>
        <v>51.968000000000004</v>
      </c>
      <c r="AM77" s="12">
        <f>两日求解价格与决策!AM269</f>
        <v>2.6964717695378293E-4</v>
      </c>
      <c r="AN77" s="12">
        <f>两日求解价格与决策!AN269</f>
        <v>3.1543319281950442E-2</v>
      </c>
      <c r="AO77" s="12">
        <f>两日求解价格与决策!AO269</f>
        <v>6.2608879566850045E-2</v>
      </c>
      <c r="AP77" s="12">
        <f>两日求解价格与决策!AP269</f>
        <v>171.53194687003599</v>
      </c>
      <c r="AQ77" s="19">
        <f>两日求解价格与决策!AQ269</f>
        <v>0</v>
      </c>
      <c r="AR77" s="12">
        <f>两日求解价格与决策!AR269</f>
        <v>5.2473000000000001</v>
      </c>
      <c r="AS77" s="14">
        <f>两日求解价格与决策!AS269</f>
        <v>46234</v>
      </c>
      <c r="AT77" s="13">
        <f>两日求解价格与决策!AT269</f>
        <v>46236.583333333336</v>
      </c>
      <c r="AU77" s="12" t="str">
        <f>两日求解价格与决策!AU269</f>
        <v>2026-08-02_65</v>
      </c>
      <c r="AV77" s="12">
        <f>两日求解价格与决策!AV269</f>
        <v>15</v>
      </c>
      <c r="AW77" s="12" t="str">
        <f>两日求解价格与决策!AW269</f>
        <v>OK</v>
      </c>
      <c r="AX77" s="12">
        <f>两日求解价格与决策!AX269</f>
        <v>128</v>
      </c>
      <c r="AY77" s="12">
        <f>两日求解价格与决策!AY269</f>
        <v>175</v>
      </c>
      <c r="AZ77" s="12">
        <f>两日求解价格与决策!AZ269</f>
        <v>175</v>
      </c>
      <c r="BA77" s="12">
        <f>两日求解价格与决策!BA269</f>
        <v>40</v>
      </c>
      <c r="BB77" s="12">
        <f>两日求解价格与决策!BB269</f>
        <v>24</v>
      </c>
      <c r="BC77" s="12">
        <f>两日求解价格与决策!BC269</f>
        <v>24</v>
      </c>
      <c r="BD77" s="14">
        <f>两日求解价格与决策!BD269</f>
        <v>46236</v>
      </c>
      <c r="BE77" s="1" t="str">
        <f>两日求解价格与决策!BE269</f>
        <v>0.206548 MW × 12.630000 × 0.250000 h = 0.652175 EUR</v>
      </c>
      <c r="BF77" s="1" t="str">
        <f>两日求解价格与决策!BF269</f>
        <v>40.000000 MW × 60.030873 × 0.250000 h = 600.308730 EUR</v>
      </c>
      <c r="BG77" s="1" t="str">
        <f>两日求解价格与决策!BG269</f>
        <v>24.000000 MW × 6.033579 × 0.250000 h = 36.201475 EUR</v>
      </c>
      <c r="BH77" s="1" t="str">
        <f>两日求解价格与决策!BH269</f>
        <v>24.000000 MW × 3.007261 × 0.250000 h = 18.043565 EUR</v>
      </c>
      <c r="BI77" s="1" t="str">
        <f>两日求解价格与决策!BI269</f>
        <v>0.011246 MWh × 133.211366 = 1.498057 EUR</v>
      </c>
      <c r="BJ77" s="1" t="str">
        <f>两日求解价格与决策!BJ269</f>
        <v>−(0.031817 MWh × 76.229680) = -2.425411 EUR</v>
      </c>
      <c r="BK77" s="1" t="str">
        <f>两日求解价格与决策!BK269</f>
        <v>0.652175 + 600.308730 + 36.201475 + 18.043565 + 1.498057 + -2.425411 = 654.278592 EUR</v>
      </c>
    </row>
    <row r="78" spans="1:63" ht="21" customHeight="1" x14ac:dyDescent="0.45">
      <c r="A78" s="13">
        <f>两日求解价格与决策!A270</f>
        <v>46236.71875</v>
      </c>
      <c r="B78" s="15">
        <f>两日求解价格与决策!B270</f>
        <v>15.51</v>
      </c>
      <c r="C78" s="15">
        <f>两日求解价格与决策!C270</f>
        <v>60.030873020410496</v>
      </c>
      <c r="D78" s="15">
        <f>两日求解价格与决策!D270</f>
        <v>6.0335791740514164</v>
      </c>
      <c r="E78" s="15">
        <f>两日求解价格与决策!E270</f>
        <v>3.0072608770224685</v>
      </c>
      <c r="F78" s="15">
        <f>两日求解价格与决策!F270</f>
        <v>172.34920816419873</v>
      </c>
      <c r="G78" s="15">
        <f>两日求解价格与决策!G270</f>
        <v>61.614354048748886</v>
      </c>
      <c r="H78" s="15" t="str">
        <f>两日求解价格与决策!H270</f>
        <v>未模拟</v>
      </c>
      <c r="I78" s="16">
        <f>两日求解价格与决策!I270</f>
        <v>171.53194687003597</v>
      </c>
      <c r="J78" s="16">
        <f>两日求解价格与决策!J270</f>
        <v>171.59999999999994</v>
      </c>
      <c r="K78" s="16">
        <f>两日求解价格与决策!K270</f>
        <v>-3.195144646727063</v>
      </c>
      <c r="L78" s="16">
        <f>两日求解价格与决策!L270</f>
        <v>40</v>
      </c>
      <c r="M78" s="16">
        <f>两日求解价格与决策!M270</f>
        <v>24</v>
      </c>
      <c r="N78" s="16">
        <f>两日求解价格与决策!N270</f>
        <v>24</v>
      </c>
      <c r="O78" s="16">
        <f>两日求解价格与决策!O270</f>
        <v>0.68269714285714289</v>
      </c>
      <c r="P78" s="16">
        <f>两日求解价格与决策!P270</f>
        <v>6.5279999999999991E-2</v>
      </c>
      <c r="Q78" s="17">
        <f>两日求解价格与决策!Q270</f>
        <v>-12.389173367684187</v>
      </c>
      <c r="R78" s="17">
        <f>两日求解价格与决策!R270</f>
        <v>600.3087302041049</v>
      </c>
      <c r="S78" s="17">
        <f>两日求解价格与决策!S270</f>
        <v>36.201475044308495</v>
      </c>
      <c r="T78" s="17">
        <f>两日求解价格与决策!T270</f>
        <v>18.043565262134813</v>
      </c>
      <c r="U78" s="17">
        <f>两日求解价格与决策!U270</f>
        <v>117.66231198738944</v>
      </c>
      <c r="V78" s="17">
        <f>两日求解价格与决策!V270</f>
        <v>-4.0221850323023265</v>
      </c>
      <c r="W78" s="17">
        <f>两日求解价格与决策!W270</f>
        <v>755.80472409795118</v>
      </c>
      <c r="X78" s="12">
        <f>两日求解价格与决策!X270</f>
        <v>755.80472409795118</v>
      </c>
      <c r="Y78" s="19">
        <f>两日求解价格与决策!Y270</f>
        <v>0</v>
      </c>
      <c r="Z78" s="12" t="str">
        <f t="shared" si="2"/>
        <v>正式执行</v>
      </c>
      <c r="AA78" s="12">
        <f>两日求解价格与决策!AA270</f>
        <v>1</v>
      </c>
      <c r="AB78" s="12">
        <f>两日求解价格与决策!AB270</f>
        <v>1</v>
      </c>
      <c r="AC78" s="12">
        <f>两日求解价格与决策!AC270</f>
        <v>0.25</v>
      </c>
      <c r="AD78" s="18">
        <f>两日求解价格与决策!AD270</f>
        <v>0.3125</v>
      </c>
      <c r="AE78" s="18">
        <f>两日求解价格与决策!AE270</f>
        <v>0.13714285714285715</v>
      </c>
      <c r="AF78" s="18">
        <f>两日求解价格与决策!AF270</f>
        <v>0.11378285714285714</v>
      </c>
      <c r="AG78" s="18">
        <f>两日求解价格与决策!AG270</f>
        <v>1.0879999999999999E-2</v>
      </c>
      <c r="AH78" s="12">
        <f>两日求解价格与决策!AH270</f>
        <v>175</v>
      </c>
      <c r="AI78" s="12">
        <f>两日求解价格与决策!AI270</f>
        <v>175</v>
      </c>
      <c r="AJ78" s="12">
        <f>两日求解价格与决策!AJ270</f>
        <v>4.9779999999999998</v>
      </c>
      <c r="AK78" s="12">
        <f>两日求解价格与决策!AK270</f>
        <v>0.47599999999999998</v>
      </c>
      <c r="AL78" s="12">
        <f>两日求解价格与决策!AL270</f>
        <v>51.968000000000004</v>
      </c>
      <c r="AM78" s="12">
        <f>两日求解价格与决策!AM270</f>
        <v>3.7627621432260983E-3</v>
      </c>
      <c r="AN78" s="12">
        <f>两日求解价格与决策!AN270</f>
        <v>0.77317798995943821</v>
      </c>
      <c r="AO78" s="12">
        <f>两日求解价格与决策!AO270</f>
        <v>0.59180897113481534</v>
      </c>
      <c r="AP78" s="12">
        <f>两日求解价格与决策!AP270</f>
        <v>171.59999999999997</v>
      </c>
      <c r="AQ78" s="19">
        <f>两日求解价格与决策!AQ270</f>
        <v>0</v>
      </c>
      <c r="AR78" s="12">
        <f>两日求解价格与决策!AR270</f>
        <v>5.2473000000000001</v>
      </c>
      <c r="AS78" s="14">
        <f>两日求解价格与决策!AS270</f>
        <v>46234</v>
      </c>
      <c r="AT78" s="13">
        <f>两日求解价格与决策!AT270</f>
        <v>46236.59375</v>
      </c>
      <c r="AU78" s="12" t="str">
        <f>两日求解价格与决策!AU270</f>
        <v>2026-08-02_66</v>
      </c>
      <c r="AV78" s="12">
        <f>两日求解价格与决策!AV270</f>
        <v>15</v>
      </c>
      <c r="AW78" s="12" t="str">
        <f>两日求解价格与决策!AW270</f>
        <v>OK</v>
      </c>
      <c r="AX78" s="12">
        <f>两日求解价格与决策!AX270</f>
        <v>128</v>
      </c>
      <c r="AY78" s="12">
        <f>两日求解价格与决策!AY270</f>
        <v>175</v>
      </c>
      <c r="AZ78" s="12">
        <f>两日求解价格与决策!AZ270</f>
        <v>175</v>
      </c>
      <c r="BA78" s="12">
        <f>两日求解价格与决策!BA270</f>
        <v>40</v>
      </c>
      <c r="BB78" s="12">
        <f>两日求解价格与决策!BB270</f>
        <v>24</v>
      </c>
      <c r="BC78" s="12">
        <f>两日求解价格与决策!BC270</f>
        <v>24</v>
      </c>
      <c r="BD78" s="14">
        <f>两日求解价格与决策!BD270</f>
        <v>46236</v>
      </c>
      <c r="BE78" s="1" t="str">
        <f>两日求解价格与决策!BE270</f>
        <v>-3.195145 MW × 15.510000 × 0.250000 h = -12.389173 EUR</v>
      </c>
      <c r="BF78" s="1" t="str">
        <f>两日求解价格与决策!BF270</f>
        <v>40.000000 MW × 60.030873 × 0.250000 h = 600.308730 EUR</v>
      </c>
      <c r="BG78" s="1" t="str">
        <f>两日求解价格与决策!BG270</f>
        <v>24.000000 MW × 6.033579 × 0.250000 h = 36.201475 EUR</v>
      </c>
      <c r="BH78" s="1" t="str">
        <f>两日求解价格与决策!BH270</f>
        <v>24.000000 MW × 3.007261 × 0.250000 h = 18.043565 EUR</v>
      </c>
      <c r="BI78" s="1" t="str">
        <f>两日求解价格与决策!BI270</f>
        <v>0.682697 MWh × 172.349208 = 117.662312 EUR</v>
      </c>
      <c r="BJ78" s="1" t="str">
        <f>两日求解价格与决策!BJ270</f>
        <v>−(0.065280 MWh × 61.614354) = -4.022185 EUR</v>
      </c>
      <c r="BK78" s="1" t="str">
        <f>两日求解价格与决策!BK270</f>
        <v>-12.389173 + 600.308730 + 36.201475 + 18.043565 + 117.662312 + -4.022185 = 755.804724 EUR</v>
      </c>
    </row>
    <row r="79" spans="1:63" ht="21" customHeight="1" x14ac:dyDescent="0.45">
      <c r="A79" s="13">
        <f>两日求解价格与决策!A271</f>
        <v>46236.729166666664</v>
      </c>
      <c r="B79" s="15">
        <f>两日求解价格与决策!B271</f>
        <v>101.95</v>
      </c>
      <c r="C79" s="15">
        <f>两日求解价格与决策!C271</f>
        <v>60.030873020410496</v>
      </c>
      <c r="D79" s="15">
        <f>两日求解价格与决策!D271</f>
        <v>6.0335791740514164</v>
      </c>
      <c r="E79" s="15">
        <f>两日求解价格与决策!E271</f>
        <v>3.0072608770224685</v>
      </c>
      <c r="F79" s="15">
        <f>两日求解价格与决策!F271</f>
        <v>180.66319821622548</v>
      </c>
      <c r="G79" s="15">
        <f>两日求解价格与决策!G271</f>
        <v>0</v>
      </c>
      <c r="H79" s="15" t="str">
        <f>两日求解价格与决策!H271</f>
        <v>未模拟</v>
      </c>
      <c r="I79" s="16">
        <f>两日求解价格与决策!I271</f>
        <v>171.59999999999994</v>
      </c>
      <c r="J79" s="16">
        <f>两日求解价格与决策!J271</f>
        <v>170.67224233223922</v>
      </c>
      <c r="K79" s="16">
        <f>两日求解价格与决策!K271</f>
        <v>-5.3278247767648477</v>
      </c>
      <c r="L79" s="16">
        <f>两日求解价格与决策!L271</f>
        <v>40</v>
      </c>
      <c r="M79" s="16">
        <f>两日求解价格与决策!M271</f>
        <v>24</v>
      </c>
      <c r="N79" s="16">
        <f>两日求解价格与决策!N271</f>
        <v>24</v>
      </c>
      <c r="O79" s="16">
        <f>两日求解价格与决策!O271</f>
        <v>2.0508342857142861</v>
      </c>
      <c r="P79" s="16">
        <f>两日求解价格与决策!P271</f>
        <v>0</v>
      </c>
      <c r="Q79" s="17">
        <f>两日求解价格与决策!Q271</f>
        <v>-135.79293399779405</v>
      </c>
      <c r="R79" s="17">
        <f>两日求解价格与决策!R271</f>
        <v>600.3087302041049</v>
      </c>
      <c r="S79" s="17">
        <f>两日求解价格与决策!S271</f>
        <v>36.201475044308495</v>
      </c>
      <c r="T79" s="17">
        <f>两日求解价格与决策!T271</f>
        <v>18.043565262134813</v>
      </c>
      <c r="U79" s="17">
        <f>两日求解价格与决策!U271</f>
        <v>370.51028106863129</v>
      </c>
      <c r="V79" s="17">
        <f>两日求解价格与决策!V271</f>
        <v>0</v>
      </c>
      <c r="W79" s="17">
        <f>两日求解价格与决策!W271</f>
        <v>889.2711175813854</v>
      </c>
      <c r="X79" s="12">
        <f>两日求解价格与决策!X271</f>
        <v>889.2711175813854</v>
      </c>
      <c r="Y79" s="19">
        <f>两日求解价格与决策!Y271</f>
        <v>0</v>
      </c>
      <c r="Z79" s="12" t="str">
        <f t="shared" si="2"/>
        <v>正式执行</v>
      </c>
      <c r="AA79" s="12">
        <f>两日求解价格与决策!AA271</f>
        <v>1</v>
      </c>
      <c r="AB79" s="12">
        <f>两日求解价格与决策!AB271</f>
        <v>1</v>
      </c>
      <c r="AC79" s="12">
        <f>两日求解价格与决策!AC271</f>
        <v>0.25</v>
      </c>
      <c r="AD79" s="18">
        <f>两日求解价格与决策!AD271</f>
        <v>0.3125</v>
      </c>
      <c r="AE79" s="18">
        <f>两日求解价格与决策!AE271</f>
        <v>0.13714285714285715</v>
      </c>
      <c r="AF79" s="18">
        <f>两日求解价格与决策!AF271</f>
        <v>0.34180571428571432</v>
      </c>
      <c r="AG79" s="18">
        <f>两日求解价格与决策!AG271</f>
        <v>0</v>
      </c>
      <c r="AH79" s="12">
        <f>两日求解价格与决策!AH271</f>
        <v>175</v>
      </c>
      <c r="AI79" s="12">
        <f>两日求解价格与决策!AI271</f>
        <v>175</v>
      </c>
      <c r="AJ79" s="12">
        <f>两日求解价格与决策!AJ271</f>
        <v>14.954000000000001</v>
      </c>
      <c r="AK79" s="12">
        <f>两日求解价格与决策!AK271</f>
        <v>0</v>
      </c>
      <c r="AL79" s="12">
        <f>两日求解价格与决策!AL271</f>
        <v>51.968000000000004</v>
      </c>
      <c r="AM79" s="12">
        <f>两日求解价格与决策!AM271</f>
        <v>7.0579439625093636E-3</v>
      </c>
      <c r="AN79" s="12">
        <f>两日求解价格与决策!AN271</f>
        <v>0.87668595583840314</v>
      </c>
      <c r="AO79" s="12">
        <f>两日求解价格与决策!AO271</f>
        <v>1.5955640473614769</v>
      </c>
      <c r="AP79" s="12">
        <f>两日求解价格与决策!AP271</f>
        <v>170.67224233223925</v>
      </c>
      <c r="AQ79" s="19">
        <f>两日求解价格与决策!AQ271</f>
        <v>0</v>
      </c>
      <c r="AR79" s="12">
        <f>两日求解价格与决策!AR271</f>
        <v>5.2473000000000001</v>
      </c>
      <c r="AS79" s="14">
        <f>两日求解价格与决策!AS271</f>
        <v>46234</v>
      </c>
      <c r="AT79" s="13">
        <f>两日求解价格与决策!AT271</f>
        <v>46236.604166666664</v>
      </c>
      <c r="AU79" s="12" t="str">
        <f>两日求解价格与决策!AU271</f>
        <v>2026-08-02_67</v>
      </c>
      <c r="AV79" s="12">
        <f>两日求解价格与决策!AV271</f>
        <v>15</v>
      </c>
      <c r="AW79" s="12" t="str">
        <f>两日求解价格与决策!AW271</f>
        <v>OK</v>
      </c>
      <c r="AX79" s="12">
        <f>两日求解价格与决策!AX271</f>
        <v>128</v>
      </c>
      <c r="AY79" s="12">
        <f>两日求解价格与决策!AY271</f>
        <v>175</v>
      </c>
      <c r="AZ79" s="12">
        <f>两日求解价格与决策!AZ271</f>
        <v>175</v>
      </c>
      <c r="BA79" s="12">
        <f>两日求解价格与决策!BA271</f>
        <v>40</v>
      </c>
      <c r="BB79" s="12">
        <f>两日求解价格与决策!BB271</f>
        <v>24</v>
      </c>
      <c r="BC79" s="12">
        <f>两日求解价格与决策!BC271</f>
        <v>24</v>
      </c>
      <c r="BD79" s="14">
        <f>两日求解价格与决策!BD271</f>
        <v>46236</v>
      </c>
      <c r="BE79" s="1" t="str">
        <f>两日求解价格与决策!BE271</f>
        <v>-5.327825 MW × 101.950000 × 0.250000 h = -135.792934 EUR</v>
      </c>
      <c r="BF79" s="1" t="str">
        <f>两日求解价格与决策!BF271</f>
        <v>40.000000 MW × 60.030873 × 0.250000 h = 600.308730 EUR</v>
      </c>
      <c r="BG79" s="1" t="str">
        <f>两日求解价格与决策!BG271</f>
        <v>24.000000 MW × 6.033579 × 0.250000 h = 36.201475 EUR</v>
      </c>
      <c r="BH79" s="1" t="str">
        <f>两日求解价格与决策!BH271</f>
        <v>24.000000 MW × 3.007261 × 0.250000 h = 18.043565 EUR</v>
      </c>
      <c r="BI79" s="1" t="str">
        <f>两日求解价格与决策!BI271</f>
        <v>2.050834 MWh × 180.663198 = 370.510281 EUR</v>
      </c>
      <c r="BJ79" s="1" t="str">
        <f>两日求解价格与决策!BJ271</f>
        <v>零下调激活电量</v>
      </c>
      <c r="BK79" s="1" t="str">
        <f>两日求解价格与决策!BK271</f>
        <v>-135.792934 + 600.308730 + 36.201475 + 18.043565 + 370.510281 + 0.000000 = 889.271118 EUR</v>
      </c>
    </row>
    <row r="80" spans="1:63" ht="21" customHeight="1" x14ac:dyDescent="0.45">
      <c r="A80" s="13">
        <f>两日求解价格与决策!A272</f>
        <v>46236.739583333336</v>
      </c>
      <c r="B80" s="15">
        <f>两日求解价格与决策!B272</f>
        <v>157.36000000000001</v>
      </c>
      <c r="C80" s="15">
        <f>两日求解价格与决策!C272</f>
        <v>60.030873020410496</v>
      </c>
      <c r="D80" s="15">
        <f>两日求解价格与决策!D272</f>
        <v>6.0335791740514164</v>
      </c>
      <c r="E80" s="15">
        <f>两日求解价格与决策!E272</f>
        <v>3.0072608770224685</v>
      </c>
      <c r="F80" s="15">
        <f>两日求解价格与决策!F272</f>
        <v>183.34629237893773</v>
      </c>
      <c r="G80" s="15">
        <f>两日求解价格与决策!G272</f>
        <v>60.98374402073447</v>
      </c>
      <c r="H80" s="15" t="str">
        <f>两日求解价格与决策!H272</f>
        <v>未模拟</v>
      </c>
      <c r="I80" s="16">
        <f>两日求解价格与决策!I272</f>
        <v>170.67224233223922</v>
      </c>
      <c r="J80" s="16">
        <f>两日求解价格与决策!J272</f>
        <v>157.84461500304667</v>
      </c>
      <c r="K80" s="16">
        <f>两日求解价格与决策!K272</f>
        <v>35.999999999999993</v>
      </c>
      <c r="L80" s="16">
        <f>两日求解价格与决策!L272</f>
        <v>40</v>
      </c>
      <c r="M80" s="16">
        <f>两日求解价格与决策!M272</f>
        <v>24</v>
      </c>
      <c r="N80" s="16">
        <f>两日求解价格与决策!N272</f>
        <v>24</v>
      </c>
      <c r="O80" s="16">
        <f>两日求解价格与决策!O272</f>
        <v>2.8075885714285715</v>
      </c>
      <c r="P80" s="16">
        <f>两日求解价格与决策!P272</f>
        <v>6.1714285714285716E-3</v>
      </c>
      <c r="Q80" s="17">
        <f>两日求解价格与决策!Q272</f>
        <v>1416.2399999999998</v>
      </c>
      <c r="R80" s="17">
        <f>两日求解价格与决策!R272</f>
        <v>600.3087302041049</v>
      </c>
      <c r="S80" s="17">
        <f>两日求解价格与决策!S272</f>
        <v>36.201475044308495</v>
      </c>
      <c r="T80" s="17">
        <f>两日求解价格与决策!T272</f>
        <v>18.043565262134813</v>
      </c>
      <c r="U80" s="17">
        <f>两日求解价格与决策!U272</f>
        <v>514.76095509690697</v>
      </c>
      <c r="V80" s="17">
        <f>两日求解价格与决策!V272</f>
        <v>-0.37635682024224704</v>
      </c>
      <c r="W80" s="17">
        <f>两日求解价格与决策!W272</f>
        <v>2585.178368787213</v>
      </c>
      <c r="X80" s="12">
        <f>两日求解价格与决策!X272</f>
        <v>2585.1783687872125</v>
      </c>
      <c r="Y80" s="19">
        <f>两日求解价格与决策!Y272</f>
        <v>0</v>
      </c>
      <c r="Z80" s="12" t="str">
        <f t="shared" si="2"/>
        <v>正式执行</v>
      </c>
      <c r="AA80" s="12">
        <f>两日求解价格与决策!AA272</f>
        <v>1</v>
      </c>
      <c r="AB80" s="12">
        <f>两日求解价格与决策!AB272</f>
        <v>1</v>
      </c>
      <c r="AC80" s="12">
        <f>两日求解价格与决策!AC272</f>
        <v>0.25</v>
      </c>
      <c r="AD80" s="18">
        <f>两日求解价格与决策!AD272</f>
        <v>0.3125</v>
      </c>
      <c r="AE80" s="18">
        <f>两日求解价格与决策!AE272</f>
        <v>0.13714285714285715</v>
      </c>
      <c r="AF80" s="18">
        <f>两日求解价格与决策!AF272</f>
        <v>0.46793142857142861</v>
      </c>
      <c r="AG80" s="18">
        <f>两日求解价格与决策!AG272</f>
        <v>1.0285714285714286E-3</v>
      </c>
      <c r="AH80" s="12">
        <f>两日求解价格与决策!AH272</f>
        <v>175</v>
      </c>
      <c r="AI80" s="12">
        <f>两日求解价格与决策!AI272</f>
        <v>175</v>
      </c>
      <c r="AJ80" s="12">
        <f>两日求解价格与决策!AJ272</f>
        <v>20.472000000000001</v>
      </c>
      <c r="AK80" s="12">
        <f>两日求解价格与决策!AK272</f>
        <v>4.4999999999999998E-2</v>
      </c>
      <c r="AL80" s="12">
        <f>两日求解价格与决策!AL272</f>
        <v>51.968000000000004</v>
      </c>
      <c r="AM80" s="12">
        <f>两日求解价格与决策!AM272</f>
        <v>3.5632298136645958E-2</v>
      </c>
      <c r="AN80" s="12">
        <f>两日求解价格与决策!AN272</f>
        <v>0</v>
      </c>
      <c r="AO80" s="12">
        <f>两日求解价格与决策!AO272</f>
        <v>11.801417142857142</v>
      </c>
      <c r="AP80" s="12">
        <f>两日求解价格与决策!AP272</f>
        <v>157.8446150030467</v>
      </c>
      <c r="AQ80" s="19">
        <f>两日求解价格与决策!AQ272</f>
        <v>0</v>
      </c>
      <c r="AR80" s="12">
        <f>两日求解价格与决策!AR272</f>
        <v>5.2473000000000001</v>
      </c>
      <c r="AS80" s="14">
        <f>两日求解价格与决策!AS272</f>
        <v>46234</v>
      </c>
      <c r="AT80" s="13">
        <f>两日求解价格与决策!AT272</f>
        <v>46236.614583333336</v>
      </c>
      <c r="AU80" s="12" t="str">
        <f>两日求解价格与决策!AU272</f>
        <v>2026-08-02_68</v>
      </c>
      <c r="AV80" s="12">
        <f>两日求解价格与决策!AV272</f>
        <v>15</v>
      </c>
      <c r="AW80" s="12" t="str">
        <f>两日求解价格与决策!AW272</f>
        <v>OK</v>
      </c>
      <c r="AX80" s="12">
        <f>两日求解价格与决策!AX272</f>
        <v>128</v>
      </c>
      <c r="AY80" s="12">
        <f>两日求解价格与决策!AY272</f>
        <v>175</v>
      </c>
      <c r="AZ80" s="12">
        <f>两日求解价格与决策!AZ272</f>
        <v>175</v>
      </c>
      <c r="BA80" s="12">
        <f>两日求解价格与决策!BA272</f>
        <v>40</v>
      </c>
      <c r="BB80" s="12">
        <f>两日求解价格与决策!BB272</f>
        <v>24</v>
      </c>
      <c r="BC80" s="12">
        <f>两日求解价格与决策!BC272</f>
        <v>24</v>
      </c>
      <c r="BD80" s="14">
        <f>两日求解价格与决策!BD272</f>
        <v>46236</v>
      </c>
      <c r="BE80" s="1" t="str">
        <f>两日求解价格与决策!BE272</f>
        <v>36.000000 MW × 157.360000 × 0.250000 h = 1416.240000 EUR</v>
      </c>
      <c r="BF80" s="1" t="str">
        <f>两日求解价格与决策!BF272</f>
        <v>40.000000 MW × 60.030873 × 0.250000 h = 600.308730 EUR</v>
      </c>
      <c r="BG80" s="1" t="str">
        <f>两日求解价格与决策!BG272</f>
        <v>24.000000 MW × 6.033579 × 0.250000 h = 36.201475 EUR</v>
      </c>
      <c r="BH80" s="1" t="str">
        <f>两日求解价格与决策!BH272</f>
        <v>24.000000 MW × 3.007261 × 0.250000 h = 18.043565 EUR</v>
      </c>
      <c r="BI80" s="1" t="str">
        <f>两日求解价格与决策!BI272</f>
        <v>2.807589 MWh × 183.346292 = 514.760955 EUR</v>
      </c>
      <c r="BJ80" s="1" t="str">
        <f>两日求解价格与决策!BJ272</f>
        <v>−(0.006171 MWh × 60.983744) = -0.376357 EUR</v>
      </c>
      <c r="BK80" s="1" t="str">
        <f>两日求解价格与决策!BK272</f>
        <v>1416.240000 + 600.308730 + 36.201475 + 18.043565 + 514.760955 + -0.376357 = 2585.178369 EUR</v>
      </c>
    </row>
    <row r="81" spans="1:63" ht="21" customHeight="1" x14ac:dyDescent="0.45">
      <c r="A81" s="13">
        <f>两日求解价格与决策!A273</f>
        <v>46236.75</v>
      </c>
      <c r="B81" s="15">
        <f>两日求解价格与决策!B273</f>
        <v>60.92</v>
      </c>
      <c r="C81" s="15">
        <f>两日求解价格与决策!C273</f>
        <v>60.030873020410496</v>
      </c>
      <c r="D81" s="15">
        <f>两日求解价格与决策!D273</f>
        <v>7.1274750824233415</v>
      </c>
      <c r="E81" s="15">
        <f>两日求解价格与决策!E273</f>
        <v>2.595620604882511</v>
      </c>
      <c r="F81" s="15">
        <f>两日求解价格与决策!F273</f>
        <v>166.16316963009547</v>
      </c>
      <c r="G81" s="15">
        <f>两日求解价格与决策!G273</f>
        <v>72.075924761305814</v>
      </c>
      <c r="H81" s="15" t="str">
        <f>两日求解价格与决策!H273</f>
        <v>未模拟</v>
      </c>
      <c r="I81" s="16">
        <f>两日求解价格与决策!I273</f>
        <v>157.84461500304667</v>
      </c>
      <c r="J81" s="16">
        <f>两日求解价格与决策!J273</f>
        <v>171.5950296316181</v>
      </c>
      <c r="K81" s="16">
        <f>两日求解价格与决策!K273</f>
        <v>-60</v>
      </c>
      <c r="L81" s="16">
        <f>两日求解价格与决策!L273</f>
        <v>40</v>
      </c>
      <c r="M81" s="16">
        <f>两日求解价格与决策!M273</f>
        <v>24</v>
      </c>
      <c r="N81" s="16">
        <f>两日求解价格与决策!N273</f>
        <v>0</v>
      </c>
      <c r="O81" s="16">
        <f>两日求解价格与决策!O273</f>
        <v>5.3897142857142859E-2</v>
      </c>
      <c r="P81" s="16">
        <f>两日求解价格与决策!P273</f>
        <v>0</v>
      </c>
      <c r="Q81" s="17">
        <f>两日求解价格与决策!Q273</f>
        <v>-913.80000000000007</v>
      </c>
      <c r="R81" s="17">
        <f>两日求解价格与决策!R273</f>
        <v>600.3087302041049</v>
      </c>
      <c r="S81" s="17">
        <f>两日求解价格与决策!S273</f>
        <v>42.764850494540049</v>
      </c>
      <c r="T81" s="17">
        <f>两日求解价格与决策!T273</f>
        <v>0</v>
      </c>
      <c r="U81" s="17">
        <f>两日求解价格与决策!U273</f>
        <v>8.9557200911489172</v>
      </c>
      <c r="V81" s="17">
        <f>两日求解价格与决策!V273</f>
        <v>0</v>
      </c>
      <c r="W81" s="17">
        <f>两日求解价格与决策!W273</f>
        <v>-261.7706992102062</v>
      </c>
      <c r="X81" s="12">
        <f>两日求解价格与决策!X273</f>
        <v>-261.7706992102062</v>
      </c>
      <c r="Y81" s="19">
        <f>两日求解价格与决策!Y273</f>
        <v>0</v>
      </c>
      <c r="Z81" s="12" t="str">
        <f t="shared" si="2"/>
        <v>正式执行</v>
      </c>
      <c r="AA81" s="12">
        <f>两日求解价格与决策!AA273</f>
        <v>1</v>
      </c>
      <c r="AB81" s="12">
        <f>两日求解价格与决策!AB273</f>
        <v>1</v>
      </c>
      <c r="AC81" s="12">
        <f>两日求解价格与决策!AC273</f>
        <v>0.25</v>
      </c>
      <c r="AD81" s="18">
        <f>两日求解价格与决策!AD273</f>
        <v>0.3125</v>
      </c>
      <c r="AE81" s="18">
        <f>两日求解价格与决策!AE273</f>
        <v>0.13714285714285715</v>
      </c>
      <c r="AF81" s="18">
        <f>两日求解价格与决策!AF273</f>
        <v>8.9828571428571431E-3</v>
      </c>
      <c r="AG81" s="18">
        <f>两日求解价格与决策!AG273</f>
        <v>1.5611428571428573E-2</v>
      </c>
      <c r="AH81" s="12">
        <f>两日求解价格与决策!AH273</f>
        <v>175</v>
      </c>
      <c r="AI81" s="12">
        <f>两日求解价格与决策!AI273</f>
        <v>175</v>
      </c>
      <c r="AJ81" s="12">
        <f>两日求解价格与决策!AJ273</f>
        <v>0.39300000000000002</v>
      </c>
      <c r="AK81" s="12">
        <f>两日求解价格与决策!AK273</f>
        <v>0.68300000000000005</v>
      </c>
      <c r="AL81" s="12">
        <f>两日求解价格与决策!AL273</f>
        <v>51.968000000000004</v>
      </c>
      <c r="AM81" s="12">
        <f>两日求解价格与决策!AM273</f>
        <v>3.8195596190476189E-2</v>
      </c>
      <c r="AN81" s="12">
        <f>两日求解价格与决策!AN273</f>
        <v>14.946102857142856</v>
      </c>
      <c r="AO81" s="12">
        <f>两日求解价格与决策!AO273</f>
        <v>0</v>
      </c>
      <c r="AP81" s="12">
        <f>两日求解价格与决策!AP273</f>
        <v>171.59502963161813</v>
      </c>
      <c r="AQ81" s="19">
        <f>两日求解价格与决策!AQ273</f>
        <v>0</v>
      </c>
      <c r="AR81" s="12">
        <f>两日求解价格与决策!AR273</f>
        <v>5.2473000000000001</v>
      </c>
      <c r="AS81" s="14">
        <f>两日求解价格与决策!AS273</f>
        <v>46234</v>
      </c>
      <c r="AT81" s="13">
        <f>两日求解价格与决策!AT273</f>
        <v>46236.625</v>
      </c>
      <c r="AU81" s="12" t="str">
        <f>两日求解价格与决策!AU273</f>
        <v>2026-08-02_69</v>
      </c>
      <c r="AV81" s="12">
        <f>两日求解价格与决策!AV273</f>
        <v>15</v>
      </c>
      <c r="AW81" s="12" t="str">
        <f>两日求解价格与决策!AW273</f>
        <v>OK</v>
      </c>
      <c r="AX81" s="12">
        <f>两日求解价格与决策!AX273</f>
        <v>128</v>
      </c>
      <c r="AY81" s="12">
        <f>两日求解价格与决策!AY273</f>
        <v>175</v>
      </c>
      <c r="AZ81" s="12">
        <f>两日求解价格与决策!AZ273</f>
        <v>175</v>
      </c>
      <c r="BA81" s="12">
        <f>两日求解价格与决策!BA273</f>
        <v>40</v>
      </c>
      <c r="BB81" s="12">
        <f>两日求解价格与决策!BB273</f>
        <v>24</v>
      </c>
      <c r="BC81" s="12">
        <f>两日求解价格与决策!BC273</f>
        <v>24</v>
      </c>
      <c r="BD81" s="14">
        <f>两日求解价格与决策!BD273</f>
        <v>46236</v>
      </c>
      <c r="BE81" s="1" t="str">
        <f>两日求解价格与决策!BE273</f>
        <v>-60.000000 MW × 60.920000 × 0.250000 h = -913.800000 EUR</v>
      </c>
      <c r="BF81" s="1" t="str">
        <f>两日求解价格与决策!BF273</f>
        <v>40.000000 MW × 60.030873 × 0.250000 h = 600.308730 EUR</v>
      </c>
      <c r="BG81" s="1" t="str">
        <f>两日求解价格与决策!BG273</f>
        <v>24.000000 MW × 7.127475 × 0.250000 h = 42.764850 EUR</v>
      </c>
      <c r="BH81" s="1" t="str">
        <f>两日求解价格与决策!BH273</f>
        <v>零头寸，无结算现金</v>
      </c>
      <c r="BI81" s="1" t="str">
        <f>两日求解价格与决策!BI273</f>
        <v>0.053897 MWh × 166.163170 = 8.955720 EUR</v>
      </c>
      <c r="BJ81" s="1" t="str">
        <f>两日求解价格与决策!BJ273</f>
        <v>零下调激活电量</v>
      </c>
      <c r="BK81" s="1" t="str">
        <f>两日求解价格与决策!BK273</f>
        <v>-913.800000 + 600.308730 + 42.764850 + 0.000000 + 8.955720 + 0.000000 = -261.770699 EUR</v>
      </c>
    </row>
    <row r="82" spans="1:63" ht="21" customHeight="1" x14ac:dyDescent="0.45">
      <c r="A82" s="13">
        <f>两日求解价格与决策!A274</f>
        <v>46236.760416666664</v>
      </c>
      <c r="B82" s="15">
        <f>两日求解价格与决策!B274</f>
        <v>132.66</v>
      </c>
      <c r="C82" s="15">
        <f>两日求解价格与决策!C274</f>
        <v>60.030873020410496</v>
      </c>
      <c r="D82" s="15">
        <f>两日求解价格与决策!D274</f>
        <v>7.1274750824233415</v>
      </c>
      <c r="E82" s="15">
        <f>两日求解价格与决策!E274</f>
        <v>2.595620604882511</v>
      </c>
      <c r="F82" s="15">
        <f>两日求解价格与决策!F274</f>
        <v>226.09456291807214</v>
      </c>
      <c r="G82" s="15">
        <f>两日求解价格与决策!G274</f>
        <v>76.420254225982887</v>
      </c>
      <c r="H82" s="15" t="str">
        <f>两日求解价格与决策!H274</f>
        <v>未模拟</v>
      </c>
      <c r="I82" s="16">
        <f>两日求解价格与决策!I274</f>
        <v>171.5950296316181</v>
      </c>
      <c r="J82" s="16">
        <f>两日求解价格与决策!J274</f>
        <v>171.59999999999994</v>
      </c>
      <c r="K82" s="16">
        <f>两日求解价格与决策!K274</f>
        <v>-4.8734562237868522</v>
      </c>
      <c r="L82" s="16">
        <f>两日求解价格与决策!L274</f>
        <v>40</v>
      </c>
      <c r="M82" s="16">
        <f>两日求解价格与决策!M274</f>
        <v>24</v>
      </c>
      <c r="N82" s="16">
        <f>两日求解价格与决策!N274</f>
        <v>0</v>
      </c>
      <c r="O82" s="16">
        <f>两日求解价格与决策!O274</f>
        <v>1.0597028571428573</v>
      </c>
      <c r="P82" s="16">
        <f>两日求解价格与决策!P274</f>
        <v>0</v>
      </c>
      <c r="Q82" s="17">
        <f>两日求解价格与决策!Q274</f>
        <v>-161.62817566189094</v>
      </c>
      <c r="R82" s="17">
        <f>两日求解价格与决策!R274</f>
        <v>600.3087302041049</v>
      </c>
      <c r="S82" s="17">
        <f>两日求解价格与决策!S274</f>
        <v>42.764850494540049</v>
      </c>
      <c r="T82" s="17">
        <f>两日求解价格与决策!T274</f>
        <v>0</v>
      </c>
      <c r="U82" s="17">
        <f>两日求解价格与决策!U274</f>
        <v>239.59305430874656</v>
      </c>
      <c r="V82" s="17">
        <f>两日求解价格与决策!V274</f>
        <v>0</v>
      </c>
      <c r="W82" s="17">
        <f>两日求解价格与决策!W274</f>
        <v>721.03845934550054</v>
      </c>
      <c r="X82" s="12">
        <f>两日求解价格与决策!X274</f>
        <v>721.03845934550054</v>
      </c>
      <c r="Y82" s="19">
        <f>两日求解价格与决策!Y274</f>
        <v>0</v>
      </c>
      <c r="Z82" s="12" t="str">
        <f t="shared" si="2"/>
        <v>正式执行</v>
      </c>
      <c r="AA82" s="12">
        <f>两日求解价格与决策!AA274</f>
        <v>1</v>
      </c>
      <c r="AB82" s="12">
        <f>两日求解价格与决策!AB274</f>
        <v>1</v>
      </c>
      <c r="AC82" s="12">
        <f>两日求解价格与决策!AC274</f>
        <v>0.25</v>
      </c>
      <c r="AD82" s="18">
        <f>两日求解价格与决策!AD274</f>
        <v>0.3125</v>
      </c>
      <c r="AE82" s="18">
        <f>两日求解价格与决策!AE274</f>
        <v>0.13714285714285715</v>
      </c>
      <c r="AF82" s="18">
        <f>两日求解价格与决策!AF274</f>
        <v>0.17661714285714286</v>
      </c>
      <c r="AG82" s="18">
        <f>两日求解价格与决策!AG274</f>
        <v>4.4342857142857144E-3</v>
      </c>
      <c r="AH82" s="12">
        <f>两日求解价格与决策!AH274</f>
        <v>175</v>
      </c>
      <c r="AI82" s="12">
        <f>两日求解价格与决策!AI274</f>
        <v>175</v>
      </c>
      <c r="AJ82" s="12">
        <f>两日求解价格与决策!AJ274</f>
        <v>7.7270000000000003</v>
      </c>
      <c r="AK82" s="12">
        <f>两日求解价格与决策!AK274</f>
        <v>0.19400000000000001</v>
      </c>
      <c r="AL82" s="12">
        <f>两日求解价格与决策!AL274</f>
        <v>51.968000000000004</v>
      </c>
      <c r="AM82" s="12">
        <f>两日求解价格与决策!AM274</f>
        <v>5.1135582613366735E-3</v>
      </c>
      <c r="AN82" s="12">
        <f>两日求解价格与决策!AN274</f>
        <v>1.0031800774255646</v>
      </c>
      <c r="AO82" s="12">
        <f>两日求解价格与决策!AO274</f>
        <v>0.84451887862170849</v>
      </c>
      <c r="AP82" s="12">
        <f>两日求解价格与决策!AP274</f>
        <v>171.59999999999997</v>
      </c>
      <c r="AQ82" s="19">
        <f>两日求解价格与决策!AQ274</f>
        <v>0</v>
      </c>
      <c r="AR82" s="12">
        <f>两日求解价格与决策!AR274</f>
        <v>5.2473000000000001</v>
      </c>
      <c r="AS82" s="14">
        <f>两日求解价格与决策!AS274</f>
        <v>46234</v>
      </c>
      <c r="AT82" s="13">
        <f>两日求解价格与决策!AT274</f>
        <v>46236.635416666664</v>
      </c>
      <c r="AU82" s="12" t="str">
        <f>两日求解价格与决策!AU274</f>
        <v>2026-08-02_70</v>
      </c>
      <c r="AV82" s="12">
        <f>两日求解价格与决策!AV274</f>
        <v>15</v>
      </c>
      <c r="AW82" s="12" t="str">
        <f>两日求解价格与决策!AW274</f>
        <v>OK</v>
      </c>
      <c r="AX82" s="12">
        <f>两日求解价格与决策!AX274</f>
        <v>128</v>
      </c>
      <c r="AY82" s="12">
        <f>两日求解价格与决策!AY274</f>
        <v>175</v>
      </c>
      <c r="AZ82" s="12">
        <f>两日求解价格与决策!AZ274</f>
        <v>175</v>
      </c>
      <c r="BA82" s="12">
        <f>两日求解价格与决策!BA274</f>
        <v>40</v>
      </c>
      <c r="BB82" s="12">
        <f>两日求解价格与决策!BB274</f>
        <v>24</v>
      </c>
      <c r="BC82" s="12">
        <f>两日求解价格与决策!BC274</f>
        <v>24</v>
      </c>
      <c r="BD82" s="14">
        <f>两日求解价格与决策!BD274</f>
        <v>46236</v>
      </c>
      <c r="BE82" s="1" t="str">
        <f>两日求解价格与决策!BE274</f>
        <v>-4.873456 MW × 132.660000 × 0.250000 h = -161.628176 EUR</v>
      </c>
      <c r="BF82" s="1" t="str">
        <f>两日求解价格与决策!BF274</f>
        <v>40.000000 MW × 60.030873 × 0.250000 h = 600.308730 EUR</v>
      </c>
      <c r="BG82" s="1" t="str">
        <f>两日求解价格与决策!BG274</f>
        <v>24.000000 MW × 7.127475 × 0.250000 h = 42.764850 EUR</v>
      </c>
      <c r="BH82" s="1" t="str">
        <f>两日求解价格与决策!BH274</f>
        <v>零头寸，无结算现金</v>
      </c>
      <c r="BI82" s="1" t="str">
        <f>两日求解价格与决策!BI274</f>
        <v>1.059703 MWh × 226.094563 = 239.593054 EUR</v>
      </c>
      <c r="BJ82" s="1" t="str">
        <f>两日求解价格与决策!BJ274</f>
        <v>零下调激活电量</v>
      </c>
      <c r="BK82" s="1" t="str">
        <f>两日求解价格与决策!BK274</f>
        <v>-161.628176 + 600.308730 + 42.764850 + 0.000000 + 239.593054 + 0.000000 = 721.038459 EUR</v>
      </c>
    </row>
    <row r="83" spans="1:63" ht="21" customHeight="1" x14ac:dyDescent="0.45">
      <c r="A83" s="13">
        <f>两日求解价格与决策!A275</f>
        <v>46236.770833333336</v>
      </c>
      <c r="B83" s="15">
        <f>两日求解价格与决策!B275</f>
        <v>145.74</v>
      </c>
      <c r="C83" s="15">
        <f>两日求解价格与决策!C275</f>
        <v>60.030873020410496</v>
      </c>
      <c r="D83" s="15">
        <f>两日求解价格与决策!D275</f>
        <v>7.1274750824233415</v>
      </c>
      <c r="E83" s="15">
        <f>两日求解价格与决策!E275</f>
        <v>2.595620604882511</v>
      </c>
      <c r="F83" s="15">
        <f>两日求解价格与决策!F275</f>
        <v>228.65225925714176</v>
      </c>
      <c r="G83" s="15">
        <f>两日求解价格与决策!G275</f>
        <v>0</v>
      </c>
      <c r="H83" s="15" t="str">
        <f>两日求解价格与决策!H275</f>
        <v>未模拟</v>
      </c>
      <c r="I83" s="16">
        <f>两日求解价格与决策!I275</f>
        <v>171.59999999999994</v>
      </c>
      <c r="J83" s="16">
        <f>两日求解价格与决策!J275</f>
        <v>171.59999999999994</v>
      </c>
      <c r="K83" s="16">
        <f>两日求解价格与决策!K275</f>
        <v>-13.717014268942636</v>
      </c>
      <c r="L83" s="16">
        <f>两日求解价格与决策!L275</f>
        <v>40</v>
      </c>
      <c r="M83" s="16">
        <f>两日求解价格与决策!M275</f>
        <v>24</v>
      </c>
      <c r="N83" s="16">
        <f>两日求解价格与决策!N275</f>
        <v>0</v>
      </c>
      <c r="O83" s="16">
        <f>两日求解价格与决策!O275</f>
        <v>3.181851428571429</v>
      </c>
      <c r="P83" s="16">
        <f>两日求解价格与决策!P275</f>
        <v>0</v>
      </c>
      <c r="Q83" s="17">
        <f>两日求解价格与决策!Q275</f>
        <v>-499.77941488892498</v>
      </c>
      <c r="R83" s="17">
        <f>两日求解价格与决策!R275</f>
        <v>600.3087302041049</v>
      </c>
      <c r="S83" s="17">
        <f>两日求解价格与决策!S275</f>
        <v>42.764850494540049</v>
      </c>
      <c r="T83" s="17">
        <f>两日求解价格与决策!T275</f>
        <v>0</v>
      </c>
      <c r="U83" s="17">
        <f>两日求解价格与决策!U275</f>
        <v>727.53751776342131</v>
      </c>
      <c r="V83" s="17">
        <f>两日求解价格与决策!V275</f>
        <v>0</v>
      </c>
      <c r="W83" s="17">
        <f>两日求解价格与决策!W275</f>
        <v>870.83168357314128</v>
      </c>
      <c r="X83" s="12">
        <f>两日求解价格与决策!X275</f>
        <v>870.83168357314128</v>
      </c>
      <c r="Y83" s="19">
        <f>两日求解价格与决策!Y275</f>
        <v>0</v>
      </c>
      <c r="Z83" s="12" t="str">
        <f t="shared" si="2"/>
        <v>正式执行</v>
      </c>
      <c r="AA83" s="12">
        <f>两日求解价格与决策!AA275</f>
        <v>1</v>
      </c>
      <c r="AB83" s="12">
        <f>两日求解价格与决策!AB275</f>
        <v>1</v>
      </c>
      <c r="AC83" s="12">
        <f>两日求解价格与决策!AC275</f>
        <v>0.25</v>
      </c>
      <c r="AD83" s="18">
        <f>两日求解价格与决策!AD275</f>
        <v>0.3125</v>
      </c>
      <c r="AE83" s="18">
        <f>两日求解价格与决策!AE275</f>
        <v>0.13714285714285715</v>
      </c>
      <c r="AF83" s="18">
        <f>两日求解价格与决策!AF275</f>
        <v>0.53030857142857146</v>
      </c>
      <c r="AG83" s="18">
        <f>两日求解价格与决策!AG275</f>
        <v>0</v>
      </c>
      <c r="AH83" s="12">
        <f>两日求解价格与决策!AH275</f>
        <v>175</v>
      </c>
      <c r="AI83" s="12">
        <f>两日求解价格与决策!AI275</f>
        <v>175</v>
      </c>
      <c r="AJ83" s="12">
        <f>两日求解价格与决策!AJ275</f>
        <v>23.201000000000001</v>
      </c>
      <c r="AK83" s="12">
        <f>两日求解价格与决策!AK275</f>
        <v>0</v>
      </c>
      <c r="AL83" s="12">
        <f>两日求解价格与决策!AL275</f>
        <v>51.968000000000004</v>
      </c>
      <c r="AM83" s="12">
        <f>两日求解价格与决策!AM275</f>
        <v>8.23242070207943E-3</v>
      </c>
      <c r="AN83" s="12">
        <f>两日求解价格与决策!AN275</f>
        <v>1.610691006928584</v>
      </c>
      <c r="AO83" s="12">
        <f>两日求解价格与决策!AO275</f>
        <v>1.3632888682643538</v>
      </c>
      <c r="AP83" s="12">
        <f>两日求解价格与决策!AP275</f>
        <v>171.59999999999997</v>
      </c>
      <c r="AQ83" s="19">
        <f>两日求解价格与决策!AQ275</f>
        <v>0</v>
      </c>
      <c r="AR83" s="12">
        <f>两日求解价格与决策!AR275</f>
        <v>5.2473000000000001</v>
      </c>
      <c r="AS83" s="14">
        <f>两日求解价格与决策!AS275</f>
        <v>46234</v>
      </c>
      <c r="AT83" s="13">
        <f>两日求解价格与决策!AT275</f>
        <v>46236.645833333336</v>
      </c>
      <c r="AU83" s="12" t="str">
        <f>两日求解价格与决策!AU275</f>
        <v>2026-08-02_71</v>
      </c>
      <c r="AV83" s="12">
        <f>两日求解价格与决策!AV275</f>
        <v>15</v>
      </c>
      <c r="AW83" s="12" t="str">
        <f>两日求解价格与决策!AW275</f>
        <v>OK</v>
      </c>
      <c r="AX83" s="12">
        <f>两日求解价格与决策!AX275</f>
        <v>128</v>
      </c>
      <c r="AY83" s="12">
        <f>两日求解价格与决策!AY275</f>
        <v>175</v>
      </c>
      <c r="AZ83" s="12">
        <f>两日求解价格与决策!AZ275</f>
        <v>175</v>
      </c>
      <c r="BA83" s="12">
        <f>两日求解价格与决策!BA275</f>
        <v>40</v>
      </c>
      <c r="BB83" s="12">
        <f>两日求解价格与决策!BB275</f>
        <v>24</v>
      </c>
      <c r="BC83" s="12">
        <f>两日求解价格与决策!BC275</f>
        <v>24</v>
      </c>
      <c r="BD83" s="14">
        <f>两日求解价格与决策!BD275</f>
        <v>46236</v>
      </c>
      <c r="BE83" s="1" t="str">
        <f>两日求解价格与决策!BE275</f>
        <v>-13.717014 MW × 145.740000 × 0.250000 h = -499.779415 EUR</v>
      </c>
      <c r="BF83" s="1" t="str">
        <f>两日求解价格与决策!BF275</f>
        <v>40.000000 MW × 60.030873 × 0.250000 h = 600.308730 EUR</v>
      </c>
      <c r="BG83" s="1" t="str">
        <f>两日求解价格与决策!BG275</f>
        <v>24.000000 MW × 7.127475 × 0.250000 h = 42.764850 EUR</v>
      </c>
      <c r="BH83" s="1" t="str">
        <f>两日求解价格与决策!BH275</f>
        <v>零头寸，无结算现金</v>
      </c>
      <c r="BI83" s="1" t="str">
        <f>两日求解价格与决策!BI275</f>
        <v>3.181851 MWh × 228.652259 = 727.537518 EUR</v>
      </c>
      <c r="BJ83" s="1" t="str">
        <f>两日求解价格与决策!BJ275</f>
        <v>零下调激活电量</v>
      </c>
      <c r="BK83" s="1" t="str">
        <f>两日求解价格与决策!BK275</f>
        <v>-499.779415 + 600.308730 + 42.764850 + 0.000000 + 727.537518 + 0.000000 = 870.831684 EUR</v>
      </c>
    </row>
    <row r="84" spans="1:63" ht="21" customHeight="1" x14ac:dyDescent="0.45">
      <c r="A84" s="13">
        <f>两日求解价格与决策!A276</f>
        <v>46236.78125</v>
      </c>
      <c r="B84" s="15">
        <f>两日求解价格与决策!B276</f>
        <v>181.46</v>
      </c>
      <c r="C84" s="15">
        <f>两日求解价格与决策!C276</f>
        <v>60.030873020410496</v>
      </c>
      <c r="D84" s="15">
        <f>两日求解价格与决策!D276</f>
        <v>7.1274750824233415</v>
      </c>
      <c r="E84" s="15">
        <f>两日求解价格与决策!E276</f>
        <v>2.595620604882511</v>
      </c>
      <c r="F84" s="15">
        <f>两日求解价格与决策!F276</f>
        <v>223.7312522630686</v>
      </c>
      <c r="G84" s="15">
        <f>两日求解价格与决策!G276</f>
        <v>0</v>
      </c>
      <c r="H84" s="15" t="str">
        <f>两日求解价格与决策!H276</f>
        <v>未模拟</v>
      </c>
      <c r="I84" s="16">
        <f>两日求解价格与决策!I276</f>
        <v>171.59999999999994</v>
      </c>
      <c r="J84" s="16">
        <f>两日求解价格与决策!J276</f>
        <v>171.5851117714285</v>
      </c>
      <c r="K84" s="16">
        <f>两日求解价格与决策!K276</f>
        <v>-7.5110131205901158</v>
      </c>
      <c r="L84" s="16">
        <f>两日求解价格与决策!L276</f>
        <v>40</v>
      </c>
      <c r="M84" s="16">
        <f>两日求解价格与决策!M276</f>
        <v>24</v>
      </c>
      <c r="N84" s="16">
        <f>两日求解价格与决策!N276</f>
        <v>0</v>
      </c>
      <c r="O84" s="16">
        <f>两日求解价格与决策!O276</f>
        <v>1.6839771428571431</v>
      </c>
      <c r="P84" s="16">
        <f>两日求解价格与决策!P276</f>
        <v>0</v>
      </c>
      <c r="Q84" s="17">
        <f>两日求解价格与决策!Q276</f>
        <v>-340.73711021557062</v>
      </c>
      <c r="R84" s="17">
        <f>两日求解价格与决策!R276</f>
        <v>600.3087302041049</v>
      </c>
      <c r="S84" s="17">
        <f>两日求解价格与决策!S276</f>
        <v>42.764850494540049</v>
      </c>
      <c r="T84" s="17">
        <f>两日求解价格与决策!T276</f>
        <v>0</v>
      </c>
      <c r="U84" s="17">
        <f>两日求解价格与决策!U276</f>
        <v>376.758314953813</v>
      </c>
      <c r="V84" s="17">
        <f>两日求解价格与决策!V276</f>
        <v>0</v>
      </c>
      <c r="W84" s="17">
        <f>两日求解价格与决策!W276</f>
        <v>679.09478543688738</v>
      </c>
      <c r="X84" s="12">
        <f>两日求解价格与决策!X276</f>
        <v>679.09478543688738</v>
      </c>
      <c r="Y84" s="19">
        <f>两日求解价格与决策!Y276</f>
        <v>0</v>
      </c>
      <c r="Z84" s="12" t="str">
        <f t="shared" si="2"/>
        <v>正式执行</v>
      </c>
      <c r="AA84" s="12">
        <f>两日求解价格与决策!AA276</f>
        <v>1</v>
      </c>
      <c r="AB84" s="12">
        <f>两日求解价格与决策!AB276</f>
        <v>1</v>
      </c>
      <c r="AC84" s="12">
        <f>两日求解价格与决策!AC276</f>
        <v>0.25</v>
      </c>
      <c r="AD84" s="18">
        <f>两日求解价格与决策!AD276</f>
        <v>0.3125</v>
      </c>
      <c r="AE84" s="18">
        <f>两日求解价格与决策!AE276</f>
        <v>0.13714285714285715</v>
      </c>
      <c r="AF84" s="18">
        <f>两日求解价格与决策!AF276</f>
        <v>0.28066285714285716</v>
      </c>
      <c r="AG84" s="18">
        <f>两日求解价格与决策!AG276</f>
        <v>0</v>
      </c>
      <c r="AH84" s="12">
        <f>两日求解价格与决策!AH276</f>
        <v>175</v>
      </c>
      <c r="AI84" s="12">
        <f>两日求解价格与决策!AI276</f>
        <v>175</v>
      </c>
      <c r="AJ84" s="12">
        <f>两日求解价格与决策!AJ276</f>
        <v>12.279</v>
      </c>
      <c r="AK84" s="12">
        <f>两日求解价格与决策!AK276</f>
        <v>0</v>
      </c>
      <c r="AL84" s="12">
        <f>两日求解价格与决策!AL276</f>
        <v>51.968000000000004</v>
      </c>
      <c r="AM84" s="12">
        <f>两日求解价格与决策!AM276</f>
        <v>6.9451265525284104E-3</v>
      </c>
      <c r="AN84" s="12">
        <f>两日求解价格与决策!AN276</f>
        <v>1.3507376795319517</v>
      </c>
      <c r="AO84" s="12">
        <f>两日求解价格与决策!AO276</f>
        <v>1.1569615422415658</v>
      </c>
      <c r="AP84" s="12">
        <f>两日求解价格与决策!AP276</f>
        <v>171.58511177142853</v>
      </c>
      <c r="AQ84" s="19">
        <f>两日求解价格与决策!AQ276</f>
        <v>0</v>
      </c>
      <c r="AR84" s="12">
        <f>两日求解价格与决策!AR276</f>
        <v>5.2473000000000001</v>
      </c>
      <c r="AS84" s="14">
        <f>两日求解价格与决策!AS276</f>
        <v>46234</v>
      </c>
      <c r="AT84" s="13">
        <f>两日求解价格与决策!AT276</f>
        <v>46236.65625</v>
      </c>
      <c r="AU84" s="12" t="str">
        <f>两日求解价格与决策!AU276</f>
        <v>2026-08-02_72</v>
      </c>
      <c r="AV84" s="12">
        <f>两日求解价格与决策!AV276</f>
        <v>15</v>
      </c>
      <c r="AW84" s="12" t="str">
        <f>两日求解价格与决策!AW276</f>
        <v>OK</v>
      </c>
      <c r="AX84" s="12">
        <f>两日求解价格与决策!AX276</f>
        <v>128</v>
      </c>
      <c r="AY84" s="12">
        <f>两日求解价格与决策!AY276</f>
        <v>175</v>
      </c>
      <c r="AZ84" s="12">
        <f>两日求解价格与决策!AZ276</f>
        <v>175</v>
      </c>
      <c r="BA84" s="12">
        <f>两日求解价格与决策!BA276</f>
        <v>40</v>
      </c>
      <c r="BB84" s="12">
        <f>两日求解价格与决策!BB276</f>
        <v>24</v>
      </c>
      <c r="BC84" s="12">
        <f>两日求解价格与决策!BC276</f>
        <v>24</v>
      </c>
      <c r="BD84" s="14">
        <f>两日求解价格与决策!BD276</f>
        <v>46236</v>
      </c>
      <c r="BE84" s="1" t="str">
        <f>两日求解价格与决策!BE276</f>
        <v>-7.511013 MW × 181.460000 × 0.250000 h = -340.737110 EUR</v>
      </c>
      <c r="BF84" s="1" t="str">
        <f>两日求解价格与决策!BF276</f>
        <v>40.000000 MW × 60.030873 × 0.250000 h = 600.308730 EUR</v>
      </c>
      <c r="BG84" s="1" t="str">
        <f>两日求解价格与决策!BG276</f>
        <v>24.000000 MW × 7.127475 × 0.250000 h = 42.764850 EUR</v>
      </c>
      <c r="BH84" s="1" t="str">
        <f>两日求解价格与决策!BH276</f>
        <v>零头寸，无结算现金</v>
      </c>
      <c r="BI84" s="1" t="str">
        <f>两日求解价格与决策!BI276</f>
        <v>1.683977 MWh × 223.731252 = 376.758315 EUR</v>
      </c>
      <c r="BJ84" s="1" t="str">
        <f>两日求解价格与决策!BJ276</f>
        <v>零下调激活电量</v>
      </c>
      <c r="BK84" s="1" t="str">
        <f>两日求解价格与决策!BK276</f>
        <v>-340.737110 + 600.308730 + 42.764850 + 0.000000 + 376.758315 + 0.000000 = 679.094785 EUR</v>
      </c>
    </row>
    <row r="85" spans="1:63" ht="21" customHeight="1" x14ac:dyDescent="0.45">
      <c r="A85" s="13">
        <f>两日求解价格与决策!A277</f>
        <v>46236.791666666664</v>
      </c>
      <c r="B85" s="15">
        <f>两日求解价格与决策!B277</f>
        <v>186.08</v>
      </c>
      <c r="C85" s="15">
        <f>两日求解价格与决策!C277</f>
        <v>60.030873020410496</v>
      </c>
      <c r="D85" s="15">
        <f>两日求解价格与决策!D277</f>
        <v>7.1027004364149189</v>
      </c>
      <c r="E85" s="15">
        <f>两日求解价格与决策!E277</f>
        <v>2.850990032969337</v>
      </c>
      <c r="F85" s="15">
        <f>两日求解价格与决策!F277</f>
        <v>217.59857450498353</v>
      </c>
      <c r="G85" s="15">
        <f>两日求解价格与决策!G277</f>
        <v>80.041164027213995</v>
      </c>
      <c r="H85" s="15" t="str">
        <f>两日求解价格与决策!H277</f>
        <v>未模拟</v>
      </c>
      <c r="I85" s="16">
        <f>两日求解价格与决策!I277</f>
        <v>171.5851117714285</v>
      </c>
      <c r="J85" s="16">
        <f>两日求解价格与决策!J277</f>
        <v>171.30439751552788</v>
      </c>
      <c r="K85" s="16">
        <f>两日求解价格与决策!K277</f>
        <v>0</v>
      </c>
      <c r="L85" s="16">
        <f>两日求解价格与决策!L277</f>
        <v>40</v>
      </c>
      <c r="M85" s="16">
        <f>两日求解价格与决策!M277</f>
        <v>24</v>
      </c>
      <c r="N85" s="16">
        <f>两日求解价格与决策!N277</f>
        <v>24</v>
      </c>
      <c r="O85" s="16">
        <f>两日求解价格与决策!O277</f>
        <v>0.2719542857142857</v>
      </c>
      <c r="P85" s="16">
        <f>两日求解价格与决策!P277</f>
        <v>1.6182857142857145E-2</v>
      </c>
      <c r="Q85" s="17">
        <f>两日求解价格与决策!Q277</f>
        <v>0</v>
      </c>
      <c r="R85" s="17">
        <f>两日求解价格与决策!R277</f>
        <v>600.3087302041049</v>
      </c>
      <c r="S85" s="17">
        <f>两日求解价格与决策!S277</f>
        <v>42.61620261848951</v>
      </c>
      <c r="T85" s="17">
        <f>两日求解价格与决策!T277</f>
        <v>17.105940197816022</v>
      </c>
      <c r="U85" s="17">
        <f>两日求解价格与决策!U277</f>
        <v>59.176864901949578</v>
      </c>
      <c r="V85" s="17">
        <f>两日求解价格与决策!V277</f>
        <v>-1.2952947230004004</v>
      </c>
      <c r="W85" s="17">
        <f>两日求解价格与决策!W277</f>
        <v>717.91244319935959</v>
      </c>
      <c r="X85" s="12">
        <f>两日求解价格与决策!X277</f>
        <v>717.91244319935959</v>
      </c>
      <c r="Y85" s="19">
        <f>两日求解价格与决策!Y277</f>
        <v>0</v>
      </c>
      <c r="Z85" s="12" t="str">
        <f t="shared" si="2"/>
        <v>正式执行</v>
      </c>
      <c r="AA85" s="12">
        <f>两日求解价格与决策!AA277</f>
        <v>1</v>
      </c>
      <c r="AB85" s="12">
        <f>两日求解价格与决策!AB277</f>
        <v>1</v>
      </c>
      <c r="AC85" s="12">
        <f>两日求解价格与决策!AC277</f>
        <v>0.25</v>
      </c>
      <c r="AD85" s="18">
        <f>两日求解价格与决策!AD277</f>
        <v>0.3125</v>
      </c>
      <c r="AE85" s="18">
        <f>两日求解价格与决策!AE277</f>
        <v>0.13714285714285715</v>
      </c>
      <c r="AF85" s="18">
        <f>两日求解价格与决策!AF277</f>
        <v>4.5325714285714289E-2</v>
      </c>
      <c r="AG85" s="18">
        <f>两日求解价格与决策!AG277</f>
        <v>2.6971428571428572E-3</v>
      </c>
      <c r="AH85" s="12">
        <f>两日求解价格与决策!AH277</f>
        <v>175</v>
      </c>
      <c r="AI85" s="12">
        <f>两日求解价格与决策!AI277</f>
        <v>175</v>
      </c>
      <c r="AJ85" s="12">
        <f>两日求解价格与决策!AJ277</f>
        <v>1.9830000000000001</v>
      </c>
      <c r="AK85" s="12">
        <f>两日求解价格与决策!AK277</f>
        <v>0.11799999999999999</v>
      </c>
      <c r="AL85" s="12">
        <f>两日求解价格与决策!AL277</f>
        <v>91.903999999999996</v>
      </c>
      <c r="AM85" s="12">
        <f>两日求解价格与决策!AM277</f>
        <v>8.6247420289855073E-4</v>
      </c>
      <c r="AN85" s="12">
        <f>两日求解价格与决策!AN277</f>
        <v>1.6182857142857145E-2</v>
      </c>
      <c r="AO85" s="12">
        <f>两日求解价格与决策!AO277</f>
        <v>0.2719542857142857</v>
      </c>
      <c r="AP85" s="12">
        <f>两日求解价格与决策!AP277</f>
        <v>171.30439751552791</v>
      </c>
      <c r="AQ85" s="19">
        <f>两日求解价格与决策!AQ277</f>
        <v>0</v>
      </c>
      <c r="AR85" s="12">
        <f>两日求解价格与决策!AR277</f>
        <v>5.2473000000000001</v>
      </c>
      <c r="AS85" s="14">
        <f>两日求解价格与决策!AS277</f>
        <v>46234</v>
      </c>
      <c r="AT85" s="13">
        <f>两日求解价格与决策!AT277</f>
        <v>46236.666666666664</v>
      </c>
      <c r="AU85" s="12" t="str">
        <f>两日求解价格与决策!AU277</f>
        <v>2026-08-02_73</v>
      </c>
      <c r="AV85" s="12">
        <f>两日求解价格与决策!AV277</f>
        <v>15</v>
      </c>
      <c r="AW85" s="12" t="str">
        <f>两日求解价格与决策!AW277</f>
        <v>OK</v>
      </c>
      <c r="AX85" s="12">
        <f>两日求解价格与决策!AX277</f>
        <v>128</v>
      </c>
      <c r="AY85" s="12">
        <f>两日求解价格与决策!AY277</f>
        <v>175</v>
      </c>
      <c r="AZ85" s="12">
        <f>两日求解价格与决策!AZ277</f>
        <v>175</v>
      </c>
      <c r="BA85" s="12">
        <f>两日求解价格与决策!BA277</f>
        <v>40</v>
      </c>
      <c r="BB85" s="12">
        <f>两日求解价格与决策!BB277</f>
        <v>24</v>
      </c>
      <c r="BC85" s="12">
        <f>两日求解价格与决策!BC277</f>
        <v>24</v>
      </c>
      <c r="BD85" s="14">
        <f>两日求解价格与决策!BD277</f>
        <v>46236</v>
      </c>
      <c r="BE85" s="1" t="str">
        <f>两日求解价格与决策!BE277</f>
        <v>零头寸，无结算现金</v>
      </c>
      <c r="BF85" s="1" t="str">
        <f>两日求解价格与决策!BF277</f>
        <v>40.000000 MW × 60.030873 × 0.250000 h = 600.308730 EUR</v>
      </c>
      <c r="BG85" s="1" t="str">
        <f>两日求解价格与决策!BG277</f>
        <v>24.000000 MW × 7.102700 × 0.250000 h = 42.616203 EUR</v>
      </c>
      <c r="BH85" s="1" t="str">
        <f>两日求解价格与决策!BH277</f>
        <v>24.000000 MW × 2.850990 × 0.250000 h = 17.105940 EUR</v>
      </c>
      <c r="BI85" s="1" t="str">
        <f>两日求解价格与决策!BI277</f>
        <v>0.271954 MWh × 217.598575 = 59.176865 EUR</v>
      </c>
      <c r="BJ85" s="1" t="str">
        <f>两日求解价格与决策!BJ277</f>
        <v>−(0.016183 MWh × 80.041164) = -1.295295 EUR</v>
      </c>
      <c r="BK85" s="1" t="str">
        <f>两日求解价格与决策!BK277</f>
        <v>0.000000 + 600.308730 + 42.616203 + 17.105940 + 59.176865 + -1.295295 = 717.912443 EUR</v>
      </c>
    </row>
    <row r="86" spans="1:63" ht="21" customHeight="1" x14ac:dyDescent="0.45">
      <c r="A86" s="13">
        <f>两日求解价格与决策!A278</f>
        <v>46236.802083333336</v>
      </c>
      <c r="B86" s="15">
        <f>两日求解价格与决策!B278</f>
        <v>212.63</v>
      </c>
      <c r="C86" s="15">
        <f>两日求解价格与决策!C278</f>
        <v>60.030873020410496</v>
      </c>
      <c r="D86" s="15">
        <f>两日求解价格与决策!D278</f>
        <v>7.1027004364149189</v>
      </c>
      <c r="E86" s="15">
        <f>两日求解价格与决策!E278</f>
        <v>2.850990032969337</v>
      </c>
      <c r="F86" s="15">
        <f>两日求解价格与决策!F278</f>
        <v>239.53423665504161</v>
      </c>
      <c r="G86" s="15">
        <f>两日求解价格与决策!G278</f>
        <v>80.041164027213995</v>
      </c>
      <c r="H86" s="15" t="str">
        <f>两日求解价格与决策!H278</f>
        <v>未模拟</v>
      </c>
      <c r="I86" s="16">
        <f>两日求解价格与决策!I278</f>
        <v>171.30439751552788</v>
      </c>
      <c r="J86" s="16">
        <f>两日求解价格与决策!J278</f>
        <v>160.9027080745341</v>
      </c>
      <c r="K86" s="16">
        <f>两日求解价格与决策!K278</f>
        <v>36</v>
      </c>
      <c r="L86" s="16">
        <f>两日求解价格与决策!L278</f>
        <v>40</v>
      </c>
      <c r="M86" s="16">
        <f>两日求解价格与决策!M278</f>
        <v>24</v>
      </c>
      <c r="N86" s="16">
        <f>两日求解价格与决策!N278</f>
        <v>24</v>
      </c>
      <c r="O86" s="16">
        <f>两日求解价格与决策!O278</f>
        <v>0.57284571428571418</v>
      </c>
      <c r="P86" s="16">
        <f>两日求解价格与决策!P278</f>
        <v>3.291428571428571E-3</v>
      </c>
      <c r="Q86" s="17">
        <f>两日求解价格与决策!Q278</f>
        <v>1913.67</v>
      </c>
      <c r="R86" s="17">
        <f>两日求解价格与决策!R278</f>
        <v>600.3087302041049</v>
      </c>
      <c r="S86" s="17">
        <f>两日求解价格与决策!S278</f>
        <v>42.61620261848951</v>
      </c>
      <c r="T86" s="17">
        <f>两日求解价格与决策!T278</f>
        <v>17.105940197816022</v>
      </c>
      <c r="U86" s="17">
        <f>两日求解价格与决策!U278</f>
        <v>137.21616089254061</v>
      </c>
      <c r="V86" s="17">
        <f>两日求解价格与决策!V278</f>
        <v>-0.26344977416957288</v>
      </c>
      <c r="W86" s="17">
        <f>两日求解价格与决策!W278</f>
        <v>2710.6535841387813</v>
      </c>
      <c r="X86" s="12">
        <f>两日求解价格与决策!X278</f>
        <v>2710.6535841387818</v>
      </c>
      <c r="Y86" s="19">
        <f>两日求解价格与决策!Y278</f>
        <v>0</v>
      </c>
      <c r="Z86" s="12" t="str">
        <f t="shared" si="2"/>
        <v>正式执行</v>
      </c>
      <c r="AA86" s="12">
        <f>两日求解价格与决策!AA278</f>
        <v>1</v>
      </c>
      <c r="AB86" s="12">
        <f>两日求解价格与决策!AB278</f>
        <v>1</v>
      </c>
      <c r="AC86" s="12">
        <f>两日求解价格与决策!AC278</f>
        <v>0.25</v>
      </c>
      <c r="AD86" s="18">
        <f>两日求解价格与决策!AD278</f>
        <v>0.3125</v>
      </c>
      <c r="AE86" s="18">
        <f>两日求解价格与决策!AE278</f>
        <v>0.13714285714285715</v>
      </c>
      <c r="AF86" s="18">
        <f>两日求解价格与决策!AF278</f>
        <v>9.5474285714285706E-2</v>
      </c>
      <c r="AG86" s="18">
        <f>两日求解价格与决策!AG278</f>
        <v>5.4857142857142854E-4</v>
      </c>
      <c r="AH86" s="12">
        <f>两日求解价格与决策!AH278</f>
        <v>175</v>
      </c>
      <c r="AI86" s="12">
        <f>两日求解价格与决策!AI278</f>
        <v>175</v>
      </c>
      <c r="AJ86" s="12">
        <f>两日求解价格与决策!AJ278</f>
        <v>4.1769999999999996</v>
      </c>
      <c r="AK86" s="12">
        <f>两日求解价格与决策!AK278</f>
        <v>2.4E-2</v>
      </c>
      <c r="AL86" s="12">
        <f>两日求解价格与决策!AL278</f>
        <v>91.903999999999996</v>
      </c>
      <c r="AM86" s="12">
        <f>两日求解价格与决策!AM278</f>
        <v>2.8893581780538299E-2</v>
      </c>
      <c r="AN86" s="12">
        <f>两日求解价格与决策!AN278</f>
        <v>0</v>
      </c>
      <c r="AO86" s="12">
        <f>两日求解价格与决策!AO278</f>
        <v>9.5695542857142843</v>
      </c>
      <c r="AP86" s="12">
        <f>两日求解价格与决策!AP278</f>
        <v>160.90270807453413</v>
      </c>
      <c r="AQ86" s="19">
        <f>两日求解价格与决策!AQ278</f>
        <v>0</v>
      </c>
      <c r="AR86" s="12">
        <f>两日求解价格与决策!AR278</f>
        <v>5.2473000000000001</v>
      </c>
      <c r="AS86" s="14">
        <f>两日求解价格与决策!AS278</f>
        <v>46234</v>
      </c>
      <c r="AT86" s="13">
        <f>两日求解价格与决策!AT278</f>
        <v>46236.677083333336</v>
      </c>
      <c r="AU86" s="12" t="str">
        <f>两日求解价格与决策!AU278</f>
        <v>2026-08-02_74</v>
      </c>
      <c r="AV86" s="12">
        <f>两日求解价格与决策!AV278</f>
        <v>15</v>
      </c>
      <c r="AW86" s="12" t="str">
        <f>两日求解价格与决策!AW278</f>
        <v>OK</v>
      </c>
      <c r="AX86" s="12">
        <f>两日求解价格与决策!AX278</f>
        <v>128</v>
      </c>
      <c r="AY86" s="12">
        <f>两日求解价格与决策!AY278</f>
        <v>175</v>
      </c>
      <c r="AZ86" s="12">
        <f>两日求解价格与决策!AZ278</f>
        <v>175</v>
      </c>
      <c r="BA86" s="12">
        <f>两日求解价格与决策!BA278</f>
        <v>40</v>
      </c>
      <c r="BB86" s="12">
        <f>两日求解价格与决策!BB278</f>
        <v>24</v>
      </c>
      <c r="BC86" s="12">
        <f>两日求解价格与决策!BC278</f>
        <v>24</v>
      </c>
      <c r="BD86" s="14">
        <f>两日求解价格与决策!BD278</f>
        <v>46236</v>
      </c>
      <c r="BE86" s="1" t="str">
        <f>两日求解价格与决策!BE278</f>
        <v>36.000000 MW × 212.630000 × 0.250000 h = 1913.670000 EUR</v>
      </c>
      <c r="BF86" s="1" t="str">
        <f>两日求解价格与决策!BF278</f>
        <v>40.000000 MW × 60.030873 × 0.250000 h = 600.308730 EUR</v>
      </c>
      <c r="BG86" s="1" t="str">
        <f>两日求解价格与决策!BG278</f>
        <v>24.000000 MW × 7.102700 × 0.250000 h = 42.616203 EUR</v>
      </c>
      <c r="BH86" s="1" t="str">
        <f>两日求解价格与决策!BH278</f>
        <v>24.000000 MW × 2.850990 × 0.250000 h = 17.105940 EUR</v>
      </c>
      <c r="BI86" s="1" t="str">
        <f>两日求解价格与决策!BI278</f>
        <v>0.572846 MWh × 239.534237 = 137.216161 EUR</v>
      </c>
      <c r="BJ86" s="1" t="str">
        <f>两日求解价格与决策!BJ278</f>
        <v>−(0.003291 MWh × 80.041164) = -0.263450 EUR</v>
      </c>
      <c r="BK86" s="1" t="str">
        <f>两日求解价格与决策!BK278</f>
        <v>1913.670000 + 600.308730 + 42.616203 + 17.105940 + 137.216161 + -0.263450 = 2710.653584 EUR</v>
      </c>
    </row>
    <row r="87" spans="1:63" ht="21" customHeight="1" x14ac:dyDescent="0.45">
      <c r="A87" s="13">
        <f>两日求解价格与决策!A279</f>
        <v>46236.8125</v>
      </c>
      <c r="B87" s="15">
        <f>两日求解价格与决策!B279</f>
        <v>197.63</v>
      </c>
      <c r="C87" s="15">
        <f>两日求解价格与决策!C279</f>
        <v>60.030873020410496</v>
      </c>
      <c r="D87" s="15">
        <f>两日求解价格与决策!D279</f>
        <v>7.1027004364149189</v>
      </c>
      <c r="E87" s="15">
        <f>两日求解价格与决策!E279</f>
        <v>2.850990032969337</v>
      </c>
      <c r="F87" s="15">
        <f>两日求解价格与决策!F279</f>
        <v>242.48337240104436</v>
      </c>
      <c r="G87" s="15">
        <f>两日求解价格与决策!G279</f>
        <v>0</v>
      </c>
      <c r="H87" s="15" t="str">
        <f>两日求解价格与决策!H279</f>
        <v>未模拟</v>
      </c>
      <c r="I87" s="16">
        <f>两日求解价格与决策!I279</f>
        <v>160.9027080745341</v>
      </c>
      <c r="J87" s="16">
        <f>两日求解价格与决策!J279</f>
        <v>159.62176397515523</v>
      </c>
      <c r="K87" s="16">
        <f>两日求解价格与决策!K279</f>
        <v>0</v>
      </c>
      <c r="L87" s="16">
        <f>两日求解价格与决策!L279</f>
        <v>40</v>
      </c>
      <c r="M87" s="16">
        <f>两日求解价格与决策!M279</f>
        <v>24</v>
      </c>
      <c r="N87" s="16">
        <f>两日求解价格与决策!N279</f>
        <v>24</v>
      </c>
      <c r="O87" s="16">
        <f>两日求解价格与决策!O279</f>
        <v>1.1784685714285714</v>
      </c>
      <c r="P87" s="16">
        <f>两日求解价格与决策!P279</f>
        <v>0</v>
      </c>
      <c r="Q87" s="17">
        <f>两日求解价格与决策!Q279</f>
        <v>0</v>
      </c>
      <c r="R87" s="17">
        <f>两日求解价格与决策!R279</f>
        <v>600.3087302041049</v>
      </c>
      <c r="S87" s="17">
        <f>两日求解价格与决策!S279</f>
        <v>42.61620261848951</v>
      </c>
      <c r="T87" s="17">
        <f>两日求解价格与决策!T279</f>
        <v>17.105940197816022</v>
      </c>
      <c r="U87" s="17">
        <f>两日求解价格与决策!U279</f>
        <v>285.75903346864101</v>
      </c>
      <c r="V87" s="17">
        <f>两日求解价格与决策!V279</f>
        <v>0</v>
      </c>
      <c r="W87" s="17">
        <f>两日求解价格与决策!W279</f>
        <v>945.78990648905142</v>
      </c>
      <c r="X87" s="12">
        <f>两日求解价格与决策!X279</f>
        <v>945.78990648905142</v>
      </c>
      <c r="Y87" s="19">
        <f>两日求解价格与决策!Y279</f>
        <v>0</v>
      </c>
      <c r="Z87" s="12" t="str">
        <f t="shared" si="2"/>
        <v>正式执行</v>
      </c>
      <c r="AA87" s="12">
        <f>两日求解价格与决策!AA279</f>
        <v>1</v>
      </c>
      <c r="AB87" s="12">
        <f>两日求解价格与决策!AB279</f>
        <v>1</v>
      </c>
      <c r="AC87" s="12">
        <f>两日求解价格与决策!AC279</f>
        <v>0.25</v>
      </c>
      <c r="AD87" s="18">
        <f>两日求解价格与决策!AD279</f>
        <v>0.3125</v>
      </c>
      <c r="AE87" s="18">
        <f>两日求解价格与决策!AE279</f>
        <v>0.13714285714285715</v>
      </c>
      <c r="AF87" s="18">
        <f>两日求解价格与决策!AF279</f>
        <v>0.19641142857142857</v>
      </c>
      <c r="AG87" s="18">
        <f>两日求解价格与决策!AG279</f>
        <v>0</v>
      </c>
      <c r="AH87" s="12">
        <f>两日求解价格与决策!AH279</f>
        <v>175</v>
      </c>
      <c r="AI87" s="12">
        <f>两日求解价格与决策!AI279</f>
        <v>175</v>
      </c>
      <c r="AJ87" s="12">
        <f>两日求解价格与决策!AJ279</f>
        <v>8.593</v>
      </c>
      <c r="AK87" s="12">
        <f>两日求解价格与决策!AK279</f>
        <v>0</v>
      </c>
      <c r="AL87" s="12">
        <f>两日求解价格与决策!AL279</f>
        <v>91.903999999999996</v>
      </c>
      <c r="AM87" s="12">
        <f>两日求解价格与决策!AM279</f>
        <v>3.5581780538302276E-3</v>
      </c>
      <c r="AN87" s="12">
        <f>两日求解价格与决策!AN279</f>
        <v>0</v>
      </c>
      <c r="AO87" s="12">
        <f>两日求解价格与决策!AO279</f>
        <v>1.1784685714285714</v>
      </c>
      <c r="AP87" s="12">
        <f>两日求解价格与决策!AP279</f>
        <v>159.62176397515526</v>
      </c>
      <c r="AQ87" s="19">
        <f>两日求解价格与决策!AQ279</f>
        <v>0</v>
      </c>
      <c r="AR87" s="12">
        <f>两日求解价格与决策!AR279</f>
        <v>5.2473000000000001</v>
      </c>
      <c r="AS87" s="14">
        <f>两日求解价格与决策!AS279</f>
        <v>46234</v>
      </c>
      <c r="AT87" s="13">
        <f>两日求解价格与决策!AT279</f>
        <v>46236.6875</v>
      </c>
      <c r="AU87" s="12" t="str">
        <f>两日求解价格与决策!AU279</f>
        <v>2026-08-02_75</v>
      </c>
      <c r="AV87" s="12">
        <f>两日求解价格与决策!AV279</f>
        <v>15</v>
      </c>
      <c r="AW87" s="12" t="str">
        <f>两日求解价格与决策!AW279</f>
        <v>OK</v>
      </c>
      <c r="AX87" s="12">
        <f>两日求解价格与决策!AX279</f>
        <v>128</v>
      </c>
      <c r="AY87" s="12">
        <f>两日求解价格与决策!AY279</f>
        <v>175</v>
      </c>
      <c r="AZ87" s="12">
        <f>两日求解价格与决策!AZ279</f>
        <v>175</v>
      </c>
      <c r="BA87" s="12">
        <f>两日求解价格与决策!BA279</f>
        <v>40</v>
      </c>
      <c r="BB87" s="12">
        <f>两日求解价格与决策!BB279</f>
        <v>24</v>
      </c>
      <c r="BC87" s="12">
        <f>两日求解价格与决策!BC279</f>
        <v>24</v>
      </c>
      <c r="BD87" s="14">
        <f>两日求解价格与决策!BD279</f>
        <v>46236</v>
      </c>
      <c r="BE87" s="1" t="str">
        <f>两日求解价格与决策!BE279</f>
        <v>零头寸，无结算现金</v>
      </c>
      <c r="BF87" s="1" t="str">
        <f>两日求解价格与决策!BF279</f>
        <v>40.000000 MW × 60.030873 × 0.250000 h = 600.308730 EUR</v>
      </c>
      <c r="BG87" s="1" t="str">
        <f>两日求解价格与决策!BG279</f>
        <v>24.000000 MW × 7.102700 × 0.250000 h = 42.616203 EUR</v>
      </c>
      <c r="BH87" s="1" t="str">
        <f>两日求解价格与决策!BH279</f>
        <v>24.000000 MW × 2.850990 × 0.250000 h = 17.105940 EUR</v>
      </c>
      <c r="BI87" s="1" t="str">
        <f>两日求解价格与决策!BI279</f>
        <v>1.178469 MWh × 242.483372 = 285.759033 EUR</v>
      </c>
      <c r="BJ87" s="1" t="str">
        <f>两日求解价格与决策!BJ279</f>
        <v>零下调激活电量</v>
      </c>
      <c r="BK87" s="1" t="str">
        <f>两日求解价格与决策!BK279</f>
        <v>0.000000 + 600.308730 + 42.616203 + 17.105940 + 285.759033 + 0.000000 = 945.789906 EUR</v>
      </c>
    </row>
    <row r="88" spans="1:63" ht="21" customHeight="1" x14ac:dyDescent="0.45">
      <c r="A88" s="13">
        <f>两日求解价格与决策!A280</f>
        <v>46236.822916666664</v>
      </c>
      <c r="B88" s="15">
        <f>两日求解价格与决策!B280</f>
        <v>215.78</v>
      </c>
      <c r="C88" s="15">
        <f>两日求解价格与决策!C280</f>
        <v>60.030873020410496</v>
      </c>
      <c r="D88" s="15">
        <f>两日求解价格与决策!D280</f>
        <v>7.1027004364149189</v>
      </c>
      <c r="E88" s="15">
        <f>两日求解价格与决策!E280</f>
        <v>2.850990032969337</v>
      </c>
      <c r="F88" s="15">
        <f>两日求解价格与决策!F280</f>
        <v>228.97490137785147</v>
      </c>
      <c r="G88" s="15">
        <f>两日求解价格与决策!G280</f>
        <v>0</v>
      </c>
      <c r="H88" s="15" t="str">
        <f>两日求解价格与决策!H280</f>
        <v>未模拟</v>
      </c>
      <c r="I88" s="16">
        <f>两日求解价格与决策!I280</f>
        <v>159.62176397515523</v>
      </c>
      <c r="J88" s="16">
        <f>两日求解价格与决策!J280</f>
        <v>148.16154037267077</v>
      </c>
      <c r="K88" s="16">
        <f>两日求解价格与决策!K280</f>
        <v>36</v>
      </c>
      <c r="L88" s="16">
        <f>两日求解价格与决策!L280</f>
        <v>40</v>
      </c>
      <c r="M88" s="16">
        <f>两日求解价格与决策!M280</f>
        <v>24</v>
      </c>
      <c r="N88" s="16">
        <f>两日求解价格与决策!N280</f>
        <v>24</v>
      </c>
      <c r="O88" s="16">
        <f>两日求解价格与决策!O280</f>
        <v>1.543405714285714</v>
      </c>
      <c r="P88" s="16">
        <f>两日求解价格与决策!P280</f>
        <v>0</v>
      </c>
      <c r="Q88" s="17">
        <f>两日求解价格与决策!Q280</f>
        <v>1942.02</v>
      </c>
      <c r="R88" s="17">
        <f>两日求解价格与决策!R280</f>
        <v>600.3087302041049</v>
      </c>
      <c r="S88" s="17">
        <f>两日求解价格与决策!S280</f>
        <v>42.61620261848951</v>
      </c>
      <c r="T88" s="17">
        <f>两日求解价格与决策!T280</f>
        <v>17.105940197816022</v>
      </c>
      <c r="U88" s="17">
        <f>两日求解价格与决策!U280</f>
        <v>353.40117121458377</v>
      </c>
      <c r="V88" s="17">
        <f>两日求解价格与决策!V280</f>
        <v>0</v>
      </c>
      <c r="W88" s="17">
        <f>两日求解价格与决策!W280</f>
        <v>2955.452044234994</v>
      </c>
      <c r="X88" s="12">
        <f>两日求解价格与决策!X280</f>
        <v>2955.452044234994</v>
      </c>
      <c r="Y88" s="19">
        <f>两日求解价格与决策!Y280</f>
        <v>0</v>
      </c>
      <c r="Z88" s="12" t="str">
        <f t="shared" si="2"/>
        <v>正式执行</v>
      </c>
      <c r="AA88" s="12">
        <f>两日求解价格与决策!AA280</f>
        <v>1</v>
      </c>
      <c r="AB88" s="12">
        <f>两日求解价格与决策!AB280</f>
        <v>1</v>
      </c>
      <c r="AC88" s="12">
        <f>两日求解价格与决策!AC280</f>
        <v>0.25</v>
      </c>
      <c r="AD88" s="18">
        <f>两日求解价格与决策!AD280</f>
        <v>0.3125</v>
      </c>
      <c r="AE88" s="18">
        <f>两日求解价格与决策!AE280</f>
        <v>0.13714285714285715</v>
      </c>
      <c r="AF88" s="18">
        <f>两日求解价格与决策!AF280</f>
        <v>0.25723428571428569</v>
      </c>
      <c r="AG88" s="18">
        <f>两日求解价格与决策!AG280</f>
        <v>0</v>
      </c>
      <c r="AH88" s="12">
        <f>两日求解价格与决策!AH280</f>
        <v>175</v>
      </c>
      <c r="AI88" s="12">
        <f>两日求解价格与决策!AI280</f>
        <v>175</v>
      </c>
      <c r="AJ88" s="12">
        <f>两日求解价格与决策!AJ280</f>
        <v>11.254</v>
      </c>
      <c r="AK88" s="12">
        <f>两日求解价格与决策!AK280</f>
        <v>0</v>
      </c>
      <c r="AL88" s="12">
        <f>两日求解价格与决策!AL280</f>
        <v>91.903999999999996</v>
      </c>
      <c r="AM88" s="12">
        <f>两日求解价格与决策!AM280</f>
        <v>3.183395445134575E-2</v>
      </c>
      <c r="AN88" s="12">
        <f>两日求解价格与决策!AN280</f>
        <v>0</v>
      </c>
      <c r="AO88" s="12">
        <f>两日求解价格与决策!AO280</f>
        <v>10.543405714285715</v>
      </c>
      <c r="AP88" s="12">
        <f>两日求解价格与决策!AP280</f>
        <v>148.1615403726708</v>
      </c>
      <c r="AQ88" s="19">
        <f>两日求解价格与决策!AQ280</f>
        <v>0</v>
      </c>
      <c r="AR88" s="12">
        <f>两日求解价格与决策!AR280</f>
        <v>5.2473000000000001</v>
      </c>
      <c r="AS88" s="14">
        <f>两日求解价格与决策!AS280</f>
        <v>46234</v>
      </c>
      <c r="AT88" s="13">
        <f>两日求解价格与决策!AT280</f>
        <v>46236.697916666664</v>
      </c>
      <c r="AU88" s="12" t="str">
        <f>两日求解价格与决策!AU280</f>
        <v>2026-08-02_76</v>
      </c>
      <c r="AV88" s="12">
        <f>两日求解价格与决策!AV280</f>
        <v>15</v>
      </c>
      <c r="AW88" s="12" t="str">
        <f>两日求解价格与决策!AW280</f>
        <v>OK</v>
      </c>
      <c r="AX88" s="12">
        <f>两日求解价格与决策!AX280</f>
        <v>128</v>
      </c>
      <c r="AY88" s="12">
        <f>两日求解价格与决策!AY280</f>
        <v>175</v>
      </c>
      <c r="AZ88" s="12">
        <f>两日求解价格与决策!AZ280</f>
        <v>175</v>
      </c>
      <c r="BA88" s="12">
        <f>两日求解价格与决策!BA280</f>
        <v>40</v>
      </c>
      <c r="BB88" s="12">
        <f>两日求解价格与决策!BB280</f>
        <v>24</v>
      </c>
      <c r="BC88" s="12">
        <f>两日求解价格与决策!BC280</f>
        <v>24</v>
      </c>
      <c r="BD88" s="14">
        <f>两日求解价格与决策!BD280</f>
        <v>46236</v>
      </c>
      <c r="BE88" s="1" t="str">
        <f>两日求解价格与决策!BE280</f>
        <v>36.000000 MW × 215.780000 × 0.250000 h = 1942.020000 EUR</v>
      </c>
      <c r="BF88" s="1" t="str">
        <f>两日求解价格与决策!BF280</f>
        <v>40.000000 MW × 60.030873 × 0.250000 h = 600.308730 EUR</v>
      </c>
      <c r="BG88" s="1" t="str">
        <f>两日求解价格与决策!BG280</f>
        <v>24.000000 MW × 7.102700 × 0.250000 h = 42.616203 EUR</v>
      </c>
      <c r="BH88" s="1" t="str">
        <f>两日求解价格与决策!BH280</f>
        <v>24.000000 MW × 2.850990 × 0.250000 h = 17.105940 EUR</v>
      </c>
      <c r="BI88" s="1" t="str">
        <f>两日求解价格与决策!BI280</f>
        <v>1.543406 MWh × 228.974901 = 353.401171 EUR</v>
      </c>
      <c r="BJ88" s="1" t="str">
        <f>两日求解价格与决策!BJ280</f>
        <v>零下调激活电量</v>
      </c>
      <c r="BK88" s="1" t="str">
        <f>两日求解价格与决策!BK280</f>
        <v>1942.020000 + 600.308730 + 42.616203 + 17.105940 + 353.401171 + 0.000000 = 2955.452044 EUR</v>
      </c>
    </row>
    <row r="89" spans="1:63" ht="21" customHeight="1" x14ac:dyDescent="0.45">
      <c r="A89" s="13">
        <f>两日求解价格与决策!A281</f>
        <v>46236.833333333336</v>
      </c>
      <c r="B89" s="15">
        <f>两日求解价格与决策!B281</f>
        <v>212.83</v>
      </c>
      <c r="C89" s="15">
        <f>两日求解价格与决策!C281</f>
        <v>60.030873020410496</v>
      </c>
      <c r="D89" s="15">
        <f>两日求解价格与决策!D281</f>
        <v>3.9143940693308936</v>
      </c>
      <c r="E89" s="15">
        <f>两日求解价格与决策!E281</f>
        <v>2.850990032969337</v>
      </c>
      <c r="F89" s="15">
        <f>两日求解价格与决策!F281</f>
        <v>218.46130390867685</v>
      </c>
      <c r="G89" s="15">
        <f>两日求解价格与决策!G281</f>
        <v>80.041164027213995</v>
      </c>
      <c r="H89" s="15" t="str">
        <f>两日求解价格与决策!H281</f>
        <v>未模拟</v>
      </c>
      <c r="I89" s="16">
        <f>两日求解价格与决策!I281</f>
        <v>148.16154037267077</v>
      </c>
      <c r="J89" s="16">
        <f>两日求解价格与决策!J281</f>
        <v>131.86121739130428</v>
      </c>
      <c r="K89" s="16">
        <f>两日求解价格与决策!K281</f>
        <v>60</v>
      </c>
      <c r="L89" s="16">
        <f>两日求解价格与决策!L281</f>
        <v>40</v>
      </c>
      <c r="M89" s="16">
        <f>两日求解价格与决策!M281</f>
        <v>0</v>
      </c>
      <c r="N89" s="16">
        <f>两日求解价格与决策!N281</f>
        <v>24</v>
      </c>
      <c r="O89" s="16">
        <f>两日求解价格与决策!O281</f>
        <v>0</v>
      </c>
      <c r="P89" s="16">
        <f>两日求解价格与决策!P281</f>
        <v>3.7028571428571427E-3</v>
      </c>
      <c r="Q89" s="17">
        <f>两日求解价格与决策!Q281</f>
        <v>3192.4500000000003</v>
      </c>
      <c r="R89" s="17">
        <f>两日求解价格与决策!R281</f>
        <v>600.3087302041049</v>
      </c>
      <c r="S89" s="17">
        <f>两日求解价格与决策!S281</f>
        <v>0</v>
      </c>
      <c r="T89" s="17">
        <f>两日求解价格与决策!T281</f>
        <v>17.105940197816022</v>
      </c>
      <c r="U89" s="17">
        <f>两日求解价格与决策!U281</f>
        <v>0</v>
      </c>
      <c r="V89" s="17">
        <f>两日求解价格与决策!V281</f>
        <v>-0.2963809959407695</v>
      </c>
      <c r="W89" s="17">
        <f>两日求解价格与决策!W281</f>
        <v>3809.5682894059805</v>
      </c>
      <c r="X89" s="12">
        <f>两日求解价格与决策!X281</f>
        <v>3809.5682894059805</v>
      </c>
      <c r="Y89" s="19">
        <f>两日求解价格与决策!Y281</f>
        <v>0</v>
      </c>
      <c r="Z89" s="12" t="str">
        <f t="shared" si="2"/>
        <v>正式执行</v>
      </c>
      <c r="AA89" s="12">
        <f>两日求解价格与决策!AA281</f>
        <v>1</v>
      </c>
      <c r="AB89" s="12">
        <f>两日求解价格与决策!AB281</f>
        <v>1</v>
      </c>
      <c r="AC89" s="12">
        <f>两日求解价格与决策!AC281</f>
        <v>0.25</v>
      </c>
      <c r="AD89" s="18">
        <f>两日求解价格与决策!AD281</f>
        <v>0.3125</v>
      </c>
      <c r="AE89" s="18">
        <f>两日求解价格与决策!AE281</f>
        <v>0.13714285714285715</v>
      </c>
      <c r="AF89" s="18">
        <f>两日求解价格与决策!AF281</f>
        <v>5.6457142857142859E-2</v>
      </c>
      <c r="AG89" s="18">
        <f>两日求解价格与决策!AG281</f>
        <v>6.1714285714285712E-4</v>
      </c>
      <c r="AH89" s="12">
        <f>两日求解价格与决策!AH281</f>
        <v>175</v>
      </c>
      <c r="AI89" s="12">
        <f>两日求解价格与决策!AI281</f>
        <v>175</v>
      </c>
      <c r="AJ89" s="12">
        <f>两日求解价格与决策!AJ281</f>
        <v>2.4700000000000002</v>
      </c>
      <c r="AK89" s="12">
        <f>两日求解价格与决策!AK281</f>
        <v>2.7E-2</v>
      </c>
      <c r="AL89" s="12">
        <f>两日求解价格与决策!AL281</f>
        <v>91.903999999999996</v>
      </c>
      <c r="AM89" s="12">
        <f>两日求解价格与决策!AM281</f>
        <v>4.5278674948240165E-2</v>
      </c>
      <c r="AN89" s="12">
        <f>两日求解价格与决策!AN281</f>
        <v>0</v>
      </c>
      <c r="AO89" s="12">
        <f>两日求解价格与决策!AO281</f>
        <v>14.996297142857143</v>
      </c>
      <c r="AP89" s="12">
        <f>两日求解价格与决策!AP281</f>
        <v>131.86121739130431</v>
      </c>
      <c r="AQ89" s="19">
        <f>两日求解价格与决策!AQ281</f>
        <v>0</v>
      </c>
      <c r="AR89" s="12">
        <f>两日求解价格与决策!AR281</f>
        <v>5.2473000000000001</v>
      </c>
      <c r="AS89" s="14">
        <f>两日求解价格与决策!AS281</f>
        <v>46234</v>
      </c>
      <c r="AT89" s="13">
        <f>两日求解价格与决策!AT281</f>
        <v>46236.708333333336</v>
      </c>
      <c r="AU89" s="12" t="str">
        <f>两日求解价格与决策!AU281</f>
        <v>2026-08-02_77</v>
      </c>
      <c r="AV89" s="12">
        <f>两日求解价格与决策!AV281</f>
        <v>15</v>
      </c>
      <c r="AW89" s="12" t="str">
        <f>两日求解价格与决策!AW281</f>
        <v>OK</v>
      </c>
      <c r="AX89" s="12">
        <f>两日求解价格与决策!AX281</f>
        <v>128</v>
      </c>
      <c r="AY89" s="12">
        <f>两日求解价格与决策!AY281</f>
        <v>175</v>
      </c>
      <c r="AZ89" s="12">
        <f>两日求解价格与决策!AZ281</f>
        <v>175</v>
      </c>
      <c r="BA89" s="12">
        <f>两日求解价格与决策!BA281</f>
        <v>40</v>
      </c>
      <c r="BB89" s="12">
        <f>两日求解价格与决策!BB281</f>
        <v>24</v>
      </c>
      <c r="BC89" s="12">
        <f>两日求解价格与决策!BC281</f>
        <v>24</v>
      </c>
      <c r="BD89" s="14">
        <f>两日求解价格与决策!BD281</f>
        <v>46236</v>
      </c>
      <c r="BE89" s="1" t="str">
        <f>两日求解价格与决策!BE281</f>
        <v>60.000000 MW × 212.830000 × 0.250000 h = 3192.450000 EUR</v>
      </c>
      <c r="BF89" s="1" t="str">
        <f>两日求解价格与决策!BF281</f>
        <v>40.000000 MW × 60.030873 × 0.250000 h = 600.308730 EUR</v>
      </c>
      <c r="BG89" s="1" t="str">
        <f>两日求解价格与决策!BG281</f>
        <v>零头寸，无结算现金</v>
      </c>
      <c r="BH89" s="1" t="str">
        <f>两日求解价格与决策!BH281</f>
        <v>24.000000 MW × 2.850990 × 0.250000 h = 17.105940 EUR</v>
      </c>
      <c r="BI89" s="1" t="str">
        <f>两日求解价格与决策!BI281</f>
        <v>零上调激活电量</v>
      </c>
      <c r="BJ89" s="1" t="str">
        <f>两日求解价格与决策!BJ281</f>
        <v>−(0.003703 MWh × 80.041164) = -0.296381 EUR</v>
      </c>
      <c r="BK89" s="1" t="str">
        <f>两日求解价格与决策!BK281</f>
        <v>3192.450000 + 600.308730 + 0.000000 + 17.105940 + 0.000000 + -0.296381 = 3809.568289 EUR</v>
      </c>
    </row>
    <row r="90" spans="1:63" ht="21" customHeight="1" x14ac:dyDescent="0.45">
      <c r="A90" s="13">
        <f>两日求解价格与决策!A282</f>
        <v>46236.84375</v>
      </c>
      <c r="B90" s="15">
        <f>两日求解价格与决策!B282</f>
        <v>215.16</v>
      </c>
      <c r="C90" s="15">
        <f>两日求解价格与决策!C282</f>
        <v>60.030873020410496</v>
      </c>
      <c r="D90" s="15">
        <f>两日求解价格与决策!D282</f>
        <v>3.9143940693308936</v>
      </c>
      <c r="E90" s="15">
        <f>两日求解价格与决策!E282</f>
        <v>2.850990032969337</v>
      </c>
      <c r="F90" s="15">
        <f>两日求解价格与决策!F282</f>
        <v>225.58172774569778</v>
      </c>
      <c r="G90" s="15">
        <f>两日求解价格与决策!G282</f>
        <v>71.936805595258505</v>
      </c>
      <c r="H90" s="15" t="str">
        <f>两日求解价格与决策!H282</f>
        <v>未模拟</v>
      </c>
      <c r="I90" s="16">
        <f>两日求解价格与决策!I282</f>
        <v>131.86121739130428</v>
      </c>
      <c r="J90" s="16">
        <f>两日求解价格与决策!J282</f>
        <v>116.02673291925457</v>
      </c>
      <c r="K90" s="16">
        <f>两日求解价格与决策!K282</f>
        <v>60</v>
      </c>
      <c r="L90" s="16">
        <f>两日求解价格与决策!L282</f>
        <v>40</v>
      </c>
      <c r="M90" s="16">
        <f>两日求解价格与决策!M282</f>
        <v>0</v>
      </c>
      <c r="N90" s="16">
        <f>两日求解价格与决策!N282</f>
        <v>24</v>
      </c>
      <c r="O90" s="16">
        <f>两日求解价格与决策!O282</f>
        <v>0</v>
      </c>
      <c r="P90" s="16">
        <f>两日求解价格与决策!P282</f>
        <v>0.43227428571428572</v>
      </c>
      <c r="Q90" s="17">
        <f>两日求解价格与决策!Q282</f>
        <v>3227.4</v>
      </c>
      <c r="R90" s="17">
        <f>两日求解价格与决策!R282</f>
        <v>600.3087302041049</v>
      </c>
      <c r="S90" s="17">
        <f>两日求解价格与决策!S282</f>
        <v>0</v>
      </c>
      <c r="T90" s="17">
        <f>两日求解价格与决策!T282</f>
        <v>17.105940197816022</v>
      </c>
      <c r="U90" s="17">
        <f>两日求解价格与决策!U282</f>
        <v>0</v>
      </c>
      <c r="V90" s="17">
        <f>两日求解价格与决策!V282</f>
        <v>-31.096431255257801</v>
      </c>
      <c r="W90" s="17">
        <f>两日求解价格与决策!W282</f>
        <v>3813.7182391466631</v>
      </c>
      <c r="X90" s="12">
        <f>两日求解价格与决策!X282</f>
        <v>3813.7182391466631</v>
      </c>
      <c r="Y90" s="19">
        <f>两日求解价格与决策!Y282</f>
        <v>0</v>
      </c>
      <c r="Z90" s="12" t="str">
        <f t="shared" si="2"/>
        <v>正式执行</v>
      </c>
      <c r="AA90" s="12">
        <f>两日求解价格与决策!AA282</f>
        <v>1</v>
      </c>
      <c r="AB90" s="12">
        <f>两日求解价格与决策!AB282</f>
        <v>1</v>
      </c>
      <c r="AC90" s="12">
        <f>两日求解价格与决策!AC282</f>
        <v>0.25</v>
      </c>
      <c r="AD90" s="18">
        <f>两日求解价格与决策!AD282</f>
        <v>0.3125</v>
      </c>
      <c r="AE90" s="18">
        <f>两日求解价格与决策!AE282</f>
        <v>0.13714285714285715</v>
      </c>
      <c r="AF90" s="18">
        <f>两日求解价格与决策!AF282</f>
        <v>2.6354285714285716E-2</v>
      </c>
      <c r="AG90" s="18">
        <f>两日求解价格与决策!AG282</f>
        <v>7.2045714285714282E-2</v>
      </c>
      <c r="AH90" s="12">
        <f>两日求解价格与决策!AH282</f>
        <v>175</v>
      </c>
      <c r="AI90" s="12">
        <f>两日求解价格与决策!AI282</f>
        <v>175</v>
      </c>
      <c r="AJ90" s="12">
        <f>两日求解价格与决策!AJ282</f>
        <v>1.153</v>
      </c>
      <c r="AK90" s="12">
        <f>两日求解价格与决策!AK282</f>
        <v>3.1520000000000001</v>
      </c>
      <c r="AL90" s="12">
        <f>两日求解价格与决策!AL282</f>
        <v>91.903999999999996</v>
      </c>
      <c r="AM90" s="12">
        <f>两日求解价格与决策!AM282</f>
        <v>4.3984679089026923E-2</v>
      </c>
      <c r="AN90" s="12">
        <f>两日求解价格与决策!AN282</f>
        <v>0</v>
      </c>
      <c r="AO90" s="12">
        <f>两日求解价格与决策!AO282</f>
        <v>14.567725714285714</v>
      </c>
      <c r="AP90" s="12">
        <f>两日求解价格与决策!AP282</f>
        <v>116.0267329192546</v>
      </c>
      <c r="AQ90" s="19">
        <f>两日求解价格与决策!AQ282</f>
        <v>0</v>
      </c>
      <c r="AR90" s="12">
        <f>两日求解价格与决策!AR282</f>
        <v>5.2473000000000001</v>
      </c>
      <c r="AS90" s="14">
        <f>两日求解价格与决策!AS282</f>
        <v>46234</v>
      </c>
      <c r="AT90" s="13">
        <f>两日求解价格与决策!AT282</f>
        <v>46236.71875</v>
      </c>
      <c r="AU90" s="12" t="str">
        <f>两日求解价格与决策!AU282</f>
        <v>2026-08-02_78</v>
      </c>
      <c r="AV90" s="12">
        <f>两日求解价格与决策!AV282</f>
        <v>15</v>
      </c>
      <c r="AW90" s="12" t="str">
        <f>两日求解价格与决策!AW282</f>
        <v>OK</v>
      </c>
      <c r="AX90" s="12">
        <f>两日求解价格与决策!AX282</f>
        <v>128</v>
      </c>
      <c r="AY90" s="12">
        <f>两日求解价格与决策!AY282</f>
        <v>175</v>
      </c>
      <c r="AZ90" s="12">
        <f>两日求解价格与决策!AZ282</f>
        <v>175</v>
      </c>
      <c r="BA90" s="12">
        <f>两日求解价格与决策!BA282</f>
        <v>40</v>
      </c>
      <c r="BB90" s="12">
        <f>两日求解价格与决策!BB282</f>
        <v>24</v>
      </c>
      <c r="BC90" s="12">
        <f>两日求解价格与决策!BC282</f>
        <v>24</v>
      </c>
      <c r="BD90" s="14">
        <f>两日求解价格与决策!BD282</f>
        <v>46236</v>
      </c>
      <c r="BE90" s="1" t="str">
        <f>两日求解价格与决策!BE282</f>
        <v>60.000000 MW × 215.160000 × 0.250000 h = 3227.400000 EUR</v>
      </c>
      <c r="BF90" s="1" t="str">
        <f>两日求解价格与决策!BF282</f>
        <v>40.000000 MW × 60.030873 × 0.250000 h = 600.308730 EUR</v>
      </c>
      <c r="BG90" s="1" t="str">
        <f>两日求解价格与决策!BG282</f>
        <v>零头寸，无结算现金</v>
      </c>
      <c r="BH90" s="1" t="str">
        <f>两日求解价格与决策!BH282</f>
        <v>24.000000 MW × 2.850990 × 0.250000 h = 17.105940 EUR</v>
      </c>
      <c r="BI90" s="1" t="str">
        <f>两日求解价格与决策!BI282</f>
        <v>零上调激活电量</v>
      </c>
      <c r="BJ90" s="1" t="str">
        <f>两日求解价格与决策!BJ282</f>
        <v>−(0.432274 MWh × 71.936806) = -31.096431 EUR</v>
      </c>
      <c r="BK90" s="1" t="str">
        <f>两日求解价格与决策!BK282</f>
        <v>3227.400000 + 600.308730 + 0.000000 + 17.105940 + 0.000000 + -31.096431 = 3813.718239 EUR</v>
      </c>
    </row>
    <row r="91" spans="1:63" ht="21" customHeight="1" x14ac:dyDescent="0.45">
      <c r="A91" s="13">
        <f>两日求解价格与决策!A283</f>
        <v>46236.854166666664</v>
      </c>
      <c r="B91" s="15">
        <f>两日求解价格与决策!B283</f>
        <v>215.16</v>
      </c>
      <c r="C91" s="15">
        <f>两日求解价格与决策!C283</f>
        <v>60.030873020410496</v>
      </c>
      <c r="D91" s="15">
        <f>两日求解价格与决策!D283</f>
        <v>3.9143940693308936</v>
      </c>
      <c r="E91" s="15">
        <f>两日求解价格与决策!E283</f>
        <v>2.850990032969337</v>
      </c>
      <c r="F91" s="15">
        <f>两日求解价格与决策!F283</f>
        <v>176.4547481561946</v>
      </c>
      <c r="G91" s="15">
        <f>两日求解价格与决策!G283</f>
        <v>80.041164027213995</v>
      </c>
      <c r="H91" s="15" t="str">
        <f>两日求解价格与决策!H283</f>
        <v>未模拟</v>
      </c>
      <c r="I91" s="16">
        <f>两日求解价格与决策!I283</f>
        <v>116.02673291925457</v>
      </c>
      <c r="J91" s="16">
        <f>两日求解价格与决策!J283</f>
        <v>99.724322981366385</v>
      </c>
      <c r="K91" s="16">
        <f>两日求解价格与决策!K283</f>
        <v>60</v>
      </c>
      <c r="L91" s="16">
        <f>两日求解价格与决策!L283</f>
        <v>40</v>
      </c>
      <c r="M91" s="16">
        <f>两日求解价格与决策!M283</f>
        <v>0</v>
      </c>
      <c r="N91" s="16">
        <f>两日求解价格与决策!N283</f>
        <v>24</v>
      </c>
      <c r="O91" s="16">
        <f>两日求解价格与决策!O283</f>
        <v>0</v>
      </c>
      <c r="P91" s="16">
        <f>两日求解价格与决策!P283</f>
        <v>1.7828571428571429E-3</v>
      </c>
      <c r="Q91" s="17">
        <f>两日求解价格与决策!Q283</f>
        <v>3227.4</v>
      </c>
      <c r="R91" s="17">
        <f>两日求解价格与决策!R283</f>
        <v>600.3087302041049</v>
      </c>
      <c r="S91" s="17">
        <f>两日求解价格与决策!S283</f>
        <v>0</v>
      </c>
      <c r="T91" s="17">
        <f>两日求解价格与决策!T283</f>
        <v>17.105940197816022</v>
      </c>
      <c r="U91" s="17">
        <f>两日求解价格与决策!U283</f>
        <v>0</v>
      </c>
      <c r="V91" s="17">
        <f>两日求解价格与决策!V283</f>
        <v>-0.14270196100851867</v>
      </c>
      <c r="W91" s="17">
        <f>两日求解价格与决策!W283</f>
        <v>3844.6719684409122</v>
      </c>
      <c r="X91" s="12">
        <f>两日求解价格与决策!X283</f>
        <v>3844.6719684409127</v>
      </c>
      <c r="Y91" s="19">
        <f>两日求解价格与决策!Y283</f>
        <v>0</v>
      </c>
      <c r="Z91" s="12" t="str">
        <f t="shared" si="2"/>
        <v>正式执行</v>
      </c>
      <c r="AA91" s="12">
        <f>两日求解价格与决策!AA283</f>
        <v>1</v>
      </c>
      <c r="AB91" s="12">
        <f>两日求解价格与决策!AB283</f>
        <v>1</v>
      </c>
      <c r="AC91" s="12">
        <f>两日求解价格与决策!AC283</f>
        <v>0.25</v>
      </c>
      <c r="AD91" s="18">
        <f>两日求解价格与决策!AD283</f>
        <v>0.3125</v>
      </c>
      <c r="AE91" s="18">
        <f>两日求解价格与决策!AE283</f>
        <v>0.13714285714285715</v>
      </c>
      <c r="AF91" s="18">
        <f>两日求解价格与决策!AF283</f>
        <v>1.1291428571428572E-2</v>
      </c>
      <c r="AG91" s="18">
        <f>两日求解价格与决策!AG283</f>
        <v>2.9714285714285715E-4</v>
      </c>
      <c r="AH91" s="12">
        <f>两日求解价格与决策!AH283</f>
        <v>175</v>
      </c>
      <c r="AI91" s="12">
        <f>两日求解价格与决策!AI283</f>
        <v>175</v>
      </c>
      <c r="AJ91" s="12">
        <f>两日求解价格与决策!AJ283</f>
        <v>0.49399999999999999</v>
      </c>
      <c r="AK91" s="12">
        <f>两日求解价格与决策!AK283</f>
        <v>1.2999999999999999E-2</v>
      </c>
      <c r="AL91" s="12">
        <f>两日求解价格与决策!AL283</f>
        <v>91.903999999999996</v>
      </c>
      <c r="AM91" s="12">
        <f>两日求解价格与决策!AM283</f>
        <v>4.5284472049689439E-2</v>
      </c>
      <c r="AN91" s="12">
        <f>两日求解价格与决策!AN283</f>
        <v>0</v>
      </c>
      <c r="AO91" s="12">
        <f>两日求解价格与决策!AO283</f>
        <v>14.998217142857142</v>
      </c>
      <c r="AP91" s="12">
        <f>两日求解价格与决策!AP283</f>
        <v>99.724322981366413</v>
      </c>
      <c r="AQ91" s="19">
        <f>两日求解价格与决策!AQ283</f>
        <v>0</v>
      </c>
      <c r="AR91" s="12">
        <f>两日求解价格与决策!AR283</f>
        <v>5.2473000000000001</v>
      </c>
      <c r="AS91" s="14">
        <f>两日求解价格与决策!AS283</f>
        <v>46234</v>
      </c>
      <c r="AT91" s="13">
        <f>两日求解价格与决策!AT283</f>
        <v>46236.729166666664</v>
      </c>
      <c r="AU91" s="12" t="str">
        <f>两日求解价格与决策!AU283</f>
        <v>2026-08-02_79</v>
      </c>
      <c r="AV91" s="12">
        <f>两日求解价格与决策!AV283</f>
        <v>15</v>
      </c>
      <c r="AW91" s="12" t="str">
        <f>两日求解价格与决策!AW283</f>
        <v>OK</v>
      </c>
      <c r="AX91" s="12">
        <f>两日求解价格与决策!AX283</f>
        <v>128</v>
      </c>
      <c r="AY91" s="12">
        <f>两日求解价格与决策!AY283</f>
        <v>175</v>
      </c>
      <c r="AZ91" s="12">
        <f>两日求解价格与决策!AZ283</f>
        <v>175</v>
      </c>
      <c r="BA91" s="12">
        <f>两日求解价格与决策!BA283</f>
        <v>40</v>
      </c>
      <c r="BB91" s="12">
        <f>两日求解价格与决策!BB283</f>
        <v>24</v>
      </c>
      <c r="BC91" s="12">
        <f>两日求解价格与决策!BC283</f>
        <v>24</v>
      </c>
      <c r="BD91" s="14">
        <f>两日求解价格与决策!BD283</f>
        <v>46236</v>
      </c>
      <c r="BE91" s="1" t="str">
        <f>两日求解价格与决策!BE283</f>
        <v>60.000000 MW × 215.160000 × 0.250000 h = 3227.400000 EUR</v>
      </c>
      <c r="BF91" s="1" t="str">
        <f>两日求解价格与决策!BF283</f>
        <v>40.000000 MW × 60.030873 × 0.250000 h = 600.308730 EUR</v>
      </c>
      <c r="BG91" s="1" t="str">
        <f>两日求解价格与决策!BG283</f>
        <v>零头寸，无结算现金</v>
      </c>
      <c r="BH91" s="1" t="str">
        <f>两日求解价格与决策!BH283</f>
        <v>24.000000 MW × 2.850990 × 0.250000 h = 17.105940 EUR</v>
      </c>
      <c r="BI91" s="1" t="str">
        <f>两日求解价格与决策!BI283</f>
        <v>零上调激活电量</v>
      </c>
      <c r="BJ91" s="1" t="str">
        <f>两日求解价格与决策!BJ283</f>
        <v>−(0.001783 MWh × 80.041164) = -0.142702 EUR</v>
      </c>
      <c r="BK91" s="1" t="str">
        <f>两日求解价格与决策!BK283</f>
        <v>3227.400000 + 600.308730 + 0.000000 + 17.105940 + 0.000000 + -0.142702 = 3844.671968 EUR</v>
      </c>
    </row>
    <row r="92" spans="1:63" ht="21" customHeight="1" x14ac:dyDescent="0.45">
      <c r="A92" s="13">
        <f>两日求解价格与决策!A284</f>
        <v>46236.864583333336</v>
      </c>
      <c r="B92" s="15">
        <f>两日求解价格与决策!B284</f>
        <v>219.92</v>
      </c>
      <c r="C92" s="15">
        <f>两日求解价格与决策!C284</f>
        <v>60.030873020410496</v>
      </c>
      <c r="D92" s="15">
        <f>两日求解价格与决策!D284</f>
        <v>3.9143940693308936</v>
      </c>
      <c r="E92" s="15">
        <f>两日求解价格与决策!E284</f>
        <v>2.850990032969337</v>
      </c>
      <c r="F92" s="15">
        <f>两日求解价格与决策!F284</f>
        <v>222.13347816972541</v>
      </c>
      <c r="G92" s="15">
        <f>两日求解价格与决策!G284</f>
        <v>80.041164027213995</v>
      </c>
      <c r="H92" s="15" t="str">
        <f>两日求解价格与决策!H284</f>
        <v>未模拟</v>
      </c>
      <c r="I92" s="16">
        <f>两日求解价格与决策!I284</f>
        <v>99.724322981366385</v>
      </c>
      <c r="J92" s="16">
        <f>两日求解价格与决策!J284</f>
        <v>83.424596273291854</v>
      </c>
      <c r="K92" s="16">
        <f>两日求解价格与决策!K284</f>
        <v>60</v>
      </c>
      <c r="L92" s="16">
        <f>两日求解价格与决策!L284</f>
        <v>40</v>
      </c>
      <c r="M92" s="16">
        <f>两日求解价格与决策!M284</f>
        <v>0</v>
      </c>
      <c r="N92" s="16">
        <f>两日求解价格与决策!N284</f>
        <v>24</v>
      </c>
      <c r="O92" s="16">
        <f>两日求解价格与决策!O284</f>
        <v>0</v>
      </c>
      <c r="P92" s="16">
        <f>两日求解价格与决策!P284</f>
        <v>4.2514285714285709E-3</v>
      </c>
      <c r="Q92" s="17">
        <f>两日求解价格与决策!Q284</f>
        <v>3298.7999999999997</v>
      </c>
      <c r="R92" s="17">
        <f>两日求解价格与决策!R284</f>
        <v>600.3087302041049</v>
      </c>
      <c r="S92" s="17">
        <f>两日求解价格与决策!S284</f>
        <v>0</v>
      </c>
      <c r="T92" s="17">
        <f>两日求解价格与决策!T284</f>
        <v>17.105940197816022</v>
      </c>
      <c r="U92" s="17">
        <f>两日求解价格与决策!U284</f>
        <v>0</v>
      </c>
      <c r="V92" s="17">
        <f>两日求解价格与决策!V284</f>
        <v>-0.34028929163569832</v>
      </c>
      <c r="W92" s="17">
        <f>两日求解价格与决策!W284</f>
        <v>3915.874381110285</v>
      </c>
      <c r="X92" s="12">
        <f>两日求解价格与决策!X284</f>
        <v>3915.874381110285</v>
      </c>
      <c r="Y92" s="19">
        <f>两日求解价格与决策!Y284</f>
        <v>0</v>
      </c>
      <c r="Z92" s="12" t="str">
        <f t="shared" si="2"/>
        <v>正式执行</v>
      </c>
      <c r="AA92" s="12">
        <f>两日求解价格与决策!AA284</f>
        <v>1</v>
      </c>
      <c r="AB92" s="12">
        <f>两日求解价格与决策!AB284</f>
        <v>1</v>
      </c>
      <c r="AC92" s="12">
        <f>两日求解价格与决策!AC284</f>
        <v>0.25</v>
      </c>
      <c r="AD92" s="18">
        <f>两日求解价格与决策!AD284</f>
        <v>0.3125</v>
      </c>
      <c r="AE92" s="18">
        <f>两日求解价格与决策!AE284</f>
        <v>0.13714285714285715</v>
      </c>
      <c r="AF92" s="18">
        <f>两日求解价格与决策!AF284</f>
        <v>5.4354285714285716E-2</v>
      </c>
      <c r="AG92" s="18">
        <f>两日求解价格与决策!AG284</f>
        <v>7.0857142857142852E-4</v>
      </c>
      <c r="AH92" s="12">
        <f>两日求解价格与决策!AH284</f>
        <v>175</v>
      </c>
      <c r="AI92" s="12">
        <f>两日求解价格与决策!AI284</f>
        <v>175</v>
      </c>
      <c r="AJ92" s="12">
        <f>两日求解价格与决策!AJ284</f>
        <v>2.3780000000000001</v>
      </c>
      <c r="AK92" s="12">
        <f>两日求解价格与决策!AK284</f>
        <v>3.1E-2</v>
      </c>
      <c r="AL92" s="12">
        <f>两日求解价格与决策!AL284</f>
        <v>91.903999999999996</v>
      </c>
      <c r="AM92" s="12">
        <f>两日求解价格与决策!AM284</f>
        <v>4.5277018633540375E-2</v>
      </c>
      <c r="AN92" s="12">
        <f>两日求解价格与决策!AN284</f>
        <v>0</v>
      </c>
      <c r="AO92" s="12">
        <f>两日求解价格与决策!AO284</f>
        <v>14.995748571428573</v>
      </c>
      <c r="AP92" s="12">
        <f>两日求解价格与决策!AP284</f>
        <v>83.424596273291883</v>
      </c>
      <c r="AQ92" s="19">
        <f>两日求解价格与决策!AQ284</f>
        <v>0</v>
      </c>
      <c r="AR92" s="12">
        <f>两日求解价格与决策!AR284</f>
        <v>5.2473000000000001</v>
      </c>
      <c r="AS92" s="14">
        <f>两日求解价格与决策!AS284</f>
        <v>46234</v>
      </c>
      <c r="AT92" s="13">
        <f>两日求解价格与决策!AT284</f>
        <v>46236.739583333336</v>
      </c>
      <c r="AU92" s="12" t="str">
        <f>两日求解价格与决策!AU284</f>
        <v>2026-08-02_80</v>
      </c>
      <c r="AV92" s="12">
        <f>两日求解价格与决策!AV284</f>
        <v>15</v>
      </c>
      <c r="AW92" s="12" t="str">
        <f>两日求解价格与决策!AW284</f>
        <v>OK</v>
      </c>
      <c r="AX92" s="12">
        <f>两日求解价格与决策!AX284</f>
        <v>128</v>
      </c>
      <c r="AY92" s="12">
        <f>两日求解价格与决策!AY284</f>
        <v>175</v>
      </c>
      <c r="AZ92" s="12">
        <f>两日求解价格与决策!AZ284</f>
        <v>175</v>
      </c>
      <c r="BA92" s="12">
        <f>两日求解价格与决策!BA284</f>
        <v>40</v>
      </c>
      <c r="BB92" s="12">
        <f>两日求解价格与决策!BB284</f>
        <v>24</v>
      </c>
      <c r="BC92" s="12">
        <f>两日求解价格与决策!BC284</f>
        <v>24</v>
      </c>
      <c r="BD92" s="14">
        <f>两日求解价格与决策!BD284</f>
        <v>46236</v>
      </c>
      <c r="BE92" s="1" t="str">
        <f>两日求解价格与决策!BE284</f>
        <v>60.000000 MW × 219.920000 × 0.250000 h = 3298.800000 EUR</v>
      </c>
      <c r="BF92" s="1" t="str">
        <f>两日求解价格与决策!BF284</f>
        <v>40.000000 MW × 60.030873 × 0.250000 h = 600.308730 EUR</v>
      </c>
      <c r="BG92" s="1" t="str">
        <f>两日求解价格与决策!BG284</f>
        <v>零头寸，无结算现金</v>
      </c>
      <c r="BH92" s="1" t="str">
        <f>两日求解价格与决策!BH284</f>
        <v>24.000000 MW × 2.850990 × 0.250000 h = 17.105940 EUR</v>
      </c>
      <c r="BI92" s="1" t="str">
        <f>两日求解价格与决策!BI284</f>
        <v>零上调激活电量</v>
      </c>
      <c r="BJ92" s="1" t="str">
        <f>两日求解价格与决策!BJ284</f>
        <v>−(0.004251 MWh × 80.041164) = -0.340289 EUR</v>
      </c>
      <c r="BK92" s="1" t="str">
        <f>两日求解价格与决策!BK284</f>
        <v>3298.800000 + 600.308730 + 0.000000 + 17.105940 + 0.000000 + -0.340289 = 3915.874381 EUR</v>
      </c>
    </row>
    <row r="93" spans="1:63" ht="21" customHeight="1" x14ac:dyDescent="0.45">
      <c r="A93" s="13">
        <f>两日求解价格与决策!A285</f>
        <v>46236.875</v>
      </c>
      <c r="B93" s="15">
        <f>两日求解价格与决策!B285</f>
        <v>215.16</v>
      </c>
      <c r="C93" s="15">
        <f>两日求解价格与决策!C285</f>
        <v>60.030873020410496</v>
      </c>
      <c r="D93" s="15">
        <f>两日求解价格与决策!D285</f>
        <v>7.0245650143883518</v>
      </c>
      <c r="E93" s="15">
        <f>两日求解价格与决策!E285</f>
        <v>2.850990032969337</v>
      </c>
      <c r="F93" s="15">
        <f>两日求解价格与决策!F285</f>
        <v>228.68904007775427</v>
      </c>
      <c r="G93" s="15">
        <f>两日求解价格与决策!G285</f>
        <v>0</v>
      </c>
      <c r="H93" s="15" t="str">
        <f>两日求解价格与决策!H285</f>
        <v>未模拟</v>
      </c>
      <c r="I93" s="16">
        <f>两日求解价格与决策!I285</f>
        <v>83.424596273291854</v>
      </c>
      <c r="J93" s="16">
        <f>两日求解价格与决策!J285</f>
        <v>72.632795031055821</v>
      </c>
      <c r="K93" s="16">
        <f>两日求解价格与决策!K285</f>
        <v>36</v>
      </c>
      <c r="L93" s="16">
        <f>两日求解价格与决策!L285</f>
        <v>40</v>
      </c>
      <c r="M93" s="16">
        <f>两日求解价格与决策!M285</f>
        <v>24</v>
      </c>
      <c r="N93" s="16">
        <f>两日求解价格与决策!N285</f>
        <v>24</v>
      </c>
      <c r="O93" s="16">
        <f>两日求解价格与决策!O285</f>
        <v>0.92845714285714276</v>
      </c>
      <c r="P93" s="16">
        <f>两日求解价格与决策!P285</f>
        <v>0</v>
      </c>
      <c r="Q93" s="17">
        <f>两日求解价格与决策!Q285</f>
        <v>1936.44</v>
      </c>
      <c r="R93" s="17">
        <f>两日求解价格与决策!R285</f>
        <v>600.3087302041049</v>
      </c>
      <c r="S93" s="17">
        <f>两日求解价格与决策!S285</f>
        <v>42.147390086330113</v>
      </c>
      <c r="T93" s="17">
        <f>两日求解价格与决策!T285</f>
        <v>17.105940197816022</v>
      </c>
      <c r="U93" s="17">
        <f>两日求解价格与决策!U285</f>
        <v>212.32797275333434</v>
      </c>
      <c r="V93" s="17">
        <f>两日求解价格与决策!V285</f>
        <v>0</v>
      </c>
      <c r="W93" s="17">
        <f>两日求解价格与决策!W285</f>
        <v>2808.3300332415856</v>
      </c>
      <c r="X93" s="12">
        <f>两日求解价格与决策!X285</f>
        <v>2808.3300332415856</v>
      </c>
      <c r="Y93" s="19">
        <f>两日求解价格与决策!Y285</f>
        <v>0</v>
      </c>
      <c r="Z93" s="12" t="str">
        <f t="shared" si="2"/>
        <v>正式执行</v>
      </c>
      <c r="AA93" s="12">
        <f>两日求解价格与决策!AA285</f>
        <v>1</v>
      </c>
      <c r="AB93" s="12">
        <f>两日求解价格与决策!AB285</f>
        <v>1</v>
      </c>
      <c r="AC93" s="12">
        <f>两日求解价格与决策!AC285</f>
        <v>0.25</v>
      </c>
      <c r="AD93" s="18">
        <f>两日求解价格与决策!AD285</f>
        <v>0.3125</v>
      </c>
      <c r="AE93" s="18">
        <f>两日求解价格与决策!AE285</f>
        <v>0.13714285714285715</v>
      </c>
      <c r="AF93" s="18">
        <f>两日求解价格与决策!AF285</f>
        <v>0.15474285714285713</v>
      </c>
      <c r="AG93" s="18">
        <f>两日求解价格与决策!AG285</f>
        <v>0</v>
      </c>
      <c r="AH93" s="12">
        <f>两日求解价格与决策!AH285</f>
        <v>175</v>
      </c>
      <c r="AI93" s="12">
        <f>两日求解价格与决策!AI285</f>
        <v>175</v>
      </c>
      <c r="AJ93" s="12">
        <f>两日求解价格与决策!AJ285</f>
        <v>6.77</v>
      </c>
      <c r="AK93" s="12">
        <f>两日求解价格与决策!AK285</f>
        <v>0</v>
      </c>
      <c r="AL93" s="12">
        <f>两日求解价格与决策!AL285</f>
        <v>91.903999999999996</v>
      </c>
      <c r="AM93" s="12">
        <f>两日求解价格与决策!AM285</f>
        <v>2.9977225672877847E-2</v>
      </c>
      <c r="AN93" s="12">
        <f>两日求解价格与决策!AN285</f>
        <v>0</v>
      </c>
      <c r="AO93" s="12">
        <f>两日求解价格与决策!AO285</f>
        <v>9.9284571428571429</v>
      </c>
      <c r="AP93" s="12">
        <f>两日求解价格与决策!AP285</f>
        <v>72.632795031055849</v>
      </c>
      <c r="AQ93" s="19">
        <f>两日求解价格与决策!AQ285</f>
        <v>0</v>
      </c>
      <c r="AR93" s="12">
        <f>两日求解价格与决策!AR285</f>
        <v>5.2473000000000001</v>
      </c>
      <c r="AS93" s="14">
        <f>两日求解价格与决策!AS285</f>
        <v>46234</v>
      </c>
      <c r="AT93" s="13">
        <f>两日求解价格与决策!AT285</f>
        <v>46236.75</v>
      </c>
      <c r="AU93" s="12" t="str">
        <f>两日求解价格与决策!AU285</f>
        <v>2026-08-02_81</v>
      </c>
      <c r="AV93" s="12">
        <f>两日求解价格与决策!AV285</f>
        <v>15</v>
      </c>
      <c r="AW93" s="12" t="str">
        <f>两日求解价格与决策!AW285</f>
        <v>OK</v>
      </c>
      <c r="AX93" s="12">
        <f>两日求解价格与决策!AX285</f>
        <v>128</v>
      </c>
      <c r="AY93" s="12">
        <f>两日求解价格与决策!AY285</f>
        <v>175</v>
      </c>
      <c r="AZ93" s="12">
        <f>两日求解价格与决策!AZ285</f>
        <v>175</v>
      </c>
      <c r="BA93" s="12">
        <f>两日求解价格与决策!BA285</f>
        <v>40</v>
      </c>
      <c r="BB93" s="12">
        <f>两日求解价格与决策!BB285</f>
        <v>24</v>
      </c>
      <c r="BC93" s="12">
        <f>两日求解价格与决策!BC285</f>
        <v>24</v>
      </c>
      <c r="BD93" s="14">
        <f>两日求解价格与决策!BD285</f>
        <v>46236</v>
      </c>
      <c r="BE93" s="1" t="str">
        <f>两日求解价格与决策!BE285</f>
        <v>36.000000 MW × 215.160000 × 0.250000 h = 1936.440000 EUR</v>
      </c>
      <c r="BF93" s="1" t="str">
        <f>两日求解价格与决策!BF285</f>
        <v>40.000000 MW × 60.030873 × 0.250000 h = 600.308730 EUR</v>
      </c>
      <c r="BG93" s="1" t="str">
        <f>两日求解价格与决策!BG285</f>
        <v>24.000000 MW × 7.024565 × 0.250000 h = 42.147390 EUR</v>
      </c>
      <c r="BH93" s="1" t="str">
        <f>两日求解价格与决策!BH285</f>
        <v>24.000000 MW × 2.850990 × 0.250000 h = 17.105940 EUR</v>
      </c>
      <c r="BI93" s="1" t="str">
        <f>两日求解价格与决策!BI285</f>
        <v>0.928457 MWh × 228.689040 = 212.327973 EUR</v>
      </c>
      <c r="BJ93" s="1" t="str">
        <f>两日求解价格与决策!BJ285</f>
        <v>零下调激活电量</v>
      </c>
      <c r="BK93" s="1" t="str">
        <f>两日求解价格与决策!BK285</f>
        <v>1936.440000 + 600.308730 + 42.147390 + 17.105940 + 212.327973 + 0.000000 = 2808.330033 EUR</v>
      </c>
    </row>
    <row r="94" spans="1:63" ht="21" customHeight="1" x14ac:dyDescent="0.45">
      <c r="A94" s="13">
        <f>两日求解价格与决策!A286</f>
        <v>46236.885416666664</v>
      </c>
      <c r="B94" s="15">
        <f>两日求解价格与决策!B286</f>
        <v>217.54</v>
      </c>
      <c r="C94" s="15">
        <f>两日求解价格与决策!C286</f>
        <v>60.030873020410496</v>
      </c>
      <c r="D94" s="15">
        <f>两日求解价格与决策!D286</f>
        <v>7.0245650143883518</v>
      </c>
      <c r="E94" s="15">
        <f>两日求解价格与决策!E286</f>
        <v>2.850990032969337</v>
      </c>
      <c r="F94" s="15">
        <f>两日求解价格与决策!F286</f>
        <v>228.68904007775427</v>
      </c>
      <c r="G94" s="15">
        <f>两日求解价格与决策!G286</f>
        <v>0</v>
      </c>
      <c r="H94" s="15" t="str">
        <f>两日求解价格与决策!H286</f>
        <v>未模拟</v>
      </c>
      <c r="I94" s="16">
        <f>两日求解价格与决策!I286</f>
        <v>72.632795031055821</v>
      </c>
      <c r="J94" s="16">
        <f>两日求解价格与决策!J286</f>
        <v>61.188968944099301</v>
      </c>
      <c r="K94" s="16">
        <f>两日求解价格与决策!K286</f>
        <v>36</v>
      </c>
      <c r="L94" s="16">
        <f>两日求解价格与决策!L286</f>
        <v>40</v>
      </c>
      <c r="M94" s="16">
        <f>两日求解价格与决策!M286</f>
        <v>24</v>
      </c>
      <c r="N94" s="16">
        <f>两日求解价格与决策!N286</f>
        <v>24</v>
      </c>
      <c r="O94" s="16">
        <f>两日求解价格与决策!O286</f>
        <v>1.5283199999999999</v>
      </c>
      <c r="P94" s="16">
        <f>两日求解价格与决策!P286</f>
        <v>0</v>
      </c>
      <c r="Q94" s="17">
        <f>两日求解价格与决策!Q286</f>
        <v>1957.86</v>
      </c>
      <c r="R94" s="17">
        <f>两日求解价格与决策!R286</f>
        <v>600.3087302041049</v>
      </c>
      <c r="S94" s="17">
        <f>两日求解价格与决策!S286</f>
        <v>42.147390086330113</v>
      </c>
      <c r="T94" s="17">
        <f>两日求解价格与决策!T286</f>
        <v>17.105940197816022</v>
      </c>
      <c r="U94" s="17">
        <f>两日求解价格与决策!U286</f>
        <v>349.51003373163337</v>
      </c>
      <c r="V94" s="17">
        <f>两日求解价格与决策!V286</f>
        <v>0</v>
      </c>
      <c r="W94" s="17">
        <f>两日求解价格与决策!W286</f>
        <v>2966.9320942198842</v>
      </c>
      <c r="X94" s="12">
        <f>两日求解价格与决策!X286</f>
        <v>2966.9320942198842</v>
      </c>
      <c r="Y94" s="19">
        <f>两日求解价格与决策!Y286</f>
        <v>0</v>
      </c>
      <c r="Z94" s="12" t="str">
        <f t="shared" si="2"/>
        <v>正式执行</v>
      </c>
      <c r="AA94" s="12">
        <f>两日求解价格与决策!AA286</f>
        <v>1</v>
      </c>
      <c r="AB94" s="12">
        <f>两日求解价格与决策!AB286</f>
        <v>1</v>
      </c>
      <c r="AC94" s="12">
        <f>两日求解价格与决策!AC286</f>
        <v>0.25</v>
      </c>
      <c r="AD94" s="18">
        <f>两日求解价格与决策!AD286</f>
        <v>0.3125</v>
      </c>
      <c r="AE94" s="18">
        <f>两日求解价格与决策!AE286</f>
        <v>0.13714285714285715</v>
      </c>
      <c r="AF94" s="18">
        <f>两日求解价格与决策!AF286</f>
        <v>0.25472</v>
      </c>
      <c r="AG94" s="18">
        <f>两日求解价格与决策!AG286</f>
        <v>0</v>
      </c>
      <c r="AH94" s="12">
        <f>两日求解价格与决策!AH286</f>
        <v>175</v>
      </c>
      <c r="AI94" s="12">
        <f>两日求解价格与决策!AI286</f>
        <v>175</v>
      </c>
      <c r="AJ94" s="12">
        <f>两日求解价格与决策!AJ286</f>
        <v>11.144</v>
      </c>
      <c r="AK94" s="12">
        <f>两日求解价格与决策!AK286</f>
        <v>0</v>
      </c>
      <c r="AL94" s="12">
        <f>两日求解价格与决策!AL286</f>
        <v>91.903999999999996</v>
      </c>
      <c r="AM94" s="12">
        <f>两日求解价格与决策!AM286</f>
        <v>3.1788405797101446E-2</v>
      </c>
      <c r="AN94" s="12">
        <f>两日求解价格与决策!AN286</f>
        <v>0</v>
      </c>
      <c r="AO94" s="12">
        <f>两日求解价格与决策!AO286</f>
        <v>10.528320000000001</v>
      </c>
      <c r="AP94" s="12">
        <f>两日求解价格与决策!AP286</f>
        <v>61.188968944099329</v>
      </c>
      <c r="AQ94" s="19">
        <f>两日求解价格与决策!AQ286</f>
        <v>0</v>
      </c>
      <c r="AR94" s="12">
        <f>两日求解价格与决策!AR286</f>
        <v>5.2473000000000001</v>
      </c>
      <c r="AS94" s="14">
        <f>两日求解价格与决策!AS286</f>
        <v>46234</v>
      </c>
      <c r="AT94" s="13">
        <f>两日求解价格与决策!AT286</f>
        <v>46236.760416666664</v>
      </c>
      <c r="AU94" s="12" t="str">
        <f>两日求解价格与决策!AU286</f>
        <v>2026-08-02_82</v>
      </c>
      <c r="AV94" s="12">
        <f>两日求解价格与决策!AV286</f>
        <v>15</v>
      </c>
      <c r="AW94" s="12" t="str">
        <f>两日求解价格与决策!AW286</f>
        <v>OK</v>
      </c>
      <c r="AX94" s="12">
        <f>两日求解价格与决策!AX286</f>
        <v>128</v>
      </c>
      <c r="AY94" s="12">
        <f>两日求解价格与决策!AY286</f>
        <v>175</v>
      </c>
      <c r="AZ94" s="12">
        <f>两日求解价格与决策!AZ286</f>
        <v>175</v>
      </c>
      <c r="BA94" s="12">
        <f>两日求解价格与决策!BA286</f>
        <v>40</v>
      </c>
      <c r="BB94" s="12">
        <f>两日求解价格与决策!BB286</f>
        <v>24</v>
      </c>
      <c r="BC94" s="12">
        <f>两日求解价格与决策!BC286</f>
        <v>24</v>
      </c>
      <c r="BD94" s="14">
        <f>两日求解价格与决策!BD286</f>
        <v>46236</v>
      </c>
      <c r="BE94" s="1" t="str">
        <f>两日求解价格与决策!BE286</f>
        <v>36.000000 MW × 217.540000 × 0.250000 h = 1957.860000 EUR</v>
      </c>
      <c r="BF94" s="1" t="str">
        <f>两日求解价格与决策!BF286</f>
        <v>40.000000 MW × 60.030873 × 0.250000 h = 600.308730 EUR</v>
      </c>
      <c r="BG94" s="1" t="str">
        <f>两日求解价格与决策!BG286</f>
        <v>24.000000 MW × 7.024565 × 0.250000 h = 42.147390 EUR</v>
      </c>
      <c r="BH94" s="1" t="str">
        <f>两日求解价格与决策!BH286</f>
        <v>24.000000 MW × 2.850990 × 0.250000 h = 17.105940 EUR</v>
      </c>
      <c r="BI94" s="1" t="str">
        <f>两日求解价格与决策!BI286</f>
        <v>1.528320 MWh × 228.689040 = 349.510034 EUR</v>
      </c>
      <c r="BJ94" s="1" t="str">
        <f>两日求解价格与决策!BJ286</f>
        <v>零下调激活电量</v>
      </c>
      <c r="BK94" s="1" t="str">
        <f>两日求解价格与决策!BK286</f>
        <v>1957.860000 + 600.308730 + 42.147390 + 17.105940 + 349.510034 + 0.000000 = 2966.932094 EUR</v>
      </c>
    </row>
    <row r="95" spans="1:63" ht="21" customHeight="1" x14ac:dyDescent="0.45">
      <c r="A95" s="13">
        <f>两日求解价格与决策!A287</f>
        <v>46236.895833333336</v>
      </c>
      <c r="B95" s="15">
        <f>两日求解价格与决策!B287</f>
        <v>208.75</v>
      </c>
      <c r="C95" s="15">
        <f>两日求解价格与决策!C287</f>
        <v>60.030873020410496</v>
      </c>
      <c r="D95" s="15">
        <f>两日求解价格与决策!D287</f>
        <v>7.0245650143883518</v>
      </c>
      <c r="E95" s="15">
        <f>两日求解价格与决策!E287</f>
        <v>2.850990032969337</v>
      </c>
      <c r="F95" s="15">
        <f>两日求解价格与决策!F287</f>
        <v>219.41932041240256</v>
      </c>
      <c r="G95" s="15">
        <f>两日求解价格与决策!G287</f>
        <v>80.041164027213995</v>
      </c>
      <c r="H95" s="15" t="str">
        <f>两日求解价格与决策!H287</f>
        <v>未模拟</v>
      </c>
      <c r="I95" s="16">
        <f>两日求解价格与决策!I287</f>
        <v>61.188968944099301</v>
      </c>
      <c r="J95" s="16">
        <f>两日求解价格与决策!J287</f>
        <v>50.891478260869491</v>
      </c>
      <c r="K95" s="16">
        <f>两日求解价格与决策!K287</f>
        <v>36</v>
      </c>
      <c r="L95" s="16">
        <f>两日求解价格与决策!L287</f>
        <v>40</v>
      </c>
      <c r="M95" s="16">
        <f>两日求解价格与决策!M287</f>
        <v>24</v>
      </c>
      <c r="N95" s="16">
        <f>两日求解价格与决策!N287</f>
        <v>24</v>
      </c>
      <c r="O95" s="16">
        <f>两日求解价格与决策!O287</f>
        <v>0.47423999999999999</v>
      </c>
      <c r="P95" s="16">
        <f>两日求解价格与决策!P287</f>
        <v>5.4857142857142865E-4</v>
      </c>
      <c r="Q95" s="17">
        <f>两日求解价格与决策!Q287</f>
        <v>1878.75</v>
      </c>
      <c r="R95" s="17">
        <f>两日求解价格与决策!R287</f>
        <v>600.3087302041049</v>
      </c>
      <c r="S95" s="17">
        <f>两日求解价格与决策!S287</f>
        <v>42.147390086330113</v>
      </c>
      <c r="T95" s="17">
        <f>两日求解价格与决策!T287</f>
        <v>17.105940197816022</v>
      </c>
      <c r="U95" s="17">
        <f>两日求解价格与决策!U287</f>
        <v>104.05741851237779</v>
      </c>
      <c r="V95" s="17">
        <f>两日求解价格与决策!V287</f>
        <v>-4.3908295694928823E-2</v>
      </c>
      <c r="W95" s="17">
        <f>两日求解价格与决策!W287</f>
        <v>2642.3255707049339</v>
      </c>
      <c r="X95" s="12">
        <f>两日求解价格与决策!X287</f>
        <v>2642.3255707049339</v>
      </c>
      <c r="Y95" s="19">
        <f>两日求解价格与决策!Y287</f>
        <v>0</v>
      </c>
      <c r="Z95" s="12" t="str">
        <f t="shared" si="2"/>
        <v>正式执行</v>
      </c>
      <c r="AA95" s="12">
        <f>两日求解价格与决策!AA287</f>
        <v>1</v>
      </c>
      <c r="AB95" s="12">
        <f>两日求解价格与决策!AB287</f>
        <v>1</v>
      </c>
      <c r="AC95" s="12">
        <f>两日求解价格与决策!AC287</f>
        <v>0.25</v>
      </c>
      <c r="AD95" s="18">
        <f>两日求解价格与决策!AD287</f>
        <v>0.3125</v>
      </c>
      <c r="AE95" s="18">
        <f>两日求解价格与决策!AE287</f>
        <v>0.13714285714285715</v>
      </c>
      <c r="AF95" s="18">
        <f>两日求解价格与决策!AF287</f>
        <v>7.9039999999999999E-2</v>
      </c>
      <c r="AG95" s="18">
        <f>两日求解价格与决策!AG287</f>
        <v>9.1428571428571432E-5</v>
      </c>
      <c r="AH95" s="12">
        <f>两日求解价格与决策!AH287</f>
        <v>175</v>
      </c>
      <c r="AI95" s="12">
        <f>两日求解价格与决策!AI287</f>
        <v>175</v>
      </c>
      <c r="AJ95" s="12">
        <f>两日求解价格与决策!AJ287</f>
        <v>3.4580000000000002</v>
      </c>
      <c r="AK95" s="12">
        <f>两日求解价格与决策!AK287</f>
        <v>4.0000000000000001E-3</v>
      </c>
      <c r="AL95" s="12">
        <f>两日求解价格与决策!AL287</f>
        <v>91.903999999999996</v>
      </c>
      <c r="AM95" s="12">
        <f>两日求解价格与决策!AM287</f>
        <v>2.8604140786749485E-2</v>
      </c>
      <c r="AN95" s="12">
        <f>两日求解价格与决策!AN287</f>
        <v>0</v>
      </c>
      <c r="AO95" s="12">
        <f>两日求解价格与决策!AO287</f>
        <v>9.4736914285714295</v>
      </c>
      <c r="AP95" s="12">
        <f>两日求解价格与决策!AP287</f>
        <v>50.891478260869519</v>
      </c>
      <c r="AQ95" s="19">
        <f>两日求解价格与决策!AQ287</f>
        <v>0</v>
      </c>
      <c r="AR95" s="12">
        <f>两日求解价格与决策!AR287</f>
        <v>5.2473000000000001</v>
      </c>
      <c r="AS95" s="14">
        <f>两日求解价格与决策!AS287</f>
        <v>46234</v>
      </c>
      <c r="AT95" s="13">
        <f>两日求解价格与决策!AT287</f>
        <v>46236.770833333336</v>
      </c>
      <c r="AU95" s="12" t="str">
        <f>两日求解价格与决策!AU287</f>
        <v>2026-08-02_83</v>
      </c>
      <c r="AV95" s="12">
        <f>两日求解价格与决策!AV287</f>
        <v>15</v>
      </c>
      <c r="AW95" s="12" t="str">
        <f>两日求解价格与决策!AW287</f>
        <v>OK</v>
      </c>
      <c r="AX95" s="12">
        <f>两日求解价格与决策!AX287</f>
        <v>128</v>
      </c>
      <c r="AY95" s="12">
        <f>两日求解价格与决策!AY287</f>
        <v>175</v>
      </c>
      <c r="AZ95" s="12">
        <f>两日求解价格与决策!AZ287</f>
        <v>175</v>
      </c>
      <c r="BA95" s="12">
        <f>两日求解价格与决策!BA287</f>
        <v>40</v>
      </c>
      <c r="BB95" s="12">
        <f>两日求解价格与决策!BB287</f>
        <v>24</v>
      </c>
      <c r="BC95" s="12">
        <f>两日求解价格与决策!BC287</f>
        <v>24</v>
      </c>
      <c r="BD95" s="14">
        <f>两日求解价格与决策!BD287</f>
        <v>46236</v>
      </c>
      <c r="BE95" s="1" t="str">
        <f>两日求解价格与决策!BE287</f>
        <v>36.000000 MW × 208.750000 × 0.250000 h = 1878.750000 EUR</v>
      </c>
      <c r="BF95" s="1" t="str">
        <f>两日求解价格与决策!BF287</f>
        <v>40.000000 MW × 60.030873 × 0.250000 h = 600.308730 EUR</v>
      </c>
      <c r="BG95" s="1" t="str">
        <f>两日求解价格与决策!BG287</f>
        <v>24.000000 MW × 7.024565 × 0.250000 h = 42.147390 EUR</v>
      </c>
      <c r="BH95" s="1" t="str">
        <f>两日求解价格与决策!BH287</f>
        <v>24.000000 MW × 2.850990 × 0.250000 h = 17.105940 EUR</v>
      </c>
      <c r="BI95" s="1" t="str">
        <f>两日求解价格与决策!BI287</f>
        <v>0.474240 MWh × 219.419320 = 104.057419 EUR</v>
      </c>
      <c r="BJ95" s="1" t="str">
        <f>两日求解价格与决策!BJ287</f>
        <v>−(0.000549 MWh × 80.041164) = -0.043908 EUR</v>
      </c>
      <c r="BK95" s="1" t="str">
        <f>两日求解价格与决策!BK287</f>
        <v>1878.750000 + 600.308730 + 42.147390 + 17.105940 + 104.057419 + -0.043908 = 2642.325571 EUR</v>
      </c>
    </row>
    <row r="96" spans="1:63" ht="21" customHeight="1" x14ac:dyDescent="0.45">
      <c r="A96" s="13">
        <f>两日求解价格与决策!A288</f>
        <v>46236.90625</v>
      </c>
      <c r="B96" s="15">
        <f>两日求解价格与决策!B288</f>
        <v>197.01</v>
      </c>
      <c r="C96" s="15">
        <f>两日求解价格与决策!C288</f>
        <v>60.030873020410496</v>
      </c>
      <c r="D96" s="15">
        <f>两日求解价格与决策!D288</f>
        <v>7.0245650143883518</v>
      </c>
      <c r="E96" s="15">
        <f>两日求解价格与决策!E288</f>
        <v>2.850990032969337</v>
      </c>
      <c r="F96" s="15">
        <f>两日求解价格与决策!F288</f>
        <v>184.64696129437996</v>
      </c>
      <c r="G96" s="15">
        <f>两日求解价格与决策!G288</f>
        <v>72.255445657766856</v>
      </c>
      <c r="H96" s="15" t="str">
        <f>两日求解价格与决策!H288</f>
        <v>未模拟</v>
      </c>
      <c r="I96" s="16">
        <f>两日求解价格与决策!I288</f>
        <v>50.891478260869491</v>
      </c>
      <c r="J96" s="16">
        <f>两日求解价格与决策!J288</f>
        <v>51.127647324223531</v>
      </c>
      <c r="K96" s="16">
        <f>两日求解价格与决策!K288</f>
        <v>0</v>
      </c>
      <c r="L96" s="16">
        <f>两日求解价格与决策!L288</f>
        <v>40</v>
      </c>
      <c r="M96" s="16">
        <f>两日求解价格与决策!M288</f>
        <v>24</v>
      </c>
      <c r="N96" s="16">
        <f>两日求解价格与决策!N288</f>
        <v>24</v>
      </c>
      <c r="O96" s="16">
        <f>两日求解价格与决策!O288</f>
        <v>6.9668571428571427E-2</v>
      </c>
      <c r="P96" s="16">
        <f>两日求解价格与决策!P288</f>
        <v>0.33901714285714285</v>
      </c>
      <c r="Q96" s="17">
        <f>两日求解价格与决策!Q288</f>
        <v>0</v>
      </c>
      <c r="R96" s="17">
        <f>两日求解价格与决策!R288</f>
        <v>600.3087302041049</v>
      </c>
      <c r="S96" s="17">
        <f>两日求解价格与决策!S288</f>
        <v>42.147390086330113</v>
      </c>
      <c r="T96" s="17">
        <f>两日求解价格与决策!T288</f>
        <v>17.105940197816022</v>
      </c>
      <c r="U96" s="17">
        <f>两日求解价格与决策!U288</f>
        <v>12.864090012006175</v>
      </c>
      <c r="V96" s="17">
        <f>两日求解价格与决策!V288</f>
        <v>-24.49583474276567</v>
      </c>
      <c r="W96" s="17">
        <f>两日求解价格与决策!W288</f>
        <v>647.9303157574916</v>
      </c>
      <c r="X96" s="12">
        <f>两日求解价格与决策!X288</f>
        <v>647.9303157574916</v>
      </c>
      <c r="Y96" s="19">
        <f>两日求解价格与决策!Y288</f>
        <v>0</v>
      </c>
      <c r="Z96" s="12" t="str">
        <f t="shared" si="2"/>
        <v>正式执行</v>
      </c>
      <c r="AA96" s="12">
        <f>两日求解价格与决策!AA288</f>
        <v>1</v>
      </c>
      <c r="AB96" s="12">
        <f>两日求解价格与决策!AB288</f>
        <v>1</v>
      </c>
      <c r="AC96" s="12">
        <f>两日求解价格与决策!AC288</f>
        <v>0.25</v>
      </c>
      <c r="AD96" s="18">
        <f>两日求解价格与决策!AD288</f>
        <v>0.3125</v>
      </c>
      <c r="AE96" s="18">
        <f>两日求解价格与决策!AE288</f>
        <v>0.13714285714285715</v>
      </c>
      <c r="AF96" s="18">
        <f>两日求解价格与决策!AF288</f>
        <v>1.1611428571428571E-2</v>
      </c>
      <c r="AG96" s="18">
        <f>两日求解价格与决策!AG288</f>
        <v>5.6502857142857139E-2</v>
      </c>
      <c r="AH96" s="12">
        <f>两日求解价格与决策!AH288</f>
        <v>175</v>
      </c>
      <c r="AI96" s="12">
        <f>两日求解价格与决策!AI288</f>
        <v>175</v>
      </c>
      <c r="AJ96" s="12">
        <f>两日求解价格与决策!AJ288</f>
        <v>0.50800000000000001</v>
      </c>
      <c r="AK96" s="12">
        <f>两日求解价格与决策!AK288</f>
        <v>2.472</v>
      </c>
      <c r="AL96" s="12">
        <f>两日求解价格与决策!AL288</f>
        <v>91.903999999999996</v>
      </c>
      <c r="AM96" s="12">
        <f>两日求解价格与决策!AM288</f>
        <v>1.0767291097308488E-3</v>
      </c>
      <c r="AN96" s="12">
        <f>两日求解价格与决策!AN288</f>
        <v>0.33901714285714285</v>
      </c>
      <c r="AO96" s="12">
        <f>两日求解价格与决策!AO288</f>
        <v>6.9668571428571427E-2</v>
      </c>
      <c r="AP96" s="12">
        <f>两日求解价格与决策!AP288</f>
        <v>51.12764732422356</v>
      </c>
      <c r="AQ96" s="19">
        <f>两日求解价格与决策!AQ288</f>
        <v>0</v>
      </c>
      <c r="AR96" s="12">
        <f>两日求解价格与决策!AR288</f>
        <v>5.2473000000000001</v>
      </c>
      <c r="AS96" s="14">
        <f>两日求解价格与决策!AS288</f>
        <v>46234</v>
      </c>
      <c r="AT96" s="13">
        <f>两日求解价格与决策!AT288</f>
        <v>46236.78125</v>
      </c>
      <c r="AU96" s="12" t="str">
        <f>两日求解价格与决策!AU288</f>
        <v>2026-08-02_84</v>
      </c>
      <c r="AV96" s="12">
        <f>两日求解价格与决策!AV288</f>
        <v>15</v>
      </c>
      <c r="AW96" s="12" t="str">
        <f>两日求解价格与决策!AW288</f>
        <v>OK</v>
      </c>
      <c r="AX96" s="12">
        <f>两日求解价格与决策!AX288</f>
        <v>128</v>
      </c>
      <c r="AY96" s="12">
        <f>两日求解价格与决策!AY288</f>
        <v>175</v>
      </c>
      <c r="AZ96" s="12">
        <f>两日求解价格与决策!AZ288</f>
        <v>175</v>
      </c>
      <c r="BA96" s="12">
        <f>两日求解价格与决策!BA288</f>
        <v>40</v>
      </c>
      <c r="BB96" s="12">
        <f>两日求解价格与决策!BB288</f>
        <v>24</v>
      </c>
      <c r="BC96" s="12">
        <f>两日求解价格与决策!BC288</f>
        <v>24</v>
      </c>
      <c r="BD96" s="14">
        <f>两日求解价格与决策!BD288</f>
        <v>46236</v>
      </c>
      <c r="BE96" s="1" t="str">
        <f>两日求解价格与决策!BE288</f>
        <v>零头寸，无结算现金</v>
      </c>
      <c r="BF96" s="1" t="str">
        <f>两日求解价格与决策!BF288</f>
        <v>40.000000 MW × 60.030873 × 0.250000 h = 600.308730 EUR</v>
      </c>
      <c r="BG96" s="1" t="str">
        <f>两日求解价格与决策!BG288</f>
        <v>24.000000 MW × 7.024565 × 0.250000 h = 42.147390 EUR</v>
      </c>
      <c r="BH96" s="1" t="str">
        <f>两日求解价格与决策!BH288</f>
        <v>24.000000 MW × 2.850990 × 0.250000 h = 17.105940 EUR</v>
      </c>
      <c r="BI96" s="1" t="str">
        <f>两日求解价格与决策!BI288</f>
        <v>0.069669 MWh × 184.646961 = 12.864090 EUR</v>
      </c>
      <c r="BJ96" s="1" t="str">
        <f>两日求解价格与决策!BJ288</f>
        <v>−(0.339017 MWh × 72.255446) = -24.495835 EUR</v>
      </c>
      <c r="BK96" s="1" t="str">
        <f>两日求解价格与决策!BK288</f>
        <v>0.000000 + 600.308730 + 42.147390 + 17.105940 + 12.864090 + -24.495835 = 647.930316 EUR</v>
      </c>
    </row>
    <row r="97" spans="1:63" ht="21" customHeight="1" x14ac:dyDescent="0.45">
      <c r="A97" s="13">
        <f>两日求解价格与决策!A289</f>
        <v>46236.916666666664</v>
      </c>
      <c r="B97" s="15">
        <f>两日求解价格与决策!B289</f>
        <v>201.42</v>
      </c>
      <c r="C97" s="15">
        <f>两日求解价格与决策!C289</f>
        <v>66.224534522516336</v>
      </c>
      <c r="D97" s="15">
        <f>两日求解价格与决策!D289</f>
        <v>3.9143940693308936</v>
      </c>
      <c r="E97" s="15">
        <f>两日求解价格与决策!E289</f>
        <v>2.5937148628818627</v>
      </c>
      <c r="F97" s="15">
        <f>两日求解价格与决策!F289</f>
        <v>169.02330722466795</v>
      </c>
      <c r="G97" s="15">
        <f>两日求解价格与决策!G289</f>
        <v>76.420254225982887</v>
      </c>
      <c r="H97" s="15" t="str">
        <f>两日求解价格与决策!H289</f>
        <v>未模拟</v>
      </c>
      <c r="I97" s="16">
        <f>两日求解价格与决策!I289</f>
        <v>51.127647324223531</v>
      </c>
      <c r="J97" s="16">
        <f>两日求解价格与决策!J289</f>
        <v>51.309228760248374</v>
      </c>
      <c r="K97" s="16">
        <f>两日求解价格与决策!K289</f>
        <v>0</v>
      </c>
      <c r="L97" s="16">
        <f>两日求解价格与决策!L289</f>
        <v>40</v>
      </c>
      <c r="M97" s="16">
        <f>两日求解价格与决策!M289</f>
        <v>24</v>
      </c>
      <c r="N97" s="16">
        <f>两日求解价格与决策!N289</f>
        <v>24</v>
      </c>
      <c r="O97" s="16">
        <f>两日求解价格与决策!O289</f>
        <v>2.9348571428571432E-2</v>
      </c>
      <c r="P97" s="16">
        <f>两日求解价格与决策!P289</f>
        <v>0.23204571428571424</v>
      </c>
      <c r="Q97" s="17">
        <f>两日求解价格与决策!Q289</f>
        <v>0</v>
      </c>
      <c r="R97" s="17">
        <f>两日求解价格与决策!R289</f>
        <v>662.24534522516342</v>
      </c>
      <c r="S97" s="17">
        <f>两日求解价格与决策!S289</f>
        <v>23.486364415985364</v>
      </c>
      <c r="T97" s="17">
        <f>两日求解价格与决策!T289</f>
        <v>15.562289177291177</v>
      </c>
      <c r="U97" s="17">
        <f>两日求解价格与决策!U289</f>
        <v>4.960592605176541</v>
      </c>
      <c r="V97" s="17">
        <f>两日求解价格与决策!V289</f>
        <v>-17.732992477764071</v>
      </c>
      <c r="W97" s="17">
        <f>两日求解价格与决策!W289</f>
        <v>688.52159894585247</v>
      </c>
      <c r="X97" s="12">
        <f>两日求解价格与决策!X289</f>
        <v>688.52159894585247</v>
      </c>
      <c r="Y97" s="19">
        <f>两日求解价格与决策!Y289</f>
        <v>0</v>
      </c>
      <c r="Z97" s="12" t="str">
        <f t="shared" si="2"/>
        <v>正式执行</v>
      </c>
      <c r="AA97" s="12">
        <f>两日求解价格与决策!AA289</f>
        <v>1</v>
      </c>
      <c r="AB97" s="12">
        <f>两日求解价格与决策!AB289</f>
        <v>1</v>
      </c>
      <c r="AC97" s="12">
        <f>两日求解价格与决策!AC289</f>
        <v>0.25</v>
      </c>
      <c r="AD97" s="18">
        <f>两日求解价格与决策!AD289</f>
        <v>0.3125</v>
      </c>
      <c r="AE97" s="18">
        <f>两日求解价格与决策!AE289</f>
        <v>0.13714285714285715</v>
      </c>
      <c r="AF97" s="18">
        <f>两日求解价格与决策!AF289</f>
        <v>4.8914285714285717E-3</v>
      </c>
      <c r="AG97" s="18">
        <f>两日求解价格与决策!AG289</f>
        <v>3.867428571428571E-2</v>
      </c>
      <c r="AH97" s="12">
        <f>两日求解价格与决策!AH289</f>
        <v>175</v>
      </c>
      <c r="AI97" s="12">
        <f>两日求解价格与决策!AI289</f>
        <v>175</v>
      </c>
      <c r="AJ97" s="12">
        <f>两日求解价格与决策!AJ289</f>
        <v>0.214</v>
      </c>
      <c r="AK97" s="12">
        <f>两日求解价格与决策!AK289</f>
        <v>1.6919999999999999</v>
      </c>
      <c r="AL97" s="12">
        <f>两日求解价格与决策!AL289</f>
        <v>131.96799999999999</v>
      </c>
      <c r="AM97" s="12">
        <f>两日求解价格与决策!AM289</f>
        <v>6.8161855072463771E-4</v>
      </c>
      <c r="AN97" s="12">
        <f>两日求解价格与决策!AN289</f>
        <v>0.23204571428571424</v>
      </c>
      <c r="AO97" s="12">
        <f>两日求解价格与决策!AO289</f>
        <v>2.9348571428571432E-2</v>
      </c>
      <c r="AP97" s="12">
        <f>两日求解价格与决策!AP289</f>
        <v>51.309228760248402</v>
      </c>
      <c r="AQ97" s="19">
        <f>两日求解价格与决策!AQ289</f>
        <v>0</v>
      </c>
      <c r="AR97" s="12">
        <f>两日求解价格与决策!AR289</f>
        <v>5.2473000000000001</v>
      </c>
      <c r="AS97" s="14">
        <f>两日求解价格与决策!AS289</f>
        <v>46234</v>
      </c>
      <c r="AT97" s="13">
        <f>两日求解价格与决策!AT289</f>
        <v>46236.791666666664</v>
      </c>
      <c r="AU97" s="12" t="str">
        <f>两日求解价格与决策!AU289</f>
        <v>2026-08-02_85</v>
      </c>
      <c r="AV97" s="12">
        <f>两日求解价格与决策!AV289</f>
        <v>15</v>
      </c>
      <c r="AW97" s="12" t="str">
        <f>两日求解价格与决策!AW289</f>
        <v>OK</v>
      </c>
      <c r="AX97" s="12">
        <f>两日求解价格与决策!AX289</f>
        <v>128</v>
      </c>
      <c r="AY97" s="12">
        <f>两日求解价格与决策!AY289</f>
        <v>175</v>
      </c>
      <c r="AZ97" s="12">
        <f>两日求解价格与决策!AZ289</f>
        <v>175</v>
      </c>
      <c r="BA97" s="12">
        <f>两日求解价格与决策!BA289</f>
        <v>40</v>
      </c>
      <c r="BB97" s="12">
        <f>两日求解价格与决策!BB289</f>
        <v>24</v>
      </c>
      <c r="BC97" s="12">
        <f>两日求解价格与决策!BC289</f>
        <v>24</v>
      </c>
      <c r="BD97" s="14">
        <f>两日求解价格与决策!BD289</f>
        <v>46236</v>
      </c>
      <c r="BE97" s="1" t="str">
        <f>两日求解价格与决策!BE289</f>
        <v>零头寸，无结算现金</v>
      </c>
      <c r="BF97" s="1" t="str">
        <f>两日求解价格与决策!BF289</f>
        <v>40.000000 MW × 66.224535 × 0.250000 h = 662.245345 EUR</v>
      </c>
      <c r="BG97" s="1" t="str">
        <f>两日求解价格与决策!BG289</f>
        <v>24.000000 MW × 3.914394 × 0.250000 h = 23.486364 EUR</v>
      </c>
      <c r="BH97" s="1" t="str">
        <f>两日求解价格与决策!BH289</f>
        <v>24.000000 MW × 2.593715 × 0.250000 h = 15.562289 EUR</v>
      </c>
      <c r="BI97" s="1" t="str">
        <f>两日求解价格与决策!BI289</f>
        <v>0.029349 MWh × 169.023307 = 4.960593 EUR</v>
      </c>
      <c r="BJ97" s="1" t="str">
        <f>两日求解价格与决策!BJ289</f>
        <v>−(0.232046 MWh × 76.420254) = -17.732992 EUR</v>
      </c>
      <c r="BK97" s="1" t="str">
        <f>两日求解价格与决策!BK289</f>
        <v>0.000000 + 662.245345 + 23.486364 + 15.562289 + 4.960593 + -17.732992 = 688.521599 EUR</v>
      </c>
    </row>
    <row r="98" spans="1:63" ht="21" customHeight="1" x14ac:dyDescent="0.45">
      <c r="A98" s="13">
        <f>两日求解价格与决策!A290</f>
        <v>46236.927083333336</v>
      </c>
      <c r="B98" s="15">
        <f>两日求解价格与决策!B290</f>
        <v>204.65</v>
      </c>
      <c r="C98" s="15">
        <f>两日求解价格与决策!C290</f>
        <v>66.224534522516336</v>
      </c>
      <c r="D98" s="15">
        <f>两日求解价格与决策!D290</f>
        <v>3.9143940693308936</v>
      </c>
      <c r="E98" s="15">
        <f>两日求解价格与决策!E290</f>
        <v>2.5937148628818627</v>
      </c>
      <c r="F98" s="15">
        <f>两日求解价格与决策!F290</f>
        <v>152.45936005183617</v>
      </c>
      <c r="G98" s="15">
        <f>两日求解价格与决策!G290</f>
        <v>72.481085510643567</v>
      </c>
      <c r="H98" s="15" t="str">
        <f>两日求解价格与决策!H290</f>
        <v>未模拟</v>
      </c>
      <c r="I98" s="16">
        <f>两日求解价格与决策!I290</f>
        <v>51.309228760248374</v>
      </c>
      <c r="J98" s="16">
        <f>两日求解价格与决策!J290</f>
        <v>51.723129480745271</v>
      </c>
      <c r="K98" s="16">
        <f>两日求解价格与决策!K290</f>
        <v>0</v>
      </c>
      <c r="L98" s="16">
        <f>两日求解价格与决策!L290</f>
        <v>40</v>
      </c>
      <c r="M98" s="16">
        <f>两日求解价格与决策!M290</f>
        <v>24</v>
      </c>
      <c r="N98" s="16">
        <f>两日求解价格与决策!N290</f>
        <v>24</v>
      </c>
      <c r="O98" s="16">
        <f>两日求解价格与决策!O290</f>
        <v>3.4285714285714288E-3</v>
      </c>
      <c r="P98" s="16">
        <f>两日求解价格与决策!P290</f>
        <v>0.45394285714285709</v>
      </c>
      <c r="Q98" s="17">
        <f>两日求解价格与决策!Q290</f>
        <v>0</v>
      </c>
      <c r="R98" s="17">
        <f>两日求解价格与决策!R290</f>
        <v>662.24534522516342</v>
      </c>
      <c r="S98" s="17">
        <f>两日求解价格与决策!S290</f>
        <v>23.486364415985364</v>
      </c>
      <c r="T98" s="17">
        <f>两日求解价格与决策!T290</f>
        <v>15.562289177291177</v>
      </c>
      <c r="U98" s="17">
        <f>两日求解价格与决策!U290</f>
        <v>0.52271780589200978</v>
      </c>
      <c r="V98" s="17">
        <f>两日求解价格与决策!V290</f>
        <v>-32.902271045517281</v>
      </c>
      <c r="W98" s="17">
        <f>两日求解价格与决策!W290</f>
        <v>668.91444557881471</v>
      </c>
      <c r="X98" s="12">
        <f>两日求解价格与决策!X290</f>
        <v>668.91444557881471</v>
      </c>
      <c r="Y98" s="19">
        <f>两日求解价格与决策!Y290</f>
        <v>0</v>
      </c>
      <c r="Z98" s="12" t="str">
        <f t="shared" si="2"/>
        <v>正式执行</v>
      </c>
      <c r="AA98" s="12">
        <f>两日求解价格与决策!AA290</f>
        <v>1</v>
      </c>
      <c r="AB98" s="12">
        <f>两日求解价格与决策!AB290</f>
        <v>1</v>
      </c>
      <c r="AC98" s="12">
        <f>两日求解价格与决策!AC290</f>
        <v>0.25</v>
      </c>
      <c r="AD98" s="18">
        <f>两日求解价格与决策!AD290</f>
        <v>0.3125</v>
      </c>
      <c r="AE98" s="18">
        <f>两日求解价格与决策!AE290</f>
        <v>0.13714285714285715</v>
      </c>
      <c r="AF98" s="18">
        <f>两日求解价格与决策!AF290</f>
        <v>5.7142857142857147E-4</v>
      </c>
      <c r="AG98" s="18">
        <f>两日求解价格与决策!AG290</f>
        <v>7.5657142857142853E-2</v>
      </c>
      <c r="AH98" s="12">
        <f>两日求解价格与决策!AH290</f>
        <v>175</v>
      </c>
      <c r="AI98" s="12">
        <f>两日求解价格与决策!AI290</f>
        <v>175</v>
      </c>
      <c r="AJ98" s="12">
        <f>两日求解价格与决策!AJ290</f>
        <v>2.5000000000000001E-2</v>
      </c>
      <c r="AK98" s="12">
        <f>两日求解价格与决策!AK290</f>
        <v>3.31</v>
      </c>
      <c r="AL98" s="12">
        <f>两日求解价格与决策!AL290</f>
        <v>131.96799999999999</v>
      </c>
      <c r="AM98" s="12">
        <f>两日求解价格与决策!AM290</f>
        <v>1.1704281573498964E-3</v>
      </c>
      <c r="AN98" s="12">
        <f>两日求解价格与决策!AN290</f>
        <v>0.45394285714285709</v>
      </c>
      <c r="AO98" s="12">
        <f>两日求解价格与决策!AO290</f>
        <v>3.4285714285714288E-3</v>
      </c>
      <c r="AP98" s="12">
        <f>两日求解价格与决策!AP290</f>
        <v>51.7231294807453</v>
      </c>
      <c r="AQ98" s="19">
        <f>两日求解价格与决策!AQ290</f>
        <v>0</v>
      </c>
      <c r="AR98" s="12">
        <f>两日求解价格与决策!AR290</f>
        <v>5.2473000000000001</v>
      </c>
      <c r="AS98" s="14">
        <f>两日求解价格与决策!AS290</f>
        <v>46234</v>
      </c>
      <c r="AT98" s="13">
        <f>两日求解价格与决策!AT290</f>
        <v>46236.802083333336</v>
      </c>
      <c r="AU98" s="12" t="str">
        <f>两日求解价格与决策!AU290</f>
        <v>2026-08-02_86</v>
      </c>
      <c r="AV98" s="12">
        <f>两日求解价格与决策!AV290</f>
        <v>15</v>
      </c>
      <c r="AW98" s="12" t="str">
        <f>两日求解价格与决策!AW290</f>
        <v>OK</v>
      </c>
      <c r="AX98" s="12">
        <f>两日求解价格与决策!AX290</f>
        <v>128</v>
      </c>
      <c r="AY98" s="12">
        <f>两日求解价格与决策!AY290</f>
        <v>175</v>
      </c>
      <c r="AZ98" s="12">
        <f>两日求解价格与决策!AZ290</f>
        <v>175</v>
      </c>
      <c r="BA98" s="12">
        <f>两日求解价格与决策!BA290</f>
        <v>40</v>
      </c>
      <c r="BB98" s="12">
        <f>两日求解价格与决策!BB290</f>
        <v>24</v>
      </c>
      <c r="BC98" s="12">
        <f>两日求解价格与决策!BC290</f>
        <v>24</v>
      </c>
      <c r="BD98" s="14">
        <f>两日求解价格与决策!BD290</f>
        <v>46236</v>
      </c>
      <c r="BE98" s="1" t="str">
        <f>两日求解价格与决策!BE290</f>
        <v>零头寸，无结算现金</v>
      </c>
      <c r="BF98" s="1" t="str">
        <f>两日求解价格与决策!BF290</f>
        <v>40.000000 MW × 66.224535 × 0.250000 h = 662.245345 EUR</v>
      </c>
      <c r="BG98" s="1" t="str">
        <f>两日求解价格与决策!BG290</f>
        <v>24.000000 MW × 3.914394 × 0.250000 h = 23.486364 EUR</v>
      </c>
      <c r="BH98" s="1" t="str">
        <f>两日求解价格与决策!BH290</f>
        <v>24.000000 MW × 2.593715 × 0.250000 h = 15.562289 EUR</v>
      </c>
      <c r="BI98" s="1" t="str">
        <f>两日求解价格与决策!BI290</f>
        <v>0.003429 MWh × 152.459360 = 0.522718 EUR</v>
      </c>
      <c r="BJ98" s="1" t="str">
        <f>两日求解价格与决策!BJ290</f>
        <v>−(0.453943 MWh × 72.481086) = -32.902271 EUR</v>
      </c>
      <c r="BK98" s="1" t="str">
        <f>两日求解价格与决策!BK290</f>
        <v>0.000000 + 662.245345 + 23.486364 + 15.562289 + 0.522718 + -32.902271 = 668.914446 EUR</v>
      </c>
    </row>
    <row r="99" spans="1:63" ht="21" customHeight="1" x14ac:dyDescent="0.45">
      <c r="A99" s="13">
        <f>两日求解价格与决策!A291</f>
        <v>46236.9375</v>
      </c>
      <c r="B99" s="15">
        <f>两日求解价格与决策!B291</f>
        <v>206.96</v>
      </c>
      <c r="C99" s="15">
        <f>两日求解价格与决策!C291</f>
        <v>66.224534522516336</v>
      </c>
      <c r="D99" s="15">
        <f>两日求解价格与决策!D291</f>
        <v>3.9143940693308936</v>
      </c>
      <c r="E99" s="15">
        <f>两日求解价格与决策!E291</f>
        <v>2.5937148628818627</v>
      </c>
      <c r="F99" s="15">
        <f>两日求解价格与决策!F291</f>
        <v>189.78026794732529</v>
      </c>
      <c r="G99" s="15">
        <f>两日求解价格与决策!G291</f>
        <v>76.420254225982887</v>
      </c>
      <c r="H99" s="15" t="str">
        <f>两日求解价格与决策!H291</f>
        <v>未模拟</v>
      </c>
      <c r="I99" s="16">
        <f>两日求解价格与决策!I291</f>
        <v>51.723129480745271</v>
      </c>
      <c r="J99" s="16">
        <f>两日求解价格与决策!J291</f>
        <v>51.633389873291854</v>
      </c>
      <c r="K99" s="16">
        <f>两日求解价格与决策!K291</f>
        <v>0</v>
      </c>
      <c r="L99" s="16">
        <f>两日求解价格与决策!L291</f>
        <v>40</v>
      </c>
      <c r="M99" s="16">
        <f>两日求解价格与决策!M291</f>
        <v>24</v>
      </c>
      <c r="N99" s="16">
        <f>两日求解价格与决策!N291</f>
        <v>24</v>
      </c>
      <c r="O99" s="16">
        <f>两日求解价格与决策!O291</f>
        <v>0.15360000000000001</v>
      </c>
      <c r="P99" s="16">
        <f>两日求解价格与决策!P291</f>
        <v>8.3931428571428573E-2</v>
      </c>
      <c r="Q99" s="17">
        <f>两日求解价格与决策!Q291</f>
        <v>0</v>
      </c>
      <c r="R99" s="17">
        <f>两日求解价格与决策!R291</f>
        <v>662.24534522516342</v>
      </c>
      <c r="S99" s="17">
        <f>两日求解价格与决策!S291</f>
        <v>23.486364415985364</v>
      </c>
      <c r="T99" s="17">
        <f>两日求解价格与决策!T291</f>
        <v>15.562289177291177</v>
      </c>
      <c r="U99" s="17">
        <f>两日求解价格与决策!U291</f>
        <v>29.150249156709165</v>
      </c>
      <c r="V99" s="17">
        <f>两日求解价格与决策!V291</f>
        <v>-6.4140611089784949</v>
      </c>
      <c r="W99" s="17">
        <f>两日求解价格与决策!W291</f>
        <v>724.03018686617065</v>
      </c>
      <c r="X99" s="12">
        <f>两日求解价格与决策!X291</f>
        <v>724.03018686617065</v>
      </c>
      <c r="Y99" s="19">
        <f>两日求解价格与决策!Y291</f>
        <v>0</v>
      </c>
      <c r="Z99" s="12" t="str">
        <f t="shared" si="2"/>
        <v>正式执行</v>
      </c>
      <c r="AA99" s="12">
        <f>两日求解价格与决策!AA291</f>
        <v>1</v>
      </c>
      <c r="AB99" s="12">
        <f>两日求解价格与决策!AB291</f>
        <v>1</v>
      </c>
      <c r="AC99" s="12">
        <f>两日求解价格与决策!AC291</f>
        <v>0.25</v>
      </c>
      <c r="AD99" s="18">
        <f>两日求解价格与决策!AD291</f>
        <v>0.3125</v>
      </c>
      <c r="AE99" s="18">
        <f>两日求解价格与决策!AE291</f>
        <v>0.13714285714285715</v>
      </c>
      <c r="AF99" s="18">
        <f>两日求解价格与决策!AF291</f>
        <v>2.5600000000000001E-2</v>
      </c>
      <c r="AG99" s="18">
        <f>两日求解价格与决策!AG291</f>
        <v>1.3988571428571428E-2</v>
      </c>
      <c r="AH99" s="12">
        <f>两日求解价格与决策!AH291</f>
        <v>175</v>
      </c>
      <c r="AI99" s="12">
        <f>两日求解价格与决策!AI291</f>
        <v>175</v>
      </c>
      <c r="AJ99" s="12">
        <f>两日求解价格与决策!AJ291</f>
        <v>1.1200000000000001</v>
      </c>
      <c r="AK99" s="12">
        <f>两日求解价格与决策!AK291</f>
        <v>0.61199999999999999</v>
      </c>
      <c r="AL99" s="12">
        <f>两日求解价格与决策!AL291</f>
        <v>131.96799999999999</v>
      </c>
      <c r="AM99" s="12">
        <f>两日求解价格与决策!AM291</f>
        <v>6.7825954451345761E-4</v>
      </c>
      <c r="AN99" s="12">
        <f>两日求解价格与决策!AN291</f>
        <v>8.3931428571428573E-2</v>
      </c>
      <c r="AO99" s="12">
        <f>两日求解价格与决策!AO291</f>
        <v>0.15360000000000001</v>
      </c>
      <c r="AP99" s="12">
        <f>两日求解价格与决策!AP291</f>
        <v>51.633389873291883</v>
      </c>
      <c r="AQ99" s="19">
        <f>两日求解价格与决策!AQ291</f>
        <v>0</v>
      </c>
      <c r="AR99" s="12">
        <f>两日求解价格与决策!AR291</f>
        <v>5.2473000000000001</v>
      </c>
      <c r="AS99" s="14">
        <f>两日求解价格与决策!AS291</f>
        <v>46234</v>
      </c>
      <c r="AT99" s="13">
        <f>两日求解价格与决策!AT291</f>
        <v>46236.8125</v>
      </c>
      <c r="AU99" s="12" t="str">
        <f>两日求解价格与决策!AU291</f>
        <v>2026-08-02_87</v>
      </c>
      <c r="AV99" s="12">
        <f>两日求解价格与决策!AV291</f>
        <v>15</v>
      </c>
      <c r="AW99" s="12" t="str">
        <f>两日求解价格与决策!AW291</f>
        <v>OK</v>
      </c>
      <c r="AX99" s="12">
        <f>两日求解价格与决策!AX291</f>
        <v>128</v>
      </c>
      <c r="AY99" s="12">
        <f>两日求解价格与决策!AY291</f>
        <v>175</v>
      </c>
      <c r="AZ99" s="12">
        <f>两日求解价格与决策!AZ291</f>
        <v>175</v>
      </c>
      <c r="BA99" s="12">
        <f>两日求解价格与决策!BA291</f>
        <v>40</v>
      </c>
      <c r="BB99" s="12">
        <f>两日求解价格与决策!BB291</f>
        <v>24</v>
      </c>
      <c r="BC99" s="12">
        <f>两日求解价格与决策!BC291</f>
        <v>24</v>
      </c>
      <c r="BD99" s="14">
        <f>两日求解价格与决策!BD291</f>
        <v>46236</v>
      </c>
      <c r="BE99" s="1" t="str">
        <f>两日求解价格与决策!BE291</f>
        <v>零头寸，无结算现金</v>
      </c>
      <c r="BF99" s="1" t="str">
        <f>两日求解价格与决策!BF291</f>
        <v>40.000000 MW × 66.224535 × 0.250000 h = 662.245345 EUR</v>
      </c>
      <c r="BG99" s="1" t="str">
        <f>两日求解价格与决策!BG291</f>
        <v>24.000000 MW × 3.914394 × 0.250000 h = 23.486364 EUR</v>
      </c>
      <c r="BH99" s="1" t="str">
        <f>两日求解价格与决策!BH291</f>
        <v>24.000000 MW × 2.593715 × 0.250000 h = 15.562289 EUR</v>
      </c>
      <c r="BI99" s="1" t="str">
        <f>两日求解价格与决策!BI291</f>
        <v>0.153600 MWh × 189.780268 = 29.150249 EUR</v>
      </c>
      <c r="BJ99" s="1" t="str">
        <f>两日求解价格与决策!BJ291</f>
        <v>−(0.083931 MWh × 76.420254) = -6.414061 EUR</v>
      </c>
      <c r="BK99" s="1" t="str">
        <f>两日求解价格与决策!BK291</f>
        <v>0.000000 + 662.245345 + 23.486364 + 15.562289 + 29.150249 + -6.414061 = 724.030187 EUR</v>
      </c>
    </row>
    <row r="100" spans="1:63" ht="21" customHeight="1" x14ac:dyDescent="0.45">
      <c r="A100" s="13">
        <f>两日求解价格与决策!A292</f>
        <v>46236.947916666664</v>
      </c>
      <c r="B100" s="15">
        <f>两日求解价格与决策!B292</f>
        <v>208.16</v>
      </c>
      <c r="C100" s="15">
        <f>两日求解价格与决策!C292</f>
        <v>66.224534522516336</v>
      </c>
      <c r="D100" s="15">
        <f>两日求解价格与决策!D292</f>
        <v>3.9143940693308936</v>
      </c>
      <c r="E100" s="15">
        <f>两日求解价格与决策!E292</f>
        <v>2.5937148628818627</v>
      </c>
      <c r="F100" s="15">
        <f>两日求解价格与决策!F292</f>
        <v>217.5791359365769</v>
      </c>
      <c r="G100" s="15">
        <f>两日求解价格与决策!G292</f>
        <v>76.420254225982887</v>
      </c>
      <c r="H100" s="15" t="str">
        <f>两日求解价格与决策!H292</f>
        <v>未模拟</v>
      </c>
      <c r="I100" s="16">
        <f>两日求解价格与决策!I292</f>
        <v>51.633389873291854</v>
      </c>
      <c r="J100" s="16">
        <f>两日求解价格与决策!J292</f>
        <v>47.104043488198684</v>
      </c>
      <c r="K100" s="16">
        <f>两日求解价格与决策!K292</f>
        <v>12.29386279910916</v>
      </c>
      <c r="L100" s="16">
        <f>两日求解价格与决策!L292</f>
        <v>40</v>
      </c>
      <c r="M100" s="16">
        <f>两日求解价格与决策!M292</f>
        <v>24</v>
      </c>
      <c r="N100" s="16">
        <f>两日求解价格与决策!N292</f>
        <v>24</v>
      </c>
      <c r="O100" s="16">
        <f>两日求解价格与决策!O292</f>
        <v>1.1674971428571428</v>
      </c>
      <c r="P100" s="16">
        <f>两日求解价格与决策!P292</f>
        <v>7.99542857142857E-2</v>
      </c>
      <c r="Q100" s="17">
        <f>两日求解价格与决策!Q292</f>
        <v>639.77262006564069</v>
      </c>
      <c r="R100" s="17">
        <f>两日求解价格与决策!R292</f>
        <v>662.24534522516342</v>
      </c>
      <c r="S100" s="17">
        <f>两日求解价格与决策!S292</f>
        <v>23.486364415985364</v>
      </c>
      <c r="T100" s="17">
        <f>两日求解价格与决策!T292</f>
        <v>15.562289177291177</v>
      </c>
      <c r="U100" s="17">
        <f>两日求解价格与决策!U292</f>
        <v>254.02301955127942</v>
      </c>
      <c r="V100" s="17">
        <f>两日求解价格与决策!V292</f>
        <v>-6.1101268407425851</v>
      </c>
      <c r="W100" s="17">
        <f>两日求解价格与决策!W292</f>
        <v>1588.9795115946176</v>
      </c>
      <c r="X100" s="12">
        <f>两日求解价格与决策!X292</f>
        <v>1588.9795115946174</v>
      </c>
      <c r="Y100" s="19">
        <f>两日求解价格与决策!Y292</f>
        <v>0</v>
      </c>
      <c r="Z100" s="12" t="str">
        <f t="shared" si="2"/>
        <v>正式执行</v>
      </c>
      <c r="AA100" s="12">
        <f>两日求解价格与决策!AA292</f>
        <v>1</v>
      </c>
      <c r="AB100" s="12">
        <f>两日求解价格与决策!AB292</f>
        <v>1</v>
      </c>
      <c r="AC100" s="12">
        <f>两日求解价格与决策!AC292</f>
        <v>0.25</v>
      </c>
      <c r="AD100" s="18">
        <f>两日求解价格与决策!AD292</f>
        <v>0.3125</v>
      </c>
      <c r="AE100" s="18">
        <f>两日求解价格与决策!AE292</f>
        <v>0.13714285714285715</v>
      </c>
      <c r="AF100" s="18">
        <f>两日求解价格与决策!AF292</f>
        <v>0.19458285714285714</v>
      </c>
      <c r="AG100" s="18">
        <f>两日求解价格与决策!AG292</f>
        <v>1.3325714285714284E-2</v>
      </c>
      <c r="AH100" s="12">
        <f>两日求解价格与决策!AH292</f>
        <v>175</v>
      </c>
      <c r="AI100" s="12">
        <f>两日求解价格与决策!AI292</f>
        <v>175</v>
      </c>
      <c r="AJ100" s="12">
        <f>两日求解价格与决策!AJ292</f>
        <v>8.5129999999999999</v>
      </c>
      <c r="AK100" s="12">
        <f>两日求解价格与决策!AK292</f>
        <v>0.58299999999999996</v>
      </c>
      <c r="AL100" s="12">
        <f>两日求解价格与决策!AL292</f>
        <v>131.96799999999999</v>
      </c>
      <c r="AM100" s="12">
        <f>两日求解价格与决策!AM292</f>
        <v>1.2780841664911825E-2</v>
      </c>
      <c r="AN100" s="12">
        <f>两日求解价格与决策!AN292</f>
        <v>3.8998159932110622E-2</v>
      </c>
      <c r="AO100" s="12">
        <f>两日求解价格与决策!AO292</f>
        <v>4.2000067168522577</v>
      </c>
      <c r="AP100" s="12">
        <f>两日求解价格与决策!AP292</f>
        <v>47.104043488198705</v>
      </c>
      <c r="AQ100" s="19">
        <f>两日求解价格与决策!AQ292</f>
        <v>0</v>
      </c>
      <c r="AR100" s="12">
        <f>两日求解价格与决策!AR292</f>
        <v>5.2473000000000001</v>
      </c>
      <c r="AS100" s="14">
        <f>两日求解价格与决策!AS292</f>
        <v>46234</v>
      </c>
      <c r="AT100" s="13">
        <f>两日求解价格与决策!AT292</f>
        <v>46236.822916666664</v>
      </c>
      <c r="AU100" s="12" t="str">
        <f>两日求解价格与决策!AU292</f>
        <v>2026-08-02_88</v>
      </c>
      <c r="AV100" s="12">
        <f>两日求解价格与决策!AV292</f>
        <v>15</v>
      </c>
      <c r="AW100" s="12" t="str">
        <f>两日求解价格与决策!AW292</f>
        <v>OK</v>
      </c>
      <c r="AX100" s="12">
        <f>两日求解价格与决策!AX292</f>
        <v>128</v>
      </c>
      <c r="AY100" s="12">
        <f>两日求解价格与决策!AY292</f>
        <v>175</v>
      </c>
      <c r="AZ100" s="12">
        <f>两日求解价格与决策!AZ292</f>
        <v>175</v>
      </c>
      <c r="BA100" s="12">
        <f>两日求解价格与决策!BA292</f>
        <v>40</v>
      </c>
      <c r="BB100" s="12">
        <f>两日求解价格与决策!BB292</f>
        <v>24</v>
      </c>
      <c r="BC100" s="12">
        <f>两日求解价格与决策!BC292</f>
        <v>24</v>
      </c>
      <c r="BD100" s="14">
        <f>两日求解价格与决策!BD292</f>
        <v>46236</v>
      </c>
      <c r="BE100" s="1" t="str">
        <f>两日求解价格与决策!BE292</f>
        <v>12.293863 MW × 208.160000 × 0.250000 h = 639.772620 EUR</v>
      </c>
      <c r="BF100" s="1" t="str">
        <f>两日求解价格与决策!BF292</f>
        <v>40.000000 MW × 66.224535 × 0.250000 h = 662.245345 EUR</v>
      </c>
      <c r="BG100" s="1" t="str">
        <f>两日求解价格与决策!BG292</f>
        <v>24.000000 MW × 3.914394 × 0.250000 h = 23.486364 EUR</v>
      </c>
      <c r="BH100" s="1" t="str">
        <f>两日求解价格与决策!BH292</f>
        <v>24.000000 MW × 2.593715 × 0.250000 h = 15.562289 EUR</v>
      </c>
      <c r="BI100" s="1" t="str">
        <f>两日求解价格与决策!BI292</f>
        <v>1.167497 MWh × 217.579136 = 254.023020 EUR</v>
      </c>
      <c r="BJ100" s="1" t="str">
        <f>两日求解价格与决策!BJ292</f>
        <v>−(0.079954 MWh × 76.420254) = -6.110127 EUR</v>
      </c>
      <c r="BK100" s="1" t="str">
        <f>两日求解价格与决策!BK292</f>
        <v>639.772620 + 662.245345 + 23.486364 + 15.562289 + 254.023020 + -6.110127 = 1588.979512 EUR</v>
      </c>
    </row>
    <row r="101" spans="1:63" ht="21" customHeight="1" x14ac:dyDescent="0.45">
      <c r="A101" s="13">
        <f>两日求解价格与决策!A293</f>
        <v>46236.958333333336</v>
      </c>
      <c r="B101" s="15">
        <f>两日求解价格与决策!B293</f>
        <v>204.49</v>
      </c>
      <c r="C101" s="15">
        <f>两日求解价格与决策!C293</f>
        <v>66.224534522516336</v>
      </c>
      <c r="D101" s="15">
        <f>两日求解价格与决策!D293</f>
        <v>7.1274750824233415</v>
      </c>
      <c r="E101" s="15">
        <f>两日求解价格与决策!E293</f>
        <v>2.5937148628818627</v>
      </c>
      <c r="F101" s="15">
        <f>两日求解价格与决策!F293</f>
        <v>223.50885217159299</v>
      </c>
      <c r="G101" s="15">
        <f>两日求解价格与决策!G293</f>
        <v>76.420254225982887</v>
      </c>
      <c r="H101" s="15" t="str">
        <f>两日求解价格与决策!H293</f>
        <v>未模拟</v>
      </c>
      <c r="I101" s="16">
        <f>两日求解价格与决策!I293</f>
        <v>47.104043488198684</v>
      </c>
      <c r="J101" s="16">
        <f>两日求解价格与决策!J293</f>
        <v>45.392961669565146</v>
      </c>
      <c r="K101" s="16">
        <f>两日求解价格与决策!K293</f>
        <v>0</v>
      </c>
      <c r="L101" s="16">
        <f>两日求解价格与决策!L293</f>
        <v>40</v>
      </c>
      <c r="M101" s="16">
        <f>两日求解价格与决策!M293</f>
        <v>24</v>
      </c>
      <c r="N101" s="16">
        <f>两日求解价格与决策!N293</f>
        <v>24</v>
      </c>
      <c r="O101" s="16">
        <f>两日求解价格与决策!O293</f>
        <v>1.5889371428571428</v>
      </c>
      <c r="P101" s="16">
        <f>两日求解价格与决策!P293</f>
        <v>1.7417142857142857E-2</v>
      </c>
      <c r="Q101" s="17">
        <f>两日求解价格与决策!Q293</f>
        <v>0</v>
      </c>
      <c r="R101" s="17">
        <f>两日求解价格与决策!R293</f>
        <v>662.24534522516342</v>
      </c>
      <c r="S101" s="17">
        <f>两日求解价格与决策!S293</f>
        <v>42.764850494540049</v>
      </c>
      <c r="T101" s="17">
        <f>两日求解价格与决策!T293</f>
        <v>15.562289177291177</v>
      </c>
      <c r="U101" s="17">
        <f>两日求解价格与决策!U293</f>
        <v>355.14151697281045</v>
      </c>
      <c r="V101" s="17">
        <f>两日求解价格与决策!V293</f>
        <v>-1.3310224850331192</v>
      </c>
      <c r="W101" s="17">
        <f>两日求解价格与决策!W293</f>
        <v>1074.3829793847719</v>
      </c>
      <c r="X101" s="12">
        <f>两日求解价格与决策!X293</f>
        <v>1074.3829793847719</v>
      </c>
      <c r="Y101" s="19">
        <f>两日求解价格与决策!Y293</f>
        <v>0</v>
      </c>
      <c r="Z101" s="12" t="str">
        <f t="shared" si="2"/>
        <v>正式执行</v>
      </c>
      <c r="AA101" s="12">
        <f>两日求解价格与决策!AA293</f>
        <v>1</v>
      </c>
      <c r="AB101" s="12">
        <f>两日求解价格与决策!AB293</f>
        <v>1</v>
      </c>
      <c r="AC101" s="12">
        <f>两日求解价格与决策!AC293</f>
        <v>0.25</v>
      </c>
      <c r="AD101" s="18">
        <f>两日求解价格与决策!AD293</f>
        <v>0.3125</v>
      </c>
      <c r="AE101" s="18">
        <f>两日求解价格与决策!AE293</f>
        <v>0.13714285714285715</v>
      </c>
      <c r="AF101" s="18">
        <f>两日求解价格与决策!AF293</f>
        <v>0.26482285714285714</v>
      </c>
      <c r="AG101" s="18">
        <f>两日求解价格与决策!AG293</f>
        <v>2.9028571428571428E-3</v>
      </c>
      <c r="AH101" s="12">
        <f>两日求解价格与决策!AH293</f>
        <v>175</v>
      </c>
      <c r="AI101" s="12">
        <f>两日求解价格与决策!AI293</f>
        <v>175</v>
      </c>
      <c r="AJ101" s="12">
        <f>两日求解价格与决策!AJ293</f>
        <v>11.586</v>
      </c>
      <c r="AK101" s="12">
        <f>两日求解价格与决策!AK293</f>
        <v>0.127</v>
      </c>
      <c r="AL101" s="12">
        <f>两日求解价格与决策!AL293</f>
        <v>131.96799999999999</v>
      </c>
      <c r="AM101" s="12">
        <f>两日求解价格与决策!AM293</f>
        <v>4.8420260041407868E-3</v>
      </c>
      <c r="AN101" s="12">
        <f>两日求解价格与决策!AN293</f>
        <v>1.7417142857142857E-2</v>
      </c>
      <c r="AO101" s="12">
        <f>两日求解价格与决策!AO293</f>
        <v>1.5889371428571428</v>
      </c>
      <c r="AP101" s="12">
        <f>两日求解价格与决策!AP293</f>
        <v>45.392961669565167</v>
      </c>
      <c r="AQ101" s="19">
        <f>两日求解价格与决策!AQ293</f>
        <v>0</v>
      </c>
      <c r="AR101" s="12">
        <f>两日求解价格与决策!AR293</f>
        <v>5.2473000000000001</v>
      </c>
      <c r="AS101" s="14">
        <f>两日求解价格与决策!AS293</f>
        <v>46234</v>
      </c>
      <c r="AT101" s="13">
        <f>两日求解价格与决策!AT293</f>
        <v>46236.833333333336</v>
      </c>
      <c r="AU101" s="12" t="str">
        <f>两日求解价格与决策!AU293</f>
        <v>2026-08-02_89</v>
      </c>
      <c r="AV101" s="12">
        <f>两日求解价格与决策!AV293</f>
        <v>15</v>
      </c>
      <c r="AW101" s="12" t="str">
        <f>两日求解价格与决策!AW293</f>
        <v>OK</v>
      </c>
      <c r="AX101" s="12">
        <f>两日求解价格与决策!AX293</f>
        <v>128</v>
      </c>
      <c r="AY101" s="12">
        <f>两日求解价格与决策!AY293</f>
        <v>175</v>
      </c>
      <c r="AZ101" s="12">
        <f>两日求解价格与决策!AZ293</f>
        <v>175</v>
      </c>
      <c r="BA101" s="12">
        <f>两日求解价格与决策!BA293</f>
        <v>40</v>
      </c>
      <c r="BB101" s="12">
        <f>两日求解价格与决策!BB293</f>
        <v>24</v>
      </c>
      <c r="BC101" s="12">
        <f>两日求解价格与决策!BC293</f>
        <v>24</v>
      </c>
      <c r="BD101" s="14">
        <f>两日求解价格与决策!BD293</f>
        <v>46236</v>
      </c>
      <c r="BE101" s="1" t="str">
        <f>两日求解价格与决策!BE293</f>
        <v>零头寸，无结算现金</v>
      </c>
      <c r="BF101" s="1" t="str">
        <f>两日求解价格与决策!BF293</f>
        <v>40.000000 MW × 66.224535 × 0.250000 h = 662.245345 EUR</v>
      </c>
      <c r="BG101" s="1" t="str">
        <f>两日求解价格与决策!BG293</f>
        <v>24.000000 MW × 7.127475 × 0.250000 h = 42.764850 EUR</v>
      </c>
      <c r="BH101" s="1" t="str">
        <f>两日求解价格与决策!BH293</f>
        <v>24.000000 MW × 2.593715 × 0.250000 h = 15.562289 EUR</v>
      </c>
      <c r="BI101" s="1" t="str">
        <f>两日求解价格与决策!BI293</f>
        <v>1.588937 MWh × 223.508852 = 355.141517 EUR</v>
      </c>
      <c r="BJ101" s="1" t="str">
        <f>两日求解价格与决策!BJ293</f>
        <v>−(0.017417 MWh × 76.420254) = -1.331022 EUR</v>
      </c>
      <c r="BK101" s="1" t="str">
        <f>两日求解价格与决策!BK293</f>
        <v>0.000000 + 662.245345 + 42.764850 + 15.562289 + 355.141517 + -1.331022 = 1074.382979 EUR</v>
      </c>
    </row>
    <row r="102" spans="1:63" ht="21" customHeight="1" x14ac:dyDescent="0.45">
      <c r="A102" s="13">
        <f>两日求解价格与决策!A294</f>
        <v>46236.96875</v>
      </c>
      <c r="B102" s="15">
        <f>两日求解价格与决策!B294</f>
        <v>211.53</v>
      </c>
      <c r="C102" s="15">
        <f>两日求解价格与决策!C294</f>
        <v>66.224534522516336</v>
      </c>
      <c r="D102" s="15">
        <f>两日求解价格与决策!D294</f>
        <v>7.1274750824233415</v>
      </c>
      <c r="E102" s="15">
        <f>两日求解价格与决策!E294</f>
        <v>2.5937148628818627</v>
      </c>
      <c r="F102" s="15">
        <f>两日求解价格与决策!F294</f>
        <v>224.42837268690565</v>
      </c>
      <c r="G102" s="15">
        <f>两日求解价格与决策!G294</f>
        <v>0</v>
      </c>
      <c r="H102" s="15" t="str">
        <f>两日求解价格与决策!H294</f>
        <v>未模拟</v>
      </c>
      <c r="I102" s="16">
        <f>两日求解价格与决策!I294</f>
        <v>45.392961669565146</v>
      </c>
      <c r="J102" s="16">
        <f>两日求解价格与决策!J294</f>
        <v>33.514899557763911</v>
      </c>
      <c r="K102" s="16">
        <f>两日求解价格与决策!K294</f>
        <v>36</v>
      </c>
      <c r="L102" s="16">
        <f>两日求解价格与决策!L294</f>
        <v>40</v>
      </c>
      <c r="M102" s="16">
        <f>两日求解价格与决策!M294</f>
        <v>24</v>
      </c>
      <c r="N102" s="16">
        <f>两日求解价格与决策!N294</f>
        <v>24</v>
      </c>
      <c r="O102" s="16">
        <f>两日求解价格与决策!O294</f>
        <v>1.9278171428571431</v>
      </c>
      <c r="P102" s="16">
        <f>两日求解价格与决策!P294</f>
        <v>0</v>
      </c>
      <c r="Q102" s="17">
        <f>两日求解价格与决策!Q294</f>
        <v>1903.77</v>
      </c>
      <c r="R102" s="17">
        <f>两日求解价格与决策!R294</f>
        <v>662.24534522516342</v>
      </c>
      <c r="S102" s="17">
        <f>两日求解价格与决策!S294</f>
        <v>42.764850494540049</v>
      </c>
      <c r="T102" s="17">
        <f>两日求解价格与决策!T294</f>
        <v>15.562289177291177</v>
      </c>
      <c r="U102" s="17">
        <f>两日求解价格与决策!U294</f>
        <v>432.65686420934856</v>
      </c>
      <c r="V102" s="17">
        <f>两日求解价格与决策!V294</f>
        <v>0</v>
      </c>
      <c r="W102" s="17">
        <f>两日求解价格与决策!W294</f>
        <v>3056.9993491063428</v>
      </c>
      <c r="X102" s="12">
        <f>两日求解价格与决策!X294</f>
        <v>3056.9993491063433</v>
      </c>
      <c r="Y102" s="19">
        <f>两日求解价格与决策!Y294</f>
        <v>0</v>
      </c>
      <c r="Z102" s="12" t="str">
        <f t="shared" si="2"/>
        <v>正式执行</v>
      </c>
      <c r="AA102" s="12">
        <f>两日求解价格与决策!AA294</f>
        <v>1</v>
      </c>
      <c r="AB102" s="12">
        <f>两日求解价格与决策!AB294</f>
        <v>1</v>
      </c>
      <c r="AC102" s="12">
        <f>两日求解价格与决策!AC294</f>
        <v>0.25</v>
      </c>
      <c r="AD102" s="18">
        <f>两日求解价格与决策!AD294</f>
        <v>0.3125</v>
      </c>
      <c r="AE102" s="18">
        <f>两日求解价格与决策!AE294</f>
        <v>0.13714285714285715</v>
      </c>
      <c r="AF102" s="18">
        <f>两日求解价格与决策!AF294</f>
        <v>0.32130285714285717</v>
      </c>
      <c r="AG102" s="18">
        <f>两日求解价格与决策!AG294</f>
        <v>0</v>
      </c>
      <c r="AH102" s="12">
        <f>两日求解价格与决策!AH294</f>
        <v>175</v>
      </c>
      <c r="AI102" s="12">
        <f>两日求解价格与决策!AI294</f>
        <v>175</v>
      </c>
      <c r="AJ102" s="12">
        <f>两日求解价格与决策!AJ294</f>
        <v>14.057</v>
      </c>
      <c r="AK102" s="12">
        <f>两日求解价格与决策!AK294</f>
        <v>0</v>
      </c>
      <c r="AL102" s="12">
        <f>两日求解价格与决策!AL294</f>
        <v>131.96799999999999</v>
      </c>
      <c r="AM102" s="12">
        <f>两日求解价格与决策!AM294</f>
        <v>3.2994616977225673E-2</v>
      </c>
      <c r="AN102" s="12">
        <f>两日求解价格与决策!AN294</f>
        <v>0</v>
      </c>
      <c r="AO102" s="12">
        <f>两日求解价格与决策!AO294</f>
        <v>10.927817142857144</v>
      </c>
      <c r="AP102" s="12">
        <f>两日求解价格与决策!AP294</f>
        <v>33.514899557763918</v>
      </c>
      <c r="AQ102" s="19">
        <f>两日求解价格与决策!AQ294</f>
        <v>0</v>
      </c>
      <c r="AR102" s="12">
        <f>两日求解价格与决策!AR294</f>
        <v>5.2473000000000001</v>
      </c>
      <c r="AS102" s="14">
        <f>两日求解价格与决策!AS294</f>
        <v>46234</v>
      </c>
      <c r="AT102" s="13">
        <f>两日求解价格与决策!AT294</f>
        <v>46236.84375</v>
      </c>
      <c r="AU102" s="12" t="str">
        <f>两日求解价格与决策!AU294</f>
        <v>2026-08-02_90</v>
      </c>
      <c r="AV102" s="12">
        <f>两日求解价格与决策!AV294</f>
        <v>15</v>
      </c>
      <c r="AW102" s="12" t="str">
        <f>两日求解价格与决策!AW294</f>
        <v>OK</v>
      </c>
      <c r="AX102" s="12">
        <f>两日求解价格与决策!AX294</f>
        <v>128</v>
      </c>
      <c r="AY102" s="12">
        <f>两日求解价格与决策!AY294</f>
        <v>175</v>
      </c>
      <c r="AZ102" s="12">
        <f>两日求解价格与决策!AZ294</f>
        <v>175</v>
      </c>
      <c r="BA102" s="12">
        <f>两日求解价格与决策!BA294</f>
        <v>40</v>
      </c>
      <c r="BB102" s="12">
        <f>两日求解价格与决策!BB294</f>
        <v>24</v>
      </c>
      <c r="BC102" s="12">
        <f>两日求解价格与决策!BC294</f>
        <v>24</v>
      </c>
      <c r="BD102" s="14">
        <f>两日求解价格与决策!BD294</f>
        <v>46236</v>
      </c>
      <c r="BE102" s="1" t="str">
        <f>两日求解价格与决策!BE294</f>
        <v>36.000000 MW × 211.530000 × 0.250000 h = 1903.770000 EUR</v>
      </c>
      <c r="BF102" s="1" t="str">
        <f>两日求解价格与决策!BF294</f>
        <v>40.000000 MW × 66.224535 × 0.250000 h = 662.245345 EUR</v>
      </c>
      <c r="BG102" s="1" t="str">
        <f>两日求解价格与决策!BG294</f>
        <v>24.000000 MW × 7.127475 × 0.250000 h = 42.764850 EUR</v>
      </c>
      <c r="BH102" s="1" t="str">
        <f>两日求解价格与决策!BH294</f>
        <v>24.000000 MW × 2.593715 × 0.250000 h = 15.562289 EUR</v>
      </c>
      <c r="BI102" s="1" t="str">
        <f>两日求解价格与决策!BI294</f>
        <v>1.927817 MWh × 224.428373 = 432.656864 EUR</v>
      </c>
      <c r="BJ102" s="1" t="str">
        <f>两日求解价格与决策!BJ294</f>
        <v>零下调激活电量</v>
      </c>
      <c r="BK102" s="1" t="str">
        <f>两日求解价格与决策!BK294</f>
        <v>1903.770000 + 662.245345 + 42.764850 + 15.562289 + 432.656864 + 0.000000 = 3056.999349 EUR</v>
      </c>
    </row>
    <row r="103" spans="1:63" ht="21" customHeight="1" x14ac:dyDescent="0.45">
      <c r="A103" s="13">
        <f>两日求解价格与决策!A295</f>
        <v>46236.979166666664</v>
      </c>
      <c r="B103" s="15">
        <f>两日求解价格与决策!B295</f>
        <v>208.43</v>
      </c>
      <c r="C103" s="15">
        <f>两日求解价格与决策!C295</f>
        <v>66.224534522516336</v>
      </c>
      <c r="D103" s="15">
        <f>两日求解价格与决策!D295</f>
        <v>7.1274750824233415</v>
      </c>
      <c r="E103" s="15">
        <f>两日求解价格与决策!E295</f>
        <v>2.5937148628818627</v>
      </c>
      <c r="F103" s="15">
        <f>两日求解价格与决策!F295</f>
        <v>211.84513940502734</v>
      </c>
      <c r="G103" s="15">
        <f>两日求解价格与决策!G295</f>
        <v>0</v>
      </c>
      <c r="H103" s="15" t="str">
        <f>两日求解价格与决策!H295</f>
        <v>未模拟</v>
      </c>
      <c r="I103" s="16">
        <f>两日求解价格与决策!I295</f>
        <v>33.514899557763911</v>
      </c>
      <c r="J103" s="16">
        <f>两日求解价格与决策!J295</f>
        <v>32.659843657142794</v>
      </c>
      <c r="K103" s="16">
        <f>两日求解价格与决策!K295</f>
        <v>0</v>
      </c>
      <c r="L103" s="16">
        <f>两日求解价格与决策!L295</f>
        <v>40</v>
      </c>
      <c r="M103" s="16">
        <f>两日求解价格与决策!M295</f>
        <v>24</v>
      </c>
      <c r="N103" s="16">
        <f>两日求解价格与决策!N295</f>
        <v>24</v>
      </c>
      <c r="O103" s="16">
        <f>两日求解价格与决策!O295</f>
        <v>0.78665142857142856</v>
      </c>
      <c r="P103" s="16">
        <f>两日求解价格与决策!P295</f>
        <v>0</v>
      </c>
      <c r="Q103" s="17">
        <f>两日求解价格与决策!Q295</f>
        <v>0</v>
      </c>
      <c r="R103" s="17">
        <f>两日求解价格与决策!R295</f>
        <v>662.24534522516342</v>
      </c>
      <c r="S103" s="17">
        <f>两日求解价格与决策!S295</f>
        <v>42.764850494540049</v>
      </c>
      <c r="T103" s="17">
        <f>两日求解价格与决策!T295</f>
        <v>15.562289177291177</v>
      </c>
      <c r="U103" s="17">
        <f>两日求解价格与决策!U295</f>
        <v>166.6482815488782</v>
      </c>
      <c r="V103" s="17">
        <f>两日求解价格与决策!V295</f>
        <v>0</v>
      </c>
      <c r="W103" s="17">
        <f>两日求解价格与决策!W295</f>
        <v>887.22076644587287</v>
      </c>
      <c r="X103" s="12">
        <f>两日求解价格与决策!X295</f>
        <v>887.22076644587287</v>
      </c>
      <c r="Y103" s="19">
        <f>两日求解价格与决策!Y295</f>
        <v>0</v>
      </c>
      <c r="Z103" s="12" t="str">
        <f t="shared" si="2"/>
        <v>正式执行</v>
      </c>
      <c r="AA103" s="12">
        <f>两日求解价格与决策!AA295</f>
        <v>1</v>
      </c>
      <c r="AB103" s="12">
        <f>两日求解价格与决策!AB295</f>
        <v>1</v>
      </c>
      <c r="AC103" s="12">
        <f>两日求解价格与决策!AC295</f>
        <v>0.25</v>
      </c>
      <c r="AD103" s="18">
        <f>两日求解价格与决策!AD295</f>
        <v>0.3125</v>
      </c>
      <c r="AE103" s="18">
        <f>两日求解价格与决策!AE295</f>
        <v>0.13714285714285715</v>
      </c>
      <c r="AF103" s="18">
        <f>两日求解价格与决策!AF295</f>
        <v>0.13110857142857144</v>
      </c>
      <c r="AG103" s="18">
        <f>两日求解价格与决策!AG295</f>
        <v>0</v>
      </c>
      <c r="AH103" s="12">
        <f>两日求解价格与决策!AH295</f>
        <v>175</v>
      </c>
      <c r="AI103" s="12">
        <f>两日求解价格与决策!AI295</f>
        <v>175</v>
      </c>
      <c r="AJ103" s="12">
        <f>两日求解价格与决策!AJ295</f>
        <v>5.7359999999999998</v>
      </c>
      <c r="AK103" s="12">
        <f>两日求解价格与决策!AK295</f>
        <v>0</v>
      </c>
      <c r="AL103" s="12">
        <f>两日求解价格与决策!AL295</f>
        <v>131.96799999999999</v>
      </c>
      <c r="AM103" s="12">
        <f>两日求解价格与决策!AM295</f>
        <v>2.3751552795031054E-3</v>
      </c>
      <c r="AN103" s="12">
        <f>两日求解价格与决策!AN295</f>
        <v>0</v>
      </c>
      <c r="AO103" s="12">
        <f>两日求解价格与决策!AO295</f>
        <v>0.78665142857142856</v>
      </c>
      <c r="AP103" s="12">
        <f>两日求解价格与决策!AP295</f>
        <v>32.659843657142801</v>
      </c>
      <c r="AQ103" s="19">
        <f>两日求解价格与决策!AQ295</f>
        <v>0</v>
      </c>
      <c r="AR103" s="12">
        <f>两日求解价格与决策!AR295</f>
        <v>5.2473000000000001</v>
      </c>
      <c r="AS103" s="14">
        <f>两日求解价格与决策!AS295</f>
        <v>46234</v>
      </c>
      <c r="AT103" s="13">
        <f>两日求解价格与决策!AT295</f>
        <v>46236.854166666664</v>
      </c>
      <c r="AU103" s="12" t="str">
        <f>两日求解价格与决策!AU295</f>
        <v>2026-08-02_91</v>
      </c>
      <c r="AV103" s="12">
        <f>两日求解价格与决策!AV295</f>
        <v>15</v>
      </c>
      <c r="AW103" s="12" t="str">
        <f>两日求解价格与决策!AW295</f>
        <v>OK</v>
      </c>
      <c r="AX103" s="12">
        <f>两日求解价格与决策!AX295</f>
        <v>128</v>
      </c>
      <c r="AY103" s="12">
        <f>两日求解价格与决策!AY295</f>
        <v>175</v>
      </c>
      <c r="AZ103" s="12">
        <f>两日求解价格与决策!AZ295</f>
        <v>175</v>
      </c>
      <c r="BA103" s="12">
        <f>两日求解价格与决策!BA295</f>
        <v>40</v>
      </c>
      <c r="BB103" s="12">
        <f>两日求解价格与决策!BB295</f>
        <v>24</v>
      </c>
      <c r="BC103" s="12">
        <f>两日求解价格与决策!BC295</f>
        <v>24</v>
      </c>
      <c r="BD103" s="14">
        <f>两日求解价格与决策!BD295</f>
        <v>46236</v>
      </c>
      <c r="BE103" s="1" t="str">
        <f>两日求解价格与决策!BE295</f>
        <v>零头寸，无结算现金</v>
      </c>
      <c r="BF103" s="1" t="str">
        <f>两日求解价格与决策!BF295</f>
        <v>40.000000 MW × 66.224535 × 0.250000 h = 662.245345 EUR</v>
      </c>
      <c r="BG103" s="1" t="str">
        <f>两日求解价格与决策!BG295</f>
        <v>24.000000 MW × 7.127475 × 0.250000 h = 42.764850 EUR</v>
      </c>
      <c r="BH103" s="1" t="str">
        <f>两日求解价格与决策!BH295</f>
        <v>24.000000 MW × 2.593715 × 0.250000 h = 15.562289 EUR</v>
      </c>
      <c r="BI103" s="1" t="str">
        <f>两日求解价格与决策!BI295</f>
        <v>0.786651 MWh × 211.845139 = 166.648282 EUR</v>
      </c>
      <c r="BJ103" s="1" t="str">
        <f>两日求解价格与决策!BJ295</f>
        <v>零下调激活电量</v>
      </c>
      <c r="BK103" s="1" t="str">
        <f>两日求解价格与决策!BK295</f>
        <v>0.000000 + 662.245345 + 42.764850 + 15.562289 + 166.648282 + 0.000000 = 887.220766 EUR</v>
      </c>
    </row>
    <row r="104" spans="1:63" ht="21" customHeight="1" x14ac:dyDescent="0.45">
      <c r="A104" s="13">
        <f>两日求解价格与决策!A296</f>
        <v>46236.989583333336</v>
      </c>
      <c r="B104" s="15">
        <f>两日求解价格与决策!B296</f>
        <v>183.75</v>
      </c>
      <c r="C104" s="15">
        <f>两日求解价格与决策!C296</f>
        <v>66.224534522516336</v>
      </c>
      <c r="D104" s="15">
        <f>两日求解价格与决策!D296</f>
        <v>7.1274750824233415</v>
      </c>
      <c r="E104" s="15">
        <f>两日求解价格与决策!E296</f>
        <v>2.5937148628818627</v>
      </c>
      <c r="F104" s="15">
        <f>两日求解价格与决策!F296</f>
        <v>218.74849922817447</v>
      </c>
      <c r="G104" s="15">
        <f>两日求解价格与决策!G296</f>
        <v>76.420254225982887</v>
      </c>
      <c r="H104" s="15" t="str">
        <f>两日求解价格与决策!H296</f>
        <v>未模拟</v>
      </c>
      <c r="I104" s="16">
        <f>两日求解价格与决策!I296</f>
        <v>32.659843657142794</v>
      </c>
      <c r="J104" s="16">
        <f>两日求解价格与决策!J296</f>
        <v>31.739130434782549</v>
      </c>
      <c r="K104" s="16">
        <f>两日求解价格与决策!K296</f>
        <v>0</v>
      </c>
      <c r="L104" s="16">
        <f>两日求解价格与决策!L296</f>
        <v>40</v>
      </c>
      <c r="M104" s="16">
        <f>两日求解价格与决策!M296</f>
        <v>24</v>
      </c>
      <c r="N104" s="16">
        <f>两日求解价格与决策!N296</f>
        <v>24</v>
      </c>
      <c r="O104" s="16">
        <f>两日求解价格与决策!O296</f>
        <v>0.85193142857142856</v>
      </c>
      <c r="P104" s="16">
        <f>两日求解价格与决策!P296</f>
        <v>5.7600000000000004E-3</v>
      </c>
      <c r="Q104" s="17">
        <f>两日求解价格与决策!Q296</f>
        <v>0</v>
      </c>
      <c r="R104" s="17">
        <f>两日求解价格与决策!R296</f>
        <v>662.24534522516342</v>
      </c>
      <c r="S104" s="17">
        <f>两日求解价格与决策!S296</f>
        <v>42.764850494540049</v>
      </c>
      <c r="T104" s="17">
        <f>两日求解价格与决策!T296</f>
        <v>15.562289177291177</v>
      </c>
      <c r="U104" s="17">
        <f>两日求解价格与决策!U296</f>
        <v>186.3587214453147</v>
      </c>
      <c r="V104" s="17">
        <f>两日求解价格与决策!V296</f>
        <v>-0.44018066434166148</v>
      </c>
      <c r="W104" s="17">
        <f>两日求解价格与决策!W296</f>
        <v>906.49102567796763</v>
      </c>
      <c r="X104" s="12">
        <f>两日求解价格与决策!X296</f>
        <v>906.49102567796763</v>
      </c>
      <c r="Y104" s="19">
        <f>两日求解价格与决策!Y296</f>
        <v>0</v>
      </c>
      <c r="Z104" s="12" t="str">
        <f t="shared" si="2"/>
        <v>正式执行</v>
      </c>
      <c r="AA104" s="12">
        <f>两日求解价格与决策!AA296</f>
        <v>1</v>
      </c>
      <c r="AB104" s="12">
        <f>两日求解价格与决策!AB296</f>
        <v>1</v>
      </c>
      <c r="AC104" s="12">
        <f>两日求解价格与决策!AC296</f>
        <v>0.25</v>
      </c>
      <c r="AD104" s="18">
        <f>两日求解价格与决策!AD296</f>
        <v>0.3125</v>
      </c>
      <c r="AE104" s="18">
        <f>两日求解价格与决策!AE296</f>
        <v>0.13714285714285715</v>
      </c>
      <c r="AF104" s="18">
        <f>两日求解价格与决策!AF296</f>
        <v>0.14198857142857144</v>
      </c>
      <c r="AG104" s="18">
        <f>两日求解价格与决策!AG296</f>
        <v>9.6000000000000002E-4</v>
      </c>
      <c r="AH104" s="12">
        <f>两日求解价格与决策!AH296</f>
        <v>175</v>
      </c>
      <c r="AI104" s="12">
        <f>两日求解价格与决策!AI296</f>
        <v>175</v>
      </c>
      <c r="AJ104" s="12">
        <f>两日求解价格与决策!AJ296</f>
        <v>6.2119999999999997</v>
      </c>
      <c r="AK104" s="12">
        <f>两日求解价格与决策!AK296</f>
        <v>4.2000000000000003E-2</v>
      </c>
      <c r="AL104" s="12">
        <f>两日求解价格与决策!AL296</f>
        <v>131.96799999999999</v>
      </c>
      <c r="AM104" s="12">
        <f>两日求解价格与决策!AM296</f>
        <v>2.5869767287784681E-3</v>
      </c>
      <c r="AN104" s="12">
        <f>两日求解价格与决策!AN296</f>
        <v>5.7600000000000004E-3</v>
      </c>
      <c r="AO104" s="12">
        <f>两日求解价格与决策!AO296</f>
        <v>0.85193142857142856</v>
      </c>
      <c r="AP104" s="12">
        <f>两日求解价格与决策!AP296</f>
        <v>31.739130434782556</v>
      </c>
      <c r="AQ104" s="19">
        <f>两日求解价格与决策!AQ296</f>
        <v>0</v>
      </c>
      <c r="AR104" s="12">
        <f>两日求解价格与决策!AR296</f>
        <v>5.2473000000000001</v>
      </c>
      <c r="AS104" s="14">
        <f>两日求解价格与决策!AS296</f>
        <v>46234</v>
      </c>
      <c r="AT104" s="13">
        <f>两日求解价格与决策!AT296</f>
        <v>46236.864583333336</v>
      </c>
      <c r="AU104" s="12" t="str">
        <f>两日求解价格与决策!AU296</f>
        <v>2026-08-02_92</v>
      </c>
      <c r="AV104" s="12">
        <f>两日求解价格与决策!AV296</f>
        <v>15</v>
      </c>
      <c r="AW104" s="12" t="str">
        <f>两日求解价格与决策!AW296</f>
        <v>OK</v>
      </c>
      <c r="AX104" s="12">
        <f>两日求解价格与决策!AX296</f>
        <v>128</v>
      </c>
      <c r="AY104" s="12">
        <f>两日求解价格与决策!AY296</f>
        <v>175</v>
      </c>
      <c r="AZ104" s="12">
        <f>两日求解价格与决策!AZ296</f>
        <v>175</v>
      </c>
      <c r="BA104" s="12">
        <f>两日求解价格与决策!BA296</f>
        <v>40</v>
      </c>
      <c r="BB104" s="12">
        <f>两日求解价格与决策!BB296</f>
        <v>24</v>
      </c>
      <c r="BC104" s="12">
        <f>两日求解价格与决策!BC296</f>
        <v>24</v>
      </c>
      <c r="BD104" s="14">
        <f>两日求解价格与决策!BD296</f>
        <v>46236</v>
      </c>
      <c r="BE104" s="1" t="str">
        <f>两日求解价格与决策!BE296</f>
        <v>零头寸，无结算现金</v>
      </c>
      <c r="BF104" s="1" t="str">
        <f>两日求解价格与决策!BF296</f>
        <v>40.000000 MW × 66.224535 × 0.250000 h = 662.245345 EUR</v>
      </c>
      <c r="BG104" s="1" t="str">
        <f>两日求解价格与决策!BG296</f>
        <v>24.000000 MW × 7.127475 × 0.250000 h = 42.764850 EUR</v>
      </c>
      <c r="BH104" s="1" t="str">
        <f>两日求解价格与决策!BH296</f>
        <v>24.000000 MW × 2.593715 × 0.250000 h = 15.562289 EUR</v>
      </c>
      <c r="BI104" s="1" t="str">
        <f>两日求解价格与决策!BI296</f>
        <v>0.851931 MWh × 218.748499 = 186.358721 EUR</v>
      </c>
      <c r="BJ104" s="1" t="str">
        <f>两日求解价格与决策!BJ296</f>
        <v>−(0.005760 MWh × 76.420254) = -0.440181 EUR</v>
      </c>
      <c r="BK104" s="1" t="str">
        <f>两日求解价格与决策!BK296</f>
        <v>0.000000 + 662.245345 + 42.764850 + 15.562289 + 186.358721 + -0.440181 = 906.491026 EUR</v>
      </c>
    </row>
    <row r="105" spans="1:63" ht="21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21" customHeight="1" x14ac:dyDescent="0.45">
      <c r="A106" s="20" t="s">
        <v>66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1">
        <f t="shared" ref="O106:X106" si="3">SUM(O9:O104)</f>
        <v>48.081737142857143</v>
      </c>
      <c r="P106" s="21">
        <f t="shared" si="3"/>
        <v>53.256685714285716</v>
      </c>
      <c r="Q106" s="21">
        <f t="shared" si="3"/>
        <v>22387.470069275863</v>
      </c>
      <c r="R106" s="21">
        <f t="shared" si="3"/>
        <v>61841.327921026052</v>
      </c>
      <c r="S106" s="21">
        <f t="shared" si="3"/>
        <v>3527.6199188153892</v>
      </c>
      <c r="T106" s="21">
        <f t="shared" si="3"/>
        <v>2074.8956606254624</v>
      </c>
      <c r="U106" s="21">
        <f t="shared" si="3"/>
        <v>9593.71925574132</v>
      </c>
      <c r="V106" s="21">
        <f t="shared" si="3"/>
        <v>1655.0970398555992</v>
      </c>
      <c r="W106" s="21">
        <f t="shared" si="3"/>
        <v>101080.12986533971</v>
      </c>
      <c r="X106" s="21">
        <f t="shared" si="3"/>
        <v>101080.12986533971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21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21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21" customHeight="1" x14ac:dyDescent="0.45">
      <c r="A109" s="1" t="s">
        <v>67</v>
      </c>
      <c r="B109" s="12">
        <f>订单与窗口!C7</f>
        <v>31.739130434782815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21" customHeight="1" x14ac:dyDescent="0.45">
      <c r="A110" s="1" t="s">
        <v>68</v>
      </c>
      <c r="B110" s="12">
        <f>J104</f>
        <v>31.739130434782549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21" customHeight="1" x14ac:dyDescent="0.45">
      <c r="A111" s="1"/>
      <c r="B111" s="1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21" customHeight="1" x14ac:dyDescent="0.45">
      <c r="A112" s="1" t="s">
        <v>69</v>
      </c>
      <c r="B112" s="12">
        <f>'8月1日审计'!W106+'8月2日审计'!W106</f>
        <v>208618.55234530085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21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21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21" customHeight="1" x14ac:dyDescent="0.45">
      <c r="A115" s="1" t="s">
        <v>70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21" customHeight="1" x14ac:dyDescent="0.45">
      <c r="A116" s="1" t="s">
        <v>71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21" customHeight="1" x14ac:dyDescent="0.45">
      <c r="A117" s="1" t="s">
        <v>72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21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21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21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21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21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21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</sheetData>
  <phoneticPr fontId="9" type="noConversion"/>
  <conditionalFormatting sqref="Y9:Y104">
    <cfRule type="expression" dxfId="12" priority="1">
      <formula>ABS(Y9)&gt;0.00001</formula>
    </cfRule>
  </conditionalFormatting>
  <conditionalFormatting sqref="AQ9:AQ104">
    <cfRule type="expression" dxfId="11" priority="2">
      <formula>ABS(AQ9)&gt;0.000001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77392"/>
  </sheetPr>
  <dimension ref="A1:BK403"/>
  <sheetViews>
    <sheetView showGridLines="0" tabSelected="1" zoomScale="80" zoomScaleNormal="80" workbookViewId="0">
      <pane xSplit="1" ySplit="8" topLeftCell="G131" activePane="bottomRight" state="frozen"/>
      <selection pane="topRight"/>
      <selection pane="bottomLeft"/>
      <selection pane="bottomRight" activeCell="J6" sqref="J6"/>
    </sheetView>
  </sheetViews>
  <sheetFormatPr defaultRowHeight="14.25" x14ac:dyDescent="0.45"/>
  <cols>
    <col min="1" max="1" width="27" customWidth="1"/>
    <col min="2" max="7" width="19" customWidth="1"/>
    <col min="8" max="8" width="7.265625" customWidth="1"/>
    <col min="9" max="25" width="19" customWidth="1"/>
    <col min="26" max="26" width="25" customWidth="1"/>
    <col min="27" max="45" width="19" customWidth="1"/>
    <col min="46" max="46" width="27" customWidth="1"/>
    <col min="47" max="47" width="28" customWidth="1"/>
    <col min="48" max="48" width="19" customWidth="1"/>
    <col min="49" max="49" width="36" customWidth="1"/>
    <col min="50" max="56" width="19" customWidth="1"/>
    <col min="57" max="62" width="66" customWidth="1"/>
    <col min="63" max="63" width="104" customWidth="1"/>
  </cols>
  <sheetData>
    <row r="1" spans="1:63" ht="21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21" customHeight="1" x14ac:dyDescent="0.45">
      <c r="A2" s="2" t="s">
        <v>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ht="21" customHeight="1" x14ac:dyDescent="0.45">
      <c r="A3" s="3" t="s">
        <v>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21" customHeight="1" x14ac:dyDescent="0.45">
      <c r="A4" s="3" t="s">
        <v>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21" customHeight="1" x14ac:dyDescent="0.45">
      <c r="A5" s="3"/>
      <c r="B5" s="1"/>
      <c r="C5" s="1"/>
      <c r="D5" s="1"/>
      <c r="E5" s="1"/>
      <c r="F5" s="1"/>
      <c r="G5" s="1"/>
      <c r="H5" s="1"/>
      <c r="I5" s="1"/>
      <c r="J5" s="34" t="s">
        <v>1350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21" customHeight="1" x14ac:dyDescent="0.45">
      <c r="A6" s="1"/>
      <c r="B6" s="1"/>
      <c r="C6" s="1"/>
      <c r="D6" s="1"/>
      <c r="E6" s="1"/>
      <c r="F6" s="1"/>
      <c r="G6" s="1"/>
      <c r="H6" s="1"/>
      <c r="I6" s="1"/>
      <c r="J6" s="34">
        <f>40*66</f>
        <v>2640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21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55.05" customHeight="1" x14ac:dyDescent="0.45">
      <c r="A8" s="6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6" t="s">
        <v>12</v>
      </c>
      <c r="K8" s="6" t="s">
        <v>13</v>
      </c>
      <c r="L8" s="6" t="s">
        <v>14</v>
      </c>
      <c r="M8" s="6" t="s">
        <v>15</v>
      </c>
      <c r="N8" s="6" t="s">
        <v>16</v>
      </c>
      <c r="O8" s="6" t="s">
        <v>17</v>
      </c>
      <c r="P8" s="6" t="s">
        <v>18</v>
      </c>
      <c r="Q8" s="6" t="s">
        <v>19</v>
      </c>
      <c r="R8" s="6" t="s">
        <v>20</v>
      </c>
      <c r="S8" s="6" t="s">
        <v>21</v>
      </c>
      <c r="T8" s="6" t="s">
        <v>22</v>
      </c>
      <c r="U8" s="6" t="s">
        <v>23</v>
      </c>
      <c r="V8" s="6" t="s">
        <v>24</v>
      </c>
      <c r="W8" s="6" t="s">
        <v>25</v>
      </c>
      <c r="X8" s="6" t="s">
        <v>26</v>
      </c>
      <c r="Y8" s="6" t="s">
        <v>27</v>
      </c>
      <c r="Z8" s="6" t="s">
        <v>28</v>
      </c>
      <c r="AA8" s="6" t="s">
        <v>29</v>
      </c>
      <c r="AB8" s="6" t="s">
        <v>30</v>
      </c>
      <c r="AC8" s="6" t="s">
        <v>31</v>
      </c>
      <c r="AD8" s="6" t="s">
        <v>32</v>
      </c>
      <c r="AE8" s="6" t="s">
        <v>33</v>
      </c>
      <c r="AF8" s="6" t="s">
        <v>34</v>
      </c>
      <c r="AG8" s="6" t="s">
        <v>35</v>
      </c>
      <c r="AH8" s="6" t="s">
        <v>36</v>
      </c>
      <c r="AI8" s="6" t="s">
        <v>37</v>
      </c>
      <c r="AJ8" s="6" t="s">
        <v>38</v>
      </c>
      <c r="AK8" s="6" t="s">
        <v>39</v>
      </c>
      <c r="AL8" s="6" t="s">
        <v>40</v>
      </c>
      <c r="AM8" s="6" t="s">
        <v>41</v>
      </c>
      <c r="AN8" s="6" t="s">
        <v>42</v>
      </c>
      <c r="AO8" s="6" t="s">
        <v>43</v>
      </c>
      <c r="AP8" s="6" t="s">
        <v>44</v>
      </c>
      <c r="AQ8" s="6" t="s">
        <v>45</v>
      </c>
      <c r="AR8" s="6" t="s">
        <v>46</v>
      </c>
      <c r="AS8" s="6" t="s">
        <v>47</v>
      </c>
      <c r="AT8" s="6" t="s">
        <v>48</v>
      </c>
      <c r="AU8" s="6" t="s">
        <v>49</v>
      </c>
      <c r="AV8" s="6" t="s">
        <v>50</v>
      </c>
      <c r="AW8" s="6" t="s">
        <v>51</v>
      </c>
      <c r="AX8" s="6" t="s">
        <v>52</v>
      </c>
      <c r="AY8" s="6" t="s">
        <v>53</v>
      </c>
      <c r="AZ8" s="6" t="s">
        <v>54</v>
      </c>
      <c r="BA8" s="6" t="s">
        <v>55</v>
      </c>
      <c r="BB8" s="6" t="s">
        <v>56</v>
      </c>
      <c r="BC8" s="6" t="s">
        <v>57</v>
      </c>
      <c r="BD8" s="6" t="s">
        <v>58</v>
      </c>
      <c r="BE8" s="6" t="s">
        <v>59</v>
      </c>
      <c r="BF8" s="6" t="s">
        <v>60</v>
      </c>
      <c r="BG8" s="6" t="s">
        <v>61</v>
      </c>
      <c r="BH8" s="6" t="s">
        <v>62</v>
      </c>
      <c r="BI8" s="6" t="s">
        <v>63</v>
      </c>
      <c r="BJ8" s="6" t="s">
        <v>64</v>
      </c>
      <c r="BK8" s="6" t="s">
        <v>65</v>
      </c>
    </row>
    <row r="9" spans="1:63" ht="21" customHeight="1" x14ac:dyDescent="0.45">
      <c r="A9" s="13">
        <f>原始输入与口径!C9</f>
        <v>46235</v>
      </c>
      <c r="B9" s="15">
        <f>IF(ISNUMBER(原始输入与口径!H9),原始输入与口径!H9,"缺失")</f>
        <v>179.01</v>
      </c>
      <c r="C9" s="15">
        <f>IF(ISNUMBER(原始输入与口径!R9),原始输入与口径!R9,"缺失")</f>
        <v>66.224534522516336</v>
      </c>
      <c r="D9" s="15">
        <f>IF(ISNUMBER(原始输入与口径!W9),原始输入与口径!W9,"缺失")</f>
        <v>7.1274750824233415</v>
      </c>
      <c r="E9" s="15">
        <f>IF(ISNUMBER(原始输入与口径!AB9),原始输入与口径!AB9,"缺失")</f>
        <v>2.7061536409200921</v>
      </c>
      <c r="F9" s="15">
        <f>IF(ISNUMBER(原始输入与口径!AG9),原始输入与口径!AG9,"缺失")</f>
        <v>391.83580126922413</v>
      </c>
      <c r="G9" s="15">
        <f>IF(ISNUMBER(原始输入与口径!AJ9),原始输入与口径!AJ9,"缺失")</f>
        <v>0</v>
      </c>
      <c r="H9" s="15" t="str">
        <f t="shared" ref="H9:H72" si="0">"未模拟"</f>
        <v>未模拟</v>
      </c>
      <c r="I9" s="16">
        <f>原始输入与口径!CD9</f>
        <v>31.73913043478267</v>
      </c>
      <c r="J9" s="16">
        <f>原始输入与口径!CE9</f>
        <v>34.934674206211199</v>
      </c>
      <c r="K9" s="16">
        <f>原始输入与口径!BZ9</f>
        <v>-23.999999999999812</v>
      </c>
      <c r="L9" s="16">
        <f>原始输入与口径!CK9</f>
        <v>40</v>
      </c>
      <c r="M9" s="16">
        <f>原始输入与口径!BT9</f>
        <v>24</v>
      </c>
      <c r="N9" s="16">
        <f>原始输入与口径!BJ9</f>
        <v>24</v>
      </c>
      <c r="O9" s="16">
        <f>M9*AF9*AC9</f>
        <v>2.526582857142857</v>
      </c>
      <c r="P9" s="16">
        <f t="shared" ref="P9:P72" si="1">N9*AG9*AC9</f>
        <v>0</v>
      </c>
      <c r="Q9" s="17">
        <f t="shared" ref="Q9:Q72" si="2">IF(K9=0,0,IF(ISNUMBER(B9),K9*B9*AC9,NA()))</f>
        <v>-1074.0599999999915</v>
      </c>
      <c r="R9" s="17">
        <f t="shared" ref="R9:R72" si="3">IF(L9=0,0,IF(ISNUMBER(C9),L9*C9*AC9,NA()))</f>
        <v>662.24534522516342</v>
      </c>
      <c r="S9" s="17">
        <f t="shared" ref="S9:S72" si="4">IF(M9=0,0,IF(ISNUMBER(D9),M9*D9*AC9,NA()))</f>
        <v>42.764850494540049</v>
      </c>
      <c r="T9" s="17">
        <f t="shared" ref="T9:T72" si="5">IF(N9=0,0,IF(ISNUMBER(E9),N9*E9*AC9,NA()))</f>
        <v>16.236921845520552</v>
      </c>
      <c r="U9" s="17">
        <f>IF(O9=0,0,O9*F9)</f>
        <v>990.00561830165702</v>
      </c>
      <c r="V9" s="17">
        <f t="shared" ref="V9:V72" si="6">IF(P9=0,0,-P9*G9)</f>
        <v>0</v>
      </c>
      <c r="W9" s="17">
        <f t="shared" ref="W9:W72" si="7">SUM(Q9:V9)</f>
        <v>637.19273586688951</v>
      </c>
      <c r="X9" s="12">
        <f>原始输入与口径!CP9</f>
        <v>637.19273586688951</v>
      </c>
      <c r="Y9" s="19">
        <f t="shared" ref="Y9:Y72" si="8">W9-X9</f>
        <v>0</v>
      </c>
      <c r="Z9" s="12" t="str">
        <f t="shared" ref="Z9:Z40" si="9">"当日执行"</f>
        <v>当日执行</v>
      </c>
      <c r="AA9" s="12">
        <f>IF(原始输入与口径!AW9,1,0)</f>
        <v>1</v>
      </c>
      <c r="AB9" s="12">
        <f>IF(原始输入与口径!AY9,1,0)</f>
        <v>1</v>
      </c>
      <c r="AC9" s="12">
        <f>原始输入与口径!$F$5</f>
        <v>0.25</v>
      </c>
      <c r="AD9" s="18">
        <f>原始输入与口径!CG9</f>
        <v>0.3125</v>
      </c>
      <c r="AE9" s="18">
        <f>原始输入与口径!BQ9</f>
        <v>0.13714285714285715</v>
      </c>
      <c r="AF9" s="18">
        <f t="shared" ref="AF9:AF72" si="10">IF(AA9=0,0,AJ9/(AH9*AC9))</f>
        <v>0.42109714285714284</v>
      </c>
      <c r="AG9" s="18">
        <f t="shared" ref="AG9:AG72" si="11">IF(AA9=0,0,AK9/(AI9*AC9))</f>
        <v>0</v>
      </c>
      <c r="AH9" s="12">
        <f>IF(ISNUMBER(原始输入与口径!T9),原始输入与口径!T9,"缺失")</f>
        <v>175</v>
      </c>
      <c r="AI9" s="12">
        <f>IF(ISNUMBER(原始输入与口径!Y9),原始输入与口径!Y9,"缺失")</f>
        <v>175</v>
      </c>
      <c r="AJ9" s="12">
        <f>IF(ISNUMBER(原始输入与口径!AI9),原始输入与口径!AI9,"缺失")</f>
        <v>18.422999999999998</v>
      </c>
      <c r="AK9" s="12">
        <f>IF(ISNUMBER(原始输入与口径!AL9),原始输入与口径!AL9,"缺失")</f>
        <v>0</v>
      </c>
      <c r="AL9" s="12">
        <f>IF(ISNUMBER(原始输入与口径!O9),原始输入与口径!O9,"缺失")</f>
        <v>131.96799999999999</v>
      </c>
      <c r="AM9" s="12">
        <f>SUMIFS(相位SOC复算!$N$9:$N$929,相位SOC复算!$S$9:$S$929,1)</f>
        <v>8.8765104761904679E-3</v>
      </c>
      <c r="AN9" s="12">
        <f>SUMIFS(相位SOC复算!$Q$9:$Q$929,相位SOC复算!$S$9:$S$929,1)</f>
        <v>3.4734171428571159</v>
      </c>
      <c r="AO9" s="12">
        <f>SUMIFS(相位SOC复算!$R$9:$R$929,相位SOC复算!$S$9:$S$929,1)</f>
        <v>1.9822497928804034E-14</v>
      </c>
      <c r="AP9" s="12">
        <f>相位SOC复算!J10</f>
        <v>34.934674206211199</v>
      </c>
      <c r="AQ9" s="19">
        <f t="shared" ref="AQ9:AQ72" si="12">AP9-J9</f>
        <v>0</v>
      </c>
      <c r="AR9" s="12">
        <f>IF(ISBLANK(原始输入与口径!M9),"",原始输入与口径!M9)</f>
        <v>5.2473000000000001</v>
      </c>
      <c r="AS9" s="14">
        <f>IF(ISBLANK(原始输入与口径!L9),"",原始输入与口径!L9)</f>
        <v>46234</v>
      </c>
      <c r="AT9" s="13">
        <f>IF(ISBLANK(原始输入与口径!A9),"",原始输入与口径!A9)</f>
        <v>46234.875</v>
      </c>
      <c r="AU9" s="12" t="str">
        <f>IF(ISBLANK(原始输入与口径!I9),"",原始输入与口径!I9)</f>
        <v>2026-07-31_93</v>
      </c>
      <c r="AV9" s="12">
        <f>IF(ISBLANK(原始输入与口径!J9),"",原始输入与口径!J9)</f>
        <v>15</v>
      </c>
      <c r="AW9" s="12" t="str">
        <f>IF(ISBLANK(原始输入与口径!BB9),"",原始输入与口径!BB9)</f>
        <v>OK</v>
      </c>
      <c r="AX9" s="12">
        <f>原始输入与口径!CI9</f>
        <v>128</v>
      </c>
      <c r="AY9" s="12">
        <f>原始输入与口径!BS9</f>
        <v>175</v>
      </c>
      <c r="AZ9" s="12">
        <f>原始输入与口径!BI9</f>
        <v>175</v>
      </c>
      <c r="BA9" s="12">
        <f>原始输入与口径!CM9</f>
        <v>40</v>
      </c>
      <c r="BB9" s="12">
        <f>原始输入与口径!BV9</f>
        <v>24</v>
      </c>
      <c r="BC9" s="12">
        <f>原始输入与口径!BL9</f>
        <v>24</v>
      </c>
      <c r="BD9" s="14">
        <f>46235</f>
        <v>46235</v>
      </c>
      <c r="BE9" s="1" t="str">
        <f t="shared" ref="BE9:BE72" si="13">IF(K9=0,"零头寸，无结算现金",TEXT(K9,"0.000000")&amp;" MW × "&amp;TEXT(B9,"0.000000")&amp;" × "&amp;TEXT(AC9,"0.000000")&amp;" h = "&amp;TEXT(Q9,"0.000000")&amp;" EUR")</f>
        <v>-24.000000 MW × 179.010000 × 0.250000 h = -1074.060000 EUR</v>
      </c>
      <c r="BF9" s="1" t="str">
        <f t="shared" ref="BF9:BF72" si="14">IF(L9=0,"零头寸，无结算现金",TEXT(L9,"0.000000")&amp;" MW × "&amp;TEXT(C9,"0.000000")&amp;" × "&amp;TEXT(AC9,"0.000000")&amp;" h = "&amp;TEXT(R9,"0.000000")&amp;" EUR")</f>
        <v>40.000000 MW × 66.224535 × 0.250000 h = 662.245345 EUR</v>
      </c>
      <c r="BG9" s="1" t="str">
        <f t="shared" ref="BG9:BG72" si="15">IF(M9=0,"零头寸，无结算现金",TEXT(M9,"0.000000")&amp;" MW × "&amp;TEXT(D9,"0.000000")&amp;" × "&amp;TEXT(AC9,"0.000000")&amp;" h = "&amp;TEXT(S9,"0.000000")&amp;" EUR")</f>
        <v>24.000000 MW × 7.127475 × 0.250000 h = 42.764850 EUR</v>
      </c>
      <c r="BH9" s="1" t="str">
        <f t="shared" ref="BH9:BH72" si="16">IF(N9=0,"零头寸，无结算现金",TEXT(N9,"0.000000")&amp;" MW × "&amp;TEXT(E9,"0.000000")&amp;" × "&amp;TEXT(AC9,"0.000000")&amp;" h = "&amp;TEXT(T9,"0.000000")&amp;" EUR")</f>
        <v>24.000000 MW × 2.706154 × 0.250000 h = 16.236922 EUR</v>
      </c>
      <c r="BI9" s="1" t="str">
        <f t="shared" ref="BI9:BI72" si="17">IF(O9=0,"零上调激活电量",TEXT(O9,"0.000000")&amp;" MWh × "&amp;TEXT(F9,"0.000000")&amp;" = "&amp;TEXT(U9,"0.000000")&amp;" EUR")</f>
        <v>2.526583 MWh × 391.835801 = 990.005618 EUR</v>
      </c>
      <c r="BJ9" s="1" t="str">
        <f t="shared" ref="BJ9:BJ72" si="18">IF(P9=0,"零下调激活电量","−("&amp;TEXT(P9,"0.000000")&amp;" MWh × "&amp;TEXT(G9,"0.000000")&amp;") = "&amp;TEXT(V9,"0.000000")&amp;" EUR")</f>
        <v>零下调激活电量</v>
      </c>
      <c r="BK9" s="1" t="str">
        <f t="shared" ref="BK9:BK72" si="19">TEXT(Q9,"0.000000")&amp;" + "&amp;TEXT(R9,"0.000000")&amp;" + "&amp;TEXT(S9,"0.000000")&amp;" + "&amp;TEXT(T9,"0.000000")&amp;" + "&amp;TEXT(U9,"0.000000")&amp;" + "&amp;TEXT(V9,"0.000000")&amp;" = "&amp;TEXT(W9,"0.000000")&amp;" EUR"</f>
        <v>-1074.060000 + 662.245345 + 42.764850 + 16.236922 + 990.005618 + 0.000000 = 637.192736 EUR</v>
      </c>
    </row>
    <row r="10" spans="1:63" ht="21" customHeight="1" x14ac:dyDescent="0.45">
      <c r="A10" s="13">
        <f>原始输入与口径!C10</f>
        <v>46235.010416666664</v>
      </c>
      <c r="B10" s="15">
        <f>IF(ISNUMBER(原始输入与口径!H10),原始输入与口径!H10,"缺失")</f>
        <v>170.12</v>
      </c>
      <c r="C10" s="15">
        <f>IF(ISNUMBER(原始输入与口径!R10),原始输入与口径!R10,"缺失")</f>
        <v>66.224534522516336</v>
      </c>
      <c r="D10" s="15">
        <f>IF(ISNUMBER(原始输入与口径!W10),原始输入与口径!W10,"缺失")</f>
        <v>7.1274750824233415</v>
      </c>
      <c r="E10" s="15">
        <f>IF(ISNUMBER(原始输入与口径!AB10),原始输入与口径!AB10,"缺失")</f>
        <v>2.7061536409200921</v>
      </c>
      <c r="F10" s="15">
        <f>IF(ISNUMBER(原始输入与口径!AG10),原始输入与口径!AG10,"缺失")</f>
        <v>264.63514569397591</v>
      </c>
      <c r="G10" s="15">
        <f>IF(ISNUMBER(原始输入与口径!AJ10),原始输入与口径!AJ10,"缺失")</f>
        <v>0</v>
      </c>
      <c r="H10" s="15" t="str">
        <f t="shared" si="0"/>
        <v>未模拟</v>
      </c>
      <c r="I10" s="16">
        <f>原始输入与口径!CD10</f>
        <v>34.934674206211199</v>
      </c>
      <c r="J10" s="16">
        <f>原始输入与口径!CE10</f>
        <v>32.633208367701883</v>
      </c>
      <c r="K10" s="16">
        <f>原始输入与口径!BZ10</f>
        <v>0</v>
      </c>
      <c r="L10" s="16">
        <f>原始输入与口径!CK10</f>
        <v>40</v>
      </c>
      <c r="M10" s="16">
        <f>原始输入与口径!BT10</f>
        <v>24</v>
      </c>
      <c r="N10" s="16">
        <f>原始输入与口径!BJ10</f>
        <v>24</v>
      </c>
      <c r="O10" s="16">
        <f t="shared" ref="O9:O72" si="20">M10*AF10*AC10</f>
        <v>2.1173485714285714</v>
      </c>
      <c r="P10" s="16">
        <f t="shared" si="1"/>
        <v>0</v>
      </c>
      <c r="Q10" s="17">
        <f t="shared" si="2"/>
        <v>0</v>
      </c>
      <c r="R10" s="17">
        <f t="shared" si="3"/>
        <v>662.24534522516342</v>
      </c>
      <c r="S10" s="17">
        <f t="shared" si="4"/>
        <v>42.764850494540049</v>
      </c>
      <c r="T10" s="17">
        <f t="shared" si="5"/>
        <v>16.236921845520552</v>
      </c>
      <c r="U10" s="17">
        <f t="shared" ref="U9:U72" si="21">IF(O10=0,0,O10*F10)</f>
        <v>560.3248476849318</v>
      </c>
      <c r="V10" s="17">
        <f t="shared" si="6"/>
        <v>0</v>
      </c>
      <c r="W10" s="17">
        <f t="shared" si="7"/>
        <v>1281.5719652501557</v>
      </c>
      <c r="X10" s="12">
        <f>原始输入与口径!CP10</f>
        <v>1281.5719652501559</v>
      </c>
      <c r="Y10" s="19">
        <f t="shared" si="8"/>
        <v>0</v>
      </c>
      <c r="Z10" s="12" t="str">
        <f t="shared" si="9"/>
        <v>当日执行</v>
      </c>
      <c r="AA10" s="12">
        <f>IF(原始输入与口径!AW10,1,0)</f>
        <v>1</v>
      </c>
      <c r="AB10" s="12">
        <f>IF(原始输入与口径!AY10,1,0)</f>
        <v>1</v>
      </c>
      <c r="AC10" s="12">
        <f>原始输入与口径!$F$5</f>
        <v>0.25</v>
      </c>
      <c r="AD10" s="18">
        <f>原始输入与口径!CG10</f>
        <v>0.3125</v>
      </c>
      <c r="AE10" s="18">
        <f>原始输入与口径!BQ10</f>
        <v>0.13714285714285715</v>
      </c>
      <c r="AF10" s="18">
        <f t="shared" si="10"/>
        <v>0.35289142857142858</v>
      </c>
      <c r="AG10" s="18">
        <f t="shared" si="11"/>
        <v>0</v>
      </c>
      <c r="AH10" s="12">
        <f>IF(ISNUMBER(原始输入与口径!T10),原始输入与口径!T10,"缺失")</f>
        <v>175</v>
      </c>
      <c r="AI10" s="12">
        <f>IF(ISNUMBER(原始输入与口径!Y10),原始输入与口径!Y10,"缺失")</f>
        <v>175</v>
      </c>
      <c r="AJ10" s="12">
        <f>IF(ISNUMBER(原始输入与口径!AI10),原始输入与口径!AI10,"缺失")</f>
        <v>15.439</v>
      </c>
      <c r="AK10" s="12">
        <f>IF(ISNUMBER(原始输入与口径!AL10),原始输入与口径!AL10,"缺失")</f>
        <v>0</v>
      </c>
      <c r="AL10" s="12">
        <f>IF(ISNUMBER(原始输入与口径!O10),原始输入与口径!O10,"缺失")</f>
        <v>131.96799999999999</v>
      </c>
      <c r="AM10" s="12">
        <f>SUMIFS(相位SOC复算!$N$9:$N$929,相位SOC复算!$S$9:$S$929,2)</f>
        <v>6.3929606625258793E-3</v>
      </c>
      <c r="AN10" s="12">
        <f>SUMIFS(相位SOC复算!$Q$9:$Q$929,相位SOC复算!$S$9:$S$929,2)</f>
        <v>0</v>
      </c>
      <c r="AO10" s="12">
        <f>SUMIFS(相位SOC复算!$R$9:$R$929,相位SOC复算!$S$9:$S$929,2)</f>
        <v>2.1173485714285714</v>
      </c>
      <c r="AP10" s="12">
        <f>相位SOC复算!J12</f>
        <v>32.633208367701883</v>
      </c>
      <c r="AQ10" s="19">
        <f t="shared" si="12"/>
        <v>0</v>
      </c>
      <c r="AR10" s="12">
        <f>IF(ISBLANK(原始输入与口径!M10),"",原始输入与口径!M10)</f>
        <v>5.2473000000000001</v>
      </c>
      <c r="AS10" s="14">
        <f>IF(ISBLANK(原始输入与口径!L10),"",原始输入与口径!L10)</f>
        <v>46234</v>
      </c>
      <c r="AT10" s="13">
        <f>IF(ISBLANK(原始输入与口径!A10),"",原始输入与口径!A10)</f>
        <v>46234.885416666664</v>
      </c>
      <c r="AU10" s="12" t="str">
        <f>IF(ISBLANK(原始输入与口径!I10),"",原始输入与口径!I10)</f>
        <v>2026-07-31_94</v>
      </c>
      <c r="AV10" s="12">
        <f>IF(ISBLANK(原始输入与口径!J10),"",原始输入与口径!J10)</f>
        <v>15</v>
      </c>
      <c r="AW10" s="12" t="str">
        <f>IF(ISBLANK(原始输入与口径!BB10),"",原始输入与口径!BB10)</f>
        <v>OK</v>
      </c>
      <c r="AX10" s="12">
        <f>原始输入与口径!CI10</f>
        <v>128</v>
      </c>
      <c r="AY10" s="12">
        <f>原始输入与口径!BS10</f>
        <v>175</v>
      </c>
      <c r="AZ10" s="12">
        <f>原始输入与口径!BI10</f>
        <v>175</v>
      </c>
      <c r="BA10" s="12">
        <f>原始输入与口径!CM10</f>
        <v>40</v>
      </c>
      <c r="BB10" s="12">
        <f>原始输入与口径!BV10</f>
        <v>24</v>
      </c>
      <c r="BC10" s="12">
        <f>原始输入与口径!BL10</f>
        <v>24</v>
      </c>
      <c r="BD10" s="14">
        <f>46235</f>
        <v>46235</v>
      </c>
      <c r="BE10" s="1" t="str">
        <f t="shared" si="13"/>
        <v>零头寸，无结算现金</v>
      </c>
      <c r="BF10" s="1" t="str">
        <f t="shared" si="14"/>
        <v>40.000000 MW × 66.224535 × 0.250000 h = 662.245345 EUR</v>
      </c>
      <c r="BG10" s="1" t="str">
        <f t="shared" si="15"/>
        <v>24.000000 MW × 7.127475 × 0.250000 h = 42.764850 EUR</v>
      </c>
      <c r="BH10" s="1" t="str">
        <f t="shared" si="16"/>
        <v>24.000000 MW × 2.706154 × 0.250000 h = 16.236922 EUR</v>
      </c>
      <c r="BI10" s="1" t="str">
        <f t="shared" si="17"/>
        <v>2.117349 MWh × 264.635146 = 560.324848 EUR</v>
      </c>
      <c r="BJ10" s="1" t="str">
        <f t="shared" si="18"/>
        <v>零下调激活电量</v>
      </c>
      <c r="BK10" s="1" t="str">
        <f t="shared" si="19"/>
        <v>0.000000 + 662.245345 + 42.764850 + 16.236922 + 560.324848 + 0.000000 = 1281.571965 EUR</v>
      </c>
    </row>
    <row r="11" spans="1:63" ht="21" customHeight="1" x14ac:dyDescent="0.45">
      <c r="A11" s="13">
        <f>原始输入与口径!C11</f>
        <v>46235.020833333336</v>
      </c>
      <c r="B11" s="15">
        <f>IF(ISNUMBER(原始输入与口径!H11),原始输入与口径!H11,"缺失")</f>
        <v>167.36</v>
      </c>
      <c r="C11" s="15">
        <f>IF(ISNUMBER(原始输入与口径!R11),原始输入与口径!R11,"缺失")</f>
        <v>66.224534522516336</v>
      </c>
      <c r="D11" s="15">
        <f>IF(ISNUMBER(原始输入与口径!W11),原始输入与口径!W11,"缺失")</f>
        <v>7.1274750824233415</v>
      </c>
      <c r="E11" s="15">
        <f>IF(ISNUMBER(原始输入与口径!AB11),原始输入与口径!AB11,"缺失")</f>
        <v>2.7061536409200921</v>
      </c>
      <c r="F11" s="15">
        <f>IF(ISNUMBER(原始输入与口径!AG11),原始输入与口径!AG11,"缺失")</f>
        <v>422.70215158271873</v>
      </c>
      <c r="G11" s="15">
        <f>IF(ISNUMBER(原始输入与口径!AJ11),原始输入与口径!AJ11,"缺失")</f>
        <v>0</v>
      </c>
      <c r="H11" s="15" t="str">
        <f t="shared" si="0"/>
        <v>未模拟</v>
      </c>
      <c r="I11" s="16">
        <f>原始输入与口径!CD11</f>
        <v>32.633208367701883</v>
      </c>
      <c r="J11" s="16">
        <f>原始输入与口径!CE11</f>
        <v>35.143388939130453</v>
      </c>
      <c r="K11" s="16">
        <f>原始输入与口径!BZ11</f>
        <v>-24</v>
      </c>
      <c r="L11" s="16">
        <f>原始输入与口径!CK11</f>
        <v>40</v>
      </c>
      <c r="M11" s="16">
        <f>原始输入与口径!BT11</f>
        <v>24</v>
      </c>
      <c r="N11" s="16">
        <f>原始输入与口径!BJ11</f>
        <v>24</v>
      </c>
      <c r="O11" s="16">
        <f t="shared" si="20"/>
        <v>3.2715428571428573</v>
      </c>
      <c r="P11" s="16">
        <f t="shared" si="1"/>
        <v>0</v>
      </c>
      <c r="Q11" s="17">
        <f t="shared" si="2"/>
        <v>-1004.1600000000001</v>
      </c>
      <c r="R11" s="17">
        <f t="shared" si="3"/>
        <v>662.24534522516342</v>
      </c>
      <c r="S11" s="17">
        <f t="shared" si="4"/>
        <v>42.764850494540049</v>
      </c>
      <c r="T11" s="17">
        <f t="shared" si="5"/>
        <v>16.236921845520552</v>
      </c>
      <c r="U11" s="17">
        <f t="shared" si="21"/>
        <v>1382.8882047093607</v>
      </c>
      <c r="V11" s="17">
        <f t="shared" si="6"/>
        <v>0</v>
      </c>
      <c r="W11" s="17">
        <f t="shared" si="7"/>
        <v>1099.9753222745846</v>
      </c>
      <c r="X11" s="12">
        <f>原始输入与口径!CP11</f>
        <v>1099.9753222745846</v>
      </c>
      <c r="Y11" s="19">
        <f t="shared" si="8"/>
        <v>0</v>
      </c>
      <c r="Z11" s="12" t="str">
        <f t="shared" si="9"/>
        <v>当日执行</v>
      </c>
      <c r="AA11" s="12">
        <f>IF(原始输入与口径!AW11,1,0)</f>
        <v>1</v>
      </c>
      <c r="AB11" s="12">
        <f>IF(原始输入与口径!AY11,1,0)</f>
        <v>1</v>
      </c>
      <c r="AC11" s="12">
        <f>原始输入与口径!$F$5</f>
        <v>0.25</v>
      </c>
      <c r="AD11" s="18">
        <f>原始输入与口径!CG11</f>
        <v>0.3125</v>
      </c>
      <c r="AE11" s="18">
        <f>原始输入与口径!BQ11</f>
        <v>0.13714285714285715</v>
      </c>
      <c r="AF11" s="18">
        <f t="shared" si="10"/>
        <v>0.54525714285714288</v>
      </c>
      <c r="AG11" s="18">
        <f t="shared" si="11"/>
        <v>0</v>
      </c>
      <c r="AH11" s="12">
        <f>IF(ISNUMBER(原始输入与口径!T11),原始输入与口径!T11,"缺失")</f>
        <v>175</v>
      </c>
      <c r="AI11" s="12">
        <f>IF(ISNUMBER(原始输入与口径!Y11),原始输入与口径!Y11,"缺失")</f>
        <v>175</v>
      </c>
      <c r="AJ11" s="12">
        <f>IF(ISNUMBER(原始输入与口径!AI11),原始输入与口径!AI11,"缺失")</f>
        <v>23.855</v>
      </c>
      <c r="AK11" s="12">
        <f>IF(ISNUMBER(原始输入与口径!AL11),原始输入与口径!AL11,"缺失")</f>
        <v>0</v>
      </c>
      <c r="AL11" s="12">
        <f>IF(ISNUMBER(原始输入与口径!O11),原始输入与口径!O11,"缺失")</f>
        <v>131.96799999999999</v>
      </c>
      <c r="AM11" s="12">
        <f>SUMIFS(相位SOC复算!$N$9:$N$929,相位SOC复算!$S$9:$S$929,3)</f>
        <v>6.9727238095238101E-3</v>
      </c>
      <c r="AN11" s="12">
        <f>SUMIFS(相位SOC复算!$Q$9:$Q$929,相位SOC复算!$S$9:$S$929,3)</f>
        <v>2.7284571428571427</v>
      </c>
      <c r="AO11" s="12">
        <f>SUMIFS(相位SOC复算!$R$9:$R$929,相位SOC复算!$S$9:$S$929,3)</f>
        <v>0</v>
      </c>
      <c r="AP11" s="12">
        <f>相位SOC复算!J14</f>
        <v>35.143388939130453</v>
      </c>
      <c r="AQ11" s="19">
        <f t="shared" si="12"/>
        <v>0</v>
      </c>
      <c r="AR11" s="12">
        <f>IF(ISBLANK(原始输入与口径!M11),"",原始输入与口径!M11)</f>
        <v>5.2473000000000001</v>
      </c>
      <c r="AS11" s="14">
        <f>IF(ISBLANK(原始输入与口径!L11),"",原始输入与口径!L11)</f>
        <v>46234</v>
      </c>
      <c r="AT11" s="13">
        <f>IF(ISBLANK(原始输入与口径!A11),"",原始输入与口径!A11)</f>
        <v>46234.895833333336</v>
      </c>
      <c r="AU11" s="12" t="str">
        <f>IF(ISBLANK(原始输入与口径!I11),"",原始输入与口径!I11)</f>
        <v>2026-07-31_95</v>
      </c>
      <c r="AV11" s="12">
        <f>IF(ISBLANK(原始输入与口径!J11),"",原始输入与口径!J11)</f>
        <v>15</v>
      </c>
      <c r="AW11" s="12" t="str">
        <f>IF(ISBLANK(原始输入与口径!BB11),"",原始输入与口径!BB11)</f>
        <v>OK</v>
      </c>
      <c r="AX11" s="12">
        <f>原始输入与口径!CI11</f>
        <v>128</v>
      </c>
      <c r="AY11" s="12">
        <f>原始输入与口径!BS11</f>
        <v>175</v>
      </c>
      <c r="AZ11" s="12">
        <f>原始输入与口径!BI11</f>
        <v>175</v>
      </c>
      <c r="BA11" s="12">
        <f>原始输入与口径!CM11</f>
        <v>40</v>
      </c>
      <c r="BB11" s="12">
        <f>原始输入与口径!BV11</f>
        <v>24</v>
      </c>
      <c r="BC11" s="12">
        <f>原始输入与口径!BL11</f>
        <v>24</v>
      </c>
      <c r="BD11" s="14">
        <f>46235</f>
        <v>46235</v>
      </c>
      <c r="BE11" s="1" t="str">
        <f t="shared" si="13"/>
        <v>-24.000000 MW × 167.360000 × 0.250000 h = -1004.160000 EUR</v>
      </c>
      <c r="BF11" s="1" t="str">
        <f t="shared" si="14"/>
        <v>40.000000 MW × 66.224535 × 0.250000 h = 662.245345 EUR</v>
      </c>
      <c r="BG11" s="1" t="str">
        <f t="shared" si="15"/>
        <v>24.000000 MW × 7.127475 × 0.250000 h = 42.764850 EUR</v>
      </c>
      <c r="BH11" s="1" t="str">
        <f t="shared" si="16"/>
        <v>24.000000 MW × 2.706154 × 0.250000 h = 16.236922 EUR</v>
      </c>
      <c r="BI11" s="1" t="str">
        <f t="shared" si="17"/>
        <v>3.271543 MWh × 422.702152 = 1382.888205 EUR</v>
      </c>
      <c r="BJ11" s="1" t="str">
        <f t="shared" si="18"/>
        <v>零下调激活电量</v>
      </c>
      <c r="BK11" s="1" t="str">
        <f t="shared" si="19"/>
        <v>-1004.160000 + 662.245345 + 42.764850 + 16.236922 + 1382.888205 + 0.000000 = 1099.975322 EUR</v>
      </c>
    </row>
    <row r="12" spans="1:63" ht="21" customHeight="1" x14ac:dyDescent="0.45">
      <c r="A12" s="13">
        <f>原始输入与口径!C12</f>
        <v>46235.03125</v>
      </c>
      <c r="B12" s="15">
        <f>IF(ISNUMBER(原始输入与口径!H12),原始输入与口径!H12,"缺失")</f>
        <v>165.13</v>
      </c>
      <c r="C12" s="15">
        <f>IF(ISNUMBER(原始输入与口径!R12),原始输入与口径!R12,"缺失")</f>
        <v>66.224534522516336</v>
      </c>
      <c r="D12" s="15">
        <f>IF(ISNUMBER(原始输入与口径!W12),原始输入与口径!W12,"缺失")</f>
        <v>7.1274750824233415</v>
      </c>
      <c r="E12" s="15">
        <f>IF(ISNUMBER(原始输入与口径!AB12),原始输入与口径!AB12,"缺失")</f>
        <v>2.7061536409200921</v>
      </c>
      <c r="F12" s="15">
        <f>IF(ISNUMBER(原始输入与口径!AG12),原始输入与口径!AG12,"缺失")</f>
        <v>260.51455034017494</v>
      </c>
      <c r="G12" s="15">
        <f>IF(ISNUMBER(原始输入与口径!AJ12),原始输入与口径!AJ12,"缺失")</f>
        <v>76.261124768928781</v>
      </c>
      <c r="H12" s="15" t="str">
        <f t="shared" si="0"/>
        <v>未模拟</v>
      </c>
      <c r="I12" s="16">
        <f>原始输入与口径!CD12</f>
        <v>35.143388939130453</v>
      </c>
      <c r="J12" s="16">
        <f>原始输入与口径!CE12</f>
        <v>38.990355796273313</v>
      </c>
      <c r="K12" s="16">
        <f>原始输入与口径!BZ12</f>
        <v>-24</v>
      </c>
      <c r="L12" s="16">
        <f>原始输入与口径!CK12</f>
        <v>40</v>
      </c>
      <c r="M12" s="16">
        <f>原始输入与口径!BT12</f>
        <v>24</v>
      </c>
      <c r="N12" s="16">
        <f>原始输入与口径!BJ12</f>
        <v>24</v>
      </c>
      <c r="O12" s="16">
        <f t="shared" si="20"/>
        <v>1.8865371428571431</v>
      </c>
      <c r="P12" s="16">
        <f t="shared" si="1"/>
        <v>6.8022857142857135E-2</v>
      </c>
      <c r="Q12" s="17">
        <f t="shared" si="2"/>
        <v>-990.78</v>
      </c>
      <c r="R12" s="17">
        <f t="shared" si="3"/>
        <v>662.24534522516342</v>
      </c>
      <c r="S12" s="17">
        <f t="shared" si="4"/>
        <v>42.764850494540049</v>
      </c>
      <c r="T12" s="17">
        <f t="shared" si="5"/>
        <v>16.236921845520552</v>
      </c>
      <c r="U12" s="17">
        <f t="shared" si="21"/>
        <v>491.47037547146698</v>
      </c>
      <c r="V12" s="17">
        <f t="shared" si="6"/>
        <v>-5.1874995957104462</v>
      </c>
      <c r="W12" s="17">
        <f t="shared" si="7"/>
        <v>216.74999344098057</v>
      </c>
      <c r="X12" s="12">
        <f>原始输入与口径!CP12</f>
        <v>216.74999344098057</v>
      </c>
      <c r="Y12" s="19">
        <f t="shared" si="8"/>
        <v>0</v>
      </c>
      <c r="Z12" s="12" t="str">
        <f t="shared" si="9"/>
        <v>当日执行</v>
      </c>
      <c r="AA12" s="12">
        <f>IF(原始输入与口径!AW12,1,0)</f>
        <v>1</v>
      </c>
      <c r="AB12" s="12">
        <f>IF(原始输入与口径!AY12,1,0)</f>
        <v>1</v>
      </c>
      <c r="AC12" s="12">
        <f>原始输入与口径!$F$5</f>
        <v>0.25</v>
      </c>
      <c r="AD12" s="18">
        <f>原始输入与口径!CG12</f>
        <v>0.3125</v>
      </c>
      <c r="AE12" s="18">
        <f>原始输入与口径!BQ12</f>
        <v>0.13714285714285715</v>
      </c>
      <c r="AF12" s="18">
        <f t="shared" si="10"/>
        <v>0.31442285714285717</v>
      </c>
      <c r="AG12" s="18">
        <f t="shared" si="11"/>
        <v>1.1337142857142856E-2</v>
      </c>
      <c r="AH12" s="12">
        <f>IF(ISNUMBER(原始输入与口径!T12),原始输入与口径!T12,"缺失")</f>
        <v>175</v>
      </c>
      <c r="AI12" s="12">
        <f>IF(ISNUMBER(原始输入与口径!Y12),原始输入与口径!Y12,"缺失")</f>
        <v>175</v>
      </c>
      <c r="AJ12" s="12">
        <f>IF(ISNUMBER(原始输入与口径!AI12),原始输入与口径!AI12,"缺失")</f>
        <v>13.756</v>
      </c>
      <c r="AK12" s="12">
        <f>IF(ISNUMBER(原始输入与口径!AL12),原始输入与口径!AL12,"缺失")</f>
        <v>0.496</v>
      </c>
      <c r="AL12" s="12">
        <f>IF(ISNUMBER(原始输入与口径!O12),原始输入与口径!O12,"缺失")</f>
        <v>131.96799999999999</v>
      </c>
      <c r="AM12" s="12">
        <f>SUMIFS(相位SOC复算!$N$9:$N$929,相位SOC复算!$S$9:$S$929,4)</f>
        <v>1.0686019047619049E-2</v>
      </c>
      <c r="AN12" s="12">
        <f>SUMIFS(相位SOC复算!$Q$9:$Q$929,相位SOC复算!$S$9:$S$929,4)</f>
        <v>4.1814857142857145</v>
      </c>
      <c r="AO12" s="12">
        <f>SUMIFS(相位SOC复算!$R$9:$R$929,相位SOC复算!$S$9:$S$929,4)</f>
        <v>0</v>
      </c>
      <c r="AP12" s="12">
        <f>相位SOC复算!J17</f>
        <v>38.990355796273313</v>
      </c>
      <c r="AQ12" s="19">
        <f t="shared" si="12"/>
        <v>0</v>
      </c>
      <c r="AR12" s="12">
        <f>IF(ISBLANK(原始输入与口径!M12),"",原始输入与口径!M12)</f>
        <v>5.2473000000000001</v>
      </c>
      <c r="AS12" s="14">
        <f>IF(ISBLANK(原始输入与口径!L12),"",原始输入与口径!L12)</f>
        <v>46234</v>
      </c>
      <c r="AT12" s="13">
        <f>IF(ISBLANK(原始输入与口径!A12),"",原始输入与口径!A12)</f>
        <v>46234.90625</v>
      </c>
      <c r="AU12" s="12" t="str">
        <f>IF(ISBLANK(原始输入与口径!I12),"",原始输入与口径!I12)</f>
        <v>2026-07-31_96</v>
      </c>
      <c r="AV12" s="12">
        <f>IF(ISBLANK(原始输入与口径!J12),"",原始输入与口径!J12)</f>
        <v>15</v>
      </c>
      <c r="AW12" s="12" t="str">
        <f>IF(ISBLANK(原始输入与口径!BB12),"",原始输入与口径!BB12)</f>
        <v>OK</v>
      </c>
      <c r="AX12" s="12">
        <f>原始输入与口径!CI12</f>
        <v>128</v>
      </c>
      <c r="AY12" s="12">
        <f>原始输入与口径!BS12</f>
        <v>175</v>
      </c>
      <c r="AZ12" s="12">
        <f>原始输入与口径!BI12</f>
        <v>175</v>
      </c>
      <c r="BA12" s="12">
        <f>原始输入与口径!CM12</f>
        <v>40</v>
      </c>
      <c r="BB12" s="12">
        <f>原始输入与口径!BV12</f>
        <v>24</v>
      </c>
      <c r="BC12" s="12">
        <f>原始输入与口径!BL12</f>
        <v>24</v>
      </c>
      <c r="BD12" s="14">
        <f>46235</f>
        <v>46235</v>
      </c>
      <c r="BE12" s="1" t="str">
        <f t="shared" si="13"/>
        <v>-24.000000 MW × 165.130000 × 0.250000 h = -990.780000 EUR</v>
      </c>
      <c r="BF12" s="1" t="str">
        <f t="shared" si="14"/>
        <v>40.000000 MW × 66.224535 × 0.250000 h = 662.245345 EUR</v>
      </c>
      <c r="BG12" s="1" t="str">
        <f t="shared" si="15"/>
        <v>24.000000 MW × 7.127475 × 0.250000 h = 42.764850 EUR</v>
      </c>
      <c r="BH12" s="1" t="str">
        <f t="shared" si="16"/>
        <v>24.000000 MW × 2.706154 × 0.250000 h = 16.236922 EUR</v>
      </c>
      <c r="BI12" s="1" t="str">
        <f t="shared" si="17"/>
        <v>1.886537 MWh × 260.514550 = 491.470375 EUR</v>
      </c>
      <c r="BJ12" s="1" t="str">
        <f t="shared" si="18"/>
        <v>−(0.068023 MWh × 76.261125) = -5.187500 EUR</v>
      </c>
      <c r="BK12" s="1" t="str">
        <f t="shared" si="19"/>
        <v>-990.780000 + 662.245345 + 42.764850 + 16.236922 + 491.470375 + -5.187500 = 216.749993 EUR</v>
      </c>
    </row>
    <row r="13" spans="1:63" ht="21" customHeight="1" x14ac:dyDescent="0.45">
      <c r="A13" s="13">
        <f>原始输入与口径!C13</f>
        <v>46235.041666666664</v>
      </c>
      <c r="B13" s="15">
        <f>IF(ISNUMBER(原始输入与口径!H13),原始输入与口径!H13,"缺失")</f>
        <v>184.32</v>
      </c>
      <c r="C13" s="15">
        <f>IF(ISNUMBER(原始输入与口径!R13),原始输入与口径!R13,"缺失")</f>
        <v>66.224534522516336</v>
      </c>
      <c r="D13" s="15">
        <f>IF(ISNUMBER(原始输入与口径!W13),原始输入与口径!W13,"缺失")</f>
        <v>7.1274750824233415</v>
      </c>
      <c r="E13" s="15">
        <f>IF(ISNUMBER(原始输入与口径!AB13),原始输入与口径!AB13,"缺失")</f>
        <v>2.7061536409200921</v>
      </c>
      <c r="F13" s="15">
        <f>IF(ISNUMBER(原始输入与口径!AG13),原始输入与口径!AG13,"缺失")</f>
        <v>171.08894097917025</v>
      </c>
      <c r="G13" s="15">
        <f>IF(ISNUMBER(原始输入与口径!AJ13),原始输入与口径!AJ13,"缺失")</f>
        <v>74.70946963200123</v>
      </c>
      <c r="H13" s="15" t="str">
        <f t="shared" si="0"/>
        <v>未模拟</v>
      </c>
      <c r="I13" s="16">
        <f>原始输入与口径!CD13</f>
        <v>38.990355796273313</v>
      </c>
      <c r="J13" s="16">
        <f>原始输入与口径!CE13</f>
        <v>33.561199249274047</v>
      </c>
      <c r="K13" s="16">
        <f>原始输入与口径!BZ13</f>
        <v>20.338412182013151</v>
      </c>
      <c r="L13" s="16">
        <f>原始输入与口径!CK13</f>
        <v>40</v>
      </c>
      <c r="M13" s="16">
        <f>原始输入与口径!BT13</f>
        <v>24</v>
      </c>
      <c r="N13" s="16">
        <f>原始输入与口径!BJ13</f>
        <v>24</v>
      </c>
      <c r="O13" s="16">
        <f t="shared" si="20"/>
        <v>0.14660571428571428</v>
      </c>
      <c r="P13" s="16">
        <f t="shared" si="1"/>
        <v>0.24205714285714283</v>
      </c>
      <c r="Q13" s="17">
        <f t="shared" si="2"/>
        <v>937.19403334716594</v>
      </c>
      <c r="R13" s="17">
        <f t="shared" si="3"/>
        <v>662.24534522516342</v>
      </c>
      <c r="S13" s="17">
        <f t="shared" si="4"/>
        <v>42.764850494540049</v>
      </c>
      <c r="T13" s="17">
        <f t="shared" si="5"/>
        <v>16.236921845520552</v>
      </c>
      <c r="U13" s="17">
        <f t="shared" si="21"/>
        <v>25.082616398637668</v>
      </c>
      <c r="V13" s="17">
        <f t="shared" si="6"/>
        <v>-18.083960763494694</v>
      </c>
      <c r="W13" s="17">
        <f t="shared" si="7"/>
        <v>1665.439806547533</v>
      </c>
      <c r="X13" s="12">
        <f>原始输入与口径!CP13</f>
        <v>1665.439806547533</v>
      </c>
      <c r="Y13" s="19">
        <f t="shared" si="8"/>
        <v>0</v>
      </c>
      <c r="Z13" s="12" t="str">
        <f t="shared" si="9"/>
        <v>当日执行</v>
      </c>
      <c r="AA13" s="12">
        <f>IF(原始输入与口径!AW13,1,0)</f>
        <v>1</v>
      </c>
      <c r="AB13" s="12">
        <f>IF(原始输入与口径!AY13,1,0)</f>
        <v>1</v>
      </c>
      <c r="AC13" s="12">
        <f>原始输入与口径!$F$5</f>
        <v>0.25</v>
      </c>
      <c r="AD13" s="18">
        <f>原始输入与口径!CG13</f>
        <v>0.3125</v>
      </c>
      <c r="AE13" s="18">
        <f>原始输入与口径!BQ13</f>
        <v>0.13714285714285715</v>
      </c>
      <c r="AF13" s="18">
        <f t="shared" si="10"/>
        <v>2.4434285714285714E-2</v>
      </c>
      <c r="AG13" s="18">
        <f t="shared" si="11"/>
        <v>4.0342857142857139E-2</v>
      </c>
      <c r="AH13" s="12">
        <f>IF(ISNUMBER(原始输入与口径!T13),原始输入与口径!T13,"缺失")</f>
        <v>175</v>
      </c>
      <c r="AI13" s="12">
        <f>IF(ISNUMBER(原始输入与口径!Y13),原始输入与口径!Y13,"缺失")</f>
        <v>175</v>
      </c>
      <c r="AJ13" s="12">
        <f>IF(ISNUMBER(原始输入与口径!AI13),原始输入与口径!AI13,"缺失")</f>
        <v>1.069</v>
      </c>
      <c r="AK13" s="12">
        <f>IF(ISNUMBER(原始输入与口径!AL13),原始输入与口径!AL13,"缺失")</f>
        <v>1.7649999999999999</v>
      </c>
      <c r="AL13" s="12">
        <f>IF(ISNUMBER(原始输入与口径!O13),原始输入与口径!O13,"缺失")</f>
        <v>128</v>
      </c>
      <c r="AM13" s="12">
        <f>SUMIFS(相位SOC复算!$N$9:$N$929,相位SOC复算!$S$9:$S$929,5)</f>
        <v>1.5269742354326456E-2</v>
      </c>
      <c r="AN13" s="12">
        <f>SUMIFS(相位SOC复算!$Q$9:$Q$929,相位SOC复算!$S$9:$S$929,5)</f>
        <v>3.6929728564267357E-2</v>
      </c>
      <c r="AO13" s="12">
        <f>SUMIFS(相位SOC复算!$R$9:$R$929,相位SOC复算!$S$9:$S$929,5)</f>
        <v>5.0260813454961264</v>
      </c>
      <c r="AP13" s="12">
        <f>相位SOC复算!J20</f>
        <v>33.561199249274047</v>
      </c>
      <c r="AQ13" s="19">
        <f t="shared" si="12"/>
        <v>0</v>
      </c>
      <c r="AR13" s="12">
        <f>IF(ISBLANK(原始输入与口径!M13),"",原始输入与口径!M13)</f>
        <v>5.2473000000000001</v>
      </c>
      <c r="AS13" s="14">
        <f>IF(ISBLANK(原始输入与口径!L13),"",原始输入与口径!L13)</f>
        <v>46234</v>
      </c>
      <c r="AT13" s="13">
        <f>IF(ISBLANK(原始输入与口径!A13),"",原始输入与口径!A13)</f>
        <v>46234.916666666664</v>
      </c>
      <c r="AU13" s="12" t="str">
        <f>IF(ISBLANK(原始输入与口径!I13),"",原始输入与口径!I13)</f>
        <v>2026-08-01_1</v>
      </c>
      <c r="AV13" s="12">
        <f>IF(ISBLANK(原始输入与口径!J13),"",原始输入与口径!J13)</f>
        <v>15</v>
      </c>
      <c r="AW13" s="12" t="str">
        <f>IF(ISBLANK(原始输入与口径!BB13),"",原始输入与口径!BB13)</f>
        <v>OK</v>
      </c>
      <c r="AX13" s="12">
        <f>原始输入与口径!CI13</f>
        <v>128</v>
      </c>
      <c r="AY13" s="12">
        <f>原始输入与口径!BS13</f>
        <v>175</v>
      </c>
      <c r="AZ13" s="12">
        <f>原始输入与口径!BI13</f>
        <v>175</v>
      </c>
      <c r="BA13" s="12">
        <f>原始输入与口径!CM13</f>
        <v>40</v>
      </c>
      <c r="BB13" s="12">
        <f>原始输入与口径!BV13</f>
        <v>24</v>
      </c>
      <c r="BC13" s="12">
        <f>原始输入与口径!BL13</f>
        <v>24</v>
      </c>
      <c r="BD13" s="14">
        <f>46235</f>
        <v>46235</v>
      </c>
      <c r="BE13" s="1" t="str">
        <f t="shared" si="13"/>
        <v>20.338412 MW × 184.320000 × 0.250000 h = 937.194033 EUR</v>
      </c>
      <c r="BF13" s="1" t="str">
        <f t="shared" si="14"/>
        <v>40.000000 MW × 66.224535 × 0.250000 h = 662.245345 EUR</v>
      </c>
      <c r="BG13" s="1" t="str">
        <f t="shared" si="15"/>
        <v>24.000000 MW × 7.127475 × 0.250000 h = 42.764850 EUR</v>
      </c>
      <c r="BH13" s="1" t="str">
        <f t="shared" si="16"/>
        <v>24.000000 MW × 2.706154 × 0.250000 h = 16.236922 EUR</v>
      </c>
      <c r="BI13" s="1" t="str">
        <f t="shared" si="17"/>
        <v>0.146606 MWh × 171.088941 = 25.082616 EUR</v>
      </c>
      <c r="BJ13" s="1" t="str">
        <f t="shared" si="18"/>
        <v>−(0.242057 MWh × 74.709470) = -18.083961 EUR</v>
      </c>
      <c r="BK13" s="1" t="str">
        <f t="shared" si="19"/>
        <v>937.194033 + 662.245345 + 42.764850 + 16.236922 + 25.082616 + -18.083961 = 1665.439807 EUR</v>
      </c>
    </row>
    <row r="14" spans="1:63" ht="21" customHeight="1" x14ac:dyDescent="0.45">
      <c r="A14" s="13">
        <f>原始输入与口径!C14</f>
        <v>46235.052083333336</v>
      </c>
      <c r="B14" s="15">
        <f>IF(ISNUMBER(原始输入与口径!H14),原始输入与口径!H14,"缺失")</f>
        <v>174.23</v>
      </c>
      <c r="C14" s="15">
        <f>IF(ISNUMBER(原始输入与口径!R14),原始输入与口径!R14,"缺失")</f>
        <v>66.224534522516336</v>
      </c>
      <c r="D14" s="15">
        <f>IF(ISNUMBER(原始输入与口径!W14),原始输入与口径!W14,"缺失")</f>
        <v>7.1274750824233415</v>
      </c>
      <c r="E14" s="15">
        <f>IF(ISNUMBER(原始输入与口径!AB14),原始输入与口径!AB14,"缺失")</f>
        <v>2.7061536409200921</v>
      </c>
      <c r="F14" s="15">
        <f>IF(ISNUMBER(原始输入与口径!AG14),原始输入与口径!AG14,"缺失")</f>
        <v>190.53684752158253</v>
      </c>
      <c r="G14" s="15">
        <f>IF(ISNUMBER(原始输入与口径!AJ14),原始输入与口径!AJ14,"缺失")</f>
        <v>0</v>
      </c>
      <c r="H14" s="15" t="str">
        <f t="shared" si="0"/>
        <v>未模拟</v>
      </c>
      <c r="I14" s="16">
        <f>原始输入与口径!CD14</f>
        <v>33.561199249274047</v>
      </c>
      <c r="J14" s="16">
        <f>原始输入与口径!CE14</f>
        <v>32.719410429398273</v>
      </c>
      <c r="K14" s="16">
        <f>原始输入与口径!BZ14</f>
        <v>0</v>
      </c>
      <c r="L14" s="16">
        <f>原始输入与口径!CK14</f>
        <v>40</v>
      </c>
      <c r="M14" s="16">
        <f>原始输入与口径!BT14</f>
        <v>24</v>
      </c>
      <c r="N14" s="16">
        <f>原始输入与口径!BJ14</f>
        <v>24</v>
      </c>
      <c r="O14" s="16">
        <f t="shared" si="20"/>
        <v>0.7744457142857144</v>
      </c>
      <c r="P14" s="16">
        <f t="shared" si="1"/>
        <v>0</v>
      </c>
      <c r="Q14" s="17">
        <f t="shared" si="2"/>
        <v>0</v>
      </c>
      <c r="R14" s="17">
        <f t="shared" si="3"/>
        <v>662.24534522516342</v>
      </c>
      <c r="S14" s="17">
        <f t="shared" si="4"/>
        <v>42.764850494540049</v>
      </c>
      <c r="T14" s="17">
        <f t="shared" si="5"/>
        <v>16.236921845520552</v>
      </c>
      <c r="U14" s="17">
        <f t="shared" si="21"/>
        <v>147.56044497660022</v>
      </c>
      <c r="V14" s="17">
        <f t="shared" si="6"/>
        <v>0</v>
      </c>
      <c r="W14" s="17">
        <f t="shared" si="7"/>
        <v>868.80756254182427</v>
      </c>
      <c r="X14" s="12">
        <f>原始输入与口径!CP14</f>
        <v>868.80756254182427</v>
      </c>
      <c r="Y14" s="19">
        <f t="shared" si="8"/>
        <v>0</v>
      </c>
      <c r="Z14" s="12" t="str">
        <f t="shared" si="9"/>
        <v>当日执行</v>
      </c>
      <c r="AA14" s="12">
        <f>IF(原始输入与口径!AW14,1,0)</f>
        <v>1</v>
      </c>
      <c r="AB14" s="12">
        <f>IF(原始输入与口径!AY14,1,0)</f>
        <v>1</v>
      </c>
      <c r="AC14" s="12">
        <f>原始输入与口径!$F$5</f>
        <v>0.25</v>
      </c>
      <c r="AD14" s="18">
        <f>原始输入与口径!CG14</f>
        <v>0.3125</v>
      </c>
      <c r="AE14" s="18">
        <f>原始输入与口径!BQ14</f>
        <v>0.13714285714285715</v>
      </c>
      <c r="AF14" s="18">
        <f t="shared" si="10"/>
        <v>0.12907428571428572</v>
      </c>
      <c r="AG14" s="18">
        <f t="shared" si="11"/>
        <v>0</v>
      </c>
      <c r="AH14" s="12">
        <f>IF(ISNUMBER(原始输入与口径!T14),原始输入与口径!T14,"缺失")</f>
        <v>175</v>
      </c>
      <c r="AI14" s="12">
        <f>IF(ISNUMBER(原始输入与口径!Y14),原始输入与口径!Y14,"缺失")</f>
        <v>175</v>
      </c>
      <c r="AJ14" s="12">
        <f>IF(ISNUMBER(原始输入与口径!AI14),原始输入与口径!AI14,"缺失")</f>
        <v>5.6470000000000002</v>
      </c>
      <c r="AK14" s="12">
        <f>IF(ISNUMBER(原始输入与口径!AL14),原始输入与口径!AL14,"缺失")</f>
        <v>0</v>
      </c>
      <c r="AL14" s="12">
        <f>IF(ISNUMBER(原始输入与口径!O14),原始输入与口径!O14,"缺失")</f>
        <v>128</v>
      </c>
      <c r="AM14" s="12">
        <f>SUMIFS(相位SOC复算!$N$9:$N$929,相位SOC复算!$S$9:$S$929,6)</f>
        <v>2.3383022774327122E-3</v>
      </c>
      <c r="AN14" s="12">
        <f>SUMIFS(相位SOC复算!$Q$9:$Q$929,相位SOC复算!$S$9:$S$929,6)</f>
        <v>0</v>
      </c>
      <c r="AO14" s="12">
        <f>SUMIFS(相位SOC复算!$R$9:$R$929,相位SOC复算!$S$9:$S$929,6)</f>
        <v>0.7744457142857144</v>
      </c>
      <c r="AP14" s="12">
        <f>相位SOC复算!J22</f>
        <v>32.719410429398273</v>
      </c>
      <c r="AQ14" s="19">
        <f t="shared" si="12"/>
        <v>0</v>
      </c>
      <c r="AR14" s="12">
        <f>IF(ISBLANK(原始输入与口径!M14),"",原始输入与口径!M14)</f>
        <v>5.2473000000000001</v>
      </c>
      <c r="AS14" s="14">
        <f>IF(ISBLANK(原始输入与口径!L14),"",原始输入与口径!L14)</f>
        <v>46234</v>
      </c>
      <c r="AT14" s="13">
        <f>IF(ISBLANK(原始输入与口径!A14),"",原始输入与口径!A14)</f>
        <v>46234.927083333336</v>
      </c>
      <c r="AU14" s="12" t="str">
        <f>IF(ISBLANK(原始输入与口径!I14),"",原始输入与口径!I14)</f>
        <v>2026-08-01_2</v>
      </c>
      <c r="AV14" s="12">
        <f>IF(ISBLANK(原始输入与口径!J14),"",原始输入与口径!J14)</f>
        <v>15</v>
      </c>
      <c r="AW14" s="12" t="str">
        <f>IF(ISBLANK(原始输入与口径!BB14),"",原始输入与口径!BB14)</f>
        <v>OK</v>
      </c>
      <c r="AX14" s="12">
        <f>原始输入与口径!CI14</f>
        <v>128</v>
      </c>
      <c r="AY14" s="12">
        <f>原始输入与口径!BS14</f>
        <v>175</v>
      </c>
      <c r="AZ14" s="12">
        <f>原始输入与口径!BI14</f>
        <v>175</v>
      </c>
      <c r="BA14" s="12">
        <f>原始输入与口径!CM14</f>
        <v>40</v>
      </c>
      <c r="BB14" s="12">
        <f>原始输入与口径!BV14</f>
        <v>24</v>
      </c>
      <c r="BC14" s="12">
        <f>原始输入与口径!BL14</f>
        <v>24</v>
      </c>
      <c r="BD14" s="14">
        <f>46235</f>
        <v>46235</v>
      </c>
      <c r="BE14" s="1" t="str">
        <f t="shared" si="13"/>
        <v>零头寸，无结算现金</v>
      </c>
      <c r="BF14" s="1" t="str">
        <f t="shared" si="14"/>
        <v>40.000000 MW × 66.224535 × 0.250000 h = 662.245345 EUR</v>
      </c>
      <c r="BG14" s="1" t="str">
        <f t="shared" si="15"/>
        <v>24.000000 MW × 7.127475 × 0.250000 h = 42.764850 EUR</v>
      </c>
      <c r="BH14" s="1" t="str">
        <f t="shared" si="16"/>
        <v>24.000000 MW × 2.706154 × 0.250000 h = 16.236922 EUR</v>
      </c>
      <c r="BI14" s="1" t="str">
        <f t="shared" si="17"/>
        <v>0.774446 MWh × 190.536848 = 147.560445 EUR</v>
      </c>
      <c r="BJ14" s="1" t="str">
        <f t="shared" si="18"/>
        <v>零下调激活电量</v>
      </c>
      <c r="BK14" s="1" t="str">
        <f t="shared" si="19"/>
        <v>0.000000 + 662.245345 + 42.764850 + 16.236922 + 147.560445 + 0.000000 = 868.807563 EUR</v>
      </c>
    </row>
    <row r="15" spans="1:63" ht="21" customHeight="1" x14ac:dyDescent="0.45">
      <c r="A15" s="13">
        <f>原始输入与口径!C15</f>
        <v>46235.0625</v>
      </c>
      <c r="B15" s="15">
        <f>IF(ISNUMBER(原始输入与口径!H15),原始输入与口径!H15,"缺失")</f>
        <v>165.3</v>
      </c>
      <c r="C15" s="15">
        <f>IF(ISNUMBER(原始输入与口径!R15),原始输入与口径!R15,"缺失")</f>
        <v>66.224534522516336</v>
      </c>
      <c r="D15" s="15">
        <f>IF(ISNUMBER(原始输入与口径!W15),原始输入与口径!W15,"缺失")</f>
        <v>7.1274750824233415</v>
      </c>
      <c r="E15" s="15">
        <f>IF(ISNUMBER(原始输入与口径!AB15),原始输入与口径!AB15,"缺失")</f>
        <v>2.7061536409200921</v>
      </c>
      <c r="F15" s="15">
        <f>IF(ISNUMBER(原始输入与口径!AG15),原始输入与口径!AG15,"缺失")</f>
        <v>181.55184571112764</v>
      </c>
      <c r="G15" s="15">
        <f>IF(ISNUMBER(原始输入与口径!AJ15),原始输入与口径!AJ15,"缺失")</f>
        <v>0</v>
      </c>
      <c r="H15" s="15" t="str">
        <f t="shared" si="0"/>
        <v>未模拟</v>
      </c>
      <c r="I15" s="16">
        <f>原始输入与口径!CD15</f>
        <v>32.719410429398273</v>
      </c>
      <c r="J15" s="16">
        <f>原始输入与口径!CE15</f>
        <v>31.771335895236781</v>
      </c>
      <c r="K15" s="16">
        <f>原始输入与口径!BZ15</f>
        <v>0</v>
      </c>
      <c r="L15" s="16">
        <f>原始输入与口径!CK15</f>
        <v>40</v>
      </c>
      <c r="M15" s="16">
        <f>原始输入与口径!BT15</f>
        <v>24</v>
      </c>
      <c r="N15" s="16">
        <f>原始输入与口径!BJ15</f>
        <v>24</v>
      </c>
      <c r="O15" s="16">
        <f t="shared" si="20"/>
        <v>0.87222857142857135</v>
      </c>
      <c r="P15" s="16">
        <f t="shared" si="1"/>
        <v>0</v>
      </c>
      <c r="Q15" s="17">
        <f t="shared" si="2"/>
        <v>0</v>
      </c>
      <c r="R15" s="17">
        <f t="shared" si="3"/>
        <v>662.24534522516342</v>
      </c>
      <c r="S15" s="17">
        <f t="shared" si="4"/>
        <v>42.764850494540049</v>
      </c>
      <c r="T15" s="17">
        <f t="shared" si="5"/>
        <v>16.236921845520552</v>
      </c>
      <c r="U15" s="17">
        <f t="shared" si="21"/>
        <v>158.35470702483727</v>
      </c>
      <c r="V15" s="17">
        <f t="shared" si="6"/>
        <v>0</v>
      </c>
      <c r="W15" s="17">
        <f t="shared" si="7"/>
        <v>879.60182459006126</v>
      </c>
      <c r="X15" s="12">
        <f>原始输入与口径!CP15</f>
        <v>879.60182459006126</v>
      </c>
      <c r="Y15" s="19">
        <f t="shared" si="8"/>
        <v>0</v>
      </c>
      <c r="Z15" s="12" t="str">
        <f t="shared" si="9"/>
        <v>当日执行</v>
      </c>
      <c r="AA15" s="12">
        <f>IF(原始输入与口径!AW15,1,0)</f>
        <v>1</v>
      </c>
      <c r="AB15" s="12">
        <f>IF(原始输入与口径!AY15,1,0)</f>
        <v>1</v>
      </c>
      <c r="AC15" s="12">
        <f>原始输入与口径!$F$5</f>
        <v>0.25</v>
      </c>
      <c r="AD15" s="18">
        <f>原始输入与口径!CG15</f>
        <v>0.3125</v>
      </c>
      <c r="AE15" s="18">
        <f>原始输入与口径!BQ15</f>
        <v>0.13714285714285715</v>
      </c>
      <c r="AF15" s="18">
        <f t="shared" si="10"/>
        <v>0.14537142857142857</v>
      </c>
      <c r="AG15" s="18">
        <f t="shared" si="11"/>
        <v>0</v>
      </c>
      <c r="AH15" s="12">
        <f>IF(ISNUMBER(原始输入与口径!T15),原始输入与口径!T15,"缺失")</f>
        <v>175</v>
      </c>
      <c r="AI15" s="12">
        <f>IF(ISNUMBER(原始输入与口径!Y15),原始输入与口径!Y15,"缺失")</f>
        <v>175</v>
      </c>
      <c r="AJ15" s="12">
        <f>IF(ISNUMBER(原始输入与口径!AI15),原始输入与口径!AI15,"缺失")</f>
        <v>6.36</v>
      </c>
      <c r="AK15" s="12">
        <f>IF(ISNUMBER(原始输入与口径!AL15),原始输入与口径!AL15,"缺失")</f>
        <v>0</v>
      </c>
      <c r="AL15" s="12">
        <f>IF(ISNUMBER(原始输入与口径!O15),原始输入与口径!O15,"缺失")</f>
        <v>128</v>
      </c>
      <c r="AM15" s="12">
        <f>SUMIFS(相位SOC复算!$N$9:$N$929,相位SOC复算!$S$9:$S$929,7)</f>
        <v>2.6335403726708072E-3</v>
      </c>
      <c r="AN15" s="12">
        <f>SUMIFS(相位SOC复算!$Q$9:$Q$929,相位SOC复算!$S$9:$S$929,7)</f>
        <v>0</v>
      </c>
      <c r="AO15" s="12">
        <f>SUMIFS(相位SOC复算!$R$9:$R$929,相位SOC复算!$S$9:$S$929,7)</f>
        <v>0.87222857142857135</v>
      </c>
      <c r="AP15" s="12">
        <f>相位SOC复算!J24</f>
        <v>31.771335895236781</v>
      </c>
      <c r="AQ15" s="19">
        <f t="shared" si="12"/>
        <v>0</v>
      </c>
      <c r="AR15" s="12">
        <f>IF(ISBLANK(原始输入与口径!M15),"",原始输入与口径!M15)</f>
        <v>5.2473000000000001</v>
      </c>
      <c r="AS15" s="14">
        <f>IF(ISBLANK(原始输入与口径!L15),"",原始输入与口径!L15)</f>
        <v>46234</v>
      </c>
      <c r="AT15" s="13">
        <f>IF(ISBLANK(原始输入与口径!A15),"",原始输入与口径!A15)</f>
        <v>46234.9375</v>
      </c>
      <c r="AU15" s="12" t="str">
        <f>IF(ISBLANK(原始输入与口径!I15),"",原始输入与口径!I15)</f>
        <v>2026-08-01_3</v>
      </c>
      <c r="AV15" s="12">
        <f>IF(ISBLANK(原始输入与口径!J15),"",原始输入与口径!J15)</f>
        <v>15</v>
      </c>
      <c r="AW15" s="12" t="str">
        <f>IF(ISBLANK(原始输入与口径!BB15),"",原始输入与口径!BB15)</f>
        <v>OK</v>
      </c>
      <c r="AX15" s="12">
        <f>原始输入与口径!CI15</f>
        <v>128</v>
      </c>
      <c r="AY15" s="12">
        <f>原始输入与口径!BS15</f>
        <v>175</v>
      </c>
      <c r="AZ15" s="12">
        <f>原始输入与口径!BI15</f>
        <v>175</v>
      </c>
      <c r="BA15" s="12">
        <f>原始输入与口径!CM15</f>
        <v>40</v>
      </c>
      <c r="BB15" s="12">
        <f>原始输入与口径!BV15</f>
        <v>24</v>
      </c>
      <c r="BC15" s="12">
        <f>原始输入与口径!BL15</f>
        <v>24</v>
      </c>
      <c r="BD15" s="14">
        <f>46235</f>
        <v>46235</v>
      </c>
      <c r="BE15" s="1" t="str">
        <f t="shared" si="13"/>
        <v>零头寸，无结算现金</v>
      </c>
      <c r="BF15" s="1" t="str">
        <f t="shared" si="14"/>
        <v>40.000000 MW × 66.224535 × 0.250000 h = 662.245345 EUR</v>
      </c>
      <c r="BG15" s="1" t="str">
        <f t="shared" si="15"/>
        <v>24.000000 MW × 7.127475 × 0.250000 h = 42.764850 EUR</v>
      </c>
      <c r="BH15" s="1" t="str">
        <f t="shared" si="16"/>
        <v>24.000000 MW × 2.706154 × 0.250000 h = 16.236922 EUR</v>
      </c>
      <c r="BI15" s="1" t="str">
        <f t="shared" si="17"/>
        <v>0.872229 MWh × 181.551846 = 158.354707 EUR</v>
      </c>
      <c r="BJ15" s="1" t="str">
        <f t="shared" si="18"/>
        <v>零下调激活电量</v>
      </c>
      <c r="BK15" s="1" t="str">
        <f t="shared" si="19"/>
        <v>0.000000 + 662.245345 + 42.764850 + 16.236922 + 158.354707 + 0.000000 = 879.601825 EUR</v>
      </c>
    </row>
    <row r="16" spans="1:63" ht="21" customHeight="1" x14ac:dyDescent="0.45">
      <c r="A16" s="13">
        <f>原始输入与口径!C16</f>
        <v>46235.072916666664</v>
      </c>
      <c r="B16" s="15">
        <f>IF(ISNUMBER(原始输入与口径!H16),原始输入与口径!H16,"缺失")</f>
        <v>157.22999999999999</v>
      </c>
      <c r="C16" s="15">
        <f>IF(ISNUMBER(原始输入与口径!R16),原始输入与口径!R16,"缺失")</f>
        <v>66.224534522516336</v>
      </c>
      <c r="D16" s="15">
        <f>IF(ISNUMBER(原始输入与口径!W16),原始输入与口径!W16,"缺失")</f>
        <v>7.1274750824233415</v>
      </c>
      <c r="E16" s="15">
        <f>IF(ISNUMBER(原始输入与口径!AB16),原始输入与口径!AB16,"缺失")</f>
        <v>2.7061536409200921</v>
      </c>
      <c r="F16" s="15">
        <f>IF(ISNUMBER(原始输入与口径!AG16),原始输入与口径!AG16,"缺失")</f>
        <v>190.08785470622988</v>
      </c>
      <c r="G16" s="15">
        <f>IF(ISNUMBER(原始输入与口径!AJ16),原始输入与口径!AJ16,"缺失")</f>
        <v>0</v>
      </c>
      <c r="H16" s="15" t="str">
        <f t="shared" si="0"/>
        <v>未模拟</v>
      </c>
      <c r="I16" s="16">
        <f>原始输入与口径!CD16</f>
        <v>31.771335895236781</v>
      </c>
      <c r="J16" s="16">
        <f>原始输入与口径!CE16</f>
        <v>36.483964923808209</v>
      </c>
      <c r="K16" s="16">
        <f>原始输入与口径!BZ16</f>
        <v>-24</v>
      </c>
      <c r="L16" s="16">
        <f>原始输入与口径!CK16</f>
        <v>40</v>
      </c>
      <c r="M16" s="16">
        <f>原始输入与口径!BT16</f>
        <v>24</v>
      </c>
      <c r="N16" s="16">
        <f>原始输入与口径!BJ16</f>
        <v>24</v>
      </c>
      <c r="O16" s="16">
        <f t="shared" si="20"/>
        <v>0.87757714285714283</v>
      </c>
      <c r="P16" s="16">
        <f t="shared" si="1"/>
        <v>0</v>
      </c>
      <c r="Q16" s="17">
        <f t="shared" si="2"/>
        <v>-943.37999999999988</v>
      </c>
      <c r="R16" s="17">
        <f t="shared" si="3"/>
        <v>662.24534522516342</v>
      </c>
      <c r="S16" s="17">
        <f t="shared" si="4"/>
        <v>42.764850494540049</v>
      </c>
      <c r="T16" s="17">
        <f t="shared" si="5"/>
        <v>16.236921845520552</v>
      </c>
      <c r="U16" s="17">
        <f t="shared" si="21"/>
        <v>166.8167564249369</v>
      </c>
      <c r="V16" s="17">
        <f t="shared" si="6"/>
        <v>0</v>
      </c>
      <c r="W16" s="17">
        <f t="shared" si="7"/>
        <v>-55.316126009838968</v>
      </c>
      <c r="X16" s="12">
        <f>原始输入与口径!CP16</f>
        <v>-55.316126009838968</v>
      </c>
      <c r="Y16" s="19">
        <f t="shared" si="8"/>
        <v>0</v>
      </c>
      <c r="Z16" s="12" t="str">
        <f t="shared" si="9"/>
        <v>当日执行</v>
      </c>
      <c r="AA16" s="12">
        <f>IF(原始输入与口径!AW16,1,0)</f>
        <v>1</v>
      </c>
      <c r="AB16" s="12">
        <f>IF(原始输入与口径!AY16,1,0)</f>
        <v>1</v>
      </c>
      <c r="AC16" s="12">
        <f>原始输入与口径!$F$5</f>
        <v>0.25</v>
      </c>
      <c r="AD16" s="18">
        <f>原始输入与口径!CG16</f>
        <v>0.3125</v>
      </c>
      <c r="AE16" s="18">
        <f>原始输入与口径!BQ16</f>
        <v>0.13714285714285715</v>
      </c>
      <c r="AF16" s="18">
        <f t="shared" si="10"/>
        <v>0.14626285714285714</v>
      </c>
      <c r="AG16" s="18">
        <f t="shared" si="11"/>
        <v>0</v>
      </c>
      <c r="AH16" s="12">
        <f>IF(ISNUMBER(原始输入与口径!T16),原始输入与口径!T16,"缺失")</f>
        <v>175</v>
      </c>
      <c r="AI16" s="12">
        <f>IF(ISNUMBER(原始输入与口径!Y16),原始输入与口径!Y16,"缺失")</f>
        <v>175</v>
      </c>
      <c r="AJ16" s="12">
        <f>IF(ISNUMBER(原始输入与口径!AI16),原始输入与口径!AI16,"缺失")</f>
        <v>6.399</v>
      </c>
      <c r="AK16" s="12">
        <f>IF(ISNUMBER(原始输入与口径!AL16),原始输入与口径!AL16,"缺失")</f>
        <v>0</v>
      </c>
      <c r="AL16" s="12">
        <f>IF(ISNUMBER(原始输入与口径!O16),原始输入与口径!O16,"缺失")</f>
        <v>128</v>
      </c>
      <c r="AM16" s="12">
        <f>SUMIFS(相位SOC复算!$N$9:$N$929,相位SOC复算!$S$9:$S$929,8)</f>
        <v>1.3090636190476193E-2</v>
      </c>
      <c r="AN16" s="12">
        <f>SUMIFS(相位SOC复算!$Q$9:$Q$929,相位SOC复算!$S$9:$S$929,8)</f>
        <v>5.1224228571428574</v>
      </c>
      <c r="AO16" s="12">
        <f>SUMIFS(相位SOC复算!$R$9:$R$929,相位SOC复算!$S$9:$S$929,8)</f>
        <v>0</v>
      </c>
      <c r="AP16" s="12">
        <f>相位SOC复算!J26</f>
        <v>36.483964923808209</v>
      </c>
      <c r="AQ16" s="19">
        <f t="shared" si="12"/>
        <v>0</v>
      </c>
      <c r="AR16" s="12">
        <f>IF(ISBLANK(原始输入与口径!M16),"",原始输入与口径!M16)</f>
        <v>5.2473000000000001</v>
      </c>
      <c r="AS16" s="14">
        <f>IF(ISBLANK(原始输入与口径!L16),"",原始输入与口径!L16)</f>
        <v>46234</v>
      </c>
      <c r="AT16" s="13">
        <f>IF(ISBLANK(原始输入与口径!A16),"",原始输入与口径!A16)</f>
        <v>46234.947916666664</v>
      </c>
      <c r="AU16" s="12" t="str">
        <f>IF(ISBLANK(原始输入与口径!I16),"",原始输入与口径!I16)</f>
        <v>2026-08-01_4</v>
      </c>
      <c r="AV16" s="12">
        <f>IF(ISBLANK(原始输入与口径!J16),"",原始输入与口径!J16)</f>
        <v>15</v>
      </c>
      <c r="AW16" s="12" t="str">
        <f>IF(ISBLANK(原始输入与口径!BB16),"",原始输入与口径!BB16)</f>
        <v>OK</v>
      </c>
      <c r="AX16" s="12">
        <f>原始输入与口径!CI16</f>
        <v>128</v>
      </c>
      <c r="AY16" s="12">
        <f>原始输入与口径!BS16</f>
        <v>175</v>
      </c>
      <c r="AZ16" s="12">
        <f>原始输入与口径!BI16</f>
        <v>175</v>
      </c>
      <c r="BA16" s="12">
        <f>原始输入与口径!CM16</f>
        <v>40</v>
      </c>
      <c r="BB16" s="12">
        <f>原始输入与口径!BV16</f>
        <v>24</v>
      </c>
      <c r="BC16" s="12">
        <f>原始输入与口径!BL16</f>
        <v>24</v>
      </c>
      <c r="BD16" s="14">
        <f>46235</f>
        <v>46235</v>
      </c>
      <c r="BE16" s="1" t="str">
        <f t="shared" si="13"/>
        <v>-24.000000 MW × 157.230000 × 0.250000 h = -943.380000 EUR</v>
      </c>
      <c r="BF16" s="1" t="str">
        <f t="shared" si="14"/>
        <v>40.000000 MW × 66.224535 × 0.250000 h = 662.245345 EUR</v>
      </c>
      <c r="BG16" s="1" t="str">
        <f t="shared" si="15"/>
        <v>24.000000 MW × 7.127475 × 0.250000 h = 42.764850 EUR</v>
      </c>
      <c r="BH16" s="1" t="str">
        <f t="shared" si="16"/>
        <v>24.000000 MW × 2.706154 × 0.250000 h = 16.236922 EUR</v>
      </c>
      <c r="BI16" s="1" t="str">
        <f t="shared" si="17"/>
        <v>0.877577 MWh × 190.087855 = 166.816756 EUR</v>
      </c>
      <c r="BJ16" s="1" t="str">
        <f t="shared" si="18"/>
        <v>零下调激活电量</v>
      </c>
      <c r="BK16" s="1" t="str">
        <f t="shared" si="19"/>
        <v>-943.380000 + 662.245345 + 42.764850 + 16.236922 + 166.816756 + 0.000000 = -55.316126 EUR</v>
      </c>
    </row>
    <row r="17" spans="1:63" ht="21" customHeight="1" x14ac:dyDescent="0.45">
      <c r="A17" s="13">
        <f>原始输入与口径!C17</f>
        <v>46235.083333333336</v>
      </c>
      <c r="B17" s="15">
        <f>IF(ISNUMBER(原始输入与口径!H17),原始输入与口径!H17,"缺失")</f>
        <v>170.44</v>
      </c>
      <c r="C17" s="15">
        <f>IF(ISNUMBER(原始输入与口径!R17),原始输入与口径!R17,"缺失")</f>
        <v>66.224534522516336</v>
      </c>
      <c r="D17" s="15">
        <f>IF(ISNUMBER(原始输入与口径!W17),原始输入与口径!W17,"缺失")</f>
        <v>7.1274750824233415</v>
      </c>
      <c r="E17" s="15">
        <f>IF(ISNUMBER(原始输入与口径!AB17),原始输入与口径!AB17,"缺失")</f>
        <v>2.7061536409200921</v>
      </c>
      <c r="F17" s="15">
        <f>IF(ISNUMBER(原始输入与口径!AG17),原始输入与口径!AG17,"缺失")</f>
        <v>227.42972576372611</v>
      </c>
      <c r="G17" s="15">
        <f>IF(ISNUMBER(原始输入与口径!AJ17),原始输入与口径!AJ17,"缺失")</f>
        <v>0</v>
      </c>
      <c r="H17" s="15" t="str">
        <f t="shared" si="0"/>
        <v>未模拟</v>
      </c>
      <c r="I17" s="16">
        <f>原始输入与口径!CD17</f>
        <v>36.483964923808209</v>
      </c>
      <c r="J17" s="16">
        <f>原始输入与口径!CE17</f>
        <v>34.278648153621873</v>
      </c>
      <c r="K17" s="16">
        <f>原始输入与口径!BZ17</f>
        <v>0</v>
      </c>
      <c r="L17" s="16">
        <f>原始输入与口径!CK17</f>
        <v>40</v>
      </c>
      <c r="M17" s="16">
        <f>原始输入与口径!BT17</f>
        <v>24</v>
      </c>
      <c r="N17" s="16">
        <f>原始输入与口径!BJ17</f>
        <v>24</v>
      </c>
      <c r="O17" s="16">
        <f t="shared" si="20"/>
        <v>2.0288914285714288</v>
      </c>
      <c r="P17" s="16">
        <f t="shared" si="1"/>
        <v>0</v>
      </c>
      <c r="Q17" s="17">
        <f t="shared" si="2"/>
        <v>0</v>
      </c>
      <c r="R17" s="17">
        <f t="shared" si="3"/>
        <v>662.24534522516342</v>
      </c>
      <c r="S17" s="17">
        <f t="shared" si="4"/>
        <v>42.764850494540049</v>
      </c>
      <c r="T17" s="17">
        <f t="shared" si="5"/>
        <v>16.236921845520552</v>
      </c>
      <c r="U17" s="17">
        <f t="shared" si="21"/>
        <v>461.43022120437456</v>
      </c>
      <c r="V17" s="17">
        <f t="shared" si="6"/>
        <v>0</v>
      </c>
      <c r="W17" s="17">
        <f t="shared" si="7"/>
        <v>1182.6773387695985</v>
      </c>
      <c r="X17" s="12">
        <f>原始输入与口径!CP17</f>
        <v>1182.6773387695987</v>
      </c>
      <c r="Y17" s="19">
        <f t="shared" si="8"/>
        <v>0</v>
      </c>
      <c r="Z17" s="12" t="str">
        <f t="shared" si="9"/>
        <v>当日执行</v>
      </c>
      <c r="AA17" s="12">
        <f>IF(原始输入与口径!AW17,1,0)</f>
        <v>1</v>
      </c>
      <c r="AB17" s="12">
        <f>IF(原始输入与口径!AY17,1,0)</f>
        <v>1</v>
      </c>
      <c r="AC17" s="12">
        <f>原始输入与口径!$F$5</f>
        <v>0.25</v>
      </c>
      <c r="AD17" s="18">
        <f>原始输入与口径!CG17</f>
        <v>0.3125</v>
      </c>
      <c r="AE17" s="18">
        <f>原始输入与口径!BQ17</f>
        <v>0.13714285714285715</v>
      </c>
      <c r="AF17" s="18">
        <f t="shared" si="10"/>
        <v>0.33814857142857146</v>
      </c>
      <c r="AG17" s="18">
        <f t="shared" si="11"/>
        <v>0</v>
      </c>
      <c r="AH17" s="12">
        <f>IF(ISNUMBER(原始输入与口径!T17),原始输入与口径!T17,"缺失")</f>
        <v>175</v>
      </c>
      <c r="AI17" s="12">
        <f>IF(ISNUMBER(原始输入与口径!Y17),原始输入与口径!Y17,"缺失")</f>
        <v>175</v>
      </c>
      <c r="AJ17" s="12">
        <f>IF(ISNUMBER(原始输入与口径!AI17),原始输入与口径!AI17,"缺失")</f>
        <v>14.794</v>
      </c>
      <c r="AK17" s="12">
        <f>IF(ISNUMBER(原始输入与口径!AL17),原始输入与口径!AL17,"缺失")</f>
        <v>0</v>
      </c>
      <c r="AL17" s="12">
        <f>IF(ISNUMBER(原始输入与口径!O17),原始输入与口径!O17,"缺失")</f>
        <v>128</v>
      </c>
      <c r="AM17" s="12">
        <f>SUMIFS(相位SOC复算!$N$9:$N$929,相位SOC复算!$S$9:$S$929,9)</f>
        <v>6.125879917184265E-3</v>
      </c>
      <c r="AN17" s="12">
        <f>SUMIFS(相位SOC复算!$Q$9:$Q$929,相位SOC复算!$S$9:$S$929,9)</f>
        <v>0</v>
      </c>
      <c r="AO17" s="12">
        <f>SUMIFS(相位SOC复算!$R$9:$R$929,相位SOC复算!$S$9:$S$929,9)</f>
        <v>2.0288914285714288</v>
      </c>
      <c r="AP17" s="12">
        <f>相位SOC复算!J28</f>
        <v>34.278648153621873</v>
      </c>
      <c r="AQ17" s="19">
        <f t="shared" si="12"/>
        <v>0</v>
      </c>
      <c r="AR17" s="12">
        <f>IF(ISBLANK(原始输入与口径!M17),"",原始输入与口径!M17)</f>
        <v>5.2473000000000001</v>
      </c>
      <c r="AS17" s="14">
        <f>IF(ISBLANK(原始输入与口径!L17),"",原始输入与口径!L17)</f>
        <v>46234</v>
      </c>
      <c r="AT17" s="13">
        <f>IF(ISBLANK(原始输入与口径!A17),"",原始输入与口径!A17)</f>
        <v>46234.958333333336</v>
      </c>
      <c r="AU17" s="12" t="str">
        <f>IF(ISBLANK(原始输入与口径!I17),"",原始输入与口径!I17)</f>
        <v>2026-08-01_5</v>
      </c>
      <c r="AV17" s="12">
        <f>IF(ISBLANK(原始输入与口径!J17),"",原始输入与口径!J17)</f>
        <v>15</v>
      </c>
      <c r="AW17" s="12" t="str">
        <f>IF(ISBLANK(原始输入与口径!BB17),"",原始输入与口径!BB17)</f>
        <v>OK</v>
      </c>
      <c r="AX17" s="12">
        <f>原始输入与口径!CI17</f>
        <v>128</v>
      </c>
      <c r="AY17" s="12">
        <f>原始输入与口径!BS17</f>
        <v>175</v>
      </c>
      <c r="AZ17" s="12">
        <f>原始输入与口径!BI17</f>
        <v>175</v>
      </c>
      <c r="BA17" s="12">
        <f>原始输入与口径!CM17</f>
        <v>40</v>
      </c>
      <c r="BB17" s="12">
        <f>原始输入与口径!BV17</f>
        <v>24</v>
      </c>
      <c r="BC17" s="12">
        <f>原始输入与口径!BL17</f>
        <v>24</v>
      </c>
      <c r="BD17" s="14">
        <f>46235</f>
        <v>46235</v>
      </c>
      <c r="BE17" s="1" t="str">
        <f t="shared" si="13"/>
        <v>零头寸，无结算现金</v>
      </c>
      <c r="BF17" s="1" t="str">
        <f t="shared" si="14"/>
        <v>40.000000 MW × 66.224535 × 0.250000 h = 662.245345 EUR</v>
      </c>
      <c r="BG17" s="1" t="str">
        <f t="shared" si="15"/>
        <v>24.000000 MW × 7.127475 × 0.250000 h = 42.764850 EUR</v>
      </c>
      <c r="BH17" s="1" t="str">
        <f t="shared" si="16"/>
        <v>24.000000 MW × 2.706154 × 0.250000 h = 16.236922 EUR</v>
      </c>
      <c r="BI17" s="1" t="str">
        <f t="shared" si="17"/>
        <v>2.028891 MWh × 227.429726 = 461.430221 EUR</v>
      </c>
      <c r="BJ17" s="1" t="str">
        <f t="shared" si="18"/>
        <v>零下调激活电量</v>
      </c>
      <c r="BK17" s="1" t="str">
        <f t="shared" si="19"/>
        <v>0.000000 + 662.245345 + 42.764850 + 16.236922 + 461.430221 + 0.000000 = 1182.677339 EUR</v>
      </c>
    </row>
    <row r="18" spans="1:63" ht="21" customHeight="1" x14ac:dyDescent="0.45">
      <c r="A18" s="13">
        <f>原始输入与口径!C18</f>
        <v>46235.09375</v>
      </c>
      <c r="B18" s="15">
        <f>IF(ISNUMBER(原始输入与口径!H18),原始输入与口径!H18,"缺失")</f>
        <v>169.42</v>
      </c>
      <c r="C18" s="15">
        <f>IF(ISNUMBER(原始输入与口径!R18),原始输入与口径!R18,"缺失")</f>
        <v>66.224534522516336</v>
      </c>
      <c r="D18" s="15">
        <f>IF(ISNUMBER(原始输入与口径!W18),原始输入与口径!W18,"缺失")</f>
        <v>7.1274750824233415</v>
      </c>
      <c r="E18" s="15">
        <f>IF(ISNUMBER(原始输入与口径!AB18),原始输入与口径!AB18,"缺失")</f>
        <v>2.7061536409200921</v>
      </c>
      <c r="F18" s="15">
        <f>IF(ISNUMBER(原始输入与口径!AG18),原始输入与口径!AG18,"缺失")</f>
        <v>236.08846454367009</v>
      </c>
      <c r="G18" s="15">
        <f>IF(ISNUMBER(原始输入与口径!AJ18),原始输入与口径!AJ18,"缺失")</f>
        <v>0</v>
      </c>
      <c r="H18" s="15" t="str">
        <f t="shared" si="0"/>
        <v>未模拟</v>
      </c>
      <c r="I18" s="16">
        <f>原始输入与口径!CD18</f>
        <v>34.278648153621873</v>
      </c>
      <c r="J18" s="16">
        <f>原始输入与口径!CE18</f>
        <v>31.993430762317526</v>
      </c>
      <c r="K18" s="16">
        <f>原始输入与口径!BZ18</f>
        <v>0</v>
      </c>
      <c r="L18" s="16">
        <f>原始输入与口径!CK18</f>
        <v>40</v>
      </c>
      <c r="M18" s="16">
        <f>原始输入与口径!BT18</f>
        <v>24</v>
      </c>
      <c r="N18" s="16">
        <f>原始输入与口径!BJ18</f>
        <v>24</v>
      </c>
      <c r="O18" s="16">
        <f t="shared" si="20"/>
        <v>2.1023999999999998</v>
      </c>
      <c r="P18" s="16">
        <f t="shared" si="1"/>
        <v>0</v>
      </c>
      <c r="Q18" s="17">
        <f t="shared" si="2"/>
        <v>0</v>
      </c>
      <c r="R18" s="17">
        <f t="shared" si="3"/>
        <v>662.24534522516342</v>
      </c>
      <c r="S18" s="17">
        <f t="shared" si="4"/>
        <v>42.764850494540049</v>
      </c>
      <c r="T18" s="17">
        <f t="shared" si="5"/>
        <v>16.236921845520552</v>
      </c>
      <c r="U18" s="17">
        <f t="shared" si="21"/>
        <v>496.35238785661193</v>
      </c>
      <c r="V18" s="17">
        <f t="shared" si="6"/>
        <v>0</v>
      </c>
      <c r="W18" s="17">
        <f t="shared" si="7"/>
        <v>1217.5995054218361</v>
      </c>
      <c r="X18" s="12">
        <f>原始输入与口径!CP18</f>
        <v>1217.5995054218361</v>
      </c>
      <c r="Y18" s="19">
        <f t="shared" si="8"/>
        <v>0</v>
      </c>
      <c r="Z18" s="12" t="str">
        <f t="shared" si="9"/>
        <v>当日执行</v>
      </c>
      <c r="AA18" s="12">
        <f>IF(原始输入与口径!AW18,1,0)</f>
        <v>1</v>
      </c>
      <c r="AB18" s="12">
        <f>IF(原始输入与口径!AY18,1,0)</f>
        <v>1</v>
      </c>
      <c r="AC18" s="12">
        <f>原始输入与口径!$F$5</f>
        <v>0.25</v>
      </c>
      <c r="AD18" s="18">
        <f>原始输入与口径!CG18</f>
        <v>0.3125</v>
      </c>
      <c r="AE18" s="18">
        <f>原始输入与口径!BQ18</f>
        <v>0.13714285714285715</v>
      </c>
      <c r="AF18" s="18">
        <f t="shared" si="10"/>
        <v>0.35039999999999999</v>
      </c>
      <c r="AG18" s="18">
        <f t="shared" si="11"/>
        <v>0</v>
      </c>
      <c r="AH18" s="12">
        <f>IF(ISNUMBER(原始输入与口径!T18),原始输入与口径!T18,"缺失")</f>
        <v>175</v>
      </c>
      <c r="AI18" s="12">
        <f>IF(ISNUMBER(原始输入与口径!Y18),原始输入与口径!Y18,"缺失")</f>
        <v>175</v>
      </c>
      <c r="AJ18" s="12">
        <f>IF(ISNUMBER(原始输入与口径!AI18),原始输入与口径!AI18,"缺失")</f>
        <v>15.33</v>
      </c>
      <c r="AK18" s="12">
        <f>IF(ISNUMBER(原始输入与口径!AL18),原始输入与口径!AL18,"缺失")</f>
        <v>0</v>
      </c>
      <c r="AL18" s="12">
        <f>IF(ISNUMBER(原始输入与口径!O18),原始输入与口径!O18,"缺失")</f>
        <v>128</v>
      </c>
      <c r="AM18" s="12">
        <f>SUMIFS(相位SOC复算!$N$9:$N$929,相位SOC复算!$S$9:$S$929,10)</f>
        <v>6.347826086956521E-3</v>
      </c>
      <c r="AN18" s="12">
        <f>SUMIFS(相位SOC复算!$Q$9:$Q$929,相位SOC复算!$S$9:$S$929,10)</f>
        <v>0</v>
      </c>
      <c r="AO18" s="12">
        <f>SUMIFS(相位SOC复算!$R$9:$R$929,相位SOC复算!$S$9:$S$929,10)</f>
        <v>2.1023999999999998</v>
      </c>
      <c r="AP18" s="12">
        <f>相位SOC复算!J30</f>
        <v>31.993430762317526</v>
      </c>
      <c r="AQ18" s="19">
        <f t="shared" si="12"/>
        <v>0</v>
      </c>
      <c r="AR18" s="12">
        <f>IF(ISBLANK(原始输入与口径!M18),"",原始输入与口径!M18)</f>
        <v>5.2473000000000001</v>
      </c>
      <c r="AS18" s="14">
        <f>IF(ISBLANK(原始输入与口径!L18),"",原始输入与口径!L18)</f>
        <v>46234</v>
      </c>
      <c r="AT18" s="13">
        <f>IF(ISBLANK(原始输入与口径!A18),"",原始输入与口径!A18)</f>
        <v>46234.96875</v>
      </c>
      <c r="AU18" s="12" t="str">
        <f>IF(ISBLANK(原始输入与口径!I18),"",原始输入与口径!I18)</f>
        <v>2026-08-01_6</v>
      </c>
      <c r="AV18" s="12">
        <f>IF(ISBLANK(原始输入与口径!J18),"",原始输入与口径!J18)</f>
        <v>15</v>
      </c>
      <c r="AW18" s="12" t="str">
        <f>IF(ISBLANK(原始输入与口径!BB18),"",原始输入与口径!BB18)</f>
        <v>OK</v>
      </c>
      <c r="AX18" s="12">
        <f>原始输入与口径!CI18</f>
        <v>128</v>
      </c>
      <c r="AY18" s="12">
        <f>原始输入与口径!BS18</f>
        <v>175</v>
      </c>
      <c r="AZ18" s="12">
        <f>原始输入与口径!BI18</f>
        <v>175</v>
      </c>
      <c r="BA18" s="12">
        <f>原始输入与口径!CM18</f>
        <v>40</v>
      </c>
      <c r="BB18" s="12">
        <f>原始输入与口径!BV18</f>
        <v>24</v>
      </c>
      <c r="BC18" s="12">
        <f>原始输入与口径!BL18</f>
        <v>24</v>
      </c>
      <c r="BD18" s="14">
        <f>46235</f>
        <v>46235</v>
      </c>
      <c r="BE18" s="1" t="str">
        <f t="shared" si="13"/>
        <v>零头寸，无结算现金</v>
      </c>
      <c r="BF18" s="1" t="str">
        <f t="shared" si="14"/>
        <v>40.000000 MW × 66.224535 × 0.250000 h = 662.245345 EUR</v>
      </c>
      <c r="BG18" s="1" t="str">
        <f t="shared" si="15"/>
        <v>24.000000 MW × 7.127475 × 0.250000 h = 42.764850 EUR</v>
      </c>
      <c r="BH18" s="1" t="str">
        <f t="shared" si="16"/>
        <v>24.000000 MW × 2.706154 × 0.250000 h = 16.236922 EUR</v>
      </c>
      <c r="BI18" s="1" t="str">
        <f t="shared" si="17"/>
        <v>2.102400 MWh × 236.088465 = 496.352388 EUR</v>
      </c>
      <c r="BJ18" s="1" t="str">
        <f t="shared" si="18"/>
        <v>零下调激活电量</v>
      </c>
      <c r="BK18" s="1" t="str">
        <f t="shared" si="19"/>
        <v>0.000000 + 662.245345 + 42.764850 + 16.236922 + 496.352388 + 0.000000 = 1217.599505 EUR</v>
      </c>
    </row>
    <row r="19" spans="1:63" ht="21" customHeight="1" x14ac:dyDescent="0.45">
      <c r="A19" s="13">
        <f>原始输入与口径!C19</f>
        <v>46235.104166666664</v>
      </c>
      <c r="B19" s="15">
        <f>IF(ISNUMBER(原始输入与口径!H19),原始输入与口径!H19,"缺失")</f>
        <v>158.09</v>
      </c>
      <c r="C19" s="15">
        <f>IF(ISNUMBER(原始输入与口径!R19),原始输入与口径!R19,"缺失")</f>
        <v>66.224534522516336</v>
      </c>
      <c r="D19" s="15">
        <f>IF(ISNUMBER(原始输入与口径!W19),原始输入与口径!W19,"缺失")</f>
        <v>7.1274750824233415</v>
      </c>
      <c r="E19" s="15">
        <f>IF(ISNUMBER(原始输入与口径!AB19),原始输入与口径!AB19,"缺失")</f>
        <v>2.7061536409200921</v>
      </c>
      <c r="F19" s="15">
        <f>IF(ISNUMBER(原始输入与口径!AG19),原始输入与口径!AG19,"缺失")</f>
        <v>179.29544718236045</v>
      </c>
      <c r="G19" s="15">
        <f>IF(ISNUMBER(原始输入与口径!AJ19),原始输入与口径!AJ19,"缺失")</f>
        <v>0</v>
      </c>
      <c r="H19" s="15" t="str">
        <f t="shared" si="0"/>
        <v>未模拟</v>
      </c>
      <c r="I19" s="16">
        <f>原始输入与口径!CD19</f>
        <v>31.993430762317526</v>
      </c>
      <c r="J19" s="16">
        <f>原始输入与口径!CE19</f>
        <v>31.979320955398158</v>
      </c>
      <c r="K19" s="16">
        <f>原始输入与口径!BZ19</f>
        <v>-1.0887785489005744</v>
      </c>
      <c r="L19" s="16">
        <f>原始输入与口径!CK19</f>
        <v>40</v>
      </c>
      <c r="M19" s="16">
        <f>原始输入与口径!BT19</f>
        <v>24</v>
      </c>
      <c r="N19" s="16">
        <f>原始输入与口径!BJ19</f>
        <v>24</v>
      </c>
      <c r="O19" s="16">
        <f t="shared" si="20"/>
        <v>0.24507428571428569</v>
      </c>
      <c r="P19" s="16">
        <f t="shared" si="1"/>
        <v>0</v>
      </c>
      <c r="Q19" s="17">
        <f t="shared" si="2"/>
        <v>-43.031250198922947</v>
      </c>
      <c r="R19" s="17">
        <f t="shared" si="3"/>
        <v>662.24534522516342</v>
      </c>
      <c r="S19" s="17">
        <f t="shared" si="4"/>
        <v>42.764850494540049</v>
      </c>
      <c r="T19" s="17">
        <f t="shared" si="5"/>
        <v>16.236921845520552</v>
      </c>
      <c r="U19" s="17">
        <f t="shared" si="21"/>
        <v>43.940703650040426</v>
      </c>
      <c r="V19" s="17">
        <f t="shared" si="6"/>
        <v>0</v>
      </c>
      <c r="W19" s="17">
        <f t="shared" si="7"/>
        <v>722.15657101634145</v>
      </c>
      <c r="X19" s="12">
        <f>原始输入与口径!CP19</f>
        <v>722.15657101634145</v>
      </c>
      <c r="Y19" s="19">
        <f t="shared" si="8"/>
        <v>0</v>
      </c>
      <c r="Z19" s="12" t="str">
        <f t="shared" si="9"/>
        <v>当日执行</v>
      </c>
      <c r="AA19" s="12">
        <f>IF(原始输入与口径!AW19,1,0)</f>
        <v>1</v>
      </c>
      <c r="AB19" s="12">
        <f>IF(原始输入与口径!AY19,1,0)</f>
        <v>1</v>
      </c>
      <c r="AC19" s="12">
        <f>原始输入与口径!$F$5</f>
        <v>0.25</v>
      </c>
      <c r="AD19" s="18">
        <f>原始输入与口径!CG19</f>
        <v>0.3125</v>
      </c>
      <c r="AE19" s="18">
        <f>原始输入与口径!BQ19</f>
        <v>0.13714285714285715</v>
      </c>
      <c r="AF19" s="18">
        <f t="shared" si="10"/>
        <v>4.0845714285714284E-2</v>
      </c>
      <c r="AG19" s="18">
        <f t="shared" si="11"/>
        <v>0</v>
      </c>
      <c r="AH19" s="12">
        <f>IF(ISNUMBER(原始输入与口径!T19),原始输入与口径!T19,"缺失")</f>
        <v>175</v>
      </c>
      <c r="AI19" s="12">
        <f>IF(ISNUMBER(原始输入与口径!Y19),原始输入与口径!Y19,"缺失")</f>
        <v>175</v>
      </c>
      <c r="AJ19" s="12">
        <f>IF(ISNUMBER(原始输入与口径!AI19),原始输入与口径!AI19,"缺失")</f>
        <v>1.7869999999999999</v>
      </c>
      <c r="AK19" s="12">
        <f>IF(ISNUMBER(原始输入与口径!AL19),原始输入与口径!AL19,"缺失")</f>
        <v>0</v>
      </c>
      <c r="AL19" s="12">
        <f>IF(ISNUMBER(原始输入与口径!O19),原始输入与口径!O19,"缺失")</f>
        <v>128</v>
      </c>
      <c r="AM19" s="12">
        <f>SUMIFS(相位SOC复算!$N$9:$N$929,相位SOC复算!$S$9:$S$929,11)</f>
        <v>1.3735856893066114E-3</v>
      </c>
      <c r="AN19" s="12">
        <f>SUMIFS(相位SOC复算!$Q$9:$Q$929,相位SOC复算!$S$9:$S$929,11)</f>
        <v>0.26107665284294174</v>
      </c>
      <c r="AO19" s="12">
        <f>SUMIFS(相位SOC复算!$R$9:$R$929,相位SOC复算!$S$9:$S$929,11)</f>
        <v>0.23395630133208384</v>
      </c>
      <c r="AP19" s="12">
        <f>相位SOC复算!J32</f>
        <v>31.979320955398158</v>
      </c>
      <c r="AQ19" s="19">
        <f t="shared" si="12"/>
        <v>0</v>
      </c>
      <c r="AR19" s="12">
        <f>IF(ISBLANK(原始输入与口径!M19),"",原始输入与口径!M19)</f>
        <v>5.2473000000000001</v>
      </c>
      <c r="AS19" s="14">
        <f>IF(ISBLANK(原始输入与口径!L19),"",原始输入与口径!L19)</f>
        <v>46234</v>
      </c>
      <c r="AT19" s="13">
        <f>IF(ISBLANK(原始输入与口径!A19),"",原始输入与口径!A19)</f>
        <v>46234.979166666664</v>
      </c>
      <c r="AU19" s="12" t="str">
        <f>IF(ISBLANK(原始输入与口径!I19),"",原始输入与口径!I19)</f>
        <v>2026-08-01_7</v>
      </c>
      <c r="AV19" s="12">
        <f>IF(ISBLANK(原始输入与口径!J19),"",原始输入与口径!J19)</f>
        <v>15</v>
      </c>
      <c r="AW19" s="12" t="str">
        <f>IF(ISBLANK(原始输入与口径!BB19),"",原始输入与口径!BB19)</f>
        <v>OK</v>
      </c>
      <c r="AX19" s="12">
        <f>原始输入与口径!CI19</f>
        <v>128</v>
      </c>
      <c r="AY19" s="12">
        <f>原始输入与口径!BS19</f>
        <v>175</v>
      </c>
      <c r="AZ19" s="12">
        <f>原始输入与口径!BI19</f>
        <v>175</v>
      </c>
      <c r="BA19" s="12">
        <f>原始输入与口径!CM19</f>
        <v>40</v>
      </c>
      <c r="BB19" s="12">
        <f>原始输入与口径!BV19</f>
        <v>24</v>
      </c>
      <c r="BC19" s="12">
        <f>原始输入与口径!BL19</f>
        <v>24</v>
      </c>
      <c r="BD19" s="14">
        <f>46235</f>
        <v>46235</v>
      </c>
      <c r="BE19" s="1" t="str">
        <f t="shared" si="13"/>
        <v>-1.088779 MW × 158.090000 × 0.250000 h = -43.031250 EUR</v>
      </c>
      <c r="BF19" s="1" t="str">
        <f t="shared" si="14"/>
        <v>40.000000 MW × 66.224535 × 0.250000 h = 662.245345 EUR</v>
      </c>
      <c r="BG19" s="1" t="str">
        <f t="shared" si="15"/>
        <v>24.000000 MW × 7.127475 × 0.250000 h = 42.764850 EUR</v>
      </c>
      <c r="BH19" s="1" t="str">
        <f t="shared" si="16"/>
        <v>24.000000 MW × 2.706154 × 0.250000 h = 16.236922 EUR</v>
      </c>
      <c r="BI19" s="1" t="str">
        <f t="shared" si="17"/>
        <v>0.245074 MWh × 179.295447 = 43.940704 EUR</v>
      </c>
      <c r="BJ19" s="1" t="str">
        <f t="shared" si="18"/>
        <v>零下调激活电量</v>
      </c>
      <c r="BK19" s="1" t="str">
        <f t="shared" si="19"/>
        <v>-43.031250 + 662.245345 + 42.764850 + 16.236922 + 43.940704 + 0.000000 = 722.156571 EUR</v>
      </c>
    </row>
    <row r="20" spans="1:63" ht="21" customHeight="1" x14ac:dyDescent="0.45">
      <c r="A20" s="13">
        <f>原始输入与口径!C20</f>
        <v>46235.114583333336</v>
      </c>
      <c r="B20" s="15">
        <f>IF(ISNUMBER(原始输入与口径!H20),原始输入与口径!H20,"缺失")</f>
        <v>156.91</v>
      </c>
      <c r="C20" s="15">
        <f>IF(ISNUMBER(原始输入与口径!R20),原始输入与口径!R20,"缺失")</f>
        <v>66.224534522516336</v>
      </c>
      <c r="D20" s="15">
        <f>IF(ISNUMBER(原始输入与口径!W20),原始输入与口径!W20,"缺失")</f>
        <v>7.1274750824233415</v>
      </c>
      <c r="E20" s="15">
        <f>IF(ISNUMBER(原始输入与口径!AB20),原始输入与口径!AB20,"缺失")</f>
        <v>2.7061536409200921</v>
      </c>
      <c r="F20" s="15">
        <f>IF(ISNUMBER(原始输入与口径!AG20),原始输入与口径!AG20,"缺失")</f>
        <v>170.86158595849295</v>
      </c>
      <c r="G20" s="15">
        <f>IF(ISNUMBER(原始输入与口径!AJ20),原始输入与口径!AJ20,"缺失")</f>
        <v>0</v>
      </c>
      <c r="H20" s="15" t="str">
        <f t="shared" si="0"/>
        <v>未模拟</v>
      </c>
      <c r="I20" s="16">
        <f>原始输入与口径!CD20</f>
        <v>31.979320955398158</v>
      </c>
      <c r="J20" s="16">
        <f>原始输入与口径!CE20</f>
        <v>32.677246498374345</v>
      </c>
      <c r="K20" s="16">
        <f>原始输入与口径!BZ20</f>
        <v>-4.2700643780118552</v>
      </c>
      <c r="L20" s="16">
        <f>原始输入与口径!CK20</f>
        <v>40</v>
      </c>
      <c r="M20" s="16">
        <f>原始输入与口径!BT20</f>
        <v>24</v>
      </c>
      <c r="N20" s="16">
        <f>原始输入与口径!BJ20</f>
        <v>24</v>
      </c>
      <c r="O20" s="16">
        <f t="shared" si="20"/>
        <v>0.26879999999999998</v>
      </c>
      <c r="P20" s="16">
        <f t="shared" si="1"/>
        <v>0</v>
      </c>
      <c r="Q20" s="17">
        <f t="shared" si="2"/>
        <v>-167.50395038846005</v>
      </c>
      <c r="R20" s="17">
        <f t="shared" si="3"/>
        <v>662.24534522516342</v>
      </c>
      <c r="S20" s="17">
        <f t="shared" si="4"/>
        <v>42.764850494540049</v>
      </c>
      <c r="T20" s="17">
        <f t="shared" si="5"/>
        <v>16.236921845520552</v>
      </c>
      <c r="U20" s="17">
        <f t="shared" si="21"/>
        <v>45.927594305642906</v>
      </c>
      <c r="V20" s="17">
        <f t="shared" si="6"/>
        <v>0</v>
      </c>
      <c r="W20" s="17">
        <f t="shared" si="7"/>
        <v>599.67076148240687</v>
      </c>
      <c r="X20" s="12">
        <f>原始输入与口径!CP20</f>
        <v>599.67076148240687</v>
      </c>
      <c r="Y20" s="19">
        <f t="shared" si="8"/>
        <v>0</v>
      </c>
      <c r="Z20" s="12" t="str">
        <f t="shared" si="9"/>
        <v>当日执行</v>
      </c>
      <c r="AA20" s="12">
        <f>IF(原始输入与口径!AW20,1,0)</f>
        <v>1</v>
      </c>
      <c r="AB20" s="12">
        <f>IF(原始输入与口径!AY20,1,0)</f>
        <v>1</v>
      </c>
      <c r="AC20" s="12">
        <f>原始输入与口径!$F$5</f>
        <v>0.25</v>
      </c>
      <c r="AD20" s="18">
        <f>原始输入与口径!CG20</f>
        <v>0.3125</v>
      </c>
      <c r="AE20" s="18">
        <f>原始输入与口径!BQ20</f>
        <v>0.13714285714285715</v>
      </c>
      <c r="AF20" s="18">
        <f t="shared" si="10"/>
        <v>4.48E-2</v>
      </c>
      <c r="AG20" s="18">
        <f t="shared" si="11"/>
        <v>0</v>
      </c>
      <c r="AH20" s="12">
        <f>IF(ISNUMBER(原始输入与口径!T20),原始输入与口径!T20,"缺失")</f>
        <v>175</v>
      </c>
      <c r="AI20" s="12">
        <f>IF(ISNUMBER(原始输入与口径!Y20),原始输入与口径!Y20,"缺失")</f>
        <v>175</v>
      </c>
      <c r="AJ20" s="12">
        <f>IF(ISNUMBER(原始输入与口径!AI20),原始输入与口径!AI20,"缺失")</f>
        <v>1.96</v>
      </c>
      <c r="AK20" s="12">
        <f>IF(ISNUMBER(原始输入与口径!AL20),原始输入与口径!AL20,"缺失")</f>
        <v>0</v>
      </c>
      <c r="AL20" s="12">
        <f>IF(ISNUMBER(原始输入与口径!O20),原始输入与口径!O20,"缺失")</f>
        <v>128</v>
      </c>
      <c r="AM20" s="12">
        <f>SUMIFS(相位SOC复算!$N$9:$N$929,相位SOC复算!$S$9:$S$929,12)</f>
        <v>3.2730738450200011E-3</v>
      </c>
      <c r="AN20" s="12">
        <f>SUMIFS(相位SOC复算!$Q$9:$Q$929,相位SOC复算!$S$9:$S$929,12)</f>
        <v>1.019691373469231</v>
      </c>
      <c r="AO20" s="12">
        <f>SUMIFS(相位SOC复算!$R$9:$R$929,相位SOC复算!$S$9:$S$929,12)</f>
        <v>0.2209752789662672</v>
      </c>
      <c r="AP20" s="12">
        <f>相位SOC复算!J34</f>
        <v>32.677246498374345</v>
      </c>
      <c r="AQ20" s="19">
        <f t="shared" si="12"/>
        <v>0</v>
      </c>
      <c r="AR20" s="12">
        <f>IF(ISBLANK(原始输入与口径!M20),"",原始输入与口径!M20)</f>
        <v>5.2473000000000001</v>
      </c>
      <c r="AS20" s="14">
        <f>IF(ISBLANK(原始输入与口径!L20),"",原始输入与口径!L20)</f>
        <v>46234</v>
      </c>
      <c r="AT20" s="13">
        <f>IF(ISBLANK(原始输入与口径!A20),"",原始输入与口径!A20)</f>
        <v>46234.989583333336</v>
      </c>
      <c r="AU20" s="12" t="str">
        <f>IF(ISBLANK(原始输入与口径!I20),"",原始输入与口径!I20)</f>
        <v>2026-08-01_8</v>
      </c>
      <c r="AV20" s="12">
        <f>IF(ISBLANK(原始输入与口径!J20),"",原始输入与口径!J20)</f>
        <v>15</v>
      </c>
      <c r="AW20" s="12" t="str">
        <f>IF(ISBLANK(原始输入与口径!BB20),"",原始输入与口径!BB20)</f>
        <v>OK</v>
      </c>
      <c r="AX20" s="12">
        <f>原始输入与口径!CI20</f>
        <v>128</v>
      </c>
      <c r="AY20" s="12">
        <f>原始输入与口径!BS20</f>
        <v>175</v>
      </c>
      <c r="AZ20" s="12">
        <f>原始输入与口径!BI20</f>
        <v>175</v>
      </c>
      <c r="BA20" s="12">
        <f>原始输入与口径!CM20</f>
        <v>40</v>
      </c>
      <c r="BB20" s="12">
        <f>原始输入与口径!BV20</f>
        <v>24</v>
      </c>
      <c r="BC20" s="12">
        <f>原始输入与口径!BL20</f>
        <v>24</v>
      </c>
      <c r="BD20" s="14">
        <f>46235</f>
        <v>46235</v>
      </c>
      <c r="BE20" s="1" t="str">
        <f t="shared" si="13"/>
        <v>-4.270064 MW × 156.910000 × 0.250000 h = -167.503950 EUR</v>
      </c>
      <c r="BF20" s="1" t="str">
        <f t="shared" si="14"/>
        <v>40.000000 MW × 66.224535 × 0.250000 h = 662.245345 EUR</v>
      </c>
      <c r="BG20" s="1" t="str">
        <f t="shared" si="15"/>
        <v>24.000000 MW × 7.127475 × 0.250000 h = 42.764850 EUR</v>
      </c>
      <c r="BH20" s="1" t="str">
        <f t="shared" si="16"/>
        <v>24.000000 MW × 2.706154 × 0.250000 h = 16.236922 EUR</v>
      </c>
      <c r="BI20" s="1" t="str">
        <f t="shared" si="17"/>
        <v>0.268800 MWh × 170.861586 = 45.927594 EUR</v>
      </c>
      <c r="BJ20" s="1" t="str">
        <f t="shared" si="18"/>
        <v>零下调激活电量</v>
      </c>
      <c r="BK20" s="1" t="str">
        <f t="shared" si="19"/>
        <v>-167.503950 + 662.245345 + 42.764850 + 16.236922 + 45.927594 + 0.000000 = 599.670761 EUR</v>
      </c>
    </row>
    <row r="21" spans="1:63" ht="21" customHeight="1" x14ac:dyDescent="0.45">
      <c r="A21" s="13">
        <f>原始输入与口径!C21</f>
        <v>46235.125</v>
      </c>
      <c r="B21" s="15">
        <f>IF(ISNUMBER(原始输入与口径!H21),原始输入与口径!H21,"缺失")</f>
        <v>161.91999999999999</v>
      </c>
      <c r="C21" s="15">
        <f>IF(ISNUMBER(原始输入与口径!R21),原始输入与口径!R21,"缺失")</f>
        <v>66.224534522516336</v>
      </c>
      <c r="D21" s="15">
        <f>IF(ISNUMBER(原始输入与口径!W21),原始输入与口径!W21,"缺失")</f>
        <v>7.1274750824233415</v>
      </c>
      <c r="E21" s="15">
        <f>IF(ISNUMBER(原始输入与口径!AB21),原始输入与口径!AB21,"缺失")</f>
        <v>4.2097840794313264</v>
      </c>
      <c r="F21" s="15">
        <f>IF(ISNUMBER(原始输入与口径!AG21),原始输入与口径!AG21,"缺失")</f>
        <v>256.41282183218033</v>
      </c>
      <c r="G21" s="15">
        <f>IF(ISNUMBER(原始输入与口径!AJ21),原始输入与口径!AJ21,"缺失")</f>
        <v>0</v>
      </c>
      <c r="H21" s="15" t="str">
        <f t="shared" si="0"/>
        <v>未模拟</v>
      </c>
      <c r="I21" s="16">
        <f>原始输入与口径!CD21</f>
        <v>32.677246498374345</v>
      </c>
      <c r="J21" s="16">
        <f>原始输入与口径!CE21</f>
        <v>33.805770215323108</v>
      </c>
      <c r="K21" s="16">
        <f>原始输入与口径!BZ21</f>
        <v>-16.316391807587021</v>
      </c>
      <c r="L21" s="16">
        <f>原始输入与口径!CK21</f>
        <v>40</v>
      </c>
      <c r="M21" s="16">
        <f>原始输入与口径!BT21</f>
        <v>24</v>
      </c>
      <c r="N21" s="16">
        <f>原始输入与口径!BJ21</f>
        <v>24</v>
      </c>
      <c r="O21" s="16">
        <f t="shared" si="20"/>
        <v>2.6958171428571429</v>
      </c>
      <c r="P21" s="16">
        <f t="shared" si="1"/>
        <v>0</v>
      </c>
      <c r="Q21" s="17">
        <f t="shared" si="2"/>
        <v>-660.48754037112258</v>
      </c>
      <c r="R21" s="17">
        <f t="shared" si="3"/>
        <v>662.24534522516342</v>
      </c>
      <c r="S21" s="17">
        <f t="shared" si="4"/>
        <v>42.764850494540049</v>
      </c>
      <c r="T21" s="17">
        <f t="shared" si="5"/>
        <v>25.258704476587958</v>
      </c>
      <c r="U21" s="17">
        <f t="shared" si="21"/>
        <v>691.24208074356602</v>
      </c>
      <c r="V21" s="17">
        <f t="shared" si="6"/>
        <v>0</v>
      </c>
      <c r="W21" s="17">
        <f t="shared" si="7"/>
        <v>761.02344056873483</v>
      </c>
      <c r="X21" s="12">
        <f>原始输入与口径!CP21</f>
        <v>761.02344056873483</v>
      </c>
      <c r="Y21" s="19">
        <f t="shared" si="8"/>
        <v>0</v>
      </c>
      <c r="Z21" s="12" t="str">
        <f t="shared" si="9"/>
        <v>当日执行</v>
      </c>
      <c r="AA21" s="12">
        <f>IF(原始输入与口径!AW21,1,0)</f>
        <v>1</v>
      </c>
      <c r="AB21" s="12">
        <f>IF(原始输入与口径!AY21,1,0)</f>
        <v>1</v>
      </c>
      <c r="AC21" s="12">
        <f>原始输入与口径!$F$5</f>
        <v>0.25</v>
      </c>
      <c r="AD21" s="18">
        <f>原始输入与口径!CG21</f>
        <v>0.3125</v>
      </c>
      <c r="AE21" s="18">
        <f>原始输入与口径!BQ21</f>
        <v>0.13714285714285715</v>
      </c>
      <c r="AF21" s="18">
        <f t="shared" si="10"/>
        <v>0.44930285714285717</v>
      </c>
      <c r="AG21" s="18">
        <f t="shared" si="11"/>
        <v>0</v>
      </c>
      <c r="AH21" s="12">
        <f>IF(ISNUMBER(原始输入与口径!T21),原始输入与口径!T21,"缺失")</f>
        <v>175</v>
      </c>
      <c r="AI21" s="12">
        <f>IF(ISNUMBER(原始输入与口径!Y21),原始输入与口径!Y21,"缺失")</f>
        <v>175</v>
      </c>
      <c r="AJ21" s="12">
        <f>IF(ISNUMBER(原始输入与口径!AI21),原始输入与口径!AI21,"缺失")</f>
        <v>19.657</v>
      </c>
      <c r="AK21" s="12">
        <f>IF(ISNUMBER(原始输入与口径!AL21),原始输入与口径!AL21,"缺失")</f>
        <v>0</v>
      </c>
      <c r="AL21" s="12">
        <f>IF(ISNUMBER(原始输入与口径!O21),原始输入与口径!O21,"缺失")</f>
        <v>128</v>
      </c>
      <c r="AM21" s="12">
        <f>SUMIFS(相位SOC复算!$N$9:$N$929,相位SOC复算!$S$9:$S$929,13)</f>
        <v>8.3465440114781596E-3</v>
      </c>
      <c r="AN21" s="12">
        <f>SUMIFS(相位SOC复算!$Q$9:$Q$929,相位SOC复算!$S$9:$S$929,13)</f>
        <v>2.246347587543966</v>
      </c>
      <c r="AO21" s="12">
        <f>SUMIFS(相位SOC复算!$R$9:$R$929,相位SOC复算!$S$9:$S$929,13)</f>
        <v>0.86306677850435398</v>
      </c>
      <c r="AP21" s="12">
        <f>相位SOC复算!J36</f>
        <v>33.805770215323108</v>
      </c>
      <c r="AQ21" s="19">
        <f t="shared" si="12"/>
        <v>0</v>
      </c>
      <c r="AR21" s="12">
        <f>IF(ISBLANK(原始输入与口径!M21),"",原始输入与口径!M21)</f>
        <v>5.2473000000000001</v>
      </c>
      <c r="AS21" s="14">
        <f>IF(ISBLANK(原始输入与口径!L21),"",原始输入与口径!L21)</f>
        <v>46234</v>
      </c>
      <c r="AT21" s="13">
        <f>IF(ISBLANK(原始输入与口径!A21),"",原始输入与口径!A21)</f>
        <v>46235</v>
      </c>
      <c r="AU21" s="12" t="str">
        <f>IF(ISBLANK(原始输入与口径!I21),"",原始输入与口径!I21)</f>
        <v>2026-08-01_9</v>
      </c>
      <c r="AV21" s="12">
        <f>IF(ISBLANK(原始输入与口径!J21),"",原始输入与口径!J21)</f>
        <v>15</v>
      </c>
      <c r="AW21" s="12" t="str">
        <f>IF(ISBLANK(原始输入与口径!BB21),"",原始输入与口径!BB21)</f>
        <v>OK</v>
      </c>
      <c r="AX21" s="12">
        <f>原始输入与口径!CI21</f>
        <v>128</v>
      </c>
      <c r="AY21" s="12">
        <f>原始输入与口径!BS21</f>
        <v>175</v>
      </c>
      <c r="AZ21" s="12">
        <f>原始输入与口径!BI21</f>
        <v>175</v>
      </c>
      <c r="BA21" s="12">
        <f>原始输入与口径!CM21</f>
        <v>40</v>
      </c>
      <c r="BB21" s="12">
        <f>原始输入与口径!BV21</f>
        <v>24</v>
      </c>
      <c r="BC21" s="12">
        <f>原始输入与口径!BL21</f>
        <v>24</v>
      </c>
      <c r="BD21" s="14">
        <f>46235</f>
        <v>46235</v>
      </c>
      <c r="BE21" s="1" t="str">
        <f t="shared" si="13"/>
        <v>-16.316392 MW × 161.920000 × 0.250000 h = -660.487540 EUR</v>
      </c>
      <c r="BF21" s="1" t="str">
        <f t="shared" si="14"/>
        <v>40.000000 MW × 66.224535 × 0.250000 h = 662.245345 EUR</v>
      </c>
      <c r="BG21" s="1" t="str">
        <f t="shared" si="15"/>
        <v>24.000000 MW × 7.127475 × 0.250000 h = 42.764850 EUR</v>
      </c>
      <c r="BH21" s="1" t="str">
        <f t="shared" si="16"/>
        <v>24.000000 MW × 4.209784 × 0.250000 h = 25.258704 EUR</v>
      </c>
      <c r="BI21" s="1" t="str">
        <f t="shared" si="17"/>
        <v>2.695817 MWh × 256.412822 = 691.242081 EUR</v>
      </c>
      <c r="BJ21" s="1" t="str">
        <f t="shared" si="18"/>
        <v>零下调激活电量</v>
      </c>
      <c r="BK21" s="1" t="str">
        <f t="shared" si="19"/>
        <v>-660.487540 + 662.245345 + 42.764850 + 25.258704 + 691.242081 + 0.000000 = 761.023441 EUR</v>
      </c>
    </row>
    <row r="22" spans="1:63" ht="21" customHeight="1" x14ac:dyDescent="0.45">
      <c r="A22" s="13">
        <f>原始输入与口径!C22</f>
        <v>46235.135416666664</v>
      </c>
      <c r="B22" s="15">
        <f>IF(ISNUMBER(原始输入与口径!H22),原始输入与口径!H22,"缺失")</f>
        <v>160.57</v>
      </c>
      <c r="C22" s="15">
        <f>IF(ISNUMBER(原始输入与口径!R22),原始输入与口径!R22,"缺失")</f>
        <v>66.224534522516336</v>
      </c>
      <c r="D22" s="15">
        <f>IF(ISNUMBER(原始输入与口径!W22),原始输入与口径!W22,"缺失")</f>
        <v>7.1274750824233415</v>
      </c>
      <c r="E22" s="15">
        <f>IF(ISNUMBER(原始输入与口径!AB22),原始输入与口径!AB22,"缺失")</f>
        <v>4.2097840794313264</v>
      </c>
      <c r="F22" s="15">
        <f>IF(ISNUMBER(原始输入与口径!AG22),原始输入与口径!AG22,"缺失")</f>
        <v>350.54123072818402</v>
      </c>
      <c r="G22" s="15">
        <f>IF(ISNUMBER(原始输入与口径!AJ22),原始输入与口径!AJ22,"缺失")</f>
        <v>0</v>
      </c>
      <c r="H22" s="15" t="str">
        <f t="shared" si="0"/>
        <v>未模拟</v>
      </c>
      <c r="I22" s="16">
        <f>原始输入与口径!CD22</f>
        <v>33.805770215323108</v>
      </c>
      <c r="J22" s="16">
        <f>原始输入与口径!CE22</f>
        <v>35.274153301037394</v>
      </c>
      <c r="K22" s="16">
        <f>原始输入与口径!BZ22</f>
        <v>-24</v>
      </c>
      <c r="L22" s="16">
        <f>原始输入与口径!CK22</f>
        <v>40</v>
      </c>
      <c r="M22" s="16">
        <f>原始输入与口径!BT22</f>
        <v>24</v>
      </c>
      <c r="N22" s="16">
        <f>原始输入与口径!BJ22</f>
        <v>24</v>
      </c>
      <c r="O22" s="16">
        <f t="shared" si="20"/>
        <v>4.4039314285714291</v>
      </c>
      <c r="P22" s="16">
        <f t="shared" si="1"/>
        <v>0</v>
      </c>
      <c r="Q22" s="17">
        <f t="shared" si="2"/>
        <v>-963.42</v>
      </c>
      <c r="R22" s="17">
        <f t="shared" si="3"/>
        <v>662.24534522516342</v>
      </c>
      <c r="S22" s="17">
        <f t="shared" si="4"/>
        <v>42.764850494540049</v>
      </c>
      <c r="T22" s="17">
        <f t="shared" si="5"/>
        <v>25.258704476587958</v>
      </c>
      <c r="U22" s="17">
        <f t="shared" si="21"/>
        <v>1543.7595430139584</v>
      </c>
      <c r="V22" s="17">
        <f t="shared" si="6"/>
        <v>0</v>
      </c>
      <c r="W22" s="17">
        <f t="shared" si="7"/>
        <v>1310.6084432102498</v>
      </c>
      <c r="X22" s="12">
        <f>原始输入与口径!CP22</f>
        <v>1310.6084432102498</v>
      </c>
      <c r="Y22" s="19">
        <f t="shared" si="8"/>
        <v>0</v>
      </c>
      <c r="Z22" s="12" t="str">
        <f t="shared" si="9"/>
        <v>当日执行</v>
      </c>
      <c r="AA22" s="12">
        <f>IF(原始输入与口径!AW22,1,0)</f>
        <v>1</v>
      </c>
      <c r="AB22" s="12">
        <f>IF(原始输入与口径!AY22,1,0)</f>
        <v>1</v>
      </c>
      <c r="AC22" s="12">
        <f>原始输入与口径!$F$5</f>
        <v>0.25</v>
      </c>
      <c r="AD22" s="18">
        <f>原始输入与口径!CG22</f>
        <v>0.3125</v>
      </c>
      <c r="AE22" s="18">
        <f>原始输入与口径!BQ22</f>
        <v>0.13714285714285715</v>
      </c>
      <c r="AF22" s="18">
        <f t="shared" si="10"/>
        <v>0.73398857142857143</v>
      </c>
      <c r="AG22" s="18">
        <f t="shared" si="11"/>
        <v>0</v>
      </c>
      <c r="AH22" s="12">
        <f>IF(ISNUMBER(原始输入与口径!T22),原始输入与口径!T22,"缺失")</f>
        <v>175</v>
      </c>
      <c r="AI22" s="12">
        <f>IF(ISNUMBER(原始输入与口径!Y22),原始输入与口径!Y22,"缺失")</f>
        <v>175</v>
      </c>
      <c r="AJ22" s="12">
        <f>IF(ISNUMBER(原始输入与口径!AI22),原始输入与口径!AI22,"缺失")</f>
        <v>32.112000000000002</v>
      </c>
      <c r="AK22" s="12">
        <f>IF(ISNUMBER(原始输入与口径!AL22),原始输入与口径!AL22,"缺失")</f>
        <v>0</v>
      </c>
      <c r="AL22" s="12">
        <f>IF(ISNUMBER(原始输入与口径!O22),原始输入与口径!O22,"缺失")</f>
        <v>128</v>
      </c>
      <c r="AM22" s="12">
        <f>SUMIFS(相位SOC复算!$N$9:$N$929,相位SOC复算!$S$9:$S$929,14)</f>
        <v>4.0788419047619049E-3</v>
      </c>
      <c r="AN22" s="12">
        <f>SUMIFS(相位SOC复算!$Q$9:$Q$929,相位SOC复算!$S$9:$S$929,14)</f>
        <v>1.5960685714285714</v>
      </c>
      <c r="AO22" s="12">
        <f>SUMIFS(相位SOC复算!$R$9:$R$929,相位SOC复算!$S$9:$S$929,14)</f>
        <v>0</v>
      </c>
      <c r="AP22" s="12">
        <f>相位SOC复算!J38</f>
        <v>35.274153301037394</v>
      </c>
      <c r="AQ22" s="19">
        <f t="shared" si="12"/>
        <v>0</v>
      </c>
      <c r="AR22" s="12">
        <f>IF(ISBLANK(原始输入与口径!M22),"",原始输入与口径!M22)</f>
        <v>5.2473000000000001</v>
      </c>
      <c r="AS22" s="14">
        <f>IF(ISBLANK(原始输入与口径!L22),"",原始输入与口径!L22)</f>
        <v>46234</v>
      </c>
      <c r="AT22" s="13">
        <f>IF(ISBLANK(原始输入与口径!A22),"",原始输入与口径!A22)</f>
        <v>46235.010416666664</v>
      </c>
      <c r="AU22" s="12" t="str">
        <f>IF(ISBLANK(原始输入与口径!I22),"",原始输入与口径!I22)</f>
        <v>2026-08-01_10</v>
      </c>
      <c r="AV22" s="12">
        <f>IF(ISBLANK(原始输入与口径!J22),"",原始输入与口径!J22)</f>
        <v>15</v>
      </c>
      <c r="AW22" s="12" t="str">
        <f>IF(ISBLANK(原始输入与口径!BB22),"",原始输入与口径!BB22)</f>
        <v>OK</v>
      </c>
      <c r="AX22" s="12">
        <f>原始输入与口径!CI22</f>
        <v>128</v>
      </c>
      <c r="AY22" s="12">
        <f>原始输入与口径!BS22</f>
        <v>175</v>
      </c>
      <c r="AZ22" s="12">
        <f>原始输入与口径!BI22</f>
        <v>175</v>
      </c>
      <c r="BA22" s="12">
        <f>原始输入与口径!CM22</f>
        <v>40</v>
      </c>
      <c r="BB22" s="12">
        <f>原始输入与口径!BV22</f>
        <v>24</v>
      </c>
      <c r="BC22" s="12">
        <f>原始输入与口径!BL22</f>
        <v>24</v>
      </c>
      <c r="BD22" s="14">
        <f>46235</f>
        <v>46235</v>
      </c>
      <c r="BE22" s="1" t="str">
        <f t="shared" si="13"/>
        <v>-24.000000 MW × 160.570000 × 0.250000 h = -963.420000 EUR</v>
      </c>
      <c r="BF22" s="1" t="str">
        <f t="shared" si="14"/>
        <v>40.000000 MW × 66.224535 × 0.250000 h = 662.245345 EUR</v>
      </c>
      <c r="BG22" s="1" t="str">
        <f t="shared" si="15"/>
        <v>24.000000 MW × 7.127475 × 0.250000 h = 42.764850 EUR</v>
      </c>
      <c r="BH22" s="1" t="str">
        <f t="shared" si="16"/>
        <v>24.000000 MW × 4.209784 × 0.250000 h = 25.258704 EUR</v>
      </c>
      <c r="BI22" s="1" t="str">
        <f t="shared" si="17"/>
        <v>4.403931 MWh × 350.541231 = 1543.759543 EUR</v>
      </c>
      <c r="BJ22" s="1" t="str">
        <f t="shared" si="18"/>
        <v>零下调激活电量</v>
      </c>
      <c r="BK22" s="1" t="str">
        <f t="shared" si="19"/>
        <v>-963.420000 + 662.245345 + 42.764850 + 25.258704 + 1543.759543 + 0.000000 = 1310.608443 EUR</v>
      </c>
    </row>
    <row r="23" spans="1:63" ht="21" customHeight="1" x14ac:dyDescent="0.45">
      <c r="A23" s="13">
        <f>原始输入与口径!C23</f>
        <v>46235.145833333336</v>
      </c>
      <c r="B23" s="15">
        <f>IF(ISNUMBER(原始输入与口径!H23),原始输入与口径!H23,"缺失")</f>
        <v>156.74</v>
      </c>
      <c r="C23" s="15">
        <f>IF(ISNUMBER(原始输入与口径!R23),原始输入与口径!R23,"缺失")</f>
        <v>66.224534522516336</v>
      </c>
      <c r="D23" s="15">
        <f>IF(ISNUMBER(原始输入与口径!W23),原始输入与口径!W23,"缺失")</f>
        <v>7.1274750824233415</v>
      </c>
      <c r="E23" s="15">
        <f>IF(ISNUMBER(原始输入与口径!AB23),原始输入与口径!AB23,"缺失")</f>
        <v>4.2097840794313264</v>
      </c>
      <c r="F23" s="15">
        <f>IF(ISNUMBER(原始输入与口径!AG23),原始输入与口径!AG23,"缺失")</f>
        <v>271.16212147199508</v>
      </c>
      <c r="G23" s="15">
        <f>IF(ISNUMBER(原始输入与口径!AJ23),原始输入与口径!AJ23,"缺失")</f>
        <v>0</v>
      </c>
      <c r="H23" s="15" t="str">
        <f t="shared" si="0"/>
        <v>未模拟</v>
      </c>
      <c r="I23" s="16">
        <f>原始输入与口径!CD23</f>
        <v>35.274153301037394</v>
      </c>
      <c r="J23" s="16">
        <f>原始输入与口径!CE23</f>
        <v>37.237128386751678</v>
      </c>
      <c r="K23" s="16">
        <f>原始输入与口径!BZ23</f>
        <v>-24</v>
      </c>
      <c r="L23" s="16">
        <f>原始输入与口径!CK23</f>
        <v>40</v>
      </c>
      <c r="M23" s="16">
        <f>原始输入与口径!BT23</f>
        <v>24</v>
      </c>
      <c r="N23" s="16">
        <f>原始输入与口径!BJ23</f>
        <v>24</v>
      </c>
      <c r="O23" s="16">
        <f t="shared" si="20"/>
        <v>3.8663314285714288</v>
      </c>
      <c r="P23" s="16">
        <f t="shared" si="1"/>
        <v>0</v>
      </c>
      <c r="Q23" s="17">
        <f t="shared" si="2"/>
        <v>-940.44</v>
      </c>
      <c r="R23" s="17">
        <f t="shared" si="3"/>
        <v>662.24534522516342</v>
      </c>
      <c r="S23" s="17">
        <f t="shared" si="4"/>
        <v>42.764850494540049</v>
      </c>
      <c r="T23" s="17">
        <f t="shared" si="5"/>
        <v>25.258704476587958</v>
      </c>
      <c r="U23" s="17">
        <f t="shared" si="21"/>
        <v>1048.402632485278</v>
      </c>
      <c r="V23" s="17">
        <f t="shared" si="6"/>
        <v>0</v>
      </c>
      <c r="W23" s="17">
        <f t="shared" si="7"/>
        <v>838.23153268156932</v>
      </c>
      <c r="X23" s="12">
        <f>原始输入与口径!CP23</f>
        <v>838.23153268156932</v>
      </c>
      <c r="Y23" s="19">
        <f t="shared" si="8"/>
        <v>0</v>
      </c>
      <c r="Z23" s="12" t="str">
        <f t="shared" si="9"/>
        <v>当日执行</v>
      </c>
      <c r="AA23" s="12">
        <f>IF(原始输入与口径!AW23,1,0)</f>
        <v>1</v>
      </c>
      <c r="AB23" s="12">
        <f>IF(原始输入与口径!AY23,1,0)</f>
        <v>1</v>
      </c>
      <c r="AC23" s="12">
        <f>原始输入与口径!$F$5</f>
        <v>0.25</v>
      </c>
      <c r="AD23" s="18">
        <f>原始输入与口径!CG23</f>
        <v>0.3125</v>
      </c>
      <c r="AE23" s="18">
        <f>原始输入与口径!BQ23</f>
        <v>0.13714285714285715</v>
      </c>
      <c r="AF23" s="18">
        <f t="shared" si="10"/>
        <v>0.64438857142857142</v>
      </c>
      <c r="AG23" s="18">
        <f t="shared" si="11"/>
        <v>0</v>
      </c>
      <c r="AH23" s="12">
        <f>IF(ISNUMBER(原始输入与口径!T23),原始输入与口径!T23,"缺失")</f>
        <v>175</v>
      </c>
      <c r="AI23" s="12">
        <f>IF(ISNUMBER(原始输入与口径!Y23),原始输入与口径!Y23,"缺失")</f>
        <v>175</v>
      </c>
      <c r="AJ23" s="12">
        <f>IF(ISNUMBER(原始输入与口径!AI23),原始输入与口径!AI23,"缺失")</f>
        <v>28.192</v>
      </c>
      <c r="AK23" s="12">
        <f>IF(ISNUMBER(原始输入与口径!AL23),原始输入与口径!AL23,"缺失")</f>
        <v>0</v>
      </c>
      <c r="AL23" s="12">
        <f>IF(ISNUMBER(原始输入与口径!O23),原始输入与口径!O23,"缺失")</f>
        <v>128</v>
      </c>
      <c r="AM23" s="12">
        <f>SUMIFS(相位SOC复算!$N$9:$N$929,相位SOC复算!$S$9:$S$929,15)</f>
        <v>5.4527085714285717E-3</v>
      </c>
      <c r="AN23" s="12">
        <f>SUMIFS(相位SOC复算!$Q$9:$Q$929,相位SOC复算!$S$9:$S$929,15)</f>
        <v>2.1336685714285712</v>
      </c>
      <c r="AO23" s="12">
        <f>SUMIFS(相位SOC复算!$R$9:$R$929,相位SOC复算!$S$9:$S$929,15)</f>
        <v>0</v>
      </c>
      <c r="AP23" s="12">
        <f>相位SOC复算!J40</f>
        <v>37.237128386751678</v>
      </c>
      <c r="AQ23" s="19">
        <f t="shared" si="12"/>
        <v>0</v>
      </c>
      <c r="AR23" s="12">
        <f>IF(ISBLANK(原始输入与口径!M23),"",原始输入与口径!M23)</f>
        <v>5.2473000000000001</v>
      </c>
      <c r="AS23" s="14">
        <f>IF(ISBLANK(原始输入与口径!L23),"",原始输入与口径!L23)</f>
        <v>46234</v>
      </c>
      <c r="AT23" s="13">
        <f>IF(ISBLANK(原始输入与口径!A23),"",原始输入与口径!A23)</f>
        <v>46235.020833333336</v>
      </c>
      <c r="AU23" s="12" t="str">
        <f>IF(ISBLANK(原始输入与口径!I23),"",原始输入与口径!I23)</f>
        <v>2026-08-01_11</v>
      </c>
      <c r="AV23" s="12">
        <f>IF(ISBLANK(原始输入与口径!J23),"",原始输入与口径!J23)</f>
        <v>15</v>
      </c>
      <c r="AW23" s="12" t="str">
        <f>IF(ISBLANK(原始输入与口径!BB23),"",原始输入与口径!BB23)</f>
        <v>OK</v>
      </c>
      <c r="AX23" s="12">
        <f>原始输入与口径!CI23</f>
        <v>128</v>
      </c>
      <c r="AY23" s="12">
        <f>原始输入与口径!BS23</f>
        <v>175</v>
      </c>
      <c r="AZ23" s="12">
        <f>原始输入与口径!BI23</f>
        <v>175</v>
      </c>
      <c r="BA23" s="12">
        <f>原始输入与口径!CM23</f>
        <v>40</v>
      </c>
      <c r="BB23" s="12">
        <f>原始输入与口径!BV23</f>
        <v>24</v>
      </c>
      <c r="BC23" s="12">
        <f>原始输入与口径!BL23</f>
        <v>24</v>
      </c>
      <c r="BD23" s="14">
        <f>46235</f>
        <v>46235</v>
      </c>
      <c r="BE23" s="1" t="str">
        <f t="shared" si="13"/>
        <v>-24.000000 MW × 156.740000 × 0.250000 h = -940.440000 EUR</v>
      </c>
      <c r="BF23" s="1" t="str">
        <f t="shared" si="14"/>
        <v>40.000000 MW × 66.224535 × 0.250000 h = 662.245345 EUR</v>
      </c>
      <c r="BG23" s="1" t="str">
        <f t="shared" si="15"/>
        <v>24.000000 MW × 7.127475 × 0.250000 h = 42.764850 EUR</v>
      </c>
      <c r="BH23" s="1" t="str">
        <f t="shared" si="16"/>
        <v>24.000000 MW × 4.209784 × 0.250000 h = 25.258704 EUR</v>
      </c>
      <c r="BI23" s="1" t="str">
        <f t="shared" si="17"/>
        <v>3.866331 MWh × 271.162121 = 1048.402632 EUR</v>
      </c>
      <c r="BJ23" s="1" t="str">
        <f t="shared" si="18"/>
        <v>零下调激活电量</v>
      </c>
      <c r="BK23" s="1" t="str">
        <f t="shared" si="19"/>
        <v>-940.440000 + 662.245345 + 42.764850 + 25.258704 + 1048.402632 + 0.000000 = 838.231533 EUR</v>
      </c>
    </row>
    <row r="24" spans="1:63" ht="21" customHeight="1" x14ac:dyDescent="0.45">
      <c r="A24" s="13">
        <f>原始输入与口径!C24</f>
        <v>46235.15625</v>
      </c>
      <c r="B24" s="15">
        <f>IF(ISNUMBER(原始输入与口径!H24),原始输入与口径!H24,"缺失")</f>
        <v>153.21</v>
      </c>
      <c r="C24" s="15">
        <f>IF(ISNUMBER(原始输入与口径!R24),原始输入与口径!R24,"缺失")</f>
        <v>66.224534522516336</v>
      </c>
      <c r="D24" s="15">
        <f>IF(ISNUMBER(原始输入与口径!W24),原始输入与口径!W24,"缺失")</f>
        <v>7.1274750824233415</v>
      </c>
      <c r="E24" s="15">
        <f>IF(ISNUMBER(原始输入与口径!AB24),原始输入与口径!AB24,"缺失")</f>
        <v>4.2097840794313264</v>
      </c>
      <c r="F24" s="15">
        <f>IF(ISNUMBER(原始输入与口径!AG24),原始输入与口径!AG24,"缺失")</f>
        <v>263.23785565910089</v>
      </c>
      <c r="G24" s="15">
        <f>IF(ISNUMBER(原始输入与口径!AJ24),原始输入与口径!AJ24,"缺失")</f>
        <v>0</v>
      </c>
      <c r="H24" s="15" t="str">
        <f t="shared" si="0"/>
        <v>未模拟</v>
      </c>
      <c r="I24" s="16">
        <f>原始输入与口径!CD24</f>
        <v>37.237128386751678</v>
      </c>
      <c r="J24" s="16">
        <f>原始输入与口径!CE24</f>
        <v>39.477806786751678</v>
      </c>
      <c r="K24" s="16">
        <f>原始输入与口径!BZ24</f>
        <v>-24</v>
      </c>
      <c r="L24" s="16">
        <f>原始输入与口径!CK24</f>
        <v>40</v>
      </c>
      <c r="M24" s="16">
        <f>原始输入与口径!BT24</f>
        <v>24</v>
      </c>
      <c r="N24" s="16">
        <f>原始输入与口径!BJ24</f>
        <v>24</v>
      </c>
      <c r="O24" s="16">
        <f t="shared" si="20"/>
        <v>3.5644799999999996</v>
      </c>
      <c r="P24" s="16">
        <f t="shared" si="1"/>
        <v>0</v>
      </c>
      <c r="Q24" s="17">
        <f t="shared" si="2"/>
        <v>-919.26</v>
      </c>
      <c r="R24" s="17">
        <f t="shared" si="3"/>
        <v>662.24534522516342</v>
      </c>
      <c r="S24" s="17">
        <f t="shared" si="4"/>
        <v>42.764850494540049</v>
      </c>
      <c r="T24" s="17">
        <f t="shared" si="5"/>
        <v>25.258704476587958</v>
      </c>
      <c r="U24" s="17">
        <f t="shared" si="21"/>
        <v>938.30607173975181</v>
      </c>
      <c r="V24" s="17">
        <f t="shared" si="6"/>
        <v>0</v>
      </c>
      <c r="W24" s="17">
        <f t="shared" si="7"/>
        <v>749.31497193604321</v>
      </c>
      <c r="X24" s="12">
        <f>原始输入与口径!CP24</f>
        <v>749.31497193604321</v>
      </c>
      <c r="Y24" s="19">
        <f t="shared" si="8"/>
        <v>0</v>
      </c>
      <c r="Z24" s="12" t="str">
        <f t="shared" si="9"/>
        <v>当日执行</v>
      </c>
      <c r="AA24" s="12">
        <f>IF(原始输入与口径!AW24,1,0)</f>
        <v>1</v>
      </c>
      <c r="AB24" s="12">
        <f>IF(原始输入与口径!AY24,1,0)</f>
        <v>1</v>
      </c>
      <c r="AC24" s="12">
        <f>原始输入与口径!$F$5</f>
        <v>0.25</v>
      </c>
      <c r="AD24" s="18">
        <f>原始输入与口径!CG24</f>
        <v>0.3125</v>
      </c>
      <c r="AE24" s="18">
        <f>原始输入与口径!BQ24</f>
        <v>0.13714285714285715</v>
      </c>
      <c r="AF24" s="18">
        <f t="shared" si="10"/>
        <v>0.59407999999999994</v>
      </c>
      <c r="AG24" s="18">
        <f t="shared" si="11"/>
        <v>0</v>
      </c>
      <c r="AH24" s="12">
        <f>IF(ISNUMBER(原始输入与口径!T24),原始输入与口径!T24,"缺失")</f>
        <v>175</v>
      </c>
      <c r="AI24" s="12">
        <f>IF(ISNUMBER(原始输入与口径!Y24),原始输入与口径!Y24,"缺失")</f>
        <v>175</v>
      </c>
      <c r="AJ24" s="12">
        <f>IF(ISNUMBER(原始输入与口径!AI24),原始输入与口径!AI24,"缺失")</f>
        <v>25.991</v>
      </c>
      <c r="AK24" s="12">
        <f>IF(ISNUMBER(原始输入与口径!AL24),原始输入与口径!AL24,"缺失")</f>
        <v>0</v>
      </c>
      <c r="AL24" s="12">
        <f>IF(ISNUMBER(原始输入与口径!O24),原始输入与口径!O24,"缺失")</f>
        <v>128</v>
      </c>
      <c r="AM24" s="12">
        <f>SUMIFS(相位SOC复算!$N$9:$N$929,相位SOC复算!$S$9:$S$929,16)</f>
        <v>6.2241066666666681E-3</v>
      </c>
      <c r="AN24" s="12">
        <f>SUMIFS(相位SOC复算!$Q$9:$Q$929,相位SOC复算!$S$9:$S$929,16)</f>
        <v>2.4355200000000004</v>
      </c>
      <c r="AO24" s="12">
        <f>SUMIFS(相位SOC复算!$R$9:$R$929,相位SOC复算!$S$9:$S$929,16)</f>
        <v>0</v>
      </c>
      <c r="AP24" s="12">
        <f>相位SOC复算!J42</f>
        <v>39.477806786751678</v>
      </c>
      <c r="AQ24" s="19">
        <f t="shared" si="12"/>
        <v>0</v>
      </c>
      <c r="AR24" s="12">
        <f>IF(ISBLANK(原始输入与口径!M24),"",原始输入与口径!M24)</f>
        <v>5.2473000000000001</v>
      </c>
      <c r="AS24" s="14">
        <f>IF(ISBLANK(原始输入与口径!L24),"",原始输入与口径!L24)</f>
        <v>46234</v>
      </c>
      <c r="AT24" s="13">
        <f>IF(ISBLANK(原始输入与口径!A24),"",原始输入与口径!A24)</f>
        <v>46235.03125</v>
      </c>
      <c r="AU24" s="12" t="str">
        <f>IF(ISBLANK(原始输入与口径!I24),"",原始输入与口径!I24)</f>
        <v>2026-08-01_12</v>
      </c>
      <c r="AV24" s="12">
        <f>IF(ISBLANK(原始输入与口径!J24),"",原始输入与口径!J24)</f>
        <v>15</v>
      </c>
      <c r="AW24" s="12" t="str">
        <f>IF(ISBLANK(原始输入与口径!BB24),"",原始输入与口径!BB24)</f>
        <v>OK</v>
      </c>
      <c r="AX24" s="12">
        <f>原始输入与口径!CI24</f>
        <v>128</v>
      </c>
      <c r="AY24" s="12">
        <f>原始输入与口径!BS24</f>
        <v>175</v>
      </c>
      <c r="AZ24" s="12">
        <f>原始输入与口径!BI24</f>
        <v>175</v>
      </c>
      <c r="BA24" s="12">
        <f>原始输入与口径!CM24</f>
        <v>40</v>
      </c>
      <c r="BB24" s="12">
        <f>原始输入与口径!BV24</f>
        <v>24</v>
      </c>
      <c r="BC24" s="12">
        <f>原始输入与口径!BL24</f>
        <v>24</v>
      </c>
      <c r="BD24" s="14">
        <f>46235</f>
        <v>46235</v>
      </c>
      <c r="BE24" s="1" t="str">
        <f t="shared" si="13"/>
        <v>-24.000000 MW × 153.210000 × 0.250000 h = -919.260000 EUR</v>
      </c>
      <c r="BF24" s="1" t="str">
        <f t="shared" si="14"/>
        <v>40.000000 MW × 66.224535 × 0.250000 h = 662.245345 EUR</v>
      </c>
      <c r="BG24" s="1" t="str">
        <f t="shared" si="15"/>
        <v>24.000000 MW × 7.127475 × 0.250000 h = 42.764850 EUR</v>
      </c>
      <c r="BH24" s="1" t="str">
        <f t="shared" si="16"/>
        <v>24.000000 MW × 4.209784 × 0.250000 h = 25.258704 EUR</v>
      </c>
      <c r="BI24" s="1" t="str">
        <f t="shared" si="17"/>
        <v>3.564480 MWh × 263.237856 = 938.306072 EUR</v>
      </c>
      <c r="BJ24" s="1" t="str">
        <f t="shared" si="18"/>
        <v>零下调激活电量</v>
      </c>
      <c r="BK24" s="1" t="str">
        <f t="shared" si="19"/>
        <v>-919.260000 + 662.245345 + 42.764850 + 25.258704 + 938.306072 + 0.000000 = 749.314972 EUR</v>
      </c>
    </row>
    <row r="25" spans="1:63" ht="21" customHeight="1" x14ac:dyDescent="0.45">
      <c r="A25" s="13">
        <f>原始输入与口径!C25</f>
        <v>46235.166666666664</v>
      </c>
      <c r="B25" s="15">
        <f>IF(ISNUMBER(原始输入与口径!H25),原始输入与口径!H25,"缺失")</f>
        <v>158.41999999999999</v>
      </c>
      <c r="C25" s="15">
        <f>IF(ISNUMBER(原始输入与口径!R25),原始输入与口径!R25,"缺失")</f>
        <v>66.224534522516336</v>
      </c>
      <c r="D25" s="15">
        <f>IF(ISNUMBER(原始输入与口径!W25),原始输入与口径!W25,"缺失")</f>
        <v>7.1274750824233415</v>
      </c>
      <c r="E25" s="15">
        <f>IF(ISNUMBER(原始输入与口径!AB25),原始输入与口径!AB25,"缺失")</f>
        <v>5.0768966897261452</v>
      </c>
      <c r="F25" s="15">
        <f>IF(ISNUMBER(原始输入与口径!AG25),原始输入与口径!AG25,"缺失")</f>
        <v>224.30411830846339</v>
      </c>
      <c r="G25" s="15">
        <f>IF(ISNUMBER(原始输入与口径!AJ25),原始输入与口径!AJ25,"缺失")</f>
        <v>0</v>
      </c>
      <c r="H25" s="15" t="str">
        <f t="shared" si="0"/>
        <v>未模拟</v>
      </c>
      <c r="I25" s="16">
        <f>原始输入与口径!CD25</f>
        <v>39.477806786751678</v>
      </c>
      <c r="J25" s="16">
        <f>原始输入与口径!CE25</f>
        <v>36.896837842652296</v>
      </c>
      <c r="K25" s="16">
        <f>原始输入与口径!BZ25</f>
        <v>0</v>
      </c>
      <c r="L25" s="16">
        <f>原始输入与口径!CK25</f>
        <v>40</v>
      </c>
      <c r="M25" s="16">
        <f>原始输入与口径!BT25</f>
        <v>24</v>
      </c>
      <c r="N25" s="16">
        <f>原始输入与口径!BJ25</f>
        <v>24</v>
      </c>
      <c r="O25" s="16">
        <f t="shared" si="20"/>
        <v>2.3744914285714289</v>
      </c>
      <c r="P25" s="16">
        <f t="shared" si="1"/>
        <v>0</v>
      </c>
      <c r="Q25" s="17">
        <f t="shared" si="2"/>
        <v>0</v>
      </c>
      <c r="R25" s="17">
        <f t="shared" si="3"/>
        <v>662.24534522516342</v>
      </c>
      <c r="S25" s="17">
        <f t="shared" si="4"/>
        <v>42.764850494540049</v>
      </c>
      <c r="T25" s="17">
        <f t="shared" si="5"/>
        <v>30.461380138356873</v>
      </c>
      <c r="U25" s="17">
        <f t="shared" si="21"/>
        <v>532.608206316718</v>
      </c>
      <c r="V25" s="17">
        <f t="shared" si="6"/>
        <v>0</v>
      </c>
      <c r="W25" s="17">
        <f t="shared" si="7"/>
        <v>1268.0797821747783</v>
      </c>
      <c r="X25" s="12">
        <f>原始输入与口径!CP25</f>
        <v>1268.0797821747783</v>
      </c>
      <c r="Y25" s="19">
        <f t="shared" si="8"/>
        <v>0</v>
      </c>
      <c r="Z25" s="12" t="str">
        <f t="shared" si="9"/>
        <v>当日执行</v>
      </c>
      <c r="AA25" s="12">
        <f>IF(原始输入与口径!AW25,1,0)</f>
        <v>1</v>
      </c>
      <c r="AB25" s="12">
        <f>IF(原始输入与口径!AY25,1,0)</f>
        <v>1</v>
      </c>
      <c r="AC25" s="12">
        <f>原始输入与口径!$F$5</f>
        <v>0.25</v>
      </c>
      <c r="AD25" s="18">
        <f>原始输入与口径!CG25</f>
        <v>0.3125</v>
      </c>
      <c r="AE25" s="18">
        <f>原始输入与口径!BQ25</f>
        <v>0.13714285714285715</v>
      </c>
      <c r="AF25" s="18">
        <f t="shared" si="10"/>
        <v>0.39574857142857145</v>
      </c>
      <c r="AG25" s="18">
        <f t="shared" si="11"/>
        <v>0</v>
      </c>
      <c r="AH25" s="12">
        <f>IF(ISNUMBER(原始输入与口径!T25),原始输入与口径!T25,"缺失")</f>
        <v>175</v>
      </c>
      <c r="AI25" s="12">
        <f>IF(ISNUMBER(原始输入与口径!Y25),原始输入与口径!Y25,"缺失")</f>
        <v>175</v>
      </c>
      <c r="AJ25" s="12">
        <f>IF(ISNUMBER(原始输入与口径!AI25),原始输入与口径!AI25,"缺失")</f>
        <v>17.314</v>
      </c>
      <c r="AK25" s="12">
        <f>IF(ISNUMBER(原始输入与口径!AL25),原始输入与口径!AL25,"缺失")</f>
        <v>0</v>
      </c>
      <c r="AL25" s="12">
        <f>IF(ISNUMBER(原始输入与口径!O25),原始输入与口径!O25,"缺失")</f>
        <v>128</v>
      </c>
      <c r="AM25" s="12">
        <f>SUMIFS(相位SOC复算!$N$9:$N$929,相位SOC复算!$S$9:$S$929,17)</f>
        <v>7.169358178053831E-3</v>
      </c>
      <c r="AN25" s="12">
        <f>SUMIFS(相位SOC复算!$Q$9:$Q$929,相位SOC复算!$S$9:$S$929,17)</f>
        <v>0</v>
      </c>
      <c r="AO25" s="12">
        <f>SUMIFS(相位SOC复算!$R$9:$R$929,相位SOC复算!$S$9:$S$929,17)</f>
        <v>2.3744914285714289</v>
      </c>
      <c r="AP25" s="12">
        <f>相位SOC复算!J44</f>
        <v>36.896837842652296</v>
      </c>
      <c r="AQ25" s="19">
        <f t="shared" si="12"/>
        <v>0</v>
      </c>
      <c r="AR25" s="12">
        <f>IF(ISBLANK(原始输入与口径!M25),"",原始输入与口径!M25)</f>
        <v>5.2473000000000001</v>
      </c>
      <c r="AS25" s="14">
        <f>IF(ISBLANK(原始输入与口径!L25),"",原始输入与口径!L25)</f>
        <v>46234</v>
      </c>
      <c r="AT25" s="13">
        <f>IF(ISBLANK(原始输入与口径!A25),"",原始输入与口径!A25)</f>
        <v>46235.041666666664</v>
      </c>
      <c r="AU25" s="12" t="str">
        <f>IF(ISBLANK(原始输入与口径!I25),"",原始输入与口径!I25)</f>
        <v>2026-08-01_13</v>
      </c>
      <c r="AV25" s="12">
        <f>IF(ISBLANK(原始输入与口径!J25),"",原始输入与口径!J25)</f>
        <v>15</v>
      </c>
      <c r="AW25" s="12" t="str">
        <f>IF(ISBLANK(原始输入与口径!BB25),"",原始输入与口径!BB25)</f>
        <v>OK</v>
      </c>
      <c r="AX25" s="12">
        <f>原始输入与口径!CI25</f>
        <v>128</v>
      </c>
      <c r="AY25" s="12">
        <f>原始输入与口径!BS25</f>
        <v>175</v>
      </c>
      <c r="AZ25" s="12">
        <f>原始输入与口径!BI25</f>
        <v>175</v>
      </c>
      <c r="BA25" s="12">
        <f>原始输入与口径!CM25</f>
        <v>40</v>
      </c>
      <c r="BB25" s="12">
        <f>原始输入与口径!BV25</f>
        <v>24</v>
      </c>
      <c r="BC25" s="12">
        <f>原始输入与口径!BL25</f>
        <v>24</v>
      </c>
      <c r="BD25" s="14">
        <f>46235</f>
        <v>46235</v>
      </c>
      <c r="BE25" s="1" t="str">
        <f t="shared" si="13"/>
        <v>零头寸，无结算现金</v>
      </c>
      <c r="BF25" s="1" t="str">
        <f t="shared" si="14"/>
        <v>40.000000 MW × 66.224535 × 0.250000 h = 662.245345 EUR</v>
      </c>
      <c r="BG25" s="1" t="str">
        <f t="shared" si="15"/>
        <v>24.000000 MW × 7.127475 × 0.250000 h = 42.764850 EUR</v>
      </c>
      <c r="BH25" s="1" t="str">
        <f t="shared" si="16"/>
        <v>24.000000 MW × 5.076897 × 0.250000 h = 30.461380 EUR</v>
      </c>
      <c r="BI25" s="1" t="str">
        <f t="shared" si="17"/>
        <v>2.374491 MWh × 224.304118 = 532.608206 EUR</v>
      </c>
      <c r="BJ25" s="1" t="str">
        <f t="shared" si="18"/>
        <v>零下调激活电量</v>
      </c>
      <c r="BK25" s="1" t="str">
        <f t="shared" si="19"/>
        <v>0.000000 + 662.245345 + 42.764850 + 30.461380 + 532.608206 + 0.000000 = 1268.079782 EUR</v>
      </c>
    </row>
    <row r="26" spans="1:63" ht="21" customHeight="1" x14ac:dyDescent="0.45">
      <c r="A26" s="13">
        <f>原始输入与口径!C26</f>
        <v>46235.177083333336</v>
      </c>
      <c r="B26" s="15">
        <f>IF(ISNUMBER(原始输入与口径!H26),原始输入与口径!H26,"缺失")</f>
        <v>154.34</v>
      </c>
      <c r="C26" s="15">
        <f>IF(ISNUMBER(原始输入与口径!R26),原始输入与口径!R26,"缺失")</f>
        <v>66.224534522516336</v>
      </c>
      <c r="D26" s="15">
        <f>IF(ISNUMBER(原始输入与口径!W26),原始输入与口径!W26,"缺失")</f>
        <v>7.1274750824233415</v>
      </c>
      <c r="E26" s="15">
        <f>IF(ISNUMBER(原始输入与口径!AB26),原始输入与口径!AB26,"缺失")</f>
        <v>5.0768966897261452</v>
      </c>
      <c r="F26" s="15">
        <f>IF(ISNUMBER(原始输入与口径!AG26),原始输入与口径!AG26,"缺失")</f>
        <v>227.01427400758485</v>
      </c>
      <c r="G26" s="15">
        <f>IF(ISNUMBER(原始输入与口径!AJ26),原始输入与口径!AJ26,"缺失")</f>
        <v>0</v>
      </c>
      <c r="H26" s="15" t="str">
        <f t="shared" si="0"/>
        <v>未模拟</v>
      </c>
      <c r="I26" s="16">
        <f>原始输入与口径!CD26</f>
        <v>36.896837842652296</v>
      </c>
      <c r="J26" s="16">
        <f>原始输入与口径!CE26</f>
        <v>40.124176814080869</v>
      </c>
      <c r="K26" s="16">
        <f>原始输入与口径!BZ26</f>
        <v>-24</v>
      </c>
      <c r="L26" s="16">
        <f>原始输入与口径!CK26</f>
        <v>40</v>
      </c>
      <c r="M26" s="16">
        <f>原始输入与口径!BT26</f>
        <v>24</v>
      </c>
      <c r="N26" s="16">
        <f>原始输入与口径!BJ26</f>
        <v>24</v>
      </c>
      <c r="O26" s="16">
        <f t="shared" si="20"/>
        <v>2.4920228571428571</v>
      </c>
      <c r="P26" s="16">
        <f t="shared" si="1"/>
        <v>0</v>
      </c>
      <c r="Q26" s="17">
        <f t="shared" si="2"/>
        <v>-926.04</v>
      </c>
      <c r="R26" s="17">
        <f t="shared" si="3"/>
        <v>662.24534522516342</v>
      </c>
      <c r="S26" s="17">
        <f t="shared" si="4"/>
        <v>42.764850494540049</v>
      </c>
      <c r="T26" s="17">
        <f t="shared" si="5"/>
        <v>30.461380138356873</v>
      </c>
      <c r="U26" s="17">
        <f t="shared" si="21"/>
        <v>565.72475972459301</v>
      </c>
      <c r="V26" s="17">
        <f t="shared" si="6"/>
        <v>0</v>
      </c>
      <c r="W26" s="17">
        <f t="shared" si="7"/>
        <v>375.15633558265336</v>
      </c>
      <c r="X26" s="12">
        <f>原始输入与口径!CP26</f>
        <v>375.15633558265341</v>
      </c>
      <c r="Y26" s="19">
        <f t="shared" si="8"/>
        <v>0</v>
      </c>
      <c r="Z26" s="12" t="str">
        <f t="shared" si="9"/>
        <v>当日执行</v>
      </c>
      <c r="AA26" s="12">
        <f>IF(原始输入与口径!AW26,1,0)</f>
        <v>1</v>
      </c>
      <c r="AB26" s="12">
        <f>IF(原始输入与口径!AY26,1,0)</f>
        <v>1</v>
      </c>
      <c r="AC26" s="12">
        <f>原始输入与口径!$F$5</f>
        <v>0.25</v>
      </c>
      <c r="AD26" s="18">
        <f>原始输入与口径!CG26</f>
        <v>0.3125</v>
      </c>
      <c r="AE26" s="18">
        <f>原始输入与口径!BQ26</f>
        <v>0.13714285714285715</v>
      </c>
      <c r="AF26" s="18">
        <f t="shared" si="10"/>
        <v>0.41533714285714285</v>
      </c>
      <c r="AG26" s="18">
        <f t="shared" si="11"/>
        <v>0</v>
      </c>
      <c r="AH26" s="12">
        <f>IF(ISNUMBER(原始输入与口径!T26),原始输入与口径!T26,"缺失")</f>
        <v>175</v>
      </c>
      <c r="AI26" s="12">
        <f>IF(ISNUMBER(原始输入与口径!Y26),原始输入与口径!Y26,"缺失")</f>
        <v>175</v>
      </c>
      <c r="AJ26" s="12">
        <f>IF(ISNUMBER(原始输入与口径!AI26),原始输入与口径!AI26,"缺失")</f>
        <v>18.170999999999999</v>
      </c>
      <c r="AK26" s="12">
        <f>IF(ISNUMBER(原始输入与口径!AL26),原始输入与口径!AL26,"缺失")</f>
        <v>0</v>
      </c>
      <c r="AL26" s="12">
        <f>IF(ISNUMBER(原始输入与口径!O26),原始输入与口径!O26,"缺失")</f>
        <v>128</v>
      </c>
      <c r="AM26" s="12">
        <f>SUMIFS(相位SOC复算!$N$9:$N$929,相位SOC复算!$S$9:$S$929,18)</f>
        <v>8.9648304761904777E-3</v>
      </c>
      <c r="AN26" s="12">
        <f>SUMIFS(相位SOC复算!$Q$9:$Q$929,相位SOC复算!$S$9:$S$929,18)</f>
        <v>3.5079771428571429</v>
      </c>
      <c r="AO26" s="12">
        <f>SUMIFS(相位SOC复算!$R$9:$R$929,相位SOC复算!$S$9:$S$929,18)</f>
        <v>0</v>
      </c>
      <c r="AP26" s="12">
        <f>相位SOC复算!J46</f>
        <v>40.124176814080869</v>
      </c>
      <c r="AQ26" s="19">
        <f t="shared" si="12"/>
        <v>0</v>
      </c>
      <c r="AR26" s="12">
        <f>IF(ISBLANK(原始输入与口径!M26),"",原始输入与口径!M26)</f>
        <v>5.2473000000000001</v>
      </c>
      <c r="AS26" s="14">
        <f>IF(ISBLANK(原始输入与口径!L26),"",原始输入与口径!L26)</f>
        <v>46234</v>
      </c>
      <c r="AT26" s="13">
        <f>IF(ISBLANK(原始输入与口径!A26),"",原始输入与口径!A26)</f>
        <v>46235.052083333336</v>
      </c>
      <c r="AU26" s="12" t="str">
        <f>IF(ISBLANK(原始输入与口径!I26),"",原始输入与口径!I26)</f>
        <v>2026-08-01_14</v>
      </c>
      <c r="AV26" s="12">
        <f>IF(ISBLANK(原始输入与口径!J26),"",原始输入与口径!J26)</f>
        <v>15</v>
      </c>
      <c r="AW26" s="12" t="str">
        <f>IF(ISBLANK(原始输入与口径!BB26),"",原始输入与口径!BB26)</f>
        <v>OK</v>
      </c>
      <c r="AX26" s="12">
        <f>原始输入与口径!CI26</f>
        <v>128</v>
      </c>
      <c r="AY26" s="12">
        <f>原始输入与口径!BS26</f>
        <v>175</v>
      </c>
      <c r="AZ26" s="12">
        <f>原始输入与口径!BI26</f>
        <v>175</v>
      </c>
      <c r="BA26" s="12">
        <f>原始输入与口径!CM26</f>
        <v>40</v>
      </c>
      <c r="BB26" s="12">
        <f>原始输入与口径!BV26</f>
        <v>24</v>
      </c>
      <c r="BC26" s="12">
        <f>原始输入与口径!BL26</f>
        <v>24</v>
      </c>
      <c r="BD26" s="14">
        <f>46235</f>
        <v>46235</v>
      </c>
      <c r="BE26" s="1" t="str">
        <f t="shared" si="13"/>
        <v>-24.000000 MW × 154.340000 × 0.250000 h = -926.040000 EUR</v>
      </c>
      <c r="BF26" s="1" t="str">
        <f t="shared" si="14"/>
        <v>40.000000 MW × 66.224535 × 0.250000 h = 662.245345 EUR</v>
      </c>
      <c r="BG26" s="1" t="str">
        <f t="shared" si="15"/>
        <v>24.000000 MW × 7.127475 × 0.250000 h = 42.764850 EUR</v>
      </c>
      <c r="BH26" s="1" t="str">
        <f t="shared" si="16"/>
        <v>24.000000 MW × 5.076897 × 0.250000 h = 30.461380 EUR</v>
      </c>
      <c r="BI26" s="1" t="str">
        <f t="shared" si="17"/>
        <v>2.492023 MWh × 227.014274 = 565.724760 EUR</v>
      </c>
      <c r="BJ26" s="1" t="str">
        <f t="shared" si="18"/>
        <v>零下调激活电量</v>
      </c>
      <c r="BK26" s="1" t="str">
        <f t="shared" si="19"/>
        <v>-926.040000 + 662.245345 + 42.764850 + 30.461380 + 565.724760 + 0.000000 = 375.156336 EUR</v>
      </c>
    </row>
    <row r="27" spans="1:63" ht="21" customHeight="1" x14ac:dyDescent="0.45">
      <c r="A27" s="13">
        <f>原始输入与口径!C27</f>
        <v>46235.1875</v>
      </c>
      <c r="B27" s="15">
        <f>IF(ISNUMBER(原始输入与口径!H27),原始输入与口径!H27,"缺失")</f>
        <v>156.18</v>
      </c>
      <c r="C27" s="15">
        <f>IF(ISNUMBER(原始输入与口径!R27),原始输入与口径!R27,"缺失")</f>
        <v>66.224534522516336</v>
      </c>
      <c r="D27" s="15">
        <f>IF(ISNUMBER(原始输入与口径!W27),原始输入与口径!W27,"缺失")</f>
        <v>7.1274750824233415</v>
      </c>
      <c r="E27" s="15">
        <f>IF(ISNUMBER(原始输入与口径!AB27),原始输入与口径!AB27,"缺失")</f>
        <v>5.0768966897261452</v>
      </c>
      <c r="F27" s="15">
        <f>IF(ISNUMBER(原始输入与口径!AG27),原始输入与口径!AG27,"缺失")</f>
        <v>243.39431707735406</v>
      </c>
      <c r="G27" s="15">
        <f>IF(ISNUMBER(原始输入与口径!AJ27),原始输入与口径!AJ27,"缺失")</f>
        <v>0</v>
      </c>
      <c r="H27" s="15" t="str">
        <f t="shared" si="0"/>
        <v>未模拟</v>
      </c>
      <c r="I27" s="16">
        <f>原始输入与口径!CD27</f>
        <v>40.124176814080869</v>
      </c>
      <c r="J27" s="16">
        <f>原始输入与口径!CE27</f>
        <v>37.122387994205091</v>
      </c>
      <c r="K27" s="16">
        <f>原始输入与口径!BZ27</f>
        <v>0</v>
      </c>
      <c r="L27" s="16">
        <f>原始输入与口径!CK27</f>
        <v>40</v>
      </c>
      <c r="M27" s="16">
        <f>原始输入与口径!BT27</f>
        <v>24</v>
      </c>
      <c r="N27" s="16">
        <f>原始输入与口径!BJ27</f>
        <v>24</v>
      </c>
      <c r="O27" s="16">
        <f t="shared" si="20"/>
        <v>2.7616457142857147</v>
      </c>
      <c r="P27" s="16">
        <f t="shared" si="1"/>
        <v>0</v>
      </c>
      <c r="Q27" s="17">
        <f t="shared" si="2"/>
        <v>0</v>
      </c>
      <c r="R27" s="17">
        <f t="shared" si="3"/>
        <v>662.24534522516342</v>
      </c>
      <c r="S27" s="17">
        <f t="shared" si="4"/>
        <v>42.764850494540049</v>
      </c>
      <c r="T27" s="17">
        <f t="shared" si="5"/>
        <v>30.461380138356873</v>
      </c>
      <c r="U27" s="17">
        <f t="shared" si="21"/>
        <v>672.16887263817318</v>
      </c>
      <c r="V27" s="17">
        <f t="shared" si="6"/>
        <v>0</v>
      </c>
      <c r="W27" s="17">
        <f t="shared" si="7"/>
        <v>1407.6404484962336</v>
      </c>
      <c r="X27" s="12">
        <f>原始输入与口径!CP27</f>
        <v>1407.6404484962336</v>
      </c>
      <c r="Y27" s="19">
        <f t="shared" si="8"/>
        <v>0</v>
      </c>
      <c r="Z27" s="12" t="str">
        <f t="shared" si="9"/>
        <v>当日执行</v>
      </c>
      <c r="AA27" s="12">
        <f>IF(原始输入与口径!AW27,1,0)</f>
        <v>1</v>
      </c>
      <c r="AB27" s="12">
        <f>IF(原始输入与口径!AY27,1,0)</f>
        <v>1</v>
      </c>
      <c r="AC27" s="12">
        <f>原始输入与口径!$F$5</f>
        <v>0.25</v>
      </c>
      <c r="AD27" s="18">
        <f>原始输入与口径!CG27</f>
        <v>0.3125</v>
      </c>
      <c r="AE27" s="18">
        <f>原始输入与口径!BQ27</f>
        <v>0.13714285714285715</v>
      </c>
      <c r="AF27" s="18">
        <f t="shared" si="10"/>
        <v>0.46027428571428575</v>
      </c>
      <c r="AG27" s="18">
        <f t="shared" si="11"/>
        <v>0</v>
      </c>
      <c r="AH27" s="12">
        <f>IF(ISNUMBER(原始输入与口径!T27),原始输入与口径!T27,"缺失")</f>
        <v>175</v>
      </c>
      <c r="AI27" s="12">
        <f>IF(ISNUMBER(原始输入与口径!Y27),原始输入与口径!Y27,"缺失")</f>
        <v>175</v>
      </c>
      <c r="AJ27" s="12">
        <f>IF(ISNUMBER(原始输入与口径!AI27),原始输入与口径!AI27,"缺失")</f>
        <v>20.137</v>
      </c>
      <c r="AK27" s="12">
        <f>IF(ISNUMBER(原始输入与口径!AL27),原始输入与口径!AL27,"缺失")</f>
        <v>0</v>
      </c>
      <c r="AL27" s="12">
        <f>IF(ISNUMBER(原始输入与口径!O27),原始输入与口径!O27,"缺失")</f>
        <v>128</v>
      </c>
      <c r="AM27" s="12">
        <f>SUMIFS(相位SOC复算!$N$9:$N$929,相位SOC复算!$S$9:$S$929,19)</f>
        <v>8.3383022774327128E-3</v>
      </c>
      <c r="AN27" s="12">
        <f>SUMIFS(相位SOC复算!$Q$9:$Q$929,相位SOC复算!$S$9:$S$929,19)</f>
        <v>0</v>
      </c>
      <c r="AO27" s="12">
        <f>SUMIFS(相位SOC复算!$R$9:$R$929,相位SOC复算!$S$9:$S$929,19)</f>
        <v>2.7616457142857147</v>
      </c>
      <c r="AP27" s="12">
        <f>相位SOC复算!J48</f>
        <v>37.122387994205091</v>
      </c>
      <c r="AQ27" s="19">
        <f t="shared" si="12"/>
        <v>0</v>
      </c>
      <c r="AR27" s="12">
        <f>IF(ISBLANK(原始输入与口径!M27),"",原始输入与口径!M27)</f>
        <v>5.2473000000000001</v>
      </c>
      <c r="AS27" s="14">
        <f>IF(ISBLANK(原始输入与口径!L27),"",原始输入与口径!L27)</f>
        <v>46234</v>
      </c>
      <c r="AT27" s="13">
        <f>IF(ISBLANK(原始输入与口径!A27),"",原始输入与口径!A27)</f>
        <v>46235.0625</v>
      </c>
      <c r="AU27" s="12" t="str">
        <f>IF(ISBLANK(原始输入与口径!I27),"",原始输入与口径!I27)</f>
        <v>2026-08-01_15</v>
      </c>
      <c r="AV27" s="12">
        <f>IF(ISBLANK(原始输入与口径!J27),"",原始输入与口径!J27)</f>
        <v>15</v>
      </c>
      <c r="AW27" s="12" t="str">
        <f>IF(ISBLANK(原始输入与口径!BB27),"",原始输入与口径!BB27)</f>
        <v>OK</v>
      </c>
      <c r="AX27" s="12">
        <f>原始输入与口径!CI27</f>
        <v>128</v>
      </c>
      <c r="AY27" s="12">
        <f>原始输入与口径!BS27</f>
        <v>175</v>
      </c>
      <c r="AZ27" s="12">
        <f>原始输入与口径!BI27</f>
        <v>175</v>
      </c>
      <c r="BA27" s="12">
        <f>原始输入与口径!CM27</f>
        <v>40</v>
      </c>
      <c r="BB27" s="12">
        <f>原始输入与口径!BV27</f>
        <v>24</v>
      </c>
      <c r="BC27" s="12">
        <f>原始输入与口径!BL27</f>
        <v>24</v>
      </c>
      <c r="BD27" s="14">
        <f>46235</f>
        <v>46235</v>
      </c>
      <c r="BE27" s="1" t="str">
        <f t="shared" si="13"/>
        <v>零头寸，无结算现金</v>
      </c>
      <c r="BF27" s="1" t="str">
        <f t="shared" si="14"/>
        <v>40.000000 MW × 66.224535 × 0.250000 h = 662.245345 EUR</v>
      </c>
      <c r="BG27" s="1" t="str">
        <f t="shared" si="15"/>
        <v>24.000000 MW × 7.127475 × 0.250000 h = 42.764850 EUR</v>
      </c>
      <c r="BH27" s="1" t="str">
        <f t="shared" si="16"/>
        <v>24.000000 MW × 5.076897 × 0.250000 h = 30.461380 EUR</v>
      </c>
      <c r="BI27" s="1" t="str">
        <f t="shared" si="17"/>
        <v>2.761646 MWh × 243.394317 = 672.168873 EUR</v>
      </c>
      <c r="BJ27" s="1" t="str">
        <f t="shared" si="18"/>
        <v>零下调激活电量</v>
      </c>
      <c r="BK27" s="1" t="str">
        <f t="shared" si="19"/>
        <v>0.000000 + 662.245345 + 42.764850 + 30.461380 + 672.168873 + 0.000000 = 1407.640448 EUR</v>
      </c>
    </row>
    <row r="28" spans="1:63" ht="21" customHeight="1" x14ac:dyDescent="0.45">
      <c r="A28" s="13">
        <f>原始输入与口径!C28</f>
        <v>46235.197916666664</v>
      </c>
      <c r="B28" s="15">
        <f>IF(ISNUMBER(原始输入与口径!H28),原始输入与口径!H28,"缺失")</f>
        <v>154.47</v>
      </c>
      <c r="C28" s="15">
        <f>IF(ISNUMBER(原始输入与口径!R28),原始输入与口径!R28,"缺失")</f>
        <v>66.224534522516336</v>
      </c>
      <c r="D28" s="15">
        <f>IF(ISNUMBER(原始输入与口径!W28),原始输入与口径!W28,"缺失")</f>
        <v>7.1274750824233415</v>
      </c>
      <c r="E28" s="15">
        <f>IF(ISNUMBER(原始输入与口径!AB28),原始输入与口径!AB28,"缺失")</f>
        <v>5.0768966897261452</v>
      </c>
      <c r="F28" s="15">
        <f>IF(ISNUMBER(原始输入与口径!AG28),原始输入与口径!AG28,"缺失")</f>
        <v>186.71068930688162</v>
      </c>
      <c r="G28" s="15">
        <f>IF(ISNUMBER(原始输入与口径!AJ28),原始输入与口径!AJ28,"缺失")</f>
        <v>0</v>
      </c>
      <c r="H28" s="15" t="str">
        <f t="shared" si="0"/>
        <v>未模拟</v>
      </c>
      <c r="I28" s="16">
        <f>原始输入与口径!CD28</f>
        <v>37.122387994205091</v>
      </c>
      <c r="J28" s="16">
        <f>原始输入与口径!CE28</f>
        <v>35.862909733335528</v>
      </c>
      <c r="K28" s="16">
        <f>原始输入与口径!BZ28</f>
        <v>0</v>
      </c>
      <c r="L28" s="16">
        <f>原始输入与口径!CK28</f>
        <v>40</v>
      </c>
      <c r="M28" s="16">
        <f>原始输入与口径!BT28</f>
        <v>24</v>
      </c>
      <c r="N28" s="16">
        <f>原始输入与口径!BJ28</f>
        <v>24</v>
      </c>
      <c r="O28" s="16">
        <f t="shared" si="20"/>
        <v>1.15872</v>
      </c>
      <c r="P28" s="16">
        <f t="shared" si="1"/>
        <v>0</v>
      </c>
      <c r="Q28" s="17">
        <f t="shared" si="2"/>
        <v>0</v>
      </c>
      <c r="R28" s="17">
        <f t="shared" si="3"/>
        <v>662.24534522516342</v>
      </c>
      <c r="S28" s="17">
        <f t="shared" si="4"/>
        <v>42.764850494540049</v>
      </c>
      <c r="T28" s="17">
        <f t="shared" si="5"/>
        <v>30.461380138356873</v>
      </c>
      <c r="U28" s="17">
        <f t="shared" si="21"/>
        <v>216.34540991366987</v>
      </c>
      <c r="V28" s="17">
        <f t="shared" si="6"/>
        <v>0</v>
      </c>
      <c r="W28" s="17">
        <f t="shared" si="7"/>
        <v>951.81698577173017</v>
      </c>
      <c r="X28" s="12">
        <f>原始输入与口径!CP28</f>
        <v>951.81698577173017</v>
      </c>
      <c r="Y28" s="19">
        <f t="shared" si="8"/>
        <v>0</v>
      </c>
      <c r="Z28" s="12" t="str">
        <f t="shared" si="9"/>
        <v>当日执行</v>
      </c>
      <c r="AA28" s="12">
        <f>IF(原始输入与口径!AW28,1,0)</f>
        <v>1</v>
      </c>
      <c r="AB28" s="12">
        <f>IF(原始输入与口径!AY28,1,0)</f>
        <v>1</v>
      </c>
      <c r="AC28" s="12">
        <f>原始输入与口径!$F$5</f>
        <v>0.25</v>
      </c>
      <c r="AD28" s="18">
        <f>原始输入与口径!CG28</f>
        <v>0.3125</v>
      </c>
      <c r="AE28" s="18">
        <f>原始输入与口径!BQ28</f>
        <v>0.13714285714285715</v>
      </c>
      <c r="AF28" s="18">
        <f t="shared" si="10"/>
        <v>0.19311999999999999</v>
      </c>
      <c r="AG28" s="18">
        <f t="shared" si="11"/>
        <v>0</v>
      </c>
      <c r="AH28" s="12">
        <f>IF(ISNUMBER(原始输入与口径!T28),原始输入与口径!T28,"缺失")</f>
        <v>175</v>
      </c>
      <c r="AI28" s="12">
        <f>IF(ISNUMBER(原始输入与口径!Y28),原始输入与口径!Y28,"缺失")</f>
        <v>175</v>
      </c>
      <c r="AJ28" s="12">
        <f>IF(ISNUMBER(原始输入与口径!AI28),原始输入与口径!AI28,"缺失")</f>
        <v>8.4489999999999998</v>
      </c>
      <c r="AK28" s="12">
        <f>IF(ISNUMBER(原始输入与口径!AL28),原始输入与口径!AL28,"缺失")</f>
        <v>0</v>
      </c>
      <c r="AL28" s="12">
        <f>IF(ISNUMBER(原始输入与口径!O28),原始输入与口径!O28,"缺失")</f>
        <v>128</v>
      </c>
      <c r="AM28" s="12">
        <f>SUMIFS(相位SOC复算!$N$9:$N$929,相位SOC复算!$S$9:$S$929,20)</f>
        <v>3.498550724637681E-3</v>
      </c>
      <c r="AN28" s="12">
        <f>SUMIFS(相位SOC复算!$Q$9:$Q$929,相位SOC复算!$S$9:$S$929,20)</f>
        <v>0</v>
      </c>
      <c r="AO28" s="12">
        <f>SUMIFS(相位SOC复算!$R$9:$R$929,相位SOC复算!$S$9:$S$929,20)</f>
        <v>1.15872</v>
      </c>
      <c r="AP28" s="12">
        <f>相位SOC复算!J50</f>
        <v>35.862909733335528</v>
      </c>
      <c r="AQ28" s="19">
        <f t="shared" si="12"/>
        <v>0</v>
      </c>
      <c r="AR28" s="12">
        <f>IF(ISBLANK(原始输入与口径!M28),"",原始输入与口径!M28)</f>
        <v>5.2473000000000001</v>
      </c>
      <c r="AS28" s="14">
        <f>IF(ISBLANK(原始输入与口径!L28),"",原始输入与口径!L28)</f>
        <v>46234</v>
      </c>
      <c r="AT28" s="13">
        <f>IF(ISBLANK(原始输入与口径!A28),"",原始输入与口径!A28)</f>
        <v>46235.072916666664</v>
      </c>
      <c r="AU28" s="12" t="str">
        <f>IF(ISBLANK(原始输入与口径!I28),"",原始输入与口径!I28)</f>
        <v>2026-08-01_16</v>
      </c>
      <c r="AV28" s="12">
        <f>IF(ISBLANK(原始输入与口径!J28),"",原始输入与口径!J28)</f>
        <v>15</v>
      </c>
      <c r="AW28" s="12" t="str">
        <f>IF(ISBLANK(原始输入与口径!BB28),"",原始输入与口径!BB28)</f>
        <v>OK</v>
      </c>
      <c r="AX28" s="12">
        <f>原始输入与口径!CI28</f>
        <v>128</v>
      </c>
      <c r="AY28" s="12">
        <f>原始输入与口径!BS28</f>
        <v>175</v>
      </c>
      <c r="AZ28" s="12">
        <f>原始输入与口径!BI28</f>
        <v>175</v>
      </c>
      <c r="BA28" s="12">
        <f>原始输入与口径!CM28</f>
        <v>40</v>
      </c>
      <c r="BB28" s="12">
        <f>原始输入与口径!BV28</f>
        <v>24</v>
      </c>
      <c r="BC28" s="12">
        <f>原始输入与口径!BL28</f>
        <v>24</v>
      </c>
      <c r="BD28" s="14">
        <f>46235</f>
        <v>46235</v>
      </c>
      <c r="BE28" s="1" t="str">
        <f t="shared" si="13"/>
        <v>零头寸，无结算现金</v>
      </c>
      <c r="BF28" s="1" t="str">
        <f t="shared" si="14"/>
        <v>40.000000 MW × 66.224535 × 0.250000 h = 662.245345 EUR</v>
      </c>
      <c r="BG28" s="1" t="str">
        <f t="shared" si="15"/>
        <v>24.000000 MW × 7.127475 × 0.250000 h = 42.764850 EUR</v>
      </c>
      <c r="BH28" s="1" t="str">
        <f t="shared" si="16"/>
        <v>24.000000 MW × 5.076897 × 0.250000 h = 30.461380 EUR</v>
      </c>
      <c r="BI28" s="1" t="str">
        <f t="shared" si="17"/>
        <v>1.158720 MWh × 186.710689 = 216.345410 EUR</v>
      </c>
      <c r="BJ28" s="1" t="str">
        <f t="shared" si="18"/>
        <v>零下调激活电量</v>
      </c>
      <c r="BK28" s="1" t="str">
        <f t="shared" si="19"/>
        <v>0.000000 + 662.245345 + 42.764850 + 30.461380 + 216.345410 + 0.000000 = 951.816986 EUR</v>
      </c>
    </row>
    <row r="29" spans="1:63" ht="21" customHeight="1" x14ac:dyDescent="0.45">
      <c r="A29" s="13">
        <f>原始输入与口径!C29</f>
        <v>46235.208333333336</v>
      </c>
      <c r="B29" s="15">
        <f>IF(ISNUMBER(原始输入与口径!H29),原始输入与口径!H29,"缺失")</f>
        <v>157.06</v>
      </c>
      <c r="C29" s="15">
        <f>IF(ISNUMBER(原始输入与口径!R29),原始输入与口径!R29,"缺失")</f>
        <v>66.224534522516336</v>
      </c>
      <c r="D29" s="15">
        <f>IF(ISNUMBER(原始输入与口径!W29),原始输入与口径!W29,"缺失")</f>
        <v>7.1274750824233415</v>
      </c>
      <c r="E29" s="15">
        <f>IF(ISNUMBER(原始输入与口径!AB29),原始输入与口径!AB29,"缺失")</f>
        <v>5.0730852057248494</v>
      </c>
      <c r="F29" s="15">
        <f>IF(ISNUMBER(原始输入与口径!AG29),原始输入与口径!AG29,"缺失")</f>
        <v>177.26144874506889</v>
      </c>
      <c r="G29" s="15">
        <f>IF(ISNUMBER(原始输入与口径!AJ29),原始输入与口径!AJ29,"缺失")</f>
        <v>0</v>
      </c>
      <c r="H29" s="15" t="str">
        <f t="shared" si="0"/>
        <v>未模拟</v>
      </c>
      <c r="I29" s="16">
        <f>原始输入与口径!CD29</f>
        <v>35.862909733335528</v>
      </c>
      <c r="J29" s="16">
        <f>原始输入与口径!CE29</f>
        <v>35.076425261285841</v>
      </c>
      <c r="K29" s="16">
        <f>原始输入与口径!BZ29</f>
        <v>0</v>
      </c>
      <c r="L29" s="16">
        <f>原始输入与口径!CK29</f>
        <v>40</v>
      </c>
      <c r="M29" s="16">
        <f>原始输入与口径!BT29</f>
        <v>24</v>
      </c>
      <c r="N29" s="16">
        <f>原始输入与口径!BJ29</f>
        <v>24</v>
      </c>
      <c r="O29" s="16">
        <f t="shared" si="20"/>
        <v>0.72356571428571426</v>
      </c>
      <c r="P29" s="16">
        <f t="shared" si="1"/>
        <v>0</v>
      </c>
      <c r="Q29" s="17">
        <f t="shared" si="2"/>
        <v>0</v>
      </c>
      <c r="R29" s="17">
        <f t="shared" si="3"/>
        <v>662.24534522516342</v>
      </c>
      <c r="S29" s="17">
        <f t="shared" si="4"/>
        <v>42.764850494540049</v>
      </c>
      <c r="T29" s="17">
        <f t="shared" si="5"/>
        <v>30.438511234349097</v>
      </c>
      <c r="U29" s="17">
        <f t="shared" si="21"/>
        <v>128.26030677654629</v>
      </c>
      <c r="V29" s="17">
        <f t="shared" si="6"/>
        <v>0</v>
      </c>
      <c r="W29" s="17">
        <f t="shared" si="7"/>
        <v>863.70901373059883</v>
      </c>
      <c r="X29" s="12">
        <f>原始输入与口径!CP29</f>
        <v>863.70901373059883</v>
      </c>
      <c r="Y29" s="19">
        <f t="shared" si="8"/>
        <v>0</v>
      </c>
      <c r="Z29" s="12" t="str">
        <f t="shared" si="9"/>
        <v>当日执行</v>
      </c>
      <c r="AA29" s="12">
        <f>IF(原始输入与口径!AW29,1,0)</f>
        <v>1</v>
      </c>
      <c r="AB29" s="12">
        <f>IF(原始输入与口径!AY29,1,0)</f>
        <v>1</v>
      </c>
      <c r="AC29" s="12">
        <f>原始输入与口径!$F$5</f>
        <v>0.25</v>
      </c>
      <c r="AD29" s="18">
        <f>原始输入与口径!CG29</f>
        <v>0.3125</v>
      </c>
      <c r="AE29" s="18">
        <f>原始输入与口径!BQ29</f>
        <v>0.13714285714285715</v>
      </c>
      <c r="AF29" s="18">
        <f t="shared" si="10"/>
        <v>0.12059428571428571</v>
      </c>
      <c r="AG29" s="18">
        <f t="shared" si="11"/>
        <v>0</v>
      </c>
      <c r="AH29" s="12">
        <f>IF(ISNUMBER(原始输入与口径!T29),原始输入与口径!T29,"缺失")</f>
        <v>175</v>
      </c>
      <c r="AI29" s="12">
        <f>IF(ISNUMBER(原始输入与口径!Y29),原始输入与口径!Y29,"缺失")</f>
        <v>175</v>
      </c>
      <c r="AJ29" s="12">
        <f>IF(ISNUMBER(原始输入与口径!AI29),原始输入与口径!AI29,"缺失")</f>
        <v>5.2759999999999998</v>
      </c>
      <c r="AK29" s="12">
        <f>IF(ISNUMBER(原始输入与口径!AL29),原始输入与口径!AL29,"缺失")</f>
        <v>0</v>
      </c>
      <c r="AL29" s="12">
        <f>IF(ISNUMBER(原始输入与口径!O29),原始输入与口径!O29,"缺失")</f>
        <v>128</v>
      </c>
      <c r="AM29" s="12">
        <f>SUMIFS(相位SOC复算!$N$9:$N$929,相位SOC复算!$S$9:$S$929,21)</f>
        <v>2.1846790890269149E-3</v>
      </c>
      <c r="AN29" s="12">
        <f>SUMIFS(相位SOC复算!$Q$9:$Q$929,相位SOC复算!$S$9:$S$929,21)</f>
        <v>0</v>
      </c>
      <c r="AO29" s="12">
        <f>SUMIFS(相位SOC复算!$R$9:$R$929,相位SOC复算!$S$9:$S$929,21)</f>
        <v>0.72356571428571426</v>
      </c>
      <c r="AP29" s="12">
        <f>相位SOC复算!J52</f>
        <v>35.076425261285841</v>
      </c>
      <c r="AQ29" s="19">
        <f t="shared" si="12"/>
        <v>0</v>
      </c>
      <c r="AR29" s="12">
        <f>IF(ISBLANK(原始输入与口径!M29),"",原始输入与口径!M29)</f>
        <v>5.2473000000000001</v>
      </c>
      <c r="AS29" s="14">
        <f>IF(ISBLANK(原始输入与口径!L29),"",原始输入与口径!L29)</f>
        <v>46234</v>
      </c>
      <c r="AT29" s="13">
        <f>IF(ISBLANK(原始输入与口径!A29),"",原始输入与口径!A29)</f>
        <v>46235.083333333336</v>
      </c>
      <c r="AU29" s="12" t="str">
        <f>IF(ISBLANK(原始输入与口径!I29),"",原始输入与口径!I29)</f>
        <v>2026-08-01_17</v>
      </c>
      <c r="AV29" s="12">
        <f>IF(ISBLANK(原始输入与口径!J29),"",原始输入与口径!J29)</f>
        <v>15</v>
      </c>
      <c r="AW29" s="12" t="str">
        <f>IF(ISBLANK(原始输入与口径!BB29),"",原始输入与口径!BB29)</f>
        <v>OK</v>
      </c>
      <c r="AX29" s="12">
        <f>原始输入与口径!CI29</f>
        <v>128</v>
      </c>
      <c r="AY29" s="12">
        <f>原始输入与口径!BS29</f>
        <v>175</v>
      </c>
      <c r="AZ29" s="12">
        <f>原始输入与口径!BI29</f>
        <v>175</v>
      </c>
      <c r="BA29" s="12">
        <f>原始输入与口径!CM29</f>
        <v>40</v>
      </c>
      <c r="BB29" s="12">
        <f>原始输入与口径!BV29</f>
        <v>24</v>
      </c>
      <c r="BC29" s="12">
        <f>原始输入与口径!BL29</f>
        <v>24</v>
      </c>
      <c r="BD29" s="14">
        <f>46235</f>
        <v>46235</v>
      </c>
      <c r="BE29" s="1" t="str">
        <f t="shared" si="13"/>
        <v>零头寸，无结算现金</v>
      </c>
      <c r="BF29" s="1" t="str">
        <f t="shared" si="14"/>
        <v>40.000000 MW × 66.224535 × 0.250000 h = 662.245345 EUR</v>
      </c>
      <c r="BG29" s="1" t="str">
        <f t="shared" si="15"/>
        <v>24.000000 MW × 7.127475 × 0.250000 h = 42.764850 EUR</v>
      </c>
      <c r="BH29" s="1" t="str">
        <f t="shared" si="16"/>
        <v>24.000000 MW × 5.073085 × 0.250000 h = 30.438511 EUR</v>
      </c>
      <c r="BI29" s="1" t="str">
        <f t="shared" si="17"/>
        <v>0.723566 MWh × 177.261449 = 128.260307 EUR</v>
      </c>
      <c r="BJ29" s="1" t="str">
        <f t="shared" si="18"/>
        <v>零下调激活电量</v>
      </c>
      <c r="BK29" s="1" t="str">
        <f t="shared" si="19"/>
        <v>0.000000 + 662.245345 + 42.764850 + 30.438511 + 128.260307 + 0.000000 = 863.709014 EUR</v>
      </c>
    </row>
    <row r="30" spans="1:63" ht="21" customHeight="1" x14ac:dyDescent="0.45">
      <c r="A30" s="13">
        <f>原始输入与口径!C30</f>
        <v>46235.21875</v>
      </c>
      <c r="B30" s="15">
        <f>IF(ISNUMBER(原始输入与口径!H30),原始输入与口径!H30,"缺失")</f>
        <v>161.38</v>
      </c>
      <c r="C30" s="15">
        <f>IF(ISNUMBER(原始输入与口径!R30),原始输入与口径!R30,"缺失")</f>
        <v>66.224534522516336</v>
      </c>
      <c r="D30" s="15">
        <f>IF(ISNUMBER(原始输入与口径!W30),原始输入与口径!W30,"缺失")</f>
        <v>7.1274750824233415</v>
      </c>
      <c r="E30" s="15">
        <f>IF(ISNUMBER(原始输入与口径!AB30),原始输入与口径!AB30,"缺失")</f>
        <v>5.0730852057248494</v>
      </c>
      <c r="F30" s="15">
        <f>IF(ISNUMBER(原始输入与口径!AG30),原始输入与口径!AG30,"缺失")</f>
        <v>211.85847959903188</v>
      </c>
      <c r="G30" s="15">
        <f>IF(ISNUMBER(原始输入与口径!AJ30),原始输入与口径!AJ30,"缺失")</f>
        <v>0</v>
      </c>
      <c r="H30" s="15" t="str">
        <f t="shared" si="0"/>
        <v>未模拟</v>
      </c>
      <c r="I30" s="16">
        <f>原始输入与口径!CD30</f>
        <v>35.076425261285841</v>
      </c>
      <c r="J30" s="16">
        <f>原始输入与口径!CE30</f>
        <v>33.137940789236154</v>
      </c>
      <c r="K30" s="16">
        <f>原始输入与口径!BZ30</f>
        <v>0</v>
      </c>
      <c r="L30" s="16">
        <f>原始输入与口径!CK30</f>
        <v>40</v>
      </c>
      <c r="M30" s="16">
        <f>原始输入与口径!BT30</f>
        <v>24</v>
      </c>
      <c r="N30" s="16">
        <f>原始输入与口径!BJ30</f>
        <v>24</v>
      </c>
      <c r="O30" s="16">
        <f t="shared" si="20"/>
        <v>1.7834057142857143</v>
      </c>
      <c r="P30" s="16">
        <f t="shared" si="1"/>
        <v>0</v>
      </c>
      <c r="Q30" s="17">
        <f t="shared" si="2"/>
        <v>0</v>
      </c>
      <c r="R30" s="17">
        <f t="shared" si="3"/>
        <v>662.24534522516342</v>
      </c>
      <c r="S30" s="17">
        <f t="shared" si="4"/>
        <v>42.764850494540049</v>
      </c>
      <c r="T30" s="17">
        <f t="shared" si="5"/>
        <v>30.438511234349097</v>
      </c>
      <c r="U30" s="17">
        <f t="shared" si="21"/>
        <v>377.8296231367969</v>
      </c>
      <c r="V30" s="17">
        <f t="shared" si="6"/>
        <v>0</v>
      </c>
      <c r="W30" s="17">
        <f t="shared" si="7"/>
        <v>1113.2783300908495</v>
      </c>
      <c r="X30" s="12">
        <f>原始输入与口径!CP30</f>
        <v>1113.2783300908495</v>
      </c>
      <c r="Y30" s="19">
        <f t="shared" si="8"/>
        <v>0</v>
      </c>
      <c r="Z30" s="12" t="str">
        <f t="shared" si="9"/>
        <v>当日执行</v>
      </c>
      <c r="AA30" s="12">
        <f>IF(原始输入与口径!AW30,1,0)</f>
        <v>1</v>
      </c>
      <c r="AB30" s="12">
        <f>IF(原始输入与口径!AY30,1,0)</f>
        <v>1</v>
      </c>
      <c r="AC30" s="12">
        <f>原始输入与口径!$F$5</f>
        <v>0.25</v>
      </c>
      <c r="AD30" s="18">
        <f>原始输入与口径!CG30</f>
        <v>0.3125</v>
      </c>
      <c r="AE30" s="18">
        <f>原始输入与口径!BQ30</f>
        <v>0.13714285714285715</v>
      </c>
      <c r="AF30" s="18">
        <f t="shared" si="10"/>
        <v>0.29723428571428573</v>
      </c>
      <c r="AG30" s="18">
        <f t="shared" si="11"/>
        <v>0</v>
      </c>
      <c r="AH30" s="12">
        <f>IF(ISNUMBER(原始输入与口径!T30),原始输入与口径!T30,"缺失")</f>
        <v>175</v>
      </c>
      <c r="AI30" s="12">
        <f>IF(ISNUMBER(原始输入与口径!Y30),原始输入与口径!Y30,"缺失")</f>
        <v>175</v>
      </c>
      <c r="AJ30" s="12">
        <f>IF(ISNUMBER(原始输入与口径!AI30),原始输入与口径!AI30,"缺失")</f>
        <v>13.004</v>
      </c>
      <c r="AK30" s="12">
        <f>IF(ISNUMBER(原始输入与口径!AL30),原始输入与口径!AL30,"缺失")</f>
        <v>0</v>
      </c>
      <c r="AL30" s="12">
        <f>IF(ISNUMBER(原始输入与口径!O30),原始输入与口径!O30,"缺失")</f>
        <v>128</v>
      </c>
      <c r="AM30" s="12">
        <f>SUMIFS(相位SOC复算!$N$9:$N$929,相位SOC复算!$S$9:$S$929,22)</f>
        <v>5.384679089026915E-3</v>
      </c>
      <c r="AN30" s="12">
        <f>SUMIFS(相位SOC复算!$Q$9:$Q$929,相位SOC复算!$S$9:$S$929,22)</f>
        <v>0</v>
      </c>
      <c r="AO30" s="12">
        <f>SUMIFS(相位SOC复算!$R$9:$R$929,相位SOC复算!$S$9:$S$929,22)</f>
        <v>1.7834057142857143</v>
      </c>
      <c r="AP30" s="12">
        <f>相位SOC复算!J54</f>
        <v>33.137940789236154</v>
      </c>
      <c r="AQ30" s="19">
        <f t="shared" si="12"/>
        <v>0</v>
      </c>
      <c r="AR30" s="12">
        <f>IF(ISBLANK(原始输入与口径!M30),"",原始输入与口径!M30)</f>
        <v>5.2473000000000001</v>
      </c>
      <c r="AS30" s="14">
        <f>IF(ISBLANK(原始输入与口径!L30),"",原始输入与口径!L30)</f>
        <v>46234</v>
      </c>
      <c r="AT30" s="13">
        <f>IF(ISBLANK(原始输入与口径!A30),"",原始输入与口径!A30)</f>
        <v>46235.09375</v>
      </c>
      <c r="AU30" s="12" t="str">
        <f>IF(ISBLANK(原始输入与口径!I30),"",原始输入与口径!I30)</f>
        <v>2026-08-01_18</v>
      </c>
      <c r="AV30" s="12">
        <f>IF(ISBLANK(原始输入与口径!J30),"",原始输入与口径!J30)</f>
        <v>15</v>
      </c>
      <c r="AW30" s="12" t="str">
        <f>IF(ISBLANK(原始输入与口径!BB30),"",原始输入与口径!BB30)</f>
        <v>OK</v>
      </c>
      <c r="AX30" s="12">
        <f>原始输入与口径!CI30</f>
        <v>128</v>
      </c>
      <c r="AY30" s="12">
        <f>原始输入与口径!BS30</f>
        <v>175</v>
      </c>
      <c r="AZ30" s="12">
        <f>原始输入与口径!BI30</f>
        <v>175</v>
      </c>
      <c r="BA30" s="12">
        <f>原始输入与口径!CM30</f>
        <v>40</v>
      </c>
      <c r="BB30" s="12">
        <f>原始输入与口径!BV30</f>
        <v>24</v>
      </c>
      <c r="BC30" s="12">
        <f>原始输入与口径!BL30</f>
        <v>24</v>
      </c>
      <c r="BD30" s="14">
        <f>46235</f>
        <v>46235</v>
      </c>
      <c r="BE30" s="1" t="str">
        <f t="shared" si="13"/>
        <v>零头寸，无结算现金</v>
      </c>
      <c r="BF30" s="1" t="str">
        <f t="shared" si="14"/>
        <v>40.000000 MW × 66.224535 × 0.250000 h = 662.245345 EUR</v>
      </c>
      <c r="BG30" s="1" t="str">
        <f t="shared" si="15"/>
        <v>24.000000 MW × 7.127475 × 0.250000 h = 42.764850 EUR</v>
      </c>
      <c r="BH30" s="1" t="str">
        <f t="shared" si="16"/>
        <v>24.000000 MW × 5.073085 × 0.250000 h = 30.438511 EUR</v>
      </c>
      <c r="BI30" s="1" t="str">
        <f t="shared" si="17"/>
        <v>1.783406 MWh × 211.858480 = 377.829623 EUR</v>
      </c>
      <c r="BJ30" s="1" t="str">
        <f t="shared" si="18"/>
        <v>零下调激活电量</v>
      </c>
      <c r="BK30" s="1" t="str">
        <f t="shared" si="19"/>
        <v>0.000000 + 662.245345 + 42.764850 + 30.438511 + 377.829623 + 0.000000 = 1113.278330 EUR</v>
      </c>
    </row>
    <row r="31" spans="1:63" ht="21" customHeight="1" x14ac:dyDescent="0.45">
      <c r="A31" s="13">
        <f>原始输入与口径!C31</f>
        <v>46235.229166666664</v>
      </c>
      <c r="B31" s="15">
        <f>IF(ISNUMBER(原始输入与口径!H31),原始输入与口径!H31,"缺失")</f>
        <v>154.83000000000001</v>
      </c>
      <c r="C31" s="15">
        <f>IF(ISNUMBER(原始输入与口径!R31),原始输入与口径!R31,"缺失")</f>
        <v>66.224534522516336</v>
      </c>
      <c r="D31" s="15">
        <f>IF(ISNUMBER(原始输入与口径!W31),原始输入与口径!W31,"缺失")</f>
        <v>7.1274750824233415</v>
      </c>
      <c r="E31" s="15">
        <f>IF(ISNUMBER(原始输入与口径!AB31),原始输入与口径!AB31,"缺失")</f>
        <v>5.0730852057248494</v>
      </c>
      <c r="F31" s="15">
        <f>IF(ISNUMBER(原始输入与口径!AG31),原始输入与口径!AG31,"缺失")</f>
        <v>248.52343109789797</v>
      </c>
      <c r="G31" s="15">
        <f>IF(ISNUMBER(原始输入与口径!AJ31),原始输入与口径!AJ31,"缺失")</f>
        <v>0</v>
      </c>
      <c r="H31" s="15" t="str">
        <f t="shared" si="0"/>
        <v>未模拟</v>
      </c>
      <c r="I31" s="16">
        <f>原始输入与口径!CD31</f>
        <v>33.137940789236154</v>
      </c>
      <c r="J31" s="16">
        <f>原始输入与口径!CE31</f>
        <v>35.800410274950437</v>
      </c>
      <c r="K31" s="16">
        <f>原始输入与口径!BZ31</f>
        <v>-24</v>
      </c>
      <c r="L31" s="16">
        <f>原始输入与口径!CK31</f>
        <v>40</v>
      </c>
      <c r="M31" s="16">
        <f>原始输入与口径!BT31</f>
        <v>24</v>
      </c>
      <c r="N31" s="16">
        <f>原始输入与口径!BJ31</f>
        <v>24</v>
      </c>
      <c r="O31" s="16">
        <f t="shared" si="20"/>
        <v>3.1060114285714282</v>
      </c>
      <c r="P31" s="16">
        <f t="shared" si="1"/>
        <v>0</v>
      </c>
      <c r="Q31" s="17">
        <f t="shared" si="2"/>
        <v>-928.98</v>
      </c>
      <c r="R31" s="17">
        <f t="shared" si="3"/>
        <v>662.24534522516342</v>
      </c>
      <c r="S31" s="17">
        <f t="shared" si="4"/>
        <v>42.764850494540049</v>
      </c>
      <c r="T31" s="17">
        <f t="shared" si="5"/>
        <v>30.438511234349097</v>
      </c>
      <c r="U31" s="17">
        <f t="shared" si="21"/>
        <v>771.91661725785502</v>
      </c>
      <c r="V31" s="17">
        <f t="shared" si="6"/>
        <v>0</v>
      </c>
      <c r="W31" s="17">
        <f t="shared" si="7"/>
        <v>578.38532421190757</v>
      </c>
      <c r="X31" s="12">
        <f>原始输入与口径!CP31</f>
        <v>578.38532421190757</v>
      </c>
      <c r="Y31" s="19">
        <f t="shared" si="8"/>
        <v>0</v>
      </c>
      <c r="Z31" s="12" t="str">
        <f t="shared" si="9"/>
        <v>当日执行</v>
      </c>
      <c r="AA31" s="12">
        <f>IF(原始输入与口径!AW31,1,0)</f>
        <v>1</v>
      </c>
      <c r="AB31" s="12">
        <f>IF(原始输入与口径!AY31,1,0)</f>
        <v>1</v>
      </c>
      <c r="AC31" s="12">
        <f>原始输入与口径!$F$5</f>
        <v>0.25</v>
      </c>
      <c r="AD31" s="18">
        <f>原始输入与口径!CG31</f>
        <v>0.3125</v>
      </c>
      <c r="AE31" s="18">
        <f>原始输入与口径!BQ31</f>
        <v>0.13714285714285715</v>
      </c>
      <c r="AF31" s="18">
        <f t="shared" si="10"/>
        <v>0.51766857142857137</v>
      </c>
      <c r="AG31" s="18">
        <f t="shared" si="11"/>
        <v>0</v>
      </c>
      <c r="AH31" s="12">
        <f>IF(ISNUMBER(原始输入与口径!T31),原始输入与口径!T31,"缺失")</f>
        <v>175</v>
      </c>
      <c r="AI31" s="12">
        <f>IF(ISNUMBER(原始输入与口径!Y31),原始输入与口径!Y31,"缺失")</f>
        <v>175</v>
      </c>
      <c r="AJ31" s="12">
        <f>IF(ISNUMBER(原始输入与口径!AI31),原始输入与口径!AI31,"缺失")</f>
        <v>22.648</v>
      </c>
      <c r="AK31" s="12">
        <f>IF(ISNUMBER(原始输入与口径!AL31),原始输入与口径!AL31,"缺失")</f>
        <v>0</v>
      </c>
      <c r="AL31" s="12">
        <f>IF(ISNUMBER(原始输入与口径!O31),原始输入与口径!O31,"缺失")</f>
        <v>128</v>
      </c>
      <c r="AM31" s="12">
        <f>SUMIFS(相位SOC复算!$N$9:$N$929,相位SOC复算!$S$9:$S$929,23)</f>
        <v>7.3957485714285735E-3</v>
      </c>
      <c r="AN31" s="12">
        <f>SUMIFS(相位SOC复算!$Q$9:$Q$929,相位SOC复算!$S$9:$S$929,23)</f>
        <v>2.8939885714285718</v>
      </c>
      <c r="AO31" s="12">
        <f>SUMIFS(相位SOC复算!$R$9:$R$929,相位SOC复算!$S$9:$S$929,23)</f>
        <v>0</v>
      </c>
      <c r="AP31" s="12">
        <f>相位SOC复算!J56</f>
        <v>35.800410274950437</v>
      </c>
      <c r="AQ31" s="19">
        <f t="shared" si="12"/>
        <v>0</v>
      </c>
      <c r="AR31" s="12">
        <f>IF(ISBLANK(原始输入与口径!M31),"",原始输入与口径!M31)</f>
        <v>5.2473000000000001</v>
      </c>
      <c r="AS31" s="14">
        <f>IF(ISBLANK(原始输入与口径!L31),"",原始输入与口径!L31)</f>
        <v>46234</v>
      </c>
      <c r="AT31" s="13">
        <f>IF(ISBLANK(原始输入与口径!A31),"",原始输入与口径!A31)</f>
        <v>46235.104166666664</v>
      </c>
      <c r="AU31" s="12" t="str">
        <f>IF(ISBLANK(原始输入与口径!I31),"",原始输入与口径!I31)</f>
        <v>2026-08-01_19</v>
      </c>
      <c r="AV31" s="12">
        <f>IF(ISBLANK(原始输入与口径!J31),"",原始输入与口径!J31)</f>
        <v>15</v>
      </c>
      <c r="AW31" s="12" t="str">
        <f>IF(ISBLANK(原始输入与口径!BB31),"",原始输入与口径!BB31)</f>
        <v>OK</v>
      </c>
      <c r="AX31" s="12">
        <f>原始输入与口径!CI31</f>
        <v>128</v>
      </c>
      <c r="AY31" s="12">
        <f>原始输入与口径!BS31</f>
        <v>175</v>
      </c>
      <c r="AZ31" s="12">
        <f>原始输入与口径!BI31</f>
        <v>175</v>
      </c>
      <c r="BA31" s="12">
        <f>原始输入与口径!CM31</f>
        <v>40</v>
      </c>
      <c r="BB31" s="12">
        <f>原始输入与口径!BV31</f>
        <v>24</v>
      </c>
      <c r="BC31" s="12">
        <f>原始输入与口径!BL31</f>
        <v>24</v>
      </c>
      <c r="BD31" s="14">
        <f>46235</f>
        <v>46235</v>
      </c>
      <c r="BE31" s="1" t="str">
        <f t="shared" si="13"/>
        <v>-24.000000 MW × 154.830000 × 0.250000 h = -928.980000 EUR</v>
      </c>
      <c r="BF31" s="1" t="str">
        <f t="shared" si="14"/>
        <v>40.000000 MW × 66.224535 × 0.250000 h = 662.245345 EUR</v>
      </c>
      <c r="BG31" s="1" t="str">
        <f t="shared" si="15"/>
        <v>24.000000 MW × 7.127475 × 0.250000 h = 42.764850 EUR</v>
      </c>
      <c r="BH31" s="1" t="str">
        <f t="shared" si="16"/>
        <v>24.000000 MW × 5.073085 × 0.250000 h = 30.438511 EUR</v>
      </c>
      <c r="BI31" s="1" t="str">
        <f t="shared" si="17"/>
        <v>3.106011 MWh × 248.523431 = 771.916617 EUR</v>
      </c>
      <c r="BJ31" s="1" t="str">
        <f t="shared" si="18"/>
        <v>零下调激活电量</v>
      </c>
      <c r="BK31" s="1" t="str">
        <f t="shared" si="19"/>
        <v>-928.980000 + 662.245345 + 42.764850 + 30.438511 + 771.916617 + 0.000000 = 578.385324 EUR</v>
      </c>
    </row>
    <row r="32" spans="1:63" ht="21" customHeight="1" x14ac:dyDescent="0.45">
      <c r="A32" s="13">
        <f>原始输入与口径!C32</f>
        <v>46235.239583333336</v>
      </c>
      <c r="B32" s="15">
        <f>IF(ISNUMBER(原始输入与口径!H32),原始输入与口径!H32,"缺失")</f>
        <v>151.91</v>
      </c>
      <c r="C32" s="15">
        <f>IF(ISNUMBER(原始输入与口径!R32),原始输入与口径!R32,"缺失")</f>
        <v>66.224534522516336</v>
      </c>
      <c r="D32" s="15">
        <f>IF(ISNUMBER(原始输入与口径!W32),原始输入与口径!W32,"缺失")</f>
        <v>7.1274750824233415</v>
      </c>
      <c r="E32" s="15">
        <f>IF(ISNUMBER(原始输入与口径!AB32),原始输入与口径!AB32,"缺失")</f>
        <v>5.0730852057248494</v>
      </c>
      <c r="F32" s="15">
        <f>IF(ISNUMBER(原始输入与口径!AG32),原始输入与口径!AG32,"缺失")</f>
        <v>254.40416976349741</v>
      </c>
      <c r="G32" s="15">
        <f>IF(ISNUMBER(原始输入与口径!AJ32),原始输入与口径!AJ32,"缺失")</f>
        <v>0</v>
      </c>
      <c r="H32" s="15" t="str">
        <f t="shared" si="0"/>
        <v>未模拟</v>
      </c>
      <c r="I32" s="16">
        <f>原始输入与口径!CD32</f>
        <v>35.800410274950437</v>
      </c>
      <c r="J32" s="16">
        <f>原始输入与口径!CE32</f>
        <v>38.15426444637901</v>
      </c>
      <c r="K32" s="16">
        <f>原始输入与口径!BZ32</f>
        <v>-24</v>
      </c>
      <c r="L32" s="16">
        <f>原始输入与口径!CK32</f>
        <v>40</v>
      </c>
      <c r="M32" s="16">
        <f>原始输入与口径!BT32</f>
        <v>24</v>
      </c>
      <c r="N32" s="16">
        <f>原始输入与口径!BJ32</f>
        <v>24</v>
      </c>
      <c r="O32" s="16">
        <f t="shared" si="20"/>
        <v>3.4414628571428576</v>
      </c>
      <c r="P32" s="16">
        <f t="shared" si="1"/>
        <v>0</v>
      </c>
      <c r="Q32" s="17">
        <f t="shared" si="2"/>
        <v>-911.46</v>
      </c>
      <c r="R32" s="17">
        <f t="shared" si="3"/>
        <v>662.24534522516342</v>
      </c>
      <c r="S32" s="17">
        <f t="shared" si="4"/>
        <v>42.764850494540049</v>
      </c>
      <c r="T32" s="17">
        <f t="shared" si="5"/>
        <v>30.438511234349097</v>
      </c>
      <c r="U32" s="17">
        <f t="shared" si="21"/>
        <v>875.52250094334238</v>
      </c>
      <c r="V32" s="17">
        <f t="shared" si="6"/>
        <v>0</v>
      </c>
      <c r="W32" s="17">
        <f t="shared" si="7"/>
        <v>699.51120789739491</v>
      </c>
      <c r="X32" s="12">
        <f>原始输入与口径!CP32</f>
        <v>699.51120789739491</v>
      </c>
      <c r="Y32" s="19">
        <f t="shared" si="8"/>
        <v>0</v>
      </c>
      <c r="Z32" s="12" t="str">
        <f t="shared" si="9"/>
        <v>当日执行</v>
      </c>
      <c r="AA32" s="12">
        <f>IF(原始输入与口径!AW32,1,0)</f>
        <v>1</v>
      </c>
      <c r="AB32" s="12">
        <f>IF(原始输入与口径!AY32,1,0)</f>
        <v>1</v>
      </c>
      <c r="AC32" s="12">
        <f>原始输入与口径!$F$5</f>
        <v>0.25</v>
      </c>
      <c r="AD32" s="18">
        <f>原始输入与口径!CG32</f>
        <v>0.3125</v>
      </c>
      <c r="AE32" s="18">
        <f>原始输入与口径!BQ32</f>
        <v>0.13714285714285715</v>
      </c>
      <c r="AF32" s="18">
        <f t="shared" si="10"/>
        <v>0.5735771428571429</v>
      </c>
      <c r="AG32" s="18">
        <f t="shared" si="11"/>
        <v>0</v>
      </c>
      <c r="AH32" s="12">
        <f>IF(ISNUMBER(原始输入与口径!T32),原始输入与口径!T32,"缺失")</f>
        <v>175</v>
      </c>
      <c r="AI32" s="12">
        <f>IF(ISNUMBER(原始输入与口径!Y32),原始输入与口径!Y32,"缺失")</f>
        <v>175</v>
      </c>
      <c r="AJ32" s="12">
        <f>IF(ISNUMBER(原始输入与口径!AI32),原始输入与口径!AI32,"缺失")</f>
        <v>25.094000000000001</v>
      </c>
      <c r="AK32" s="12">
        <f>IF(ISNUMBER(原始输入与口径!AL32),原始输入与口径!AL32,"缺失")</f>
        <v>0</v>
      </c>
      <c r="AL32" s="12">
        <f>IF(ISNUMBER(原始输入与口径!O32),原始输入与口径!O32,"缺失")</f>
        <v>128</v>
      </c>
      <c r="AM32" s="12">
        <f>SUMIFS(相位SOC复算!$N$9:$N$929,相位SOC复算!$S$9:$S$929,24)</f>
        <v>6.5384838095238094E-3</v>
      </c>
      <c r="AN32" s="12">
        <f>SUMIFS(相位SOC复算!$Q$9:$Q$929,相位SOC复算!$S$9:$S$929,24)</f>
        <v>2.5585371428571424</v>
      </c>
      <c r="AO32" s="12">
        <f>SUMIFS(相位SOC复算!$R$9:$R$929,相位SOC复算!$S$9:$S$929,24)</f>
        <v>0</v>
      </c>
      <c r="AP32" s="12">
        <f>相位SOC复算!J58</f>
        <v>38.15426444637901</v>
      </c>
      <c r="AQ32" s="19">
        <f t="shared" si="12"/>
        <v>0</v>
      </c>
      <c r="AR32" s="12">
        <f>IF(ISBLANK(原始输入与口径!M32),"",原始输入与口径!M32)</f>
        <v>5.2473000000000001</v>
      </c>
      <c r="AS32" s="14">
        <f>IF(ISBLANK(原始输入与口径!L32),"",原始输入与口径!L32)</f>
        <v>46234</v>
      </c>
      <c r="AT32" s="13">
        <f>IF(ISBLANK(原始输入与口径!A32),"",原始输入与口径!A32)</f>
        <v>46235.114583333336</v>
      </c>
      <c r="AU32" s="12" t="str">
        <f>IF(ISBLANK(原始输入与口径!I32),"",原始输入与口径!I32)</f>
        <v>2026-08-01_20</v>
      </c>
      <c r="AV32" s="12">
        <f>IF(ISBLANK(原始输入与口径!J32),"",原始输入与口径!J32)</f>
        <v>15</v>
      </c>
      <c r="AW32" s="12" t="str">
        <f>IF(ISBLANK(原始输入与口径!BB32),"",原始输入与口径!BB32)</f>
        <v>OK</v>
      </c>
      <c r="AX32" s="12">
        <f>原始输入与口径!CI32</f>
        <v>128</v>
      </c>
      <c r="AY32" s="12">
        <f>原始输入与口径!BS32</f>
        <v>175</v>
      </c>
      <c r="AZ32" s="12">
        <f>原始输入与口径!BI32</f>
        <v>175</v>
      </c>
      <c r="BA32" s="12">
        <f>原始输入与口径!CM32</f>
        <v>40</v>
      </c>
      <c r="BB32" s="12">
        <f>原始输入与口径!BV32</f>
        <v>24</v>
      </c>
      <c r="BC32" s="12">
        <f>原始输入与口径!BL32</f>
        <v>24</v>
      </c>
      <c r="BD32" s="14">
        <f>46235</f>
        <v>46235</v>
      </c>
      <c r="BE32" s="1" t="str">
        <f t="shared" si="13"/>
        <v>-24.000000 MW × 151.910000 × 0.250000 h = -911.460000 EUR</v>
      </c>
      <c r="BF32" s="1" t="str">
        <f t="shared" si="14"/>
        <v>40.000000 MW × 66.224535 × 0.250000 h = 662.245345 EUR</v>
      </c>
      <c r="BG32" s="1" t="str">
        <f t="shared" si="15"/>
        <v>24.000000 MW × 7.127475 × 0.250000 h = 42.764850 EUR</v>
      </c>
      <c r="BH32" s="1" t="str">
        <f t="shared" si="16"/>
        <v>24.000000 MW × 5.073085 × 0.250000 h = 30.438511 EUR</v>
      </c>
      <c r="BI32" s="1" t="str">
        <f t="shared" si="17"/>
        <v>3.441463 MWh × 254.404170 = 875.522501 EUR</v>
      </c>
      <c r="BJ32" s="1" t="str">
        <f t="shared" si="18"/>
        <v>零下调激活电量</v>
      </c>
      <c r="BK32" s="1" t="str">
        <f t="shared" si="19"/>
        <v>-911.460000 + 662.245345 + 42.764850 + 30.438511 + 875.522501 + 0.000000 = 699.511208 EUR</v>
      </c>
    </row>
    <row r="33" spans="1:63" ht="21" customHeight="1" x14ac:dyDescent="0.45">
      <c r="A33" s="13">
        <f>原始输入与口径!C33</f>
        <v>46235.25</v>
      </c>
      <c r="B33" s="15">
        <f>IF(ISNUMBER(原始输入与口径!H33),原始输入与口径!H33,"缺失")</f>
        <v>154.07</v>
      </c>
      <c r="C33" s="15">
        <f>IF(ISNUMBER(原始输入与口径!R33),原始输入与口径!R33,"缺失")</f>
        <v>66.224534522516336</v>
      </c>
      <c r="D33" s="15">
        <f>IF(ISNUMBER(原始输入与口径!W33),原始输入与口径!W33,"缺失")</f>
        <v>7.0626798544013116</v>
      </c>
      <c r="E33" s="15">
        <f>IF(ISNUMBER(原始输入与口径!AB33),原始输入与口径!AB33,"缺失")</f>
        <v>2.8376498389648011</v>
      </c>
      <c r="F33" s="15">
        <f>IF(ISNUMBER(原始输入与口径!AG33),原始输入与口径!AG33,"缺失")</f>
        <v>242.46355268423761</v>
      </c>
      <c r="G33" s="15">
        <f>IF(ISNUMBER(原始输入与口径!AJ33),原始输入与口径!AJ33,"缺失")</f>
        <v>0</v>
      </c>
      <c r="H33" s="15" t="str">
        <f t="shared" si="0"/>
        <v>未模拟</v>
      </c>
      <c r="I33" s="16">
        <f>原始输入与口径!CD33</f>
        <v>38.15426444637901</v>
      </c>
      <c r="J33" s="16">
        <f>原始输入与口径!CE33</f>
        <v>40.826827646379009</v>
      </c>
      <c r="K33" s="16">
        <f>原始输入与口径!BZ33</f>
        <v>-24</v>
      </c>
      <c r="L33" s="16">
        <f>原始输入与口径!CK33</f>
        <v>40</v>
      </c>
      <c r="M33" s="16">
        <f>原始输入与口径!BT33</f>
        <v>24</v>
      </c>
      <c r="N33" s="16">
        <f>原始输入与口径!BJ33</f>
        <v>24</v>
      </c>
      <c r="O33" s="16">
        <f t="shared" si="20"/>
        <v>3.0950400000000005</v>
      </c>
      <c r="P33" s="16">
        <f t="shared" si="1"/>
        <v>0</v>
      </c>
      <c r="Q33" s="17">
        <f t="shared" si="2"/>
        <v>-924.42</v>
      </c>
      <c r="R33" s="17">
        <f t="shared" si="3"/>
        <v>662.24534522516342</v>
      </c>
      <c r="S33" s="17">
        <f t="shared" si="4"/>
        <v>42.376079126407873</v>
      </c>
      <c r="T33" s="17">
        <f t="shared" si="5"/>
        <v>17.025899033788807</v>
      </c>
      <c r="U33" s="17">
        <f t="shared" si="21"/>
        <v>750.43439409982284</v>
      </c>
      <c r="V33" s="17">
        <f t="shared" si="6"/>
        <v>0</v>
      </c>
      <c r="W33" s="17">
        <f t="shared" si="7"/>
        <v>547.66171748518298</v>
      </c>
      <c r="X33" s="12">
        <f>原始输入与口径!CP33</f>
        <v>547.66171748518298</v>
      </c>
      <c r="Y33" s="19">
        <f t="shared" si="8"/>
        <v>0</v>
      </c>
      <c r="Z33" s="12" t="str">
        <f t="shared" si="9"/>
        <v>当日执行</v>
      </c>
      <c r="AA33" s="12">
        <f>IF(原始输入与口径!AW33,1,0)</f>
        <v>1</v>
      </c>
      <c r="AB33" s="12">
        <f>IF(原始输入与口径!AY33,1,0)</f>
        <v>1</v>
      </c>
      <c r="AC33" s="12">
        <f>原始输入与口径!$F$5</f>
        <v>0.25</v>
      </c>
      <c r="AD33" s="18">
        <f>原始输入与口径!CG33</f>
        <v>0.3125</v>
      </c>
      <c r="AE33" s="18">
        <f>原始输入与口径!BQ33</f>
        <v>0.13714285714285715</v>
      </c>
      <c r="AF33" s="18">
        <f t="shared" si="10"/>
        <v>0.51584000000000008</v>
      </c>
      <c r="AG33" s="18">
        <f t="shared" si="11"/>
        <v>0</v>
      </c>
      <c r="AH33" s="12">
        <f>IF(ISNUMBER(原始输入与口径!T33),原始输入与口径!T33,"缺失")</f>
        <v>175</v>
      </c>
      <c r="AI33" s="12">
        <f>IF(ISNUMBER(原始输入与口径!Y33),原始输入与口径!Y33,"缺失")</f>
        <v>175</v>
      </c>
      <c r="AJ33" s="12">
        <f>IF(ISNUMBER(原始输入与口径!AI33),原始输入与口径!AI33,"缺失")</f>
        <v>22.568000000000001</v>
      </c>
      <c r="AK33" s="12">
        <f>IF(ISNUMBER(原始输入与口径!AL33),原始输入与口径!AL33,"缺失")</f>
        <v>0</v>
      </c>
      <c r="AL33" s="12">
        <f>IF(ISNUMBER(原始输入与口径!O33),原始输入与口径!O33,"缺失")</f>
        <v>128</v>
      </c>
      <c r="AM33" s="12">
        <f>SUMIFS(相位SOC复算!$N$9:$N$929,相位SOC复算!$S$9:$S$929,25)</f>
        <v>7.4237866666666662E-3</v>
      </c>
      <c r="AN33" s="12">
        <f>SUMIFS(相位SOC复算!$Q$9:$Q$929,相位SOC复算!$S$9:$S$929,25)</f>
        <v>2.9049599999999995</v>
      </c>
      <c r="AO33" s="12">
        <f>SUMIFS(相位SOC复算!$R$9:$R$929,相位SOC复算!$S$9:$S$929,25)</f>
        <v>0</v>
      </c>
      <c r="AP33" s="12">
        <f>相位SOC复算!J60</f>
        <v>40.826827646379009</v>
      </c>
      <c r="AQ33" s="19">
        <f t="shared" si="12"/>
        <v>0</v>
      </c>
      <c r="AR33" s="12">
        <f>IF(ISBLANK(原始输入与口径!M33),"",原始输入与口径!M33)</f>
        <v>5.2473000000000001</v>
      </c>
      <c r="AS33" s="14">
        <f>IF(ISBLANK(原始输入与口径!L33),"",原始输入与口径!L33)</f>
        <v>46234</v>
      </c>
      <c r="AT33" s="13">
        <f>IF(ISBLANK(原始输入与口径!A33),"",原始输入与口径!A33)</f>
        <v>46235.125</v>
      </c>
      <c r="AU33" s="12" t="str">
        <f>IF(ISBLANK(原始输入与口径!I33),"",原始输入与口径!I33)</f>
        <v>2026-08-01_21</v>
      </c>
      <c r="AV33" s="12">
        <f>IF(ISBLANK(原始输入与口径!J33),"",原始输入与口径!J33)</f>
        <v>15</v>
      </c>
      <c r="AW33" s="12" t="str">
        <f>IF(ISBLANK(原始输入与口径!BB33),"",原始输入与口径!BB33)</f>
        <v>OK</v>
      </c>
      <c r="AX33" s="12">
        <f>原始输入与口径!CI33</f>
        <v>128</v>
      </c>
      <c r="AY33" s="12">
        <f>原始输入与口径!BS33</f>
        <v>175</v>
      </c>
      <c r="AZ33" s="12">
        <f>原始输入与口径!BI33</f>
        <v>175</v>
      </c>
      <c r="BA33" s="12">
        <f>原始输入与口径!CM33</f>
        <v>40</v>
      </c>
      <c r="BB33" s="12">
        <f>原始输入与口径!BV33</f>
        <v>24</v>
      </c>
      <c r="BC33" s="12">
        <f>原始输入与口径!BL33</f>
        <v>24</v>
      </c>
      <c r="BD33" s="14">
        <f>46235</f>
        <v>46235</v>
      </c>
      <c r="BE33" s="1" t="str">
        <f t="shared" si="13"/>
        <v>-24.000000 MW × 154.070000 × 0.250000 h = -924.420000 EUR</v>
      </c>
      <c r="BF33" s="1" t="str">
        <f t="shared" si="14"/>
        <v>40.000000 MW × 66.224535 × 0.250000 h = 662.245345 EUR</v>
      </c>
      <c r="BG33" s="1" t="str">
        <f t="shared" si="15"/>
        <v>24.000000 MW × 7.062680 × 0.250000 h = 42.376079 EUR</v>
      </c>
      <c r="BH33" s="1" t="str">
        <f t="shared" si="16"/>
        <v>24.000000 MW × 2.837650 × 0.250000 h = 17.025899 EUR</v>
      </c>
      <c r="BI33" s="1" t="str">
        <f t="shared" si="17"/>
        <v>3.095040 MWh × 242.463553 = 750.434394 EUR</v>
      </c>
      <c r="BJ33" s="1" t="str">
        <f t="shared" si="18"/>
        <v>零下调激活电量</v>
      </c>
      <c r="BK33" s="1" t="str">
        <f t="shared" si="19"/>
        <v>-924.420000 + 662.245345 + 42.376079 + 17.025899 + 750.434394 + 0.000000 = 547.661717 EUR</v>
      </c>
    </row>
    <row r="34" spans="1:63" ht="21" customHeight="1" x14ac:dyDescent="0.45">
      <c r="A34" s="13">
        <f>原始输入与口径!C34</f>
        <v>46235.260416666664</v>
      </c>
      <c r="B34" s="15">
        <f>IF(ISNUMBER(原始输入与口径!H34),原始输入与口径!H34,"缺失")</f>
        <v>163.19999999999999</v>
      </c>
      <c r="C34" s="15">
        <f>IF(ISNUMBER(原始输入与口径!R34),原始输入与口径!R34,"缺失")</f>
        <v>66.224534522516336</v>
      </c>
      <c r="D34" s="15">
        <f>IF(ISNUMBER(原始输入与口径!W34),原始输入与口径!W34,"缺失")</f>
        <v>7.0626798544013116</v>
      </c>
      <c r="E34" s="15">
        <f>IF(ISNUMBER(原始输入与口径!AB34),原始输入与口径!AB34,"缺失")</f>
        <v>2.8376498389648011</v>
      </c>
      <c r="F34" s="15">
        <f>IF(ISNUMBER(原始输入与口径!AG34),原始输入与口径!AG34,"缺失")</f>
        <v>173.58241381281803</v>
      </c>
      <c r="G34" s="15">
        <f>IF(ISNUMBER(原始输入与口径!AJ34),原始输入与口径!AJ34,"缺失")</f>
        <v>0</v>
      </c>
      <c r="H34" s="15" t="str">
        <f t="shared" si="0"/>
        <v>未模拟</v>
      </c>
      <c r="I34" s="16">
        <f>原始输入与口径!CD34</f>
        <v>40.826827646379009</v>
      </c>
      <c r="J34" s="16">
        <f>原始输入与口径!CE34</f>
        <v>40.363672366875903</v>
      </c>
      <c r="K34" s="16">
        <f>原始输入与口径!BZ34</f>
        <v>0</v>
      </c>
      <c r="L34" s="16">
        <f>原始输入与口径!CK34</f>
        <v>40</v>
      </c>
      <c r="M34" s="16">
        <f>原始输入与口径!BT34</f>
        <v>24</v>
      </c>
      <c r="N34" s="16">
        <f>原始输入与口径!BJ34</f>
        <v>24</v>
      </c>
      <c r="O34" s="16">
        <f t="shared" si="20"/>
        <v>0.42610285714285717</v>
      </c>
      <c r="P34" s="16">
        <f t="shared" si="1"/>
        <v>0</v>
      </c>
      <c r="Q34" s="17">
        <f t="shared" si="2"/>
        <v>0</v>
      </c>
      <c r="R34" s="17">
        <f t="shared" si="3"/>
        <v>662.24534522516342</v>
      </c>
      <c r="S34" s="17">
        <f t="shared" si="4"/>
        <v>42.376079126407873</v>
      </c>
      <c r="T34" s="17">
        <f t="shared" si="5"/>
        <v>17.025899033788807</v>
      </c>
      <c r="U34" s="17">
        <f t="shared" si="21"/>
        <v>73.963962475395519</v>
      </c>
      <c r="V34" s="17">
        <f t="shared" si="6"/>
        <v>0</v>
      </c>
      <c r="W34" s="17">
        <f t="shared" si="7"/>
        <v>795.61128586075563</v>
      </c>
      <c r="X34" s="12">
        <f>原始输入与口径!CP34</f>
        <v>795.61128586075563</v>
      </c>
      <c r="Y34" s="19">
        <f t="shared" si="8"/>
        <v>0</v>
      </c>
      <c r="Z34" s="12" t="str">
        <f t="shared" si="9"/>
        <v>当日执行</v>
      </c>
      <c r="AA34" s="12">
        <f>IF(原始输入与口径!AW34,1,0)</f>
        <v>1</v>
      </c>
      <c r="AB34" s="12">
        <f>IF(原始输入与口径!AY34,1,0)</f>
        <v>1</v>
      </c>
      <c r="AC34" s="12">
        <f>原始输入与口径!$F$5</f>
        <v>0.25</v>
      </c>
      <c r="AD34" s="18">
        <f>原始输入与口径!CG34</f>
        <v>0.3125</v>
      </c>
      <c r="AE34" s="18">
        <f>原始输入与口径!BQ34</f>
        <v>0.13714285714285715</v>
      </c>
      <c r="AF34" s="18">
        <f t="shared" si="10"/>
        <v>7.1017142857142862E-2</v>
      </c>
      <c r="AG34" s="18">
        <f t="shared" si="11"/>
        <v>0</v>
      </c>
      <c r="AH34" s="12">
        <f>IF(ISNUMBER(原始输入与口径!T34),原始输入与口径!T34,"缺失")</f>
        <v>175</v>
      </c>
      <c r="AI34" s="12">
        <f>IF(ISNUMBER(原始输入与口径!Y34),原始输入与口径!Y34,"缺失")</f>
        <v>175</v>
      </c>
      <c r="AJ34" s="12">
        <f>IF(ISNUMBER(原始输入与口径!AI34),原始输入与口径!AI34,"缺失")</f>
        <v>3.1070000000000002</v>
      </c>
      <c r="AK34" s="12">
        <f>IF(ISNUMBER(原始输入与口径!AL34),原始输入与口径!AL34,"缺失")</f>
        <v>0</v>
      </c>
      <c r="AL34" s="12">
        <f>IF(ISNUMBER(原始输入与口径!O34),原始输入与口径!O34,"缺失")</f>
        <v>128</v>
      </c>
      <c r="AM34" s="12">
        <f>SUMIFS(相位SOC复算!$N$9:$N$929,相位SOC复算!$S$9:$S$929,26)</f>
        <v>1.2865424430641822E-3</v>
      </c>
      <c r="AN34" s="12">
        <f>SUMIFS(相位SOC复算!$Q$9:$Q$929,相位SOC复算!$S$9:$S$929,26)</f>
        <v>0</v>
      </c>
      <c r="AO34" s="12">
        <f>SUMIFS(相位SOC复算!$R$9:$R$929,相位SOC复算!$S$9:$S$929,26)</f>
        <v>0.42610285714285717</v>
      </c>
      <c r="AP34" s="12">
        <f>相位SOC复算!J62</f>
        <v>40.363672366875903</v>
      </c>
      <c r="AQ34" s="19">
        <f t="shared" si="12"/>
        <v>0</v>
      </c>
      <c r="AR34" s="12">
        <f>IF(ISBLANK(原始输入与口径!M34),"",原始输入与口径!M34)</f>
        <v>5.2473000000000001</v>
      </c>
      <c r="AS34" s="14">
        <f>IF(ISBLANK(原始输入与口径!L34),"",原始输入与口径!L34)</f>
        <v>46234</v>
      </c>
      <c r="AT34" s="13">
        <f>IF(ISBLANK(原始输入与口径!A34),"",原始输入与口径!A34)</f>
        <v>46235.135416666664</v>
      </c>
      <c r="AU34" s="12" t="str">
        <f>IF(ISBLANK(原始输入与口径!I34),"",原始输入与口径!I34)</f>
        <v>2026-08-01_22</v>
      </c>
      <c r="AV34" s="12">
        <f>IF(ISBLANK(原始输入与口径!J34),"",原始输入与口径!J34)</f>
        <v>15</v>
      </c>
      <c r="AW34" s="12" t="str">
        <f>IF(ISBLANK(原始输入与口径!BB34),"",原始输入与口径!BB34)</f>
        <v>OK</v>
      </c>
      <c r="AX34" s="12">
        <f>原始输入与口径!CI34</f>
        <v>128</v>
      </c>
      <c r="AY34" s="12">
        <f>原始输入与口径!BS34</f>
        <v>175</v>
      </c>
      <c r="AZ34" s="12">
        <f>原始输入与口径!BI34</f>
        <v>175</v>
      </c>
      <c r="BA34" s="12">
        <f>原始输入与口径!CM34</f>
        <v>40</v>
      </c>
      <c r="BB34" s="12">
        <f>原始输入与口径!BV34</f>
        <v>24</v>
      </c>
      <c r="BC34" s="12">
        <f>原始输入与口径!BL34</f>
        <v>24</v>
      </c>
      <c r="BD34" s="14">
        <f>46235</f>
        <v>46235</v>
      </c>
      <c r="BE34" s="1" t="str">
        <f t="shared" si="13"/>
        <v>零头寸，无结算现金</v>
      </c>
      <c r="BF34" s="1" t="str">
        <f t="shared" si="14"/>
        <v>40.000000 MW × 66.224535 × 0.250000 h = 662.245345 EUR</v>
      </c>
      <c r="BG34" s="1" t="str">
        <f t="shared" si="15"/>
        <v>24.000000 MW × 7.062680 × 0.250000 h = 42.376079 EUR</v>
      </c>
      <c r="BH34" s="1" t="str">
        <f t="shared" si="16"/>
        <v>24.000000 MW × 2.837650 × 0.250000 h = 17.025899 EUR</v>
      </c>
      <c r="BI34" s="1" t="str">
        <f t="shared" si="17"/>
        <v>0.426103 MWh × 173.582414 = 73.963962 EUR</v>
      </c>
      <c r="BJ34" s="1" t="str">
        <f t="shared" si="18"/>
        <v>零下调激活电量</v>
      </c>
      <c r="BK34" s="1" t="str">
        <f t="shared" si="19"/>
        <v>0.000000 + 662.245345 + 42.376079 + 17.025899 + 73.963962 + 0.000000 = 795.611286 EUR</v>
      </c>
    </row>
    <row r="35" spans="1:63" ht="21" customHeight="1" x14ac:dyDescent="0.45">
      <c r="A35" s="13">
        <f>原始输入与口径!C35</f>
        <v>46235.270833333336</v>
      </c>
      <c r="B35" s="15">
        <f>IF(ISNUMBER(原始输入与口径!H35),原始输入与口径!H35,"缺失")</f>
        <v>157.71</v>
      </c>
      <c r="C35" s="15">
        <f>IF(ISNUMBER(原始输入与口径!R35),原始输入与口径!R35,"缺失")</f>
        <v>66.224534522516336</v>
      </c>
      <c r="D35" s="15">
        <f>IF(ISNUMBER(原始输入与口径!W35),原始输入与口径!W35,"缺失")</f>
        <v>7.0626798544013116</v>
      </c>
      <c r="E35" s="15">
        <f>IF(ISNUMBER(原始输入与口径!AB35),原始输入与口径!AB35,"缺失")</f>
        <v>2.8376498389648011</v>
      </c>
      <c r="F35" s="15">
        <f>IF(ISNUMBER(原始输入与口径!AG35),原始输入与口径!AG35,"缺失")</f>
        <v>171.50191527071064</v>
      </c>
      <c r="G35" s="15">
        <f>IF(ISNUMBER(原始输入与口径!AJ35),原始输入与口径!AJ35,"缺失")</f>
        <v>0</v>
      </c>
      <c r="H35" s="15" t="str">
        <f t="shared" si="0"/>
        <v>未模拟</v>
      </c>
      <c r="I35" s="16">
        <f>原始输入与口径!CD35</f>
        <v>40.363672366875903</v>
      </c>
      <c r="J35" s="16">
        <f>原始输入与口径!CE35</f>
        <v>39.703746901037391</v>
      </c>
      <c r="K35" s="16">
        <f>原始输入与口径!BZ35</f>
        <v>0</v>
      </c>
      <c r="L35" s="16">
        <f>原始输入与口径!CK35</f>
        <v>40</v>
      </c>
      <c r="M35" s="16">
        <f>原始输入与口径!BT35</f>
        <v>24</v>
      </c>
      <c r="N35" s="16">
        <f>原始输入与口径!BJ35</f>
        <v>24</v>
      </c>
      <c r="O35" s="16">
        <f t="shared" si="20"/>
        <v>0.60713142857142854</v>
      </c>
      <c r="P35" s="16">
        <f t="shared" si="1"/>
        <v>0</v>
      </c>
      <c r="Q35" s="17">
        <f t="shared" si="2"/>
        <v>0</v>
      </c>
      <c r="R35" s="17">
        <f t="shared" si="3"/>
        <v>662.24534522516342</v>
      </c>
      <c r="S35" s="17">
        <f t="shared" si="4"/>
        <v>42.376079126407873</v>
      </c>
      <c r="T35" s="17">
        <f t="shared" si="5"/>
        <v>17.025899033788807</v>
      </c>
      <c r="U35" s="17">
        <f t="shared" si="21"/>
        <v>104.12420282104264</v>
      </c>
      <c r="V35" s="17">
        <f t="shared" si="6"/>
        <v>0</v>
      </c>
      <c r="W35" s="17">
        <f t="shared" si="7"/>
        <v>825.77152620640277</v>
      </c>
      <c r="X35" s="12">
        <f>原始输入与口径!CP35</f>
        <v>825.77152620640277</v>
      </c>
      <c r="Y35" s="19">
        <f t="shared" si="8"/>
        <v>0</v>
      </c>
      <c r="Z35" s="12" t="str">
        <f t="shared" si="9"/>
        <v>当日执行</v>
      </c>
      <c r="AA35" s="12">
        <f>IF(原始输入与口径!AW35,1,0)</f>
        <v>1</v>
      </c>
      <c r="AB35" s="12">
        <f>IF(原始输入与口径!AY35,1,0)</f>
        <v>1</v>
      </c>
      <c r="AC35" s="12">
        <f>原始输入与口径!$F$5</f>
        <v>0.25</v>
      </c>
      <c r="AD35" s="18">
        <f>原始输入与口径!CG35</f>
        <v>0.3125</v>
      </c>
      <c r="AE35" s="18">
        <f>原始输入与口径!BQ35</f>
        <v>0.13714285714285715</v>
      </c>
      <c r="AF35" s="18">
        <f t="shared" si="10"/>
        <v>0.10118857142857142</v>
      </c>
      <c r="AG35" s="18">
        <f t="shared" si="11"/>
        <v>0</v>
      </c>
      <c r="AH35" s="12">
        <f>IF(ISNUMBER(原始输入与口径!T35),原始输入与口径!T35,"缺失")</f>
        <v>175</v>
      </c>
      <c r="AI35" s="12">
        <f>IF(ISNUMBER(原始输入与口径!Y35),原始输入与口径!Y35,"缺失")</f>
        <v>175</v>
      </c>
      <c r="AJ35" s="12">
        <f>IF(ISNUMBER(原始输入与口径!AI35),原始输入与口径!AI35,"缺失")</f>
        <v>4.4269999999999996</v>
      </c>
      <c r="AK35" s="12">
        <f>IF(ISNUMBER(原始输入与口径!AL35),原始输入与口径!AL35,"缺失")</f>
        <v>0</v>
      </c>
      <c r="AL35" s="12">
        <f>IF(ISNUMBER(原始输入与口径!O35),原始输入与口径!O35,"缺失")</f>
        <v>128</v>
      </c>
      <c r="AM35" s="12">
        <f>SUMIFS(相位SOC复算!$N$9:$N$929,相位SOC复算!$S$9:$S$929,27)</f>
        <v>1.8331262939958589E-3</v>
      </c>
      <c r="AN35" s="12">
        <f>SUMIFS(相位SOC复算!$Q$9:$Q$929,相位SOC复算!$S$9:$S$929,27)</f>
        <v>0</v>
      </c>
      <c r="AO35" s="12">
        <f>SUMIFS(相位SOC复算!$R$9:$R$929,相位SOC复算!$S$9:$S$929,27)</f>
        <v>0.60713142857142854</v>
      </c>
      <c r="AP35" s="12">
        <f>相位SOC复算!J64</f>
        <v>39.703746901037391</v>
      </c>
      <c r="AQ35" s="19">
        <f t="shared" si="12"/>
        <v>0</v>
      </c>
      <c r="AR35" s="12">
        <f>IF(ISBLANK(原始输入与口径!M35),"",原始输入与口径!M35)</f>
        <v>5.2473000000000001</v>
      </c>
      <c r="AS35" s="14">
        <f>IF(ISBLANK(原始输入与口径!L35),"",原始输入与口径!L35)</f>
        <v>46234</v>
      </c>
      <c r="AT35" s="13">
        <f>IF(ISBLANK(原始输入与口径!A35),"",原始输入与口径!A35)</f>
        <v>46235.145833333336</v>
      </c>
      <c r="AU35" s="12" t="str">
        <f>IF(ISBLANK(原始输入与口径!I35),"",原始输入与口径!I35)</f>
        <v>2026-08-01_23</v>
      </c>
      <c r="AV35" s="12">
        <f>IF(ISBLANK(原始输入与口径!J35),"",原始输入与口径!J35)</f>
        <v>15</v>
      </c>
      <c r="AW35" s="12" t="str">
        <f>IF(ISBLANK(原始输入与口径!BB35),"",原始输入与口径!BB35)</f>
        <v>OK</v>
      </c>
      <c r="AX35" s="12">
        <f>原始输入与口径!CI35</f>
        <v>128</v>
      </c>
      <c r="AY35" s="12">
        <f>原始输入与口径!BS35</f>
        <v>175</v>
      </c>
      <c r="AZ35" s="12">
        <f>原始输入与口径!BI35</f>
        <v>175</v>
      </c>
      <c r="BA35" s="12">
        <f>原始输入与口径!CM35</f>
        <v>40</v>
      </c>
      <c r="BB35" s="12">
        <f>原始输入与口径!BV35</f>
        <v>24</v>
      </c>
      <c r="BC35" s="12">
        <f>原始输入与口径!BL35</f>
        <v>24</v>
      </c>
      <c r="BD35" s="14">
        <f>46235</f>
        <v>46235</v>
      </c>
      <c r="BE35" s="1" t="str">
        <f t="shared" si="13"/>
        <v>零头寸，无结算现金</v>
      </c>
      <c r="BF35" s="1" t="str">
        <f t="shared" si="14"/>
        <v>40.000000 MW × 66.224535 × 0.250000 h = 662.245345 EUR</v>
      </c>
      <c r="BG35" s="1" t="str">
        <f t="shared" si="15"/>
        <v>24.000000 MW × 7.062680 × 0.250000 h = 42.376079 EUR</v>
      </c>
      <c r="BH35" s="1" t="str">
        <f t="shared" si="16"/>
        <v>24.000000 MW × 2.837650 × 0.250000 h = 17.025899 EUR</v>
      </c>
      <c r="BI35" s="1" t="str">
        <f t="shared" si="17"/>
        <v>0.607131 MWh × 171.501915 = 104.124203 EUR</v>
      </c>
      <c r="BJ35" s="1" t="str">
        <f t="shared" si="18"/>
        <v>零下调激活电量</v>
      </c>
      <c r="BK35" s="1" t="str">
        <f t="shared" si="19"/>
        <v>0.000000 + 662.245345 + 42.376079 + 17.025899 + 104.124203 + 0.000000 = 825.771526 EUR</v>
      </c>
    </row>
    <row r="36" spans="1:63" ht="21" customHeight="1" x14ac:dyDescent="0.45">
      <c r="A36" s="13">
        <f>原始输入与口径!C36</f>
        <v>46235.28125</v>
      </c>
      <c r="B36" s="15">
        <f>IF(ISNUMBER(原始输入与口径!H36),原始输入与口径!H36,"缺失")</f>
        <v>158.72999999999999</v>
      </c>
      <c r="C36" s="15">
        <f>IF(ISNUMBER(原始输入与口径!R36),原始输入与口径!R36,"缺失")</f>
        <v>66.224534522516336</v>
      </c>
      <c r="D36" s="15">
        <f>IF(ISNUMBER(原始输入与口径!W36),原始输入与口径!W36,"缺失")</f>
        <v>7.0626798544013116</v>
      </c>
      <c r="E36" s="15">
        <f>IF(ISNUMBER(原始输入与口径!AB36),原始输入与口径!AB36,"缺失")</f>
        <v>2.8376498389648011</v>
      </c>
      <c r="F36" s="15">
        <f>IF(ISNUMBER(原始输入与口径!AG36),原始输入与口径!AG36,"缺失")</f>
        <v>170.31749661730794</v>
      </c>
      <c r="G36" s="15">
        <f>IF(ISNUMBER(原始输入与口径!AJ36),原始输入与口径!AJ36,"缺失")</f>
        <v>76.420254225982887</v>
      </c>
      <c r="H36" s="15" t="str">
        <f t="shared" si="0"/>
        <v>未模拟</v>
      </c>
      <c r="I36" s="16">
        <f>原始输入与口径!CD36</f>
        <v>39.703746901037391</v>
      </c>
      <c r="J36" s="16">
        <f>原始输入与口径!CE36</f>
        <v>39.53672216563367</v>
      </c>
      <c r="K36" s="16">
        <f>原始输入与口径!BZ36</f>
        <v>0</v>
      </c>
      <c r="L36" s="16">
        <f>原始输入与口径!CK36</f>
        <v>40</v>
      </c>
      <c r="M36" s="16">
        <f>原始输入与口径!BT36</f>
        <v>24</v>
      </c>
      <c r="N36" s="16">
        <f>原始输入与口径!BJ36</f>
        <v>24</v>
      </c>
      <c r="O36" s="16">
        <f t="shared" si="20"/>
        <v>0.15551999999999999</v>
      </c>
      <c r="P36" s="16">
        <f t="shared" si="1"/>
        <v>2.1942857142857146E-3</v>
      </c>
      <c r="Q36" s="17">
        <f t="shared" si="2"/>
        <v>0</v>
      </c>
      <c r="R36" s="17">
        <f t="shared" si="3"/>
        <v>662.24534522516342</v>
      </c>
      <c r="S36" s="17">
        <f t="shared" si="4"/>
        <v>42.376079126407873</v>
      </c>
      <c r="T36" s="17">
        <f t="shared" si="5"/>
        <v>17.025899033788807</v>
      </c>
      <c r="U36" s="17">
        <f t="shared" si="21"/>
        <v>26.487777073923731</v>
      </c>
      <c r="V36" s="17">
        <f t="shared" si="6"/>
        <v>-0.16768787213015676</v>
      </c>
      <c r="W36" s="17">
        <f t="shared" si="7"/>
        <v>747.96741258715372</v>
      </c>
      <c r="X36" s="12">
        <f>原始输入与口径!CP36</f>
        <v>747.96741258715372</v>
      </c>
      <c r="Y36" s="19">
        <f t="shared" si="8"/>
        <v>0</v>
      </c>
      <c r="Z36" s="12" t="str">
        <f t="shared" si="9"/>
        <v>当日执行</v>
      </c>
      <c r="AA36" s="12">
        <f>IF(原始输入与口径!AW36,1,0)</f>
        <v>1</v>
      </c>
      <c r="AB36" s="12">
        <f>IF(原始输入与口径!AY36,1,0)</f>
        <v>1</v>
      </c>
      <c r="AC36" s="12">
        <f>原始输入与口径!$F$5</f>
        <v>0.25</v>
      </c>
      <c r="AD36" s="18">
        <f>原始输入与口径!CG36</f>
        <v>0.3125</v>
      </c>
      <c r="AE36" s="18">
        <f>原始输入与口径!BQ36</f>
        <v>0.13714285714285715</v>
      </c>
      <c r="AF36" s="18">
        <f t="shared" si="10"/>
        <v>2.5919999999999999E-2</v>
      </c>
      <c r="AG36" s="18">
        <f t="shared" si="11"/>
        <v>3.6571428571428573E-4</v>
      </c>
      <c r="AH36" s="12">
        <f>IF(ISNUMBER(原始输入与口径!T36),原始输入与口径!T36,"缺失")</f>
        <v>175</v>
      </c>
      <c r="AI36" s="12">
        <f>IF(ISNUMBER(原始输入与口径!Y36),原始输入与口径!Y36,"缺失")</f>
        <v>175</v>
      </c>
      <c r="AJ36" s="12">
        <f>IF(ISNUMBER(原始输入与口径!AI36),原始输入与口径!AI36,"缺失")</f>
        <v>1.1339999999999999</v>
      </c>
      <c r="AK36" s="12">
        <f>IF(ISNUMBER(原始输入与口径!AL36),原始输入与口径!AL36,"缺失")</f>
        <v>1.6E-2</v>
      </c>
      <c r="AL36" s="12">
        <f>IF(ISNUMBER(原始输入与口径!O36),原始输入与口径!O36,"缺失")</f>
        <v>128</v>
      </c>
      <c r="AM36" s="12">
        <f>SUMIFS(相位SOC复算!$N$9:$N$929,相位SOC复算!$S$9:$S$929,28)</f>
        <v>4.7517283643892333E-4</v>
      </c>
      <c r="AN36" s="12">
        <f>SUMIFS(相位SOC复算!$Q$9:$Q$929,相位SOC复算!$S$9:$S$929,28)</f>
        <v>2.1942857142857146E-3</v>
      </c>
      <c r="AO36" s="12">
        <f>SUMIFS(相位SOC复算!$R$9:$R$929,相位SOC复算!$S$9:$S$929,28)</f>
        <v>0.15551999999999999</v>
      </c>
      <c r="AP36" s="12">
        <f>相位SOC复算!J67</f>
        <v>39.53672216563367</v>
      </c>
      <c r="AQ36" s="19">
        <f t="shared" si="12"/>
        <v>0</v>
      </c>
      <c r="AR36" s="12">
        <f>IF(ISBLANK(原始输入与口径!M36),"",原始输入与口径!M36)</f>
        <v>5.2473000000000001</v>
      </c>
      <c r="AS36" s="14">
        <f>IF(ISBLANK(原始输入与口径!L36),"",原始输入与口径!L36)</f>
        <v>46234</v>
      </c>
      <c r="AT36" s="13">
        <f>IF(ISBLANK(原始输入与口径!A36),"",原始输入与口径!A36)</f>
        <v>46235.15625</v>
      </c>
      <c r="AU36" s="12" t="str">
        <f>IF(ISBLANK(原始输入与口径!I36),"",原始输入与口径!I36)</f>
        <v>2026-08-01_24</v>
      </c>
      <c r="AV36" s="12">
        <f>IF(ISBLANK(原始输入与口径!J36),"",原始输入与口径!J36)</f>
        <v>15</v>
      </c>
      <c r="AW36" s="12" t="str">
        <f>IF(ISBLANK(原始输入与口径!BB36),"",原始输入与口径!BB36)</f>
        <v>OK</v>
      </c>
      <c r="AX36" s="12">
        <f>原始输入与口径!CI36</f>
        <v>128</v>
      </c>
      <c r="AY36" s="12">
        <f>原始输入与口径!BS36</f>
        <v>175</v>
      </c>
      <c r="AZ36" s="12">
        <f>原始输入与口径!BI36</f>
        <v>175</v>
      </c>
      <c r="BA36" s="12">
        <f>原始输入与口径!CM36</f>
        <v>40</v>
      </c>
      <c r="BB36" s="12">
        <f>原始输入与口径!BV36</f>
        <v>24</v>
      </c>
      <c r="BC36" s="12">
        <f>原始输入与口径!BL36</f>
        <v>24</v>
      </c>
      <c r="BD36" s="14">
        <f>46235</f>
        <v>46235</v>
      </c>
      <c r="BE36" s="1" t="str">
        <f t="shared" si="13"/>
        <v>零头寸，无结算现金</v>
      </c>
      <c r="BF36" s="1" t="str">
        <f t="shared" si="14"/>
        <v>40.000000 MW × 66.224535 × 0.250000 h = 662.245345 EUR</v>
      </c>
      <c r="BG36" s="1" t="str">
        <f t="shared" si="15"/>
        <v>24.000000 MW × 7.062680 × 0.250000 h = 42.376079 EUR</v>
      </c>
      <c r="BH36" s="1" t="str">
        <f t="shared" si="16"/>
        <v>24.000000 MW × 2.837650 × 0.250000 h = 17.025899 EUR</v>
      </c>
      <c r="BI36" s="1" t="str">
        <f t="shared" si="17"/>
        <v>0.155520 MWh × 170.317497 = 26.487777 EUR</v>
      </c>
      <c r="BJ36" s="1" t="str">
        <f t="shared" si="18"/>
        <v>−(0.002194 MWh × 76.420254) = -0.167688 EUR</v>
      </c>
      <c r="BK36" s="1" t="str">
        <f t="shared" si="19"/>
        <v>0.000000 + 662.245345 + 42.376079 + 17.025899 + 26.487777 + -0.167688 = 747.967413 EUR</v>
      </c>
    </row>
    <row r="37" spans="1:63" ht="21" customHeight="1" x14ac:dyDescent="0.45">
      <c r="A37" s="13">
        <f>原始输入与口径!C37</f>
        <v>46235.291666666664</v>
      </c>
      <c r="B37" s="15">
        <f>IF(ISNUMBER(原始输入与口径!H37),原始输入与口径!H37,"缺失")</f>
        <v>166.93</v>
      </c>
      <c r="C37" s="15">
        <f>IF(ISNUMBER(原始输入与口径!R37),原始输入与口径!R37,"缺失")</f>
        <v>66.224534522516336</v>
      </c>
      <c r="D37" s="15">
        <f>IF(ISNUMBER(原始输入与口径!W37),原始输入与口径!W37,"缺失")</f>
        <v>6.6910601642749601</v>
      </c>
      <c r="E37" s="15">
        <f>IF(ISNUMBER(原始输入与口径!AB37),原始输入与口径!AB37,"缺失")</f>
        <v>2.6070550568863986</v>
      </c>
      <c r="F37" s="15">
        <f>IF(ISNUMBER(原始输入与口径!AG37),原始输入与口径!AG37,"缺失")</f>
        <v>227.4055228403179</v>
      </c>
      <c r="G37" s="15">
        <f>IF(ISNUMBER(原始输入与口径!AJ37),原始输入与口径!AJ37,"缺失")</f>
        <v>0</v>
      </c>
      <c r="H37" s="15" t="str">
        <f t="shared" si="0"/>
        <v>未模拟</v>
      </c>
      <c r="I37" s="16">
        <f>原始输入与口径!CD37</f>
        <v>39.53672216563367</v>
      </c>
      <c r="J37" s="16">
        <f>原始输入与口径!CE37</f>
        <v>37.000473718428701</v>
      </c>
      <c r="K37" s="16">
        <f>原始输入与口径!BZ37</f>
        <v>0</v>
      </c>
      <c r="L37" s="16">
        <f>原始输入与口径!CK37</f>
        <v>40</v>
      </c>
      <c r="M37" s="16">
        <f>原始输入与口径!BT37</f>
        <v>24</v>
      </c>
      <c r="N37" s="16">
        <f>原始输入与口径!BJ37</f>
        <v>24</v>
      </c>
      <c r="O37" s="16">
        <f t="shared" si="20"/>
        <v>2.3333485714285711</v>
      </c>
      <c r="P37" s="16">
        <f t="shared" si="1"/>
        <v>0</v>
      </c>
      <c r="Q37" s="17">
        <f t="shared" si="2"/>
        <v>0</v>
      </c>
      <c r="R37" s="17">
        <f t="shared" si="3"/>
        <v>662.24534522516342</v>
      </c>
      <c r="S37" s="17">
        <f t="shared" si="4"/>
        <v>40.146360985649764</v>
      </c>
      <c r="T37" s="17">
        <f t="shared" si="5"/>
        <v>15.642330341318392</v>
      </c>
      <c r="U37" s="17">
        <f t="shared" si="21"/>
        <v>530.6163518544231</v>
      </c>
      <c r="V37" s="17">
        <f t="shared" si="6"/>
        <v>0</v>
      </c>
      <c r="W37" s="17">
        <f t="shared" si="7"/>
        <v>1248.6503884065546</v>
      </c>
      <c r="X37" s="12">
        <f>原始输入与口径!CP37</f>
        <v>1248.6503884065546</v>
      </c>
      <c r="Y37" s="19">
        <f t="shared" si="8"/>
        <v>0</v>
      </c>
      <c r="Z37" s="12" t="str">
        <f t="shared" si="9"/>
        <v>当日执行</v>
      </c>
      <c r="AA37" s="12">
        <f>IF(原始输入与口径!AW37,1,0)</f>
        <v>1</v>
      </c>
      <c r="AB37" s="12">
        <f>IF(原始输入与口径!AY37,1,0)</f>
        <v>1</v>
      </c>
      <c r="AC37" s="12">
        <f>原始输入与口径!$F$5</f>
        <v>0.25</v>
      </c>
      <c r="AD37" s="18">
        <f>原始输入与口径!CG37</f>
        <v>0.3125</v>
      </c>
      <c r="AE37" s="18">
        <f>原始输入与口径!BQ37</f>
        <v>0.13714285714285715</v>
      </c>
      <c r="AF37" s="18">
        <f t="shared" si="10"/>
        <v>0.38889142857142855</v>
      </c>
      <c r="AG37" s="18">
        <f t="shared" si="11"/>
        <v>0</v>
      </c>
      <c r="AH37" s="12">
        <f>IF(ISNUMBER(原始输入与口径!T37),原始输入与口径!T37,"缺失")</f>
        <v>175</v>
      </c>
      <c r="AI37" s="12">
        <f>IF(ISNUMBER(原始输入与口径!Y37),原始输入与口径!Y37,"缺失")</f>
        <v>175</v>
      </c>
      <c r="AJ37" s="12">
        <f>IF(ISNUMBER(原始输入与口径!AI37),原始输入与口径!AI37,"缺失")</f>
        <v>17.013999999999999</v>
      </c>
      <c r="AK37" s="12">
        <f>IF(ISNUMBER(原始输入与口径!AL37),原始输入与口径!AL37,"缺失")</f>
        <v>0</v>
      </c>
      <c r="AL37" s="12">
        <f>IF(ISNUMBER(原始输入与口径!O37),原始输入与口径!O37,"缺失")</f>
        <v>128</v>
      </c>
      <c r="AM37" s="12">
        <f>SUMIFS(相位SOC复算!$N$9:$N$929,相位SOC复算!$S$9:$S$929,29)</f>
        <v>7.0451345755693576E-3</v>
      </c>
      <c r="AN37" s="12">
        <f>SUMIFS(相位SOC复算!$Q$9:$Q$929,相位SOC复算!$S$9:$S$929,29)</f>
        <v>0</v>
      </c>
      <c r="AO37" s="12">
        <f>SUMIFS(相位SOC复算!$R$9:$R$929,相位SOC复算!$S$9:$S$929,29)</f>
        <v>2.3333485714285711</v>
      </c>
      <c r="AP37" s="12">
        <f>相位SOC复算!J69</f>
        <v>37.000473718428701</v>
      </c>
      <c r="AQ37" s="19">
        <f t="shared" si="12"/>
        <v>0</v>
      </c>
      <c r="AR37" s="12">
        <f>IF(ISBLANK(原始输入与口径!M37),"",原始输入与口径!M37)</f>
        <v>5.2473000000000001</v>
      </c>
      <c r="AS37" s="14">
        <f>IF(ISBLANK(原始输入与口径!L37),"",原始输入与口径!L37)</f>
        <v>46234</v>
      </c>
      <c r="AT37" s="13">
        <f>IF(ISBLANK(原始输入与口径!A37),"",原始输入与口径!A37)</f>
        <v>46235.166666666664</v>
      </c>
      <c r="AU37" s="12" t="str">
        <f>IF(ISBLANK(原始输入与口径!I37),"",原始输入与口径!I37)</f>
        <v>2026-08-01_25</v>
      </c>
      <c r="AV37" s="12">
        <f>IF(ISBLANK(原始输入与口径!J37),"",原始输入与口径!J37)</f>
        <v>15</v>
      </c>
      <c r="AW37" s="12" t="str">
        <f>IF(ISBLANK(原始输入与口径!BB37),"",原始输入与口径!BB37)</f>
        <v>OK</v>
      </c>
      <c r="AX37" s="12">
        <f>原始输入与口径!CI37</f>
        <v>128</v>
      </c>
      <c r="AY37" s="12">
        <f>原始输入与口径!BS37</f>
        <v>175</v>
      </c>
      <c r="AZ37" s="12">
        <f>原始输入与口径!BI37</f>
        <v>175</v>
      </c>
      <c r="BA37" s="12">
        <f>原始输入与口径!CM37</f>
        <v>40</v>
      </c>
      <c r="BB37" s="12">
        <f>原始输入与口径!BV37</f>
        <v>24</v>
      </c>
      <c r="BC37" s="12">
        <f>原始输入与口径!BL37</f>
        <v>24</v>
      </c>
      <c r="BD37" s="14">
        <f>46235</f>
        <v>46235</v>
      </c>
      <c r="BE37" s="1" t="str">
        <f t="shared" si="13"/>
        <v>零头寸，无结算现金</v>
      </c>
      <c r="BF37" s="1" t="str">
        <f t="shared" si="14"/>
        <v>40.000000 MW × 66.224535 × 0.250000 h = 662.245345 EUR</v>
      </c>
      <c r="BG37" s="1" t="str">
        <f t="shared" si="15"/>
        <v>24.000000 MW × 6.691060 × 0.250000 h = 40.146361 EUR</v>
      </c>
      <c r="BH37" s="1" t="str">
        <f t="shared" si="16"/>
        <v>24.000000 MW × 2.607055 × 0.250000 h = 15.642330 EUR</v>
      </c>
      <c r="BI37" s="1" t="str">
        <f t="shared" si="17"/>
        <v>2.333349 MWh × 227.405523 = 530.616352 EUR</v>
      </c>
      <c r="BJ37" s="1" t="str">
        <f t="shared" si="18"/>
        <v>零下调激活电量</v>
      </c>
      <c r="BK37" s="1" t="str">
        <f t="shared" si="19"/>
        <v>0.000000 + 662.245345 + 40.146361 + 15.642330 + 530.616352 + 0.000000 = 1248.650388 EUR</v>
      </c>
    </row>
    <row r="38" spans="1:63" ht="21" customHeight="1" x14ac:dyDescent="0.45">
      <c r="A38" s="13">
        <f>原始输入与口径!C38</f>
        <v>46235.302083333336</v>
      </c>
      <c r="B38" s="15">
        <f>IF(ISNUMBER(原始输入与口径!H38),原始输入与口径!H38,"缺失")</f>
        <v>163.13</v>
      </c>
      <c r="C38" s="15">
        <f>IF(ISNUMBER(原始输入与口径!R38),原始输入与口径!R38,"缺失")</f>
        <v>66.224534522516336</v>
      </c>
      <c r="D38" s="15">
        <f>IF(ISNUMBER(原始输入与口径!W38),原始输入与口径!W38,"缺失")</f>
        <v>6.6910601642749601</v>
      </c>
      <c r="E38" s="15">
        <f>IF(ISNUMBER(原始输入与口径!AB38),原始输入与口径!AB38,"缺失")</f>
        <v>2.6070550568863986</v>
      </c>
      <c r="F38" s="15">
        <f>IF(ISNUMBER(原始输入与口径!AG38),原始输入与口径!AG38,"缺失")</f>
        <v>182.10889409791702</v>
      </c>
      <c r="G38" s="15">
        <f>IF(ISNUMBER(原始输入与口径!AJ38),原始输入与口径!AJ38,"缺失")</f>
        <v>0</v>
      </c>
      <c r="H38" s="15" t="str">
        <f t="shared" si="0"/>
        <v>未模拟</v>
      </c>
      <c r="I38" s="16">
        <f>原始输入与口径!CD38</f>
        <v>37.000473718428701</v>
      </c>
      <c r="J38" s="16">
        <f>原始输入与口径!CE38</f>
        <v>35.771107258801372</v>
      </c>
      <c r="K38" s="16">
        <f>原始输入与口径!BZ38</f>
        <v>0</v>
      </c>
      <c r="L38" s="16">
        <f>原始输入与口径!CK38</f>
        <v>40</v>
      </c>
      <c r="M38" s="16">
        <f>原始输入与口径!BT38</f>
        <v>24</v>
      </c>
      <c r="N38" s="16">
        <f>原始输入与口径!BJ38</f>
        <v>24</v>
      </c>
      <c r="O38" s="16">
        <f t="shared" si="20"/>
        <v>1.1310171428571429</v>
      </c>
      <c r="P38" s="16">
        <f t="shared" si="1"/>
        <v>0</v>
      </c>
      <c r="Q38" s="17">
        <f t="shared" si="2"/>
        <v>0</v>
      </c>
      <c r="R38" s="17">
        <f t="shared" si="3"/>
        <v>662.24534522516342</v>
      </c>
      <c r="S38" s="17">
        <f t="shared" si="4"/>
        <v>40.146360985649764</v>
      </c>
      <c r="T38" s="17">
        <f t="shared" si="5"/>
        <v>15.642330341318392</v>
      </c>
      <c r="U38" s="17">
        <f t="shared" si="21"/>
        <v>205.96828109150013</v>
      </c>
      <c r="V38" s="17">
        <f t="shared" si="6"/>
        <v>0</v>
      </c>
      <c r="W38" s="17">
        <f t="shared" si="7"/>
        <v>924.00231764363161</v>
      </c>
      <c r="X38" s="12">
        <f>原始输入与口径!CP38</f>
        <v>924.00231764363173</v>
      </c>
      <c r="Y38" s="19">
        <f t="shared" si="8"/>
        <v>0</v>
      </c>
      <c r="Z38" s="12" t="str">
        <f t="shared" si="9"/>
        <v>当日执行</v>
      </c>
      <c r="AA38" s="12">
        <f>IF(原始输入与口径!AW38,1,0)</f>
        <v>1</v>
      </c>
      <c r="AB38" s="12">
        <f>IF(原始输入与口径!AY38,1,0)</f>
        <v>1</v>
      </c>
      <c r="AC38" s="12">
        <f>原始输入与口径!$F$5</f>
        <v>0.25</v>
      </c>
      <c r="AD38" s="18">
        <f>原始输入与口径!CG38</f>
        <v>0.3125</v>
      </c>
      <c r="AE38" s="18">
        <f>原始输入与口径!BQ38</f>
        <v>0.13714285714285715</v>
      </c>
      <c r="AF38" s="18">
        <f t="shared" si="10"/>
        <v>0.18850285714285714</v>
      </c>
      <c r="AG38" s="18">
        <f t="shared" si="11"/>
        <v>0</v>
      </c>
      <c r="AH38" s="12">
        <f>IF(ISNUMBER(原始输入与口径!T38),原始输入与口径!T38,"缺失")</f>
        <v>175</v>
      </c>
      <c r="AI38" s="12">
        <f>IF(ISNUMBER(原始输入与口径!Y38),原始输入与口径!Y38,"缺失")</f>
        <v>175</v>
      </c>
      <c r="AJ38" s="12">
        <f>IF(ISNUMBER(原始输入与口径!AI38),原始输入与口径!AI38,"缺失")</f>
        <v>8.2469999999999999</v>
      </c>
      <c r="AK38" s="12">
        <f>IF(ISNUMBER(原始输入与口径!AL38),原始输入与口径!AL38,"缺失")</f>
        <v>0</v>
      </c>
      <c r="AL38" s="12">
        <f>IF(ISNUMBER(原始输入与口径!O38),原始输入与口径!O38,"缺失")</f>
        <v>128</v>
      </c>
      <c r="AM38" s="12">
        <f>SUMIFS(相位SOC复算!$N$9:$N$929,相位SOC复算!$S$9:$S$929,30)</f>
        <v>3.4149068322981363E-3</v>
      </c>
      <c r="AN38" s="12">
        <f>SUMIFS(相位SOC复算!$Q$9:$Q$929,相位SOC复算!$S$9:$S$929,30)</f>
        <v>0</v>
      </c>
      <c r="AO38" s="12">
        <f>SUMIFS(相位SOC复算!$R$9:$R$929,相位SOC复算!$S$9:$S$929,30)</f>
        <v>1.1310171428571429</v>
      </c>
      <c r="AP38" s="12">
        <f>相位SOC复算!J71</f>
        <v>35.771107258801372</v>
      </c>
      <c r="AQ38" s="19">
        <f t="shared" si="12"/>
        <v>0</v>
      </c>
      <c r="AR38" s="12">
        <f>IF(ISBLANK(原始输入与口径!M38),"",原始输入与口径!M38)</f>
        <v>5.2473000000000001</v>
      </c>
      <c r="AS38" s="14">
        <f>IF(ISBLANK(原始输入与口径!L38),"",原始输入与口径!L38)</f>
        <v>46234</v>
      </c>
      <c r="AT38" s="13">
        <f>IF(ISBLANK(原始输入与口径!A38),"",原始输入与口径!A38)</f>
        <v>46235.177083333336</v>
      </c>
      <c r="AU38" s="12" t="str">
        <f>IF(ISBLANK(原始输入与口径!I38),"",原始输入与口径!I38)</f>
        <v>2026-08-01_26</v>
      </c>
      <c r="AV38" s="12">
        <f>IF(ISBLANK(原始输入与口径!J38),"",原始输入与口径!J38)</f>
        <v>15</v>
      </c>
      <c r="AW38" s="12" t="str">
        <f>IF(ISBLANK(原始输入与口径!BB38),"",原始输入与口径!BB38)</f>
        <v>OK</v>
      </c>
      <c r="AX38" s="12">
        <f>原始输入与口径!CI38</f>
        <v>128</v>
      </c>
      <c r="AY38" s="12">
        <f>原始输入与口径!BS38</f>
        <v>175</v>
      </c>
      <c r="AZ38" s="12">
        <f>原始输入与口径!BI38</f>
        <v>175</v>
      </c>
      <c r="BA38" s="12">
        <f>原始输入与口径!CM38</f>
        <v>40</v>
      </c>
      <c r="BB38" s="12">
        <f>原始输入与口径!BV38</f>
        <v>24</v>
      </c>
      <c r="BC38" s="12">
        <f>原始输入与口径!BL38</f>
        <v>24</v>
      </c>
      <c r="BD38" s="14">
        <f>46235</f>
        <v>46235</v>
      </c>
      <c r="BE38" s="1" t="str">
        <f t="shared" si="13"/>
        <v>零头寸，无结算现金</v>
      </c>
      <c r="BF38" s="1" t="str">
        <f t="shared" si="14"/>
        <v>40.000000 MW × 66.224535 × 0.250000 h = 662.245345 EUR</v>
      </c>
      <c r="BG38" s="1" t="str">
        <f t="shared" si="15"/>
        <v>24.000000 MW × 6.691060 × 0.250000 h = 40.146361 EUR</v>
      </c>
      <c r="BH38" s="1" t="str">
        <f t="shared" si="16"/>
        <v>24.000000 MW × 2.607055 × 0.250000 h = 15.642330 EUR</v>
      </c>
      <c r="BI38" s="1" t="str">
        <f t="shared" si="17"/>
        <v>1.131017 MWh × 182.108894 = 205.968281 EUR</v>
      </c>
      <c r="BJ38" s="1" t="str">
        <f t="shared" si="18"/>
        <v>零下调激活电量</v>
      </c>
      <c r="BK38" s="1" t="str">
        <f t="shared" si="19"/>
        <v>0.000000 + 662.245345 + 40.146361 + 15.642330 + 205.968281 + 0.000000 = 924.002318 EUR</v>
      </c>
    </row>
    <row r="39" spans="1:63" ht="21" customHeight="1" x14ac:dyDescent="0.45">
      <c r="A39" s="13">
        <f>原始输入与口径!C39</f>
        <v>46235.3125</v>
      </c>
      <c r="B39" s="15">
        <f>IF(ISNUMBER(原始输入与口径!H39),原始输入与口径!H39,"缺失")</f>
        <v>152.09</v>
      </c>
      <c r="C39" s="15">
        <f>IF(ISNUMBER(原始输入与口径!R39),原始输入与口径!R39,"缺失")</f>
        <v>66.224534522516336</v>
      </c>
      <c r="D39" s="15">
        <f>IF(ISNUMBER(原始输入与口径!W39),原始输入与口径!W39,"缺失")</f>
        <v>6.6910601642749601</v>
      </c>
      <c r="E39" s="15">
        <f>IF(ISNUMBER(原始输入与口径!AB39),原始输入与口径!AB39,"缺失")</f>
        <v>2.6070550568863986</v>
      </c>
      <c r="F39" s="15">
        <f>IF(ISNUMBER(原始输入与口径!AG39),原始输入与口径!AG39,"缺失")</f>
        <v>174.24122882244203</v>
      </c>
      <c r="G39" s="15">
        <f>IF(ISNUMBER(原始输入与口径!AJ39),原始输入与口径!AJ39,"缺失")</f>
        <v>0</v>
      </c>
      <c r="H39" s="15" t="str">
        <f t="shared" si="0"/>
        <v>未模拟</v>
      </c>
      <c r="I39" s="16">
        <f>原始输入与口径!CD39</f>
        <v>35.771107258801372</v>
      </c>
      <c r="J39" s="16">
        <f>原始输入与口径!CE39</f>
        <v>35.347902289857274</v>
      </c>
      <c r="K39" s="16">
        <f>原始输入与口径!BZ39</f>
        <v>0</v>
      </c>
      <c r="L39" s="16">
        <f>原始输入与口径!CK39</f>
        <v>40</v>
      </c>
      <c r="M39" s="16">
        <f>原始输入与口径!BT39</f>
        <v>24</v>
      </c>
      <c r="N39" s="16">
        <f>原始输入与口径!BJ39</f>
        <v>24</v>
      </c>
      <c r="O39" s="16">
        <f t="shared" si="20"/>
        <v>0.38934857142857143</v>
      </c>
      <c r="P39" s="16">
        <f t="shared" si="1"/>
        <v>0</v>
      </c>
      <c r="Q39" s="17">
        <f t="shared" si="2"/>
        <v>0</v>
      </c>
      <c r="R39" s="17">
        <f t="shared" si="3"/>
        <v>662.24534522516342</v>
      </c>
      <c r="S39" s="17">
        <f t="shared" si="4"/>
        <v>40.146360985649764</v>
      </c>
      <c r="T39" s="17">
        <f t="shared" si="5"/>
        <v>15.642330341318392</v>
      </c>
      <c r="U39" s="17">
        <f t="shared" si="21"/>
        <v>67.840573525976623</v>
      </c>
      <c r="V39" s="17">
        <f t="shared" si="6"/>
        <v>0</v>
      </c>
      <c r="W39" s="17">
        <f t="shared" si="7"/>
        <v>785.87461007810816</v>
      </c>
      <c r="X39" s="12">
        <f>原始输入与口径!CP39</f>
        <v>785.87461007810816</v>
      </c>
      <c r="Y39" s="19">
        <f t="shared" si="8"/>
        <v>0</v>
      </c>
      <c r="Z39" s="12" t="str">
        <f t="shared" si="9"/>
        <v>当日执行</v>
      </c>
      <c r="AA39" s="12">
        <f>IF(原始输入与口径!AW39,1,0)</f>
        <v>1</v>
      </c>
      <c r="AB39" s="12">
        <f>IF(原始输入与口径!AY39,1,0)</f>
        <v>1</v>
      </c>
      <c r="AC39" s="12">
        <f>原始输入与口径!$F$5</f>
        <v>0.25</v>
      </c>
      <c r="AD39" s="18">
        <f>原始输入与口径!CG39</f>
        <v>0.3125</v>
      </c>
      <c r="AE39" s="18">
        <f>原始输入与口径!BQ39</f>
        <v>0.13714285714285715</v>
      </c>
      <c r="AF39" s="18">
        <f t="shared" si="10"/>
        <v>6.4891428571428572E-2</v>
      </c>
      <c r="AG39" s="18">
        <f t="shared" si="11"/>
        <v>0</v>
      </c>
      <c r="AH39" s="12">
        <f>IF(ISNUMBER(原始输入与口径!T39),原始输入与口径!T39,"缺失")</f>
        <v>175</v>
      </c>
      <c r="AI39" s="12">
        <f>IF(ISNUMBER(原始输入与口径!Y39),原始输入与口径!Y39,"缺失")</f>
        <v>175</v>
      </c>
      <c r="AJ39" s="12">
        <f>IF(ISNUMBER(原始输入与口径!AI39),原始输入与口径!AI39,"缺失")</f>
        <v>2.839</v>
      </c>
      <c r="AK39" s="12">
        <f>IF(ISNUMBER(原始输入与口径!AL39),原始输入与口径!AL39,"缺失")</f>
        <v>0</v>
      </c>
      <c r="AL39" s="12">
        <f>IF(ISNUMBER(原始输入与口径!O39),原始输入与口径!O39,"缺失")</f>
        <v>128</v>
      </c>
      <c r="AM39" s="12">
        <f>SUMIFS(相位SOC复算!$N$9:$N$929,相位SOC复算!$S$9:$S$929,31)</f>
        <v>1.1755693581780538E-3</v>
      </c>
      <c r="AN39" s="12">
        <f>SUMIFS(相位SOC复算!$Q$9:$Q$929,相位SOC复算!$S$9:$S$929,31)</f>
        <v>0</v>
      </c>
      <c r="AO39" s="12">
        <f>SUMIFS(相位SOC复算!$R$9:$R$929,相位SOC复算!$S$9:$S$929,31)</f>
        <v>0.38934857142857143</v>
      </c>
      <c r="AP39" s="12">
        <f>相位SOC复算!J73</f>
        <v>35.347902289857274</v>
      </c>
      <c r="AQ39" s="19">
        <f t="shared" si="12"/>
        <v>0</v>
      </c>
      <c r="AR39" s="12">
        <f>IF(ISBLANK(原始输入与口径!M39),"",原始输入与口径!M39)</f>
        <v>5.2473000000000001</v>
      </c>
      <c r="AS39" s="14">
        <f>IF(ISBLANK(原始输入与口径!L39),"",原始输入与口径!L39)</f>
        <v>46234</v>
      </c>
      <c r="AT39" s="13">
        <f>IF(ISBLANK(原始输入与口径!A39),"",原始输入与口径!A39)</f>
        <v>46235.1875</v>
      </c>
      <c r="AU39" s="12" t="str">
        <f>IF(ISBLANK(原始输入与口径!I39),"",原始输入与口径!I39)</f>
        <v>2026-08-01_27</v>
      </c>
      <c r="AV39" s="12">
        <f>IF(ISBLANK(原始输入与口径!J39),"",原始输入与口径!J39)</f>
        <v>15</v>
      </c>
      <c r="AW39" s="12" t="str">
        <f>IF(ISBLANK(原始输入与口径!BB39),"",原始输入与口径!BB39)</f>
        <v>OK</v>
      </c>
      <c r="AX39" s="12">
        <f>原始输入与口径!CI39</f>
        <v>128</v>
      </c>
      <c r="AY39" s="12">
        <f>原始输入与口径!BS39</f>
        <v>175</v>
      </c>
      <c r="AZ39" s="12">
        <f>原始输入与口径!BI39</f>
        <v>175</v>
      </c>
      <c r="BA39" s="12">
        <f>原始输入与口径!CM39</f>
        <v>40</v>
      </c>
      <c r="BB39" s="12">
        <f>原始输入与口径!BV39</f>
        <v>24</v>
      </c>
      <c r="BC39" s="12">
        <f>原始输入与口径!BL39</f>
        <v>24</v>
      </c>
      <c r="BD39" s="14">
        <f>46235</f>
        <v>46235</v>
      </c>
      <c r="BE39" s="1" t="str">
        <f t="shared" si="13"/>
        <v>零头寸，无结算现金</v>
      </c>
      <c r="BF39" s="1" t="str">
        <f t="shared" si="14"/>
        <v>40.000000 MW × 66.224535 × 0.250000 h = 662.245345 EUR</v>
      </c>
      <c r="BG39" s="1" t="str">
        <f t="shared" si="15"/>
        <v>24.000000 MW × 6.691060 × 0.250000 h = 40.146361 EUR</v>
      </c>
      <c r="BH39" s="1" t="str">
        <f t="shared" si="16"/>
        <v>24.000000 MW × 2.607055 × 0.250000 h = 15.642330 EUR</v>
      </c>
      <c r="BI39" s="1" t="str">
        <f t="shared" si="17"/>
        <v>0.389349 MWh × 174.241229 = 67.840574 EUR</v>
      </c>
      <c r="BJ39" s="1" t="str">
        <f t="shared" si="18"/>
        <v>零下调激活电量</v>
      </c>
      <c r="BK39" s="1" t="str">
        <f t="shared" si="19"/>
        <v>0.000000 + 662.245345 + 40.146361 + 15.642330 + 67.840574 + 0.000000 = 785.874610 EUR</v>
      </c>
    </row>
    <row r="40" spans="1:63" ht="21" customHeight="1" x14ac:dyDescent="0.45">
      <c r="A40" s="13">
        <f>原始输入与口径!C40</f>
        <v>46235.322916666664</v>
      </c>
      <c r="B40" s="15">
        <f>IF(ISNUMBER(原始输入与口径!H40),原始输入与口径!H40,"缺失")</f>
        <v>149.80000000000001</v>
      </c>
      <c r="C40" s="15">
        <f>IF(ISNUMBER(原始输入与口径!R40),原始输入与口径!R40,"缺失")</f>
        <v>66.224534522516336</v>
      </c>
      <c r="D40" s="15">
        <f>IF(ISNUMBER(原始输入与口径!W40),原始输入与口径!W40,"缺失")</f>
        <v>6.6910601642749601</v>
      </c>
      <c r="E40" s="15">
        <f>IF(ISNUMBER(原始输入与口径!AB40),原始输入与口径!AB40,"缺失")</f>
        <v>2.6070550568863986</v>
      </c>
      <c r="F40" s="15">
        <f>IF(ISNUMBER(原始输入与口径!AG40),原始输入与口径!AG40,"缺失")</f>
        <v>171.40396013187734</v>
      </c>
      <c r="G40" s="15">
        <f>IF(ISNUMBER(原始输入与口径!AJ40),原始输入与口径!AJ40,"缺失")</f>
        <v>76.420254225982887</v>
      </c>
      <c r="H40" s="15" t="str">
        <f t="shared" si="0"/>
        <v>未模拟</v>
      </c>
      <c r="I40" s="16">
        <f>原始输入与口径!CD40</f>
        <v>35.347902289857274</v>
      </c>
      <c r="J40" s="16">
        <f>原始输入与口径!CE40</f>
        <v>35.046628530851066</v>
      </c>
      <c r="K40" s="16">
        <f>原始输入与口径!BZ40</f>
        <v>0</v>
      </c>
      <c r="L40" s="16">
        <f>原始输入与口径!CK40</f>
        <v>40</v>
      </c>
      <c r="M40" s="16">
        <f>原始输入与口径!BT40</f>
        <v>24</v>
      </c>
      <c r="N40" s="16">
        <f>原始输入与口径!BJ40</f>
        <v>24</v>
      </c>
      <c r="O40" s="16">
        <f t="shared" si="20"/>
        <v>0.32859428571428573</v>
      </c>
      <c r="P40" s="16">
        <f t="shared" si="1"/>
        <v>6.0754285714285719E-2</v>
      </c>
      <c r="Q40" s="17">
        <f t="shared" si="2"/>
        <v>0</v>
      </c>
      <c r="R40" s="17">
        <f t="shared" si="3"/>
        <v>662.24534522516342</v>
      </c>
      <c r="S40" s="17">
        <f t="shared" si="4"/>
        <v>40.146360985649764</v>
      </c>
      <c r="T40" s="17">
        <f t="shared" si="5"/>
        <v>15.642330341318392</v>
      </c>
      <c r="U40" s="17">
        <f t="shared" si="21"/>
        <v>56.322361848134143</v>
      </c>
      <c r="V40" s="17">
        <f t="shared" si="6"/>
        <v>-4.6428579596037149</v>
      </c>
      <c r="W40" s="17">
        <f t="shared" si="7"/>
        <v>769.71354044066197</v>
      </c>
      <c r="X40" s="12">
        <f>原始输入与口径!CP40</f>
        <v>769.71354044066197</v>
      </c>
      <c r="Y40" s="19">
        <f t="shared" si="8"/>
        <v>0</v>
      </c>
      <c r="Z40" s="12" t="str">
        <f t="shared" si="9"/>
        <v>当日执行</v>
      </c>
      <c r="AA40" s="12">
        <f>IF(原始输入与口径!AW40,1,0)</f>
        <v>1</v>
      </c>
      <c r="AB40" s="12">
        <f>IF(原始输入与口径!AY40,1,0)</f>
        <v>1</v>
      </c>
      <c r="AC40" s="12">
        <f>原始输入与口径!$F$5</f>
        <v>0.25</v>
      </c>
      <c r="AD40" s="18">
        <f>原始输入与口径!CG40</f>
        <v>0.3125</v>
      </c>
      <c r="AE40" s="18">
        <f>原始输入与口径!BQ40</f>
        <v>0.13714285714285715</v>
      </c>
      <c r="AF40" s="18">
        <f t="shared" si="10"/>
        <v>5.4765714285714286E-2</v>
      </c>
      <c r="AG40" s="18">
        <f t="shared" si="11"/>
        <v>1.0125714285714287E-2</v>
      </c>
      <c r="AH40" s="12">
        <f>IF(ISNUMBER(原始输入与口径!T40),原始输入与口径!T40,"缺失")</f>
        <v>175</v>
      </c>
      <c r="AI40" s="12">
        <f>IF(ISNUMBER(原始输入与口径!Y40),原始输入与口径!Y40,"缺失")</f>
        <v>175</v>
      </c>
      <c r="AJ40" s="12">
        <f>IF(ISNUMBER(原始输入与口径!AI40),原始输入与口径!AI40,"缺失")</f>
        <v>2.3959999999999999</v>
      </c>
      <c r="AK40" s="12">
        <f>IF(ISNUMBER(原始输入与口径!AL40),原始输入与口径!AL40,"缺失")</f>
        <v>0.443</v>
      </c>
      <c r="AL40" s="12">
        <f>IF(ISNUMBER(原始输入与口径!O40),原始输入与口径!O40,"缺失")</f>
        <v>128</v>
      </c>
      <c r="AM40" s="12">
        <f>SUMIFS(相位SOC复算!$N$9:$N$929,相位SOC复算!$S$9:$S$929,32)</f>
        <v>1.1473934575569357E-3</v>
      </c>
      <c r="AN40" s="12">
        <f>SUMIFS(相位SOC复算!$Q$9:$Q$929,相位SOC复算!$S$9:$S$929,32)</f>
        <v>6.0754285714285719E-2</v>
      </c>
      <c r="AO40" s="12">
        <f>SUMIFS(相位SOC复算!$R$9:$R$929,相位SOC复算!$S$9:$S$929,32)</f>
        <v>0.32859428571428573</v>
      </c>
      <c r="AP40" s="12">
        <f>相位SOC复算!J76</f>
        <v>35.046628530851066</v>
      </c>
      <c r="AQ40" s="19">
        <f t="shared" si="12"/>
        <v>0</v>
      </c>
      <c r="AR40" s="12">
        <f>IF(ISBLANK(原始输入与口径!M40),"",原始输入与口径!M40)</f>
        <v>5.2473000000000001</v>
      </c>
      <c r="AS40" s="14">
        <f>IF(ISBLANK(原始输入与口径!L40),"",原始输入与口径!L40)</f>
        <v>46234</v>
      </c>
      <c r="AT40" s="13">
        <f>IF(ISBLANK(原始输入与口径!A40),"",原始输入与口径!A40)</f>
        <v>46235.197916666664</v>
      </c>
      <c r="AU40" s="12" t="str">
        <f>IF(ISBLANK(原始输入与口径!I40),"",原始输入与口径!I40)</f>
        <v>2026-08-01_28</v>
      </c>
      <c r="AV40" s="12">
        <f>IF(ISBLANK(原始输入与口径!J40),"",原始输入与口径!J40)</f>
        <v>15</v>
      </c>
      <c r="AW40" s="12" t="str">
        <f>IF(ISBLANK(原始输入与口径!BB40),"",原始输入与口径!BB40)</f>
        <v>OK</v>
      </c>
      <c r="AX40" s="12">
        <f>原始输入与口径!CI40</f>
        <v>128</v>
      </c>
      <c r="AY40" s="12">
        <f>原始输入与口径!BS40</f>
        <v>175</v>
      </c>
      <c r="AZ40" s="12">
        <f>原始输入与口径!BI40</f>
        <v>175</v>
      </c>
      <c r="BA40" s="12">
        <f>原始输入与口径!CM40</f>
        <v>40</v>
      </c>
      <c r="BB40" s="12">
        <f>原始输入与口径!BV40</f>
        <v>24</v>
      </c>
      <c r="BC40" s="12">
        <f>原始输入与口径!BL40</f>
        <v>24</v>
      </c>
      <c r="BD40" s="14">
        <f>46235</f>
        <v>46235</v>
      </c>
      <c r="BE40" s="1" t="str">
        <f t="shared" si="13"/>
        <v>零头寸，无结算现金</v>
      </c>
      <c r="BF40" s="1" t="str">
        <f t="shared" si="14"/>
        <v>40.000000 MW × 66.224535 × 0.250000 h = 662.245345 EUR</v>
      </c>
      <c r="BG40" s="1" t="str">
        <f t="shared" si="15"/>
        <v>24.000000 MW × 6.691060 × 0.250000 h = 40.146361 EUR</v>
      </c>
      <c r="BH40" s="1" t="str">
        <f t="shared" si="16"/>
        <v>24.000000 MW × 2.607055 × 0.250000 h = 15.642330 EUR</v>
      </c>
      <c r="BI40" s="1" t="str">
        <f t="shared" si="17"/>
        <v>0.328594 MWh × 171.403960 = 56.322362 EUR</v>
      </c>
      <c r="BJ40" s="1" t="str">
        <f t="shared" si="18"/>
        <v>−(0.060754 MWh × 76.420254) = -4.642858 EUR</v>
      </c>
      <c r="BK40" s="1" t="str">
        <f t="shared" si="19"/>
        <v>0.000000 + 662.245345 + 40.146361 + 15.642330 + 56.322362 + -4.642858 = 769.713540 EUR</v>
      </c>
    </row>
    <row r="41" spans="1:63" ht="21" customHeight="1" x14ac:dyDescent="0.45">
      <c r="A41" s="13">
        <f>原始输入与口径!C41</f>
        <v>46235.333333333336</v>
      </c>
      <c r="B41" s="15">
        <f>IF(ISNUMBER(原始输入与口径!H41),原始输入与口径!H41,"缺失")</f>
        <v>162.96</v>
      </c>
      <c r="C41" s="15">
        <f>IF(ISNUMBER(原始输入与口径!R41),原始输入与口径!R41,"缺失")</f>
        <v>66.224534522516336</v>
      </c>
      <c r="D41" s="15">
        <f>IF(ISNUMBER(原始输入与口径!W41),原始输入与口径!W41,"缺失")</f>
        <v>6.7863472643073575</v>
      </c>
      <c r="E41" s="15">
        <f>IF(ISNUMBER(原始输入与口径!AB41),原始输入与口径!AB41,"缺失")</f>
        <v>2.6280182188935259</v>
      </c>
      <c r="F41" s="15">
        <f>IF(ISNUMBER(原始输入与口径!AG41),原始输入与口径!AG41,"缺失")</f>
        <v>201.87296323823682</v>
      </c>
      <c r="G41" s="15">
        <f>IF(ISNUMBER(原始输入与口径!AJ41),原始输入与口径!AJ41,"缺失")</f>
        <v>0</v>
      </c>
      <c r="H41" s="15" t="str">
        <f t="shared" si="0"/>
        <v>未模拟</v>
      </c>
      <c r="I41" s="16">
        <f>原始输入与口径!CD41</f>
        <v>35.046628530851066</v>
      </c>
      <c r="J41" s="16">
        <f>原始输入与口径!CE41</f>
        <v>33.125435984267213</v>
      </c>
      <c r="K41" s="16">
        <f>原始输入与口径!BZ41</f>
        <v>0</v>
      </c>
      <c r="L41" s="16">
        <f>原始输入与口径!CK41</f>
        <v>40</v>
      </c>
      <c r="M41" s="16">
        <f>原始输入与口径!BT41</f>
        <v>24</v>
      </c>
      <c r="N41" s="16">
        <f>原始输入与口径!BJ41</f>
        <v>24</v>
      </c>
      <c r="O41" s="16">
        <f t="shared" si="20"/>
        <v>1.7674971428571429</v>
      </c>
      <c r="P41" s="16">
        <f t="shared" si="1"/>
        <v>0</v>
      </c>
      <c r="Q41" s="17">
        <f t="shared" si="2"/>
        <v>0</v>
      </c>
      <c r="R41" s="17">
        <f t="shared" si="3"/>
        <v>662.24534522516342</v>
      </c>
      <c r="S41" s="17">
        <f t="shared" si="4"/>
        <v>40.718083585844141</v>
      </c>
      <c r="T41" s="17">
        <f t="shared" si="5"/>
        <v>15.768109313361155</v>
      </c>
      <c r="U41" s="17">
        <f t="shared" si="21"/>
        <v>356.8098857436886</v>
      </c>
      <c r="V41" s="17">
        <f t="shared" si="6"/>
        <v>0</v>
      </c>
      <c r="W41" s="17">
        <f t="shared" si="7"/>
        <v>1075.5414238680573</v>
      </c>
      <c r="X41" s="12">
        <f>原始输入与口径!CP41</f>
        <v>1075.5414238680573</v>
      </c>
      <c r="Y41" s="19">
        <f t="shared" si="8"/>
        <v>0</v>
      </c>
      <c r="Z41" s="12" t="str">
        <f t="shared" ref="Z41:Z72" si="22">"当日执行"</f>
        <v>当日执行</v>
      </c>
      <c r="AA41" s="12">
        <f>IF(原始输入与口径!AW41,1,0)</f>
        <v>1</v>
      </c>
      <c r="AB41" s="12">
        <f>IF(原始输入与口径!AY41,1,0)</f>
        <v>1</v>
      </c>
      <c r="AC41" s="12">
        <f>原始输入与口径!$F$5</f>
        <v>0.25</v>
      </c>
      <c r="AD41" s="18">
        <f>原始输入与口径!CG41</f>
        <v>0.3125</v>
      </c>
      <c r="AE41" s="18">
        <f>原始输入与口径!BQ41</f>
        <v>0.13714285714285715</v>
      </c>
      <c r="AF41" s="18">
        <f t="shared" si="10"/>
        <v>0.29458285714285715</v>
      </c>
      <c r="AG41" s="18">
        <f t="shared" si="11"/>
        <v>0</v>
      </c>
      <c r="AH41" s="12">
        <f>IF(ISNUMBER(原始输入与口径!T41),原始输入与口径!T41,"缺失")</f>
        <v>175</v>
      </c>
      <c r="AI41" s="12">
        <f>IF(ISNUMBER(原始输入与口径!Y41),原始输入与口径!Y41,"缺失")</f>
        <v>175</v>
      </c>
      <c r="AJ41" s="12">
        <f>IF(ISNUMBER(原始输入与口径!AI41),原始输入与口径!AI41,"缺失")</f>
        <v>12.888</v>
      </c>
      <c r="AK41" s="12">
        <f>IF(ISNUMBER(原始输入与口径!AL41),原始输入与口径!AL41,"缺失")</f>
        <v>0</v>
      </c>
      <c r="AL41" s="12">
        <f>IF(ISNUMBER(原始输入与口径!O41),原始输入与口径!O41,"缺失")</f>
        <v>91.903999999999996</v>
      </c>
      <c r="AM41" s="12">
        <f>SUMIFS(相位SOC复算!$N$9:$N$929,相位SOC复算!$S$9:$S$929,33)</f>
        <v>5.3366459627329187E-3</v>
      </c>
      <c r="AN41" s="12">
        <f>SUMIFS(相位SOC复算!$Q$9:$Q$929,相位SOC复算!$S$9:$S$929,33)</f>
        <v>0</v>
      </c>
      <c r="AO41" s="12">
        <f>SUMIFS(相位SOC复算!$R$9:$R$929,相位SOC复算!$S$9:$S$929,33)</f>
        <v>1.7674971428571429</v>
      </c>
      <c r="AP41" s="12">
        <f>相位SOC复算!J78</f>
        <v>33.125435984267213</v>
      </c>
      <c r="AQ41" s="19">
        <f t="shared" si="12"/>
        <v>0</v>
      </c>
      <c r="AR41" s="12">
        <f>IF(ISBLANK(原始输入与口径!M41),"",原始输入与口径!M41)</f>
        <v>5.2473000000000001</v>
      </c>
      <c r="AS41" s="14">
        <f>IF(ISBLANK(原始输入与口径!L41),"",原始输入与口径!L41)</f>
        <v>46234</v>
      </c>
      <c r="AT41" s="13">
        <f>IF(ISBLANK(原始输入与口径!A41),"",原始输入与口径!A41)</f>
        <v>46235.208333333336</v>
      </c>
      <c r="AU41" s="12" t="str">
        <f>IF(ISBLANK(原始输入与口径!I41),"",原始输入与口径!I41)</f>
        <v>2026-08-01_29</v>
      </c>
      <c r="AV41" s="12">
        <f>IF(ISBLANK(原始输入与口径!J41),"",原始输入与口径!J41)</f>
        <v>15</v>
      </c>
      <c r="AW41" s="12" t="str">
        <f>IF(ISBLANK(原始输入与口径!BB41),"",原始输入与口径!BB41)</f>
        <v>OK</v>
      </c>
      <c r="AX41" s="12">
        <f>原始输入与口径!CI41</f>
        <v>128</v>
      </c>
      <c r="AY41" s="12">
        <f>原始输入与口径!BS41</f>
        <v>175</v>
      </c>
      <c r="AZ41" s="12">
        <f>原始输入与口径!BI41</f>
        <v>175</v>
      </c>
      <c r="BA41" s="12">
        <f>原始输入与口径!CM41</f>
        <v>40</v>
      </c>
      <c r="BB41" s="12">
        <f>原始输入与口径!BV41</f>
        <v>24</v>
      </c>
      <c r="BC41" s="12">
        <f>原始输入与口径!BL41</f>
        <v>24</v>
      </c>
      <c r="BD41" s="14">
        <f>46235</f>
        <v>46235</v>
      </c>
      <c r="BE41" s="1" t="str">
        <f t="shared" si="13"/>
        <v>零头寸，无结算现金</v>
      </c>
      <c r="BF41" s="1" t="str">
        <f t="shared" si="14"/>
        <v>40.000000 MW × 66.224535 × 0.250000 h = 662.245345 EUR</v>
      </c>
      <c r="BG41" s="1" t="str">
        <f t="shared" si="15"/>
        <v>24.000000 MW × 6.786347 × 0.250000 h = 40.718084 EUR</v>
      </c>
      <c r="BH41" s="1" t="str">
        <f t="shared" si="16"/>
        <v>24.000000 MW × 2.628018 × 0.250000 h = 15.768109 EUR</v>
      </c>
      <c r="BI41" s="1" t="str">
        <f t="shared" si="17"/>
        <v>1.767497 MWh × 201.872963 = 356.809886 EUR</v>
      </c>
      <c r="BJ41" s="1" t="str">
        <f t="shared" si="18"/>
        <v>零下调激活电量</v>
      </c>
      <c r="BK41" s="1" t="str">
        <f t="shared" si="19"/>
        <v>0.000000 + 662.245345 + 40.718084 + 15.768109 + 356.809886 + 0.000000 = 1075.541424 EUR</v>
      </c>
    </row>
    <row r="42" spans="1:63" ht="21" customHeight="1" x14ac:dyDescent="0.45">
      <c r="A42" s="13">
        <f>原始输入与口径!C42</f>
        <v>46235.34375</v>
      </c>
      <c r="B42" s="15">
        <f>IF(ISNUMBER(原始输入与口径!H42),原始输入与口径!H42,"缺失")</f>
        <v>147</v>
      </c>
      <c r="C42" s="15">
        <f>IF(ISNUMBER(原始输入与口径!R42),原始输入与口径!R42,"缺失")</f>
        <v>66.224534522516336</v>
      </c>
      <c r="D42" s="15">
        <f>IF(ISNUMBER(原始输入与口径!W42),原始输入与口径!W42,"缺失")</f>
        <v>6.7863472643073575</v>
      </c>
      <c r="E42" s="15">
        <f>IF(ISNUMBER(原始输入与口径!AB42),原始输入与口径!AB42,"缺失")</f>
        <v>2.6280182188935259</v>
      </c>
      <c r="F42" s="15">
        <f>IF(ISNUMBER(原始输入与口径!AG42),原始输入与口径!AG42,"缺失")</f>
        <v>210.56333733539151</v>
      </c>
      <c r="G42" s="15">
        <f>IF(ISNUMBER(原始输入与口径!AJ42),原始输入与口径!AJ42,"缺失")</f>
        <v>0</v>
      </c>
      <c r="H42" s="15" t="str">
        <f t="shared" si="0"/>
        <v>未模拟</v>
      </c>
      <c r="I42" s="16">
        <f>原始输入与口径!CD42</f>
        <v>33.125435984267213</v>
      </c>
      <c r="J42" s="16">
        <f>原始输入与口径!CE42</f>
        <v>31.952447204968983</v>
      </c>
      <c r="K42" s="16">
        <f>原始输入与口径!BZ42</f>
        <v>-1.1947283675268299</v>
      </c>
      <c r="L42" s="16">
        <f>原始输入与口径!CK42</f>
        <v>40</v>
      </c>
      <c r="M42" s="16">
        <f>原始输入与口径!BT42</f>
        <v>24</v>
      </c>
      <c r="N42" s="16">
        <f>原始输入与口径!BJ42</f>
        <v>24</v>
      </c>
      <c r="O42" s="16">
        <f t="shared" si="20"/>
        <v>1.3422171428571428</v>
      </c>
      <c r="P42" s="16">
        <f t="shared" si="1"/>
        <v>0</v>
      </c>
      <c r="Q42" s="17">
        <f t="shared" si="2"/>
        <v>-43.906267506610995</v>
      </c>
      <c r="R42" s="17">
        <f t="shared" si="3"/>
        <v>662.24534522516342</v>
      </c>
      <c r="S42" s="17">
        <f t="shared" si="4"/>
        <v>40.718083585844141</v>
      </c>
      <c r="T42" s="17">
        <f t="shared" si="5"/>
        <v>15.768109313361155</v>
      </c>
      <c r="U42" s="17">
        <f t="shared" si="21"/>
        <v>282.62172102877395</v>
      </c>
      <c r="V42" s="17">
        <f t="shared" si="6"/>
        <v>0</v>
      </c>
      <c r="W42" s="17">
        <f t="shared" si="7"/>
        <v>957.44699164653161</v>
      </c>
      <c r="X42" s="12">
        <f>原始输入与口径!CP42</f>
        <v>957.44699164653161</v>
      </c>
      <c r="Y42" s="19">
        <f t="shared" si="8"/>
        <v>0</v>
      </c>
      <c r="Z42" s="12" t="str">
        <f t="shared" si="22"/>
        <v>当日执行</v>
      </c>
      <c r="AA42" s="12">
        <f>IF(原始输入与口径!AW42,1,0)</f>
        <v>1</v>
      </c>
      <c r="AB42" s="12">
        <f>IF(原始输入与口径!AY42,1,0)</f>
        <v>1</v>
      </c>
      <c r="AC42" s="12">
        <f>原始输入与口径!$F$5</f>
        <v>0.25</v>
      </c>
      <c r="AD42" s="18">
        <f>原始输入与口径!CG42</f>
        <v>0.3125</v>
      </c>
      <c r="AE42" s="18">
        <f>原始输入与口径!BQ42</f>
        <v>0.13714285714285715</v>
      </c>
      <c r="AF42" s="18">
        <f t="shared" si="10"/>
        <v>0.22370285714285715</v>
      </c>
      <c r="AG42" s="18">
        <f t="shared" si="11"/>
        <v>0</v>
      </c>
      <c r="AH42" s="12">
        <f>IF(ISNUMBER(原始输入与口径!T42),原始输入与口径!T42,"缺失")</f>
        <v>175</v>
      </c>
      <c r="AI42" s="12">
        <f>IF(ISNUMBER(原始输入与口径!Y42),原始输入与口径!Y42,"缺失")</f>
        <v>175</v>
      </c>
      <c r="AJ42" s="12">
        <f>IF(ISNUMBER(原始输入与口径!AI42),原始输入与口径!AI42,"缺失")</f>
        <v>9.7870000000000008</v>
      </c>
      <c r="AK42" s="12">
        <f>IF(ISNUMBER(原始输入与口径!AL42),原始输入与口径!AL42,"缺失")</f>
        <v>0</v>
      </c>
      <c r="AL42" s="12">
        <f>IF(ISNUMBER(原始输入与口径!O42),原始输入与口径!O42,"缺失")</f>
        <v>91.903999999999996</v>
      </c>
      <c r="AM42" s="12">
        <f>SUMIFS(相位SOC复算!$N$9:$N$929,相位SOC复算!$S$9:$S$929,34)</f>
        <v>4.4433953324191661E-3</v>
      </c>
      <c r="AN42" s="12">
        <f>SUMIFS(相位SOC复算!$Q$9:$Q$929,相位SOC复算!$S$9:$S$929,34)</f>
        <v>0.2318660545503641</v>
      </c>
      <c r="AO42" s="12">
        <f>SUMIFS(相位SOC复算!$R$9:$R$929,相位SOC复算!$S$9:$S$929,34)</f>
        <v>1.2754011055257997</v>
      </c>
      <c r="AP42" s="12">
        <f>相位SOC复算!J80</f>
        <v>31.952447204968983</v>
      </c>
      <c r="AQ42" s="19">
        <f t="shared" si="12"/>
        <v>0</v>
      </c>
      <c r="AR42" s="12">
        <f>IF(ISBLANK(原始输入与口径!M42),"",原始输入与口径!M42)</f>
        <v>5.2473000000000001</v>
      </c>
      <c r="AS42" s="14">
        <f>IF(ISBLANK(原始输入与口径!L42),"",原始输入与口径!L42)</f>
        <v>46234</v>
      </c>
      <c r="AT42" s="13">
        <f>IF(ISBLANK(原始输入与口径!A42),"",原始输入与口径!A42)</f>
        <v>46235.21875</v>
      </c>
      <c r="AU42" s="12" t="str">
        <f>IF(ISBLANK(原始输入与口径!I42),"",原始输入与口径!I42)</f>
        <v>2026-08-01_30</v>
      </c>
      <c r="AV42" s="12">
        <f>IF(ISBLANK(原始输入与口径!J42),"",原始输入与口径!J42)</f>
        <v>15</v>
      </c>
      <c r="AW42" s="12" t="str">
        <f>IF(ISBLANK(原始输入与口径!BB42),"",原始输入与口径!BB42)</f>
        <v>OK</v>
      </c>
      <c r="AX42" s="12">
        <f>原始输入与口径!CI42</f>
        <v>128</v>
      </c>
      <c r="AY42" s="12">
        <f>原始输入与口径!BS42</f>
        <v>175</v>
      </c>
      <c r="AZ42" s="12">
        <f>原始输入与口径!BI42</f>
        <v>175</v>
      </c>
      <c r="BA42" s="12">
        <f>原始输入与口径!CM42</f>
        <v>40</v>
      </c>
      <c r="BB42" s="12">
        <f>原始输入与口径!BV42</f>
        <v>24</v>
      </c>
      <c r="BC42" s="12">
        <f>原始输入与口径!BL42</f>
        <v>24</v>
      </c>
      <c r="BD42" s="14">
        <f>46235</f>
        <v>46235</v>
      </c>
      <c r="BE42" s="1" t="str">
        <f t="shared" si="13"/>
        <v>-1.194728 MW × 147.000000 × 0.250000 h = -43.906268 EUR</v>
      </c>
      <c r="BF42" s="1" t="str">
        <f t="shared" si="14"/>
        <v>40.000000 MW × 66.224535 × 0.250000 h = 662.245345 EUR</v>
      </c>
      <c r="BG42" s="1" t="str">
        <f t="shared" si="15"/>
        <v>24.000000 MW × 6.786347 × 0.250000 h = 40.718084 EUR</v>
      </c>
      <c r="BH42" s="1" t="str">
        <f t="shared" si="16"/>
        <v>24.000000 MW × 2.628018 × 0.250000 h = 15.768109 EUR</v>
      </c>
      <c r="BI42" s="1" t="str">
        <f t="shared" si="17"/>
        <v>1.342217 MWh × 210.563337 = 282.621721 EUR</v>
      </c>
      <c r="BJ42" s="1" t="str">
        <f t="shared" si="18"/>
        <v>零下调激活电量</v>
      </c>
      <c r="BK42" s="1" t="str">
        <f t="shared" si="19"/>
        <v>-43.906268 + 662.245345 + 40.718084 + 15.768109 + 282.621721 + 0.000000 = 957.446992 EUR</v>
      </c>
    </row>
    <row r="43" spans="1:63" ht="21" customHeight="1" x14ac:dyDescent="0.45">
      <c r="A43" s="13">
        <f>原始输入与口径!C43</f>
        <v>46235.354166666664</v>
      </c>
      <c r="B43" s="15">
        <f>IF(ISNUMBER(原始输入与口径!H43),原始输入与口径!H43,"缺失")</f>
        <v>141.72999999999999</v>
      </c>
      <c r="C43" s="15">
        <f>IF(ISNUMBER(原始输入与口径!R43),原始输入与口径!R43,"缺失")</f>
        <v>66.224534522516336</v>
      </c>
      <c r="D43" s="15">
        <f>IF(ISNUMBER(原始输入与口径!W43),原始输入与口径!W43,"缺失")</f>
        <v>6.7863472643073575</v>
      </c>
      <c r="E43" s="15">
        <f>IF(ISNUMBER(原始输入与口径!AB43),原始输入与口径!AB43,"缺失")</f>
        <v>2.6280182188935259</v>
      </c>
      <c r="F43" s="15">
        <f>IF(ISNUMBER(原始输入与口径!AG43),原始输入与口径!AG43,"缺失")</f>
        <v>169.09305738189164</v>
      </c>
      <c r="G43" s="15">
        <f>IF(ISNUMBER(原始输入与口径!AJ43),原始输入与口径!AJ43,"缺失")</f>
        <v>0</v>
      </c>
      <c r="H43" s="15" t="str">
        <f t="shared" si="0"/>
        <v>未模拟</v>
      </c>
      <c r="I43" s="16">
        <f>原始输入与口径!CD43</f>
        <v>31.952447204968983</v>
      </c>
      <c r="J43" s="16">
        <f>原始输入与口径!CE43</f>
        <v>31.739130434782648</v>
      </c>
      <c r="K43" s="16">
        <f>原始输入与口径!BZ43</f>
        <v>0</v>
      </c>
      <c r="L43" s="16">
        <f>原始输入与口径!CK43</f>
        <v>40</v>
      </c>
      <c r="M43" s="16">
        <f>原始输入与口径!BT43</f>
        <v>24</v>
      </c>
      <c r="N43" s="16">
        <f>原始输入与口径!BJ43</f>
        <v>24</v>
      </c>
      <c r="O43" s="16">
        <f t="shared" si="20"/>
        <v>0.19625142857142858</v>
      </c>
      <c r="P43" s="16">
        <f t="shared" si="1"/>
        <v>0</v>
      </c>
      <c r="Q43" s="17">
        <f t="shared" si="2"/>
        <v>0</v>
      </c>
      <c r="R43" s="17">
        <f t="shared" si="3"/>
        <v>662.24534522516342</v>
      </c>
      <c r="S43" s="17">
        <f t="shared" si="4"/>
        <v>40.718083585844141</v>
      </c>
      <c r="T43" s="17">
        <f t="shared" si="5"/>
        <v>15.768109313361155</v>
      </c>
      <c r="U43" s="17">
        <f t="shared" si="21"/>
        <v>33.184754072706781</v>
      </c>
      <c r="V43" s="17">
        <f t="shared" si="6"/>
        <v>0</v>
      </c>
      <c r="W43" s="17">
        <f t="shared" si="7"/>
        <v>751.91629219707556</v>
      </c>
      <c r="X43" s="12">
        <f>原始输入与口径!CP43</f>
        <v>751.91629219707545</v>
      </c>
      <c r="Y43" s="19">
        <f t="shared" si="8"/>
        <v>0</v>
      </c>
      <c r="Z43" s="12" t="str">
        <f t="shared" si="22"/>
        <v>当日执行</v>
      </c>
      <c r="AA43" s="12">
        <f>IF(原始输入与口径!AW43,1,0)</f>
        <v>1</v>
      </c>
      <c r="AB43" s="12">
        <f>IF(原始输入与口径!AY43,1,0)</f>
        <v>1</v>
      </c>
      <c r="AC43" s="12">
        <f>原始输入与口径!$F$5</f>
        <v>0.25</v>
      </c>
      <c r="AD43" s="18">
        <f>原始输入与口径!CG43</f>
        <v>0.3125</v>
      </c>
      <c r="AE43" s="18">
        <f>原始输入与口径!BQ43</f>
        <v>0.13714285714285715</v>
      </c>
      <c r="AF43" s="18">
        <f t="shared" si="10"/>
        <v>3.2708571428571427E-2</v>
      </c>
      <c r="AG43" s="18">
        <f t="shared" si="11"/>
        <v>0</v>
      </c>
      <c r="AH43" s="12">
        <f>IF(ISNUMBER(原始输入与口径!T43),原始输入与口径!T43,"缺失")</f>
        <v>175</v>
      </c>
      <c r="AI43" s="12">
        <f>IF(ISNUMBER(原始输入与口径!Y43),原始输入与口径!Y43,"缺失")</f>
        <v>175</v>
      </c>
      <c r="AJ43" s="12">
        <f>IF(ISNUMBER(原始输入与口径!AI43),原始输入与口径!AI43,"缺失")</f>
        <v>1.431</v>
      </c>
      <c r="AK43" s="12">
        <f>IF(ISNUMBER(原始输入与口径!AL43),原始输入与口径!AL43,"缺失")</f>
        <v>0</v>
      </c>
      <c r="AL43" s="12">
        <f>IF(ISNUMBER(原始输入与口径!O43),原始输入与口径!O43,"缺失")</f>
        <v>91.903999999999996</v>
      </c>
      <c r="AM43" s="12">
        <f>SUMIFS(相位SOC复算!$N$9:$N$929,相位SOC复算!$S$9:$S$929,35)</f>
        <v>5.9254658385093158E-4</v>
      </c>
      <c r="AN43" s="12">
        <f>SUMIFS(相位SOC复算!$Q$9:$Q$929,相位SOC复算!$S$9:$S$929,35)</f>
        <v>0</v>
      </c>
      <c r="AO43" s="12">
        <f>SUMIFS(相位SOC复算!$R$9:$R$929,相位SOC复算!$S$9:$S$929,35)</f>
        <v>0.19625142857142858</v>
      </c>
      <c r="AP43" s="12">
        <f>相位SOC复算!J82</f>
        <v>31.739130434782648</v>
      </c>
      <c r="AQ43" s="19">
        <f t="shared" si="12"/>
        <v>0</v>
      </c>
      <c r="AR43" s="12">
        <f>IF(ISBLANK(原始输入与口径!M43),"",原始输入与口径!M43)</f>
        <v>5.2473000000000001</v>
      </c>
      <c r="AS43" s="14">
        <f>IF(ISBLANK(原始输入与口径!L43),"",原始输入与口径!L43)</f>
        <v>46234</v>
      </c>
      <c r="AT43" s="13">
        <f>IF(ISBLANK(原始输入与口径!A43),"",原始输入与口径!A43)</f>
        <v>46235.229166666664</v>
      </c>
      <c r="AU43" s="12" t="str">
        <f>IF(ISBLANK(原始输入与口径!I43),"",原始输入与口径!I43)</f>
        <v>2026-08-01_31</v>
      </c>
      <c r="AV43" s="12">
        <f>IF(ISBLANK(原始输入与口径!J43),"",原始输入与口径!J43)</f>
        <v>15</v>
      </c>
      <c r="AW43" s="12" t="str">
        <f>IF(ISBLANK(原始输入与口径!BB43),"",原始输入与口径!BB43)</f>
        <v>OK</v>
      </c>
      <c r="AX43" s="12">
        <f>原始输入与口径!CI43</f>
        <v>128</v>
      </c>
      <c r="AY43" s="12">
        <f>原始输入与口径!BS43</f>
        <v>175</v>
      </c>
      <c r="AZ43" s="12">
        <f>原始输入与口径!BI43</f>
        <v>175</v>
      </c>
      <c r="BA43" s="12">
        <f>原始输入与口径!CM43</f>
        <v>40</v>
      </c>
      <c r="BB43" s="12">
        <f>原始输入与口径!BV43</f>
        <v>24</v>
      </c>
      <c r="BC43" s="12">
        <f>原始输入与口径!BL43</f>
        <v>24</v>
      </c>
      <c r="BD43" s="14">
        <f>46235</f>
        <v>46235</v>
      </c>
      <c r="BE43" s="1" t="str">
        <f t="shared" si="13"/>
        <v>零头寸，无结算现金</v>
      </c>
      <c r="BF43" s="1" t="str">
        <f t="shared" si="14"/>
        <v>40.000000 MW × 66.224535 × 0.250000 h = 662.245345 EUR</v>
      </c>
      <c r="BG43" s="1" t="str">
        <f t="shared" si="15"/>
        <v>24.000000 MW × 6.786347 × 0.250000 h = 40.718084 EUR</v>
      </c>
      <c r="BH43" s="1" t="str">
        <f t="shared" si="16"/>
        <v>24.000000 MW × 2.628018 × 0.250000 h = 15.768109 EUR</v>
      </c>
      <c r="BI43" s="1" t="str">
        <f t="shared" si="17"/>
        <v>0.196251 MWh × 169.093057 = 33.184754 EUR</v>
      </c>
      <c r="BJ43" s="1" t="str">
        <f t="shared" si="18"/>
        <v>零下调激活电量</v>
      </c>
      <c r="BK43" s="1" t="str">
        <f t="shared" si="19"/>
        <v>0.000000 + 662.245345 + 40.718084 + 15.768109 + 33.184754 + 0.000000 = 751.916292 EUR</v>
      </c>
    </row>
    <row r="44" spans="1:63" ht="21" customHeight="1" x14ac:dyDescent="0.45">
      <c r="A44" s="13">
        <f>原始输入与口径!C44</f>
        <v>46235.364583333336</v>
      </c>
      <c r="B44" s="15">
        <f>IF(ISNUMBER(原始输入与口径!H44),原始输入与口径!H44,"缺失")</f>
        <v>134</v>
      </c>
      <c r="C44" s="15">
        <f>IF(ISNUMBER(原始输入与口径!R44),原始输入与口径!R44,"缺失")</f>
        <v>66.224534522516336</v>
      </c>
      <c r="D44" s="15">
        <f>IF(ISNUMBER(原始输入与口径!W44),原始输入与口径!W44,"缺失")</f>
        <v>6.7863472643073575</v>
      </c>
      <c r="E44" s="15">
        <f>IF(ISNUMBER(原始输入与口径!AB44),原始输入与口径!AB44,"缺失")</f>
        <v>2.6280182188935259</v>
      </c>
      <c r="F44" s="15">
        <f>IF(ISNUMBER(原始输入与口径!AG44),原始输入与口径!AG44,"缺失")</f>
        <v>156.1105711508776</v>
      </c>
      <c r="G44" s="15">
        <f>IF(ISNUMBER(原始输入与口径!AJ44),原始输入与口径!AJ44,"缺失")</f>
        <v>74.098488746593489</v>
      </c>
      <c r="H44" s="15" t="str">
        <f t="shared" si="0"/>
        <v>未模拟</v>
      </c>
      <c r="I44" s="16">
        <f>原始输入与口径!CD44</f>
        <v>31.739130434782648</v>
      </c>
      <c r="J44" s="16">
        <f>原始输入与口径!CE44</f>
        <v>40.239047234782646</v>
      </c>
      <c r="K44" s="16">
        <f>原始输入与口径!BZ44</f>
        <v>-36</v>
      </c>
      <c r="L44" s="16">
        <f>原始输入与口径!CK44</f>
        <v>40</v>
      </c>
      <c r="M44" s="16">
        <f>原始输入与口径!BT44</f>
        <v>24</v>
      </c>
      <c r="N44" s="16">
        <f>原始输入与口径!BJ44</f>
        <v>24</v>
      </c>
      <c r="O44" s="16">
        <f t="shared" si="20"/>
        <v>1.2068571428571427E-2</v>
      </c>
      <c r="P44" s="16">
        <f t="shared" si="1"/>
        <v>0.2511085714285714</v>
      </c>
      <c r="Q44" s="17">
        <f t="shared" si="2"/>
        <v>-1206</v>
      </c>
      <c r="R44" s="17">
        <f t="shared" si="3"/>
        <v>662.24534522516342</v>
      </c>
      <c r="S44" s="17">
        <f t="shared" si="4"/>
        <v>40.718083585844141</v>
      </c>
      <c r="T44" s="17">
        <f t="shared" si="5"/>
        <v>15.768109313361155</v>
      </c>
      <c r="U44" s="17">
        <f t="shared" si="21"/>
        <v>1.8840315786894484</v>
      </c>
      <c r="V44" s="17">
        <f t="shared" si="6"/>
        <v>-18.606765654173167</v>
      </c>
      <c r="W44" s="17">
        <f t="shared" si="7"/>
        <v>-503.99119595111495</v>
      </c>
      <c r="X44" s="12">
        <f>原始输入与口径!CP44</f>
        <v>-503.991195951115</v>
      </c>
      <c r="Y44" s="19">
        <f t="shared" si="8"/>
        <v>0</v>
      </c>
      <c r="Z44" s="12" t="str">
        <f t="shared" si="22"/>
        <v>当日执行</v>
      </c>
      <c r="AA44" s="12">
        <f>IF(原始输入与口径!AW44,1,0)</f>
        <v>1</v>
      </c>
      <c r="AB44" s="12">
        <f>IF(原始输入与口径!AY44,1,0)</f>
        <v>1</v>
      </c>
      <c r="AC44" s="12">
        <f>原始输入与口径!$F$5</f>
        <v>0.25</v>
      </c>
      <c r="AD44" s="18">
        <f>原始输入与口径!CG44</f>
        <v>0.3125</v>
      </c>
      <c r="AE44" s="18">
        <f>原始输入与口径!BQ44</f>
        <v>0.13714285714285715</v>
      </c>
      <c r="AF44" s="18">
        <f t="shared" si="10"/>
        <v>2.0114285714285711E-3</v>
      </c>
      <c r="AG44" s="18">
        <f t="shared" si="11"/>
        <v>4.1851428571428567E-2</v>
      </c>
      <c r="AH44" s="12">
        <f>IF(ISNUMBER(原始输入与口径!T44),原始输入与口径!T44,"缺失")</f>
        <v>175</v>
      </c>
      <c r="AI44" s="12">
        <f>IF(ISNUMBER(原始输入与口径!Y44),原始输入与口径!Y44,"缺失")</f>
        <v>175</v>
      </c>
      <c r="AJ44" s="12">
        <f>IF(ISNUMBER(原始输入与口径!AI44),原始输入与口径!AI44,"缺失")</f>
        <v>8.7999999999999995E-2</v>
      </c>
      <c r="AK44" s="12">
        <f>IF(ISNUMBER(原始输入与口径!AL44),原始输入与口径!AL44,"缺失")</f>
        <v>1.831</v>
      </c>
      <c r="AL44" s="12">
        <f>IF(ISNUMBER(原始输入与口径!O44),原始输入与口径!O44,"缺失")</f>
        <v>91.903999999999996</v>
      </c>
      <c r="AM44" s="12">
        <f>SUMIFS(相位SOC复算!$N$9:$N$929,相位SOC复算!$S$9:$S$929,36)</f>
        <v>2.3610880000000004E-2</v>
      </c>
      <c r="AN44" s="12">
        <f>SUMIFS(相位SOC复算!$Q$9:$Q$929,相位SOC复算!$S$9:$S$929,36)</f>
        <v>9.2390399999999993</v>
      </c>
      <c r="AO44" s="12">
        <f>SUMIFS(相位SOC复算!$R$9:$R$929,相位SOC复算!$S$9:$S$929,36)</f>
        <v>0</v>
      </c>
      <c r="AP44" s="12">
        <f>相位SOC复算!J85</f>
        <v>40.239047234782646</v>
      </c>
      <c r="AQ44" s="19">
        <f t="shared" si="12"/>
        <v>0</v>
      </c>
      <c r="AR44" s="12">
        <f>IF(ISBLANK(原始输入与口径!M44),"",原始输入与口径!M44)</f>
        <v>5.2473000000000001</v>
      </c>
      <c r="AS44" s="14">
        <f>IF(ISBLANK(原始输入与口径!L44),"",原始输入与口径!L44)</f>
        <v>46234</v>
      </c>
      <c r="AT44" s="13">
        <f>IF(ISBLANK(原始输入与口径!A44),"",原始输入与口径!A44)</f>
        <v>46235.239583333336</v>
      </c>
      <c r="AU44" s="12" t="str">
        <f>IF(ISBLANK(原始输入与口径!I44),"",原始输入与口径!I44)</f>
        <v>2026-08-01_32</v>
      </c>
      <c r="AV44" s="12">
        <f>IF(ISBLANK(原始输入与口径!J44),"",原始输入与口径!J44)</f>
        <v>15</v>
      </c>
      <c r="AW44" s="12" t="str">
        <f>IF(ISBLANK(原始输入与口径!BB44),"",原始输入与口径!BB44)</f>
        <v>OK</v>
      </c>
      <c r="AX44" s="12">
        <f>原始输入与口径!CI44</f>
        <v>128</v>
      </c>
      <c r="AY44" s="12">
        <f>原始输入与口径!BS44</f>
        <v>175</v>
      </c>
      <c r="AZ44" s="12">
        <f>原始输入与口径!BI44</f>
        <v>175</v>
      </c>
      <c r="BA44" s="12">
        <f>原始输入与口径!CM44</f>
        <v>40</v>
      </c>
      <c r="BB44" s="12">
        <f>原始输入与口径!BV44</f>
        <v>24</v>
      </c>
      <c r="BC44" s="12">
        <f>原始输入与口径!BL44</f>
        <v>24</v>
      </c>
      <c r="BD44" s="14">
        <f>46235</f>
        <v>46235</v>
      </c>
      <c r="BE44" s="1" t="str">
        <f t="shared" si="13"/>
        <v>-36.000000 MW × 134.000000 × 0.250000 h = -1206.000000 EUR</v>
      </c>
      <c r="BF44" s="1" t="str">
        <f t="shared" si="14"/>
        <v>40.000000 MW × 66.224535 × 0.250000 h = 662.245345 EUR</v>
      </c>
      <c r="BG44" s="1" t="str">
        <f t="shared" si="15"/>
        <v>24.000000 MW × 6.786347 × 0.250000 h = 40.718084 EUR</v>
      </c>
      <c r="BH44" s="1" t="str">
        <f t="shared" si="16"/>
        <v>24.000000 MW × 2.628018 × 0.250000 h = 15.768109 EUR</v>
      </c>
      <c r="BI44" s="1" t="str">
        <f t="shared" si="17"/>
        <v>0.012069 MWh × 156.110571 = 1.884032 EUR</v>
      </c>
      <c r="BJ44" s="1" t="str">
        <f t="shared" si="18"/>
        <v>−(0.251109 MWh × 74.098489) = -18.606766 EUR</v>
      </c>
      <c r="BK44" s="1" t="str">
        <f t="shared" si="19"/>
        <v>-1206.000000 + 662.245345 + 40.718084 + 15.768109 + 1.884032 + -18.606766 = -503.991196 EUR</v>
      </c>
    </row>
    <row r="45" spans="1:63" ht="21" customHeight="1" x14ac:dyDescent="0.45">
      <c r="A45" s="13">
        <f>原始输入与口径!C45</f>
        <v>46235.375</v>
      </c>
      <c r="B45" s="15">
        <f>IF(ISNUMBER(原始输入与口径!H45),原始输入与口径!H45,"缺失")</f>
        <v>160.86000000000001</v>
      </c>
      <c r="C45" s="15">
        <f>IF(ISNUMBER(原始输入与口径!R45),原始输入与口径!R45,"缺失")</f>
        <v>66.224534522516336</v>
      </c>
      <c r="D45" s="15">
        <f>IF(ISNUMBER(原始输入与口径!W45),原始输入与口径!W45,"缺失")</f>
        <v>7.2056105044499077</v>
      </c>
      <c r="E45" s="15">
        <f>IF(ISNUMBER(原始输入与口径!AB45),原始输入与口径!AB45,"缺失")</f>
        <v>2.3250052407905017</v>
      </c>
      <c r="F45" s="15">
        <f>IF(ISNUMBER(原始输入与口径!AG45),原始输入与口径!AG45,"缺失")</f>
        <v>164.52689954833914</v>
      </c>
      <c r="G45" s="15">
        <f>IF(ISNUMBER(原始输入与口径!AJ45),原始输入与口径!AJ45,"缺失")</f>
        <v>76.229680025918086</v>
      </c>
      <c r="H45" s="15" t="str">
        <f t="shared" si="0"/>
        <v>未模拟</v>
      </c>
      <c r="I45" s="16">
        <f>原始输入与口径!CD45</f>
        <v>40.239047234782646</v>
      </c>
      <c r="J45" s="16">
        <f>原始输入与口径!CE45</f>
        <v>31.848099378882022</v>
      </c>
      <c r="K45" s="16">
        <f>原始输入与口径!BZ45</f>
        <v>29.164950966857145</v>
      </c>
      <c r="L45" s="16">
        <f>原始输入与口径!CK45</f>
        <v>40</v>
      </c>
      <c r="M45" s="16">
        <f>原始输入与口径!BT45</f>
        <v>24</v>
      </c>
      <c r="N45" s="16">
        <f>原始输入与口径!BJ45</f>
        <v>0</v>
      </c>
      <c r="O45" s="16">
        <f t="shared" si="20"/>
        <v>0.42843428571428577</v>
      </c>
      <c r="P45" s="16">
        <f t="shared" si="1"/>
        <v>0</v>
      </c>
      <c r="Q45" s="17">
        <f t="shared" si="2"/>
        <v>1172.8685031321602</v>
      </c>
      <c r="R45" s="17">
        <f t="shared" si="3"/>
        <v>662.24534522516342</v>
      </c>
      <c r="S45" s="17">
        <f t="shared" si="4"/>
        <v>43.233663026699446</v>
      </c>
      <c r="T45" s="17">
        <f t="shared" si="5"/>
        <v>0</v>
      </c>
      <c r="U45" s="17">
        <f t="shared" si="21"/>
        <v>70.488964688778722</v>
      </c>
      <c r="V45" s="17">
        <f t="shared" si="6"/>
        <v>0</v>
      </c>
      <c r="W45" s="17">
        <f t="shared" si="7"/>
        <v>1948.8364760728018</v>
      </c>
      <c r="X45" s="12">
        <f>原始输入与口径!CP45</f>
        <v>1948.8364760728018</v>
      </c>
      <c r="Y45" s="19">
        <f t="shared" si="8"/>
        <v>0</v>
      </c>
      <c r="Z45" s="12" t="str">
        <f t="shared" si="22"/>
        <v>当日执行</v>
      </c>
      <c r="AA45" s="12">
        <f>IF(原始输入与口径!AW45,1,0)</f>
        <v>1</v>
      </c>
      <c r="AB45" s="12">
        <f>IF(原始输入与口径!AY45,1,0)</f>
        <v>1</v>
      </c>
      <c r="AC45" s="12">
        <f>原始输入与口径!$F$5</f>
        <v>0.25</v>
      </c>
      <c r="AD45" s="18">
        <f>原始输入与口径!CG45</f>
        <v>0.3125</v>
      </c>
      <c r="AE45" s="18">
        <f>原始输入与口径!BQ45</f>
        <v>0.13714285714285715</v>
      </c>
      <c r="AF45" s="18">
        <f t="shared" si="10"/>
        <v>7.1405714285714295E-2</v>
      </c>
      <c r="AG45" s="18">
        <f t="shared" si="11"/>
        <v>5.988571428571429E-3</v>
      </c>
      <c r="AH45" s="12">
        <f>IF(ISNUMBER(原始输入与口径!T45),原始输入与口径!T45,"缺失")</f>
        <v>175</v>
      </c>
      <c r="AI45" s="12">
        <f>IF(ISNUMBER(原始输入与口径!Y45),原始输入与口径!Y45,"缺失")</f>
        <v>175</v>
      </c>
      <c r="AJ45" s="12">
        <f>IF(ISNUMBER(原始输入与口径!AI45),原始输入与口径!AI45,"缺失")</f>
        <v>3.1240000000000001</v>
      </c>
      <c r="AK45" s="12">
        <f>IF(ISNUMBER(原始输入与口径!AL45),原始输入与口径!AL45,"缺失")</f>
        <v>0.26200000000000001</v>
      </c>
      <c r="AL45" s="12">
        <f>IF(ISNUMBER(原始输入与口径!O45),原始输入与口径!O45,"缺失")</f>
        <v>91.903999999999996</v>
      </c>
      <c r="AM45" s="12">
        <f>SUMIFS(相位SOC复算!$N$9:$N$929,相位SOC复算!$S$9:$S$929,37)</f>
        <v>2.3308188488612838E-2</v>
      </c>
      <c r="AN45" s="12">
        <f>SUMIFS(相位SOC复算!$Q$9:$Q$929,相位SOC复算!$S$9:$S$929,37)</f>
        <v>0</v>
      </c>
      <c r="AO45" s="12">
        <f>SUMIFS(相位SOC复算!$R$9:$R$929,相位SOC复算!$S$9:$S$929,37)</f>
        <v>7.7196720274285724</v>
      </c>
      <c r="AP45" s="12">
        <f>相位SOC复算!J88</f>
        <v>31.848099378882022</v>
      </c>
      <c r="AQ45" s="19">
        <f t="shared" si="12"/>
        <v>0</v>
      </c>
      <c r="AR45" s="12">
        <f>IF(ISBLANK(原始输入与口径!M45),"",原始输入与口径!M45)</f>
        <v>5.2473000000000001</v>
      </c>
      <c r="AS45" s="14">
        <f>IF(ISBLANK(原始输入与口径!L45),"",原始输入与口径!L45)</f>
        <v>46234</v>
      </c>
      <c r="AT45" s="13">
        <f>IF(ISBLANK(原始输入与口径!A45),"",原始输入与口径!A45)</f>
        <v>46235.25</v>
      </c>
      <c r="AU45" s="12" t="str">
        <f>IF(ISBLANK(原始输入与口径!I45),"",原始输入与口径!I45)</f>
        <v>2026-08-01_33</v>
      </c>
      <c r="AV45" s="12">
        <f>IF(ISBLANK(原始输入与口径!J45),"",原始输入与口径!J45)</f>
        <v>15</v>
      </c>
      <c r="AW45" s="12" t="str">
        <f>IF(ISBLANK(原始输入与口径!BB45),"",原始输入与口径!BB45)</f>
        <v>OK</v>
      </c>
      <c r="AX45" s="12">
        <f>原始输入与口径!CI45</f>
        <v>128</v>
      </c>
      <c r="AY45" s="12">
        <f>原始输入与口径!BS45</f>
        <v>175</v>
      </c>
      <c r="AZ45" s="12">
        <f>原始输入与口径!BI45</f>
        <v>175</v>
      </c>
      <c r="BA45" s="12">
        <f>原始输入与口径!CM45</f>
        <v>40</v>
      </c>
      <c r="BB45" s="12">
        <f>原始输入与口径!BV45</f>
        <v>24</v>
      </c>
      <c r="BC45" s="12">
        <f>原始输入与口径!BL45</f>
        <v>24</v>
      </c>
      <c r="BD45" s="14">
        <f>46235</f>
        <v>46235</v>
      </c>
      <c r="BE45" s="1" t="str">
        <f t="shared" si="13"/>
        <v>29.164951 MW × 160.860000 × 0.250000 h = 1172.868503 EUR</v>
      </c>
      <c r="BF45" s="1" t="str">
        <f t="shared" si="14"/>
        <v>40.000000 MW × 66.224535 × 0.250000 h = 662.245345 EUR</v>
      </c>
      <c r="BG45" s="1" t="str">
        <f t="shared" si="15"/>
        <v>24.000000 MW × 7.205611 × 0.250000 h = 43.233663 EUR</v>
      </c>
      <c r="BH45" s="1" t="str">
        <f t="shared" si="16"/>
        <v>零头寸，无结算现金</v>
      </c>
      <c r="BI45" s="1" t="str">
        <f t="shared" si="17"/>
        <v>0.428434 MWh × 164.526900 = 70.488965 EUR</v>
      </c>
      <c r="BJ45" s="1" t="str">
        <f t="shared" si="18"/>
        <v>零下调激活电量</v>
      </c>
      <c r="BK45" s="1" t="str">
        <f t="shared" si="19"/>
        <v>1172.868503 + 662.245345 + 43.233663 + 0.000000 + 70.488965 + 0.000000 = 1948.836476 EUR</v>
      </c>
    </row>
    <row r="46" spans="1:63" ht="21" customHeight="1" x14ac:dyDescent="0.45">
      <c r="A46" s="13">
        <f>原始输入与口径!C46</f>
        <v>46235.385416666664</v>
      </c>
      <c r="B46" s="15">
        <f>IF(ISNUMBER(原始输入与口径!H46),原始输入与口径!H46,"缺失")</f>
        <v>143.69999999999999</v>
      </c>
      <c r="C46" s="15">
        <f>IF(ISNUMBER(原始输入与口径!R46),原始输入与口径!R46,"缺失")</f>
        <v>66.224534522516336</v>
      </c>
      <c r="D46" s="15">
        <f>IF(ISNUMBER(原始输入与口径!W46),原始输入与口径!W46,"缺失")</f>
        <v>7.2056105044499077</v>
      </c>
      <c r="E46" s="15">
        <f>IF(ISNUMBER(原始输入与口径!AB46),原始输入与口径!AB46,"缺失")</f>
        <v>2.3250052407905017</v>
      </c>
      <c r="F46" s="15">
        <f>IF(ISNUMBER(原始输入与口径!AG46),原始输入与口径!AG46,"缺失")</f>
        <v>133.21136584529185</v>
      </c>
      <c r="G46" s="15">
        <f>IF(ISNUMBER(原始输入与口径!AJ46),原始输入与口径!AJ46,"缺失")</f>
        <v>76.229680025918086</v>
      </c>
      <c r="H46" s="15" t="str">
        <f t="shared" si="0"/>
        <v>未模拟</v>
      </c>
      <c r="I46" s="16">
        <f>原始输入与口径!CD46</f>
        <v>31.848099378882022</v>
      </c>
      <c r="J46" s="16">
        <f>原始输入与口径!CE46</f>
        <v>31.834534161490719</v>
      </c>
      <c r="K46" s="16">
        <f>原始输入与口径!BZ46</f>
        <v>0</v>
      </c>
      <c r="L46" s="16">
        <f>原始输入与口径!CK46</f>
        <v>40</v>
      </c>
      <c r="M46" s="16">
        <f>原始输入与口径!BT46</f>
        <v>24</v>
      </c>
      <c r="N46" s="16">
        <f>原始输入与口径!BJ46</f>
        <v>0</v>
      </c>
      <c r="O46" s="16">
        <f t="shared" si="20"/>
        <v>1.2479999999999998E-2</v>
      </c>
      <c r="P46" s="16">
        <f t="shared" si="1"/>
        <v>0</v>
      </c>
      <c r="Q46" s="17">
        <f t="shared" si="2"/>
        <v>0</v>
      </c>
      <c r="R46" s="17">
        <f t="shared" si="3"/>
        <v>662.24534522516342</v>
      </c>
      <c r="S46" s="17">
        <f t="shared" si="4"/>
        <v>43.233663026699446</v>
      </c>
      <c r="T46" s="17">
        <f t="shared" si="5"/>
        <v>0</v>
      </c>
      <c r="U46" s="17">
        <f t="shared" si="21"/>
        <v>1.662477845749242</v>
      </c>
      <c r="V46" s="17">
        <f t="shared" si="6"/>
        <v>0</v>
      </c>
      <c r="W46" s="17">
        <f t="shared" si="7"/>
        <v>707.14148609761207</v>
      </c>
      <c r="X46" s="12">
        <f>原始输入与口径!CP46</f>
        <v>707.14148609761207</v>
      </c>
      <c r="Y46" s="19">
        <f t="shared" si="8"/>
        <v>0</v>
      </c>
      <c r="Z46" s="12" t="str">
        <f t="shared" si="22"/>
        <v>当日执行</v>
      </c>
      <c r="AA46" s="12">
        <f>IF(原始输入与口径!AW46,1,0)</f>
        <v>1</v>
      </c>
      <c r="AB46" s="12">
        <f>IF(原始输入与口径!AY46,1,0)</f>
        <v>1</v>
      </c>
      <c r="AC46" s="12">
        <f>原始输入与口径!$F$5</f>
        <v>0.25</v>
      </c>
      <c r="AD46" s="18">
        <f>原始输入与口径!CG46</f>
        <v>0.3125</v>
      </c>
      <c r="AE46" s="18">
        <f>原始输入与口径!BQ46</f>
        <v>0.13714285714285715</v>
      </c>
      <c r="AF46" s="18">
        <f t="shared" si="10"/>
        <v>2.0799999999999998E-3</v>
      </c>
      <c r="AG46" s="18">
        <f t="shared" si="11"/>
        <v>2.4457142857142859E-3</v>
      </c>
      <c r="AH46" s="12">
        <f>IF(ISNUMBER(原始输入与口径!T46),原始输入与口径!T46,"缺失")</f>
        <v>175</v>
      </c>
      <c r="AI46" s="12">
        <f>IF(ISNUMBER(原始输入与口径!Y46),原始输入与口径!Y46,"缺失")</f>
        <v>175</v>
      </c>
      <c r="AJ46" s="12">
        <f>IF(ISNUMBER(原始输入与口径!AI46),原始输入与口径!AI46,"缺失")</f>
        <v>9.0999999999999998E-2</v>
      </c>
      <c r="AK46" s="12">
        <f>IF(ISNUMBER(原始输入与口径!AL46),原始输入与口径!AL46,"缺失")</f>
        <v>0.107</v>
      </c>
      <c r="AL46" s="12">
        <f>IF(ISNUMBER(原始输入与口径!O46),原始输入与口径!O46,"缺失")</f>
        <v>91.903999999999996</v>
      </c>
      <c r="AM46" s="12">
        <f>SUMIFS(相位SOC复算!$N$9:$N$929,相位SOC复算!$S$9:$S$929,38)</f>
        <v>3.768115942028985E-5</v>
      </c>
      <c r="AN46" s="12">
        <f>SUMIFS(相位SOC复算!$Q$9:$Q$929,相位SOC复算!$S$9:$S$929,38)</f>
        <v>0</v>
      </c>
      <c r="AO46" s="12">
        <f>SUMIFS(相位SOC复算!$R$9:$R$929,相位SOC复算!$S$9:$S$929,38)</f>
        <v>1.2479999999999998E-2</v>
      </c>
      <c r="AP46" s="12">
        <f>相位SOC复算!J91</f>
        <v>31.834534161490719</v>
      </c>
      <c r="AQ46" s="19">
        <f t="shared" si="12"/>
        <v>0</v>
      </c>
      <c r="AR46" s="12">
        <f>IF(ISBLANK(原始输入与口径!M46),"",原始输入与口径!M46)</f>
        <v>5.2473000000000001</v>
      </c>
      <c r="AS46" s="14">
        <f>IF(ISBLANK(原始输入与口径!L46),"",原始输入与口径!L46)</f>
        <v>46234</v>
      </c>
      <c r="AT46" s="13">
        <f>IF(ISBLANK(原始输入与口径!A46),"",原始输入与口径!A46)</f>
        <v>46235.260416666664</v>
      </c>
      <c r="AU46" s="12" t="str">
        <f>IF(ISBLANK(原始输入与口径!I46),"",原始输入与口径!I46)</f>
        <v>2026-08-01_34</v>
      </c>
      <c r="AV46" s="12">
        <f>IF(ISBLANK(原始输入与口径!J46),"",原始输入与口径!J46)</f>
        <v>15</v>
      </c>
      <c r="AW46" s="12" t="str">
        <f>IF(ISBLANK(原始输入与口径!BB46),"",原始输入与口径!BB46)</f>
        <v>OK</v>
      </c>
      <c r="AX46" s="12">
        <f>原始输入与口径!CI46</f>
        <v>128</v>
      </c>
      <c r="AY46" s="12">
        <f>原始输入与口径!BS46</f>
        <v>175</v>
      </c>
      <c r="AZ46" s="12">
        <f>原始输入与口径!BI46</f>
        <v>175</v>
      </c>
      <c r="BA46" s="12">
        <f>原始输入与口径!CM46</f>
        <v>40</v>
      </c>
      <c r="BB46" s="12">
        <f>原始输入与口径!BV46</f>
        <v>24</v>
      </c>
      <c r="BC46" s="12">
        <f>原始输入与口径!BL46</f>
        <v>24</v>
      </c>
      <c r="BD46" s="14">
        <f>46235</f>
        <v>46235</v>
      </c>
      <c r="BE46" s="1" t="str">
        <f t="shared" si="13"/>
        <v>零头寸，无结算现金</v>
      </c>
      <c r="BF46" s="1" t="str">
        <f t="shared" si="14"/>
        <v>40.000000 MW × 66.224535 × 0.250000 h = 662.245345 EUR</v>
      </c>
      <c r="BG46" s="1" t="str">
        <f t="shared" si="15"/>
        <v>24.000000 MW × 7.205611 × 0.250000 h = 43.233663 EUR</v>
      </c>
      <c r="BH46" s="1" t="str">
        <f t="shared" si="16"/>
        <v>零头寸，无结算现金</v>
      </c>
      <c r="BI46" s="1" t="str">
        <f t="shared" si="17"/>
        <v>0.012480 MWh × 133.211366 = 1.662478 EUR</v>
      </c>
      <c r="BJ46" s="1" t="str">
        <f t="shared" si="18"/>
        <v>零下调激活电量</v>
      </c>
      <c r="BK46" s="1" t="str">
        <f t="shared" si="19"/>
        <v>0.000000 + 662.245345 + 43.233663 + 0.000000 + 1.662478 + 0.000000 = 707.141486 EUR</v>
      </c>
    </row>
    <row r="47" spans="1:63" ht="21" customHeight="1" x14ac:dyDescent="0.45">
      <c r="A47" s="13">
        <f>原始输入与口径!C47</f>
        <v>46235.395833333336</v>
      </c>
      <c r="B47" s="15">
        <f>IF(ISNUMBER(原始输入与口径!H47),原始输入与口径!H47,"缺失")</f>
        <v>133.18</v>
      </c>
      <c r="C47" s="15">
        <f>IF(ISNUMBER(原始输入与口径!R47),原始输入与口径!R47,"缺失")</f>
        <v>66.224534522516336</v>
      </c>
      <c r="D47" s="15">
        <f>IF(ISNUMBER(原始输入与口径!W47),原始输入与口径!W47,"缺失")</f>
        <v>7.2056105044499077</v>
      </c>
      <c r="E47" s="15">
        <f>IF(ISNUMBER(原始输入与口径!AB47),原始输入与口径!AB47,"缺失")</f>
        <v>2.3250052407905017</v>
      </c>
      <c r="F47" s="15">
        <f>IF(ISNUMBER(原始输入与口径!AG47),原始输入与口径!AG47,"缺失")</f>
        <v>133.21136584529185</v>
      </c>
      <c r="G47" s="15">
        <f>IF(ISNUMBER(原始输入与口径!AJ47),原始输入与口径!AJ47,"缺失")</f>
        <v>76.229680025918086</v>
      </c>
      <c r="H47" s="15" t="str">
        <f t="shared" si="0"/>
        <v>未模拟</v>
      </c>
      <c r="I47" s="16">
        <f>原始输入与口径!CD47</f>
        <v>31.834534161490719</v>
      </c>
      <c r="J47" s="16">
        <f>原始输入与口径!CE47</f>
        <v>31.739130434782645</v>
      </c>
      <c r="K47" s="16">
        <f>原始输入与口径!BZ47</f>
        <v>0</v>
      </c>
      <c r="L47" s="16">
        <f>原始输入与口径!CK47</f>
        <v>40</v>
      </c>
      <c r="M47" s="16">
        <f>原始输入与口径!BT47</f>
        <v>24</v>
      </c>
      <c r="N47" s="16">
        <f>原始输入与口径!BJ47</f>
        <v>0</v>
      </c>
      <c r="O47" s="16">
        <f t="shared" si="20"/>
        <v>8.777142857142857E-2</v>
      </c>
      <c r="P47" s="16">
        <f t="shared" si="1"/>
        <v>0</v>
      </c>
      <c r="Q47" s="17">
        <f t="shared" si="2"/>
        <v>0</v>
      </c>
      <c r="R47" s="17">
        <f t="shared" si="3"/>
        <v>662.24534522516342</v>
      </c>
      <c r="S47" s="17">
        <f t="shared" si="4"/>
        <v>43.233663026699446</v>
      </c>
      <c r="T47" s="17">
        <f t="shared" si="5"/>
        <v>0</v>
      </c>
      <c r="U47" s="17">
        <f t="shared" si="21"/>
        <v>11.692151882192473</v>
      </c>
      <c r="V47" s="17">
        <f t="shared" si="6"/>
        <v>0</v>
      </c>
      <c r="W47" s="17">
        <f t="shared" si="7"/>
        <v>717.1711601340553</v>
      </c>
      <c r="X47" s="12">
        <f>原始输入与口径!CP47</f>
        <v>717.1711601340553</v>
      </c>
      <c r="Y47" s="19">
        <f t="shared" si="8"/>
        <v>0</v>
      </c>
      <c r="Z47" s="12" t="str">
        <f t="shared" si="22"/>
        <v>当日执行</v>
      </c>
      <c r="AA47" s="12">
        <f>IF(原始输入与口径!AW47,1,0)</f>
        <v>1</v>
      </c>
      <c r="AB47" s="12">
        <f>IF(原始输入与口径!AY47,1,0)</f>
        <v>1</v>
      </c>
      <c r="AC47" s="12">
        <f>原始输入与口径!$F$5</f>
        <v>0.25</v>
      </c>
      <c r="AD47" s="18">
        <f>原始输入与口径!CG47</f>
        <v>0.3125</v>
      </c>
      <c r="AE47" s="18">
        <f>原始输入与口径!BQ47</f>
        <v>0.13714285714285715</v>
      </c>
      <c r="AF47" s="18">
        <f t="shared" si="10"/>
        <v>1.4628571428571428E-2</v>
      </c>
      <c r="AG47" s="18">
        <f t="shared" si="11"/>
        <v>6.8571428571428567E-5</v>
      </c>
      <c r="AH47" s="12">
        <f>IF(ISNUMBER(原始输入与口径!T47),原始输入与口径!T47,"缺失")</f>
        <v>175</v>
      </c>
      <c r="AI47" s="12">
        <f>IF(ISNUMBER(原始输入与口径!Y47),原始输入与口径!Y47,"缺失")</f>
        <v>175</v>
      </c>
      <c r="AJ47" s="12">
        <f>IF(ISNUMBER(原始输入与口径!AI47),原始输入与口径!AI47,"缺失")</f>
        <v>0.64</v>
      </c>
      <c r="AK47" s="12">
        <f>IF(ISNUMBER(原始输入与口径!AL47),原始输入与口径!AL47,"缺失")</f>
        <v>3.0000000000000001E-3</v>
      </c>
      <c r="AL47" s="12">
        <f>IF(ISNUMBER(原始输入与口径!O47),原始输入与口径!O47,"缺失")</f>
        <v>91.903999999999996</v>
      </c>
      <c r="AM47" s="12">
        <f>SUMIFS(相位SOC复算!$N$9:$N$929,相位SOC复算!$S$9:$S$929,39)</f>
        <v>2.6501035196687365E-4</v>
      </c>
      <c r="AN47" s="12">
        <f>SUMIFS(相位SOC复算!$Q$9:$Q$929,相位SOC复算!$S$9:$S$929,39)</f>
        <v>0</v>
      </c>
      <c r="AO47" s="12">
        <f>SUMIFS(相位SOC复算!$R$9:$R$929,相位SOC复算!$S$9:$S$929,39)</f>
        <v>8.777142857142857E-2</v>
      </c>
      <c r="AP47" s="12">
        <f>相位SOC复算!J94</f>
        <v>31.739130434782645</v>
      </c>
      <c r="AQ47" s="19">
        <f t="shared" si="12"/>
        <v>0</v>
      </c>
      <c r="AR47" s="12">
        <f>IF(ISBLANK(原始输入与口径!M47),"",原始输入与口径!M47)</f>
        <v>5.2473000000000001</v>
      </c>
      <c r="AS47" s="14">
        <f>IF(ISBLANK(原始输入与口径!L47),"",原始输入与口径!L47)</f>
        <v>46234</v>
      </c>
      <c r="AT47" s="13">
        <f>IF(ISBLANK(原始输入与口径!A47),"",原始输入与口径!A47)</f>
        <v>46235.270833333336</v>
      </c>
      <c r="AU47" s="12" t="str">
        <f>IF(ISBLANK(原始输入与口径!I47),"",原始输入与口径!I47)</f>
        <v>2026-08-01_35</v>
      </c>
      <c r="AV47" s="12">
        <f>IF(ISBLANK(原始输入与口径!J47),"",原始输入与口径!J47)</f>
        <v>15</v>
      </c>
      <c r="AW47" s="12" t="str">
        <f>IF(ISBLANK(原始输入与口径!BB47),"",原始输入与口径!BB47)</f>
        <v>OK</v>
      </c>
      <c r="AX47" s="12">
        <f>原始输入与口径!CI47</f>
        <v>128</v>
      </c>
      <c r="AY47" s="12">
        <f>原始输入与口径!BS47</f>
        <v>175</v>
      </c>
      <c r="AZ47" s="12">
        <f>原始输入与口径!BI47</f>
        <v>175</v>
      </c>
      <c r="BA47" s="12">
        <f>原始输入与口径!CM47</f>
        <v>40</v>
      </c>
      <c r="BB47" s="12">
        <f>原始输入与口径!BV47</f>
        <v>24</v>
      </c>
      <c r="BC47" s="12">
        <f>原始输入与口径!BL47</f>
        <v>24</v>
      </c>
      <c r="BD47" s="14">
        <f>46235</f>
        <v>46235</v>
      </c>
      <c r="BE47" s="1" t="str">
        <f t="shared" si="13"/>
        <v>零头寸，无结算现金</v>
      </c>
      <c r="BF47" s="1" t="str">
        <f t="shared" si="14"/>
        <v>40.000000 MW × 66.224535 × 0.250000 h = 662.245345 EUR</v>
      </c>
      <c r="BG47" s="1" t="str">
        <f t="shared" si="15"/>
        <v>24.000000 MW × 7.205611 × 0.250000 h = 43.233663 EUR</v>
      </c>
      <c r="BH47" s="1" t="str">
        <f t="shared" si="16"/>
        <v>零头寸，无结算现金</v>
      </c>
      <c r="BI47" s="1" t="str">
        <f t="shared" si="17"/>
        <v>0.087771 MWh × 133.211366 = 11.692152 EUR</v>
      </c>
      <c r="BJ47" s="1" t="str">
        <f t="shared" si="18"/>
        <v>零下调激活电量</v>
      </c>
      <c r="BK47" s="1" t="str">
        <f t="shared" si="19"/>
        <v>0.000000 + 662.245345 + 43.233663 + 0.000000 + 11.692152 + 0.000000 = 717.171160 EUR</v>
      </c>
    </row>
    <row r="48" spans="1:63" ht="21" customHeight="1" x14ac:dyDescent="0.45">
      <c r="A48" s="13">
        <f>原始输入与口径!C48</f>
        <v>46235.40625</v>
      </c>
      <c r="B48" s="15">
        <f>IF(ISNUMBER(原始输入与口径!H48),原始输入与口径!H48,"缺失")</f>
        <v>13.07</v>
      </c>
      <c r="C48" s="15">
        <f>IF(ISNUMBER(原始输入与口径!R48),原始输入与口径!R48,"缺失")</f>
        <v>66.224534522516336</v>
      </c>
      <c r="D48" s="15">
        <f>IF(ISNUMBER(原始输入与口径!W48),原始输入与口径!W48,"缺失")</f>
        <v>7.2056105044499077</v>
      </c>
      <c r="E48" s="15">
        <f>IF(ISNUMBER(原始输入与口径!AB48),原始输入与口径!AB48,"缺失")</f>
        <v>2.3250052407905017</v>
      </c>
      <c r="F48" s="15">
        <f>IF(ISNUMBER(原始输入与口径!AG48),原始输入与口径!AG48,"缺失")</f>
        <v>133.21136584529185</v>
      </c>
      <c r="G48" s="15">
        <f>IF(ISNUMBER(原始输入与口径!AJ48),原始输入与口径!AJ48,"缺失")</f>
        <v>69.0158748308654</v>
      </c>
      <c r="H48" s="15" t="str">
        <f t="shared" si="0"/>
        <v>未模拟</v>
      </c>
      <c r="I48" s="16">
        <f>原始输入与口径!CD48</f>
        <v>31.739130434782645</v>
      </c>
      <c r="J48" s="16">
        <f>原始输入与口径!CE48</f>
        <v>45.437436263354073</v>
      </c>
      <c r="K48" s="16">
        <f>原始输入与口径!BZ48</f>
        <v>-60</v>
      </c>
      <c r="L48" s="16">
        <f>原始输入与口径!CK48</f>
        <v>40</v>
      </c>
      <c r="M48" s="16">
        <f>原始输入与口径!BT48</f>
        <v>24</v>
      </c>
      <c r="N48" s="16">
        <f>原始输入与口径!BJ48</f>
        <v>0</v>
      </c>
      <c r="O48" s="16">
        <f t="shared" si="20"/>
        <v>0.11053714285714286</v>
      </c>
      <c r="P48" s="16">
        <f t="shared" si="1"/>
        <v>0</v>
      </c>
      <c r="Q48" s="17">
        <f t="shared" si="2"/>
        <v>-196.05</v>
      </c>
      <c r="R48" s="17">
        <f t="shared" si="3"/>
        <v>662.24534522516342</v>
      </c>
      <c r="S48" s="17">
        <f t="shared" si="4"/>
        <v>43.233663026699446</v>
      </c>
      <c r="T48" s="17">
        <f t="shared" si="5"/>
        <v>0</v>
      </c>
      <c r="U48" s="17">
        <f t="shared" si="21"/>
        <v>14.724803776636147</v>
      </c>
      <c r="V48" s="17">
        <f t="shared" si="6"/>
        <v>0</v>
      </c>
      <c r="W48" s="17">
        <f t="shared" si="7"/>
        <v>524.15381202849903</v>
      </c>
      <c r="X48" s="12">
        <f>原始输入与口径!CP48</f>
        <v>524.15381202849903</v>
      </c>
      <c r="Y48" s="19">
        <f t="shared" si="8"/>
        <v>0</v>
      </c>
      <c r="Z48" s="12" t="str">
        <f t="shared" si="22"/>
        <v>当日执行</v>
      </c>
      <c r="AA48" s="12">
        <f>IF(原始输入与口径!AW48,1,0)</f>
        <v>1</v>
      </c>
      <c r="AB48" s="12">
        <f>IF(原始输入与口径!AY48,1,0)</f>
        <v>1</v>
      </c>
      <c r="AC48" s="12">
        <f>原始输入与口径!$F$5</f>
        <v>0.25</v>
      </c>
      <c r="AD48" s="18">
        <f>原始输入与口径!CG48</f>
        <v>0.3125</v>
      </c>
      <c r="AE48" s="18">
        <f>原始输入与口径!BQ48</f>
        <v>0.13714285714285715</v>
      </c>
      <c r="AF48" s="18">
        <f t="shared" si="10"/>
        <v>1.8422857142857144E-2</v>
      </c>
      <c r="AG48" s="18">
        <f t="shared" si="11"/>
        <v>3.497142857142857E-2</v>
      </c>
      <c r="AH48" s="12">
        <f>IF(ISNUMBER(原始输入与口径!T48),原始输入与口径!T48,"缺失")</f>
        <v>175</v>
      </c>
      <c r="AI48" s="12">
        <f>IF(ISNUMBER(原始输入与口径!Y48),原始输入与口径!Y48,"缺失")</f>
        <v>175</v>
      </c>
      <c r="AJ48" s="12">
        <f>IF(ISNUMBER(原始输入与口径!AI48),原始输入与口径!AI48,"缺失")</f>
        <v>0.80600000000000005</v>
      </c>
      <c r="AK48" s="12">
        <f>IF(ISNUMBER(原始输入与口径!AL48),原始输入与口径!AL48,"缺失")</f>
        <v>1.53</v>
      </c>
      <c r="AL48" s="12">
        <f>IF(ISNUMBER(原始输入与口径!O48),原始输入与口径!O48,"缺失")</f>
        <v>91.903999999999996</v>
      </c>
      <c r="AM48" s="12">
        <f>SUMIFS(相位SOC复算!$N$9:$N$929,相位SOC复算!$S$9:$S$929,40)</f>
        <v>3.8050849523809521E-2</v>
      </c>
      <c r="AN48" s="12">
        <f>SUMIFS(相位SOC复算!$Q$9:$Q$929,相位SOC复算!$S$9:$S$929,40)</f>
        <v>14.889462857142856</v>
      </c>
      <c r="AO48" s="12">
        <f>SUMIFS(相位SOC复算!$R$9:$R$929,相位SOC复算!$S$9:$S$929,40)</f>
        <v>0</v>
      </c>
      <c r="AP48" s="12">
        <f>相位SOC复算!J97</f>
        <v>45.437436263354073</v>
      </c>
      <c r="AQ48" s="19">
        <f t="shared" si="12"/>
        <v>0</v>
      </c>
      <c r="AR48" s="12">
        <f>IF(ISBLANK(原始输入与口径!M48),"",原始输入与口径!M48)</f>
        <v>5.2473000000000001</v>
      </c>
      <c r="AS48" s="14">
        <f>IF(ISBLANK(原始输入与口径!L48),"",原始输入与口径!L48)</f>
        <v>46234</v>
      </c>
      <c r="AT48" s="13">
        <f>IF(ISBLANK(原始输入与口径!A48),"",原始输入与口径!A48)</f>
        <v>46235.28125</v>
      </c>
      <c r="AU48" s="12" t="str">
        <f>IF(ISBLANK(原始输入与口径!I48),"",原始输入与口径!I48)</f>
        <v>2026-08-01_36</v>
      </c>
      <c r="AV48" s="12">
        <f>IF(ISBLANK(原始输入与口径!J48),"",原始输入与口径!J48)</f>
        <v>15</v>
      </c>
      <c r="AW48" s="12" t="str">
        <f>IF(ISBLANK(原始输入与口径!BB48),"",原始输入与口径!BB48)</f>
        <v>OK</v>
      </c>
      <c r="AX48" s="12">
        <f>原始输入与口径!CI48</f>
        <v>128</v>
      </c>
      <c r="AY48" s="12">
        <f>原始输入与口径!BS48</f>
        <v>175</v>
      </c>
      <c r="AZ48" s="12">
        <f>原始输入与口径!BI48</f>
        <v>175</v>
      </c>
      <c r="BA48" s="12">
        <f>原始输入与口径!CM48</f>
        <v>40</v>
      </c>
      <c r="BB48" s="12">
        <f>原始输入与口径!BV48</f>
        <v>24</v>
      </c>
      <c r="BC48" s="12">
        <f>原始输入与口径!BL48</f>
        <v>24</v>
      </c>
      <c r="BD48" s="14">
        <f>46235</f>
        <v>46235</v>
      </c>
      <c r="BE48" s="1" t="str">
        <f t="shared" si="13"/>
        <v>-60.000000 MW × 13.070000 × 0.250000 h = -196.050000 EUR</v>
      </c>
      <c r="BF48" s="1" t="str">
        <f t="shared" si="14"/>
        <v>40.000000 MW × 66.224535 × 0.250000 h = 662.245345 EUR</v>
      </c>
      <c r="BG48" s="1" t="str">
        <f t="shared" si="15"/>
        <v>24.000000 MW × 7.205611 × 0.250000 h = 43.233663 EUR</v>
      </c>
      <c r="BH48" s="1" t="str">
        <f t="shared" si="16"/>
        <v>零头寸，无结算现金</v>
      </c>
      <c r="BI48" s="1" t="str">
        <f t="shared" si="17"/>
        <v>0.110537 MWh × 133.211366 = 14.724804 EUR</v>
      </c>
      <c r="BJ48" s="1" t="str">
        <f t="shared" si="18"/>
        <v>零下调激活电量</v>
      </c>
      <c r="BK48" s="1" t="str">
        <f t="shared" si="19"/>
        <v>-196.050000 + 662.245345 + 43.233663 + 0.000000 + 14.724804 + 0.000000 = 524.153812 EUR</v>
      </c>
    </row>
    <row r="49" spans="1:63" ht="21" customHeight="1" x14ac:dyDescent="0.45">
      <c r="A49" s="13">
        <f>原始输入与口径!C49</f>
        <v>46235.416666666664</v>
      </c>
      <c r="B49" s="15">
        <f>IF(ISNUMBER(原始输入与口径!H49),原始输入与口径!H49,"缺失")</f>
        <v>145.41</v>
      </c>
      <c r="C49" s="15">
        <f>IF(ISNUMBER(原始输入与口径!R49),原始输入与口径!R49,"缺失")</f>
        <v>66.224534522516336</v>
      </c>
      <c r="D49" s="15">
        <f>IF(ISNUMBER(原始输入与口径!W49),原始输入与口径!W49,"缺失")</f>
        <v>5.2655651477902916</v>
      </c>
      <c r="E49" s="15">
        <f>IF(ISNUMBER(原始输入与口径!AB49),原始输入与口径!AB49,"缺失")</f>
        <v>3.0015436510205249</v>
      </c>
      <c r="F49" s="15">
        <f>IF(ISNUMBER(原始输入与口径!AG49),原始输入与口径!AG49,"缺失")</f>
        <v>133.30303203552302</v>
      </c>
      <c r="G49" s="15">
        <f>IF(ISNUMBER(原始输入与口径!AJ49),原始输入与口径!AJ49,"缺失")</f>
        <v>76.229680025918086</v>
      </c>
      <c r="H49" s="15" t="str">
        <f t="shared" si="0"/>
        <v>未模拟</v>
      </c>
      <c r="I49" s="16">
        <f>原始输入与口径!CD49</f>
        <v>45.437436263354073</v>
      </c>
      <c r="J49" s="16">
        <f>原始输入与口径!CE49</f>
        <v>32.850392785093206</v>
      </c>
      <c r="K49" s="16">
        <f>原始输入与口径!BZ49</f>
        <v>46</v>
      </c>
      <c r="L49" s="16">
        <f>原始输入与口径!CK49</f>
        <v>40</v>
      </c>
      <c r="M49" s="16">
        <f>原始输入与口径!BT49</f>
        <v>14</v>
      </c>
      <c r="N49" s="16">
        <f>原始输入与口径!BJ49</f>
        <v>0</v>
      </c>
      <c r="O49" s="16">
        <f t="shared" si="20"/>
        <v>8.0079999999999985E-2</v>
      </c>
      <c r="P49" s="16">
        <f t="shared" si="1"/>
        <v>0</v>
      </c>
      <c r="Q49" s="17">
        <f t="shared" si="2"/>
        <v>1672.2149999999999</v>
      </c>
      <c r="R49" s="17">
        <f t="shared" si="3"/>
        <v>662.24534522516342</v>
      </c>
      <c r="S49" s="17">
        <f t="shared" si="4"/>
        <v>18.429478017266021</v>
      </c>
      <c r="T49" s="17">
        <f t="shared" si="5"/>
        <v>0</v>
      </c>
      <c r="U49" s="17">
        <f t="shared" si="21"/>
        <v>10.674906805404682</v>
      </c>
      <c r="V49" s="17">
        <f t="shared" si="6"/>
        <v>0</v>
      </c>
      <c r="W49" s="17">
        <f t="shared" si="7"/>
        <v>2363.5647300478336</v>
      </c>
      <c r="X49" s="12">
        <f>原始输入与口径!CP49</f>
        <v>2363.564730047834</v>
      </c>
      <c r="Y49" s="19">
        <f t="shared" si="8"/>
        <v>0</v>
      </c>
      <c r="Z49" s="12" t="str">
        <f t="shared" si="22"/>
        <v>当日执行</v>
      </c>
      <c r="AA49" s="12">
        <f>IF(原始输入与口径!AW49,1,0)</f>
        <v>1</v>
      </c>
      <c r="AB49" s="12">
        <f>IF(原始输入与口径!AY49,1,0)</f>
        <v>1</v>
      </c>
      <c r="AC49" s="12">
        <f>原始输入与口径!$F$5</f>
        <v>0.25</v>
      </c>
      <c r="AD49" s="18">
        <f>原始输入与口径!CG49</f>
        <v>0.3125</v>
      </c>
      <c r="AE49" s="18">
        <f>原始输入与口径!BQ49</f>
        <v>0.13714285714285715</v>
      </c>
      <c r="AF49" s="18">
        <f t="shared" si="10"/>
        <v>2.2879999999999998E-2</v>
      </c>
      <c r="AG49" s="18">
        <f t="shared" si="11"/>
        <v>1.2777142857142858E-2</v>
      </c>
      <c r="AH49" s="12">
        <f>IF(ISNUMBER(原始输入与口径!T49),原始输入与口径!T49,"缺失")</f>
        <v>175</v>
      </c>
      <c r="AI49" s="12">
        <f>IF(ISNUMBER(原始输入与口径!Y49),原始输入与口径!Y49,"缺失")</f>
        <v>175</v>
      </c>
      <c r="AJ49" s="12">
        <f>IF(ISNUMBER(原始输入与口径!AI49),原始输入与口径!AI49,"缺失")</f>
        <v>1.0009999999999999</v>
      </c>
      <c r="AK49" s="12">
        <f>IF(ISNUMBER(原始输入与口径!AL49),原始输入与口径!AL49,"缺失")</f>
        <v>0.55900000000000005</v>
      </c>
      <c r="AL49" s="12">
        <f>IF(ISNUMBER(原始输入与口径!O49),原始输入与口径!O49,"缺失")</f>
        <v>91.903999999999996</v>
      </c>
      <c r="AM49" s="12">
        <f>SUMIFS(相位SOC复算!$N$9:$N$929,相位SOC复算!$S$9:$S$929,41)</f>
        <v>3.496400966183575E-2</v>
      </c>
      <c r="AN49" s="12">
        <f>SUMIFS(相位SOC复算!$Q$9:$Q$929,相位SOC复算!$S$9:$S$929,41)</f>
        <v>0</v>
      </c>
      <c r="AO49" s="12">
        <f>SUMIFS(相位SOC复算!$R$9:$R$929,相位SOC复算!$S$9:$S$929,41)</f>
        <v>11.580079999999999</v>
      </c>
      <c r="AP49" s="12">
        <f>相位SOC复算!J100</f>
        <v>32.850392785093206</v>
      </c>
      <c r="AQ49" s="19">
        <f t="shared" si="12"/>
        <v>0</v>
      </c>
      <c r="AR49" s="12">
        <f>IF(ISBLANK(原始输入与口径!M49),"",原始输入与口径!M49)</f>
        <v>5.2473000000000001</v>
      </c>
      <c r="AS49" s="14">
        <f>IF(ISBLANK(原始输入与口径!L49),"",原始输入与口径!L49)</f>
        <v>46234</v>
      </c>
      <c r="AT49" s="13">
        <f>IF(ISBLANK(原始输入与口径!A49),"",原始输入与口径!A49)</f>
        <v>46235.291666666664</v>
      </c>
      <c r="AU49" s="12" t="str">
        <f>IF(ISBLANK(原始输入与口径!I49),"",原始输入与口径!I49)</f>
        <v>2026-08-01_37</v>
      </c>
      <c r="AV49" s="12">
        <f>IF(ISBLANK(原始输入与口径!J49),"",原始输入与口径!J49)</f>
        <v>15</v>
      </c>
      <c r="AW49" s="12" t="str">
        <f>IF(ISBLANK(原始输入与口径!BB49),"",原始输入与口径!BB49)</f>
        <v>OK</v>
      </c>
      <c r="AX49" s="12">
        <f>原始输入与口径!CI49</f>
        <v>128</v>
      </c>
      <c r="AY49" s="12">
        <f>原始输入与口径!BS49</f>
        <v>175</v>
      </c>
      <c r="AZ49" s="12">
        <f>原始输入与口径!BI49</f>
        <v>175</v>
      </c>
      <c r="BA49" s="12">
        <f>原始输入与口径!CM49</f>
        <v>40</v>
      </c>
      <c r="BB49" s="12">
        <f>原始输入与口径!BV49</f>
        <v>24</v>
      </c>
      <c r="BC49" s="12">
        <f>原始输入与口径!BL49</f>
        <v>24</v>
      </c>
      <c r="BD49" s="14">
        <f>46235</f>
        <v>46235</v>
      </c>
      <c r="BE49" s="1" t="str">
        <f t="shared" si="13"/>
        <v>46.000000 MW × 145.410000 × 0.250000 h = 1672.215000 EUR</v>
      </c>
      <c r="BF49" s="1" t="str">
        <f t="shared" si="14"/>
        <v>40.000000 MW × 66.224535 × 0.250000 h = 662.245345 EUR</v>
      </c>
      <c r="BG49" s="1" t="str">
        <f t="shared" si="15"/>
        <v>14.000000 MW × 5.265565 × 0.250000 h = 18.429478 EUR</v>
      </c>
      <c r="BH49" s="1" t="str">
        <f t="shared" si="16"/>
        <v>零头寸，无结算现金</v>
      </c>
      <c r="BI49" s="1" t="str">
        <f t="shared" si="17"/>
        <v>0.080080 MWh × 133.303032 = 10.674907 EUR</v>
      </c>
      <c r="BJ49" s="1" t="str">
        <f t="shared" si="18"/>
        <v>零下调激活电量</v>
      </c>
      <c r="BK49" s="1" t="str">
        <f t="shared" si="19"/>
        <v>1672.215000 + 662.245345 + 18.429478 + 0.000000 + 10.674907 + 0.000000 = 2363.564730 EUR</v>
      </c>
    </row>
    <row r="50" spans="1:63" ht="21" customHeight="1" x14ac:dyDescent="0.45">
      <c r="A50" s="13">
        <f>原始输入与口径!C50</f>
        <v>46235.427083333336</v>
      </c>
      <c r="B50" s="15">
        <f>IF(ISNUMBER(原始输入与口径!H50),原始输入与口径!H50,"缺失")</f>
        <v>66.069999999999993</v>
      </c>
      <c r="C50" s="15">
        <f>IF(ISNUMBER(原始输入与口径!R50),原始输入与口径!R50,"缺失")</f>
        <v>66.224534522516336</v>
      </c>
      <c r="D50" s="15">
        <f>IF(ISNUMBER(原始输入与口径!W50),原始输入与口径!W50,"缺失")</f>
        <v>5.2655651477902916</v>
      </c>
      <c r="E50" s="15">
        <f>IF(ISNUMBER(原始输入与口径!AB50),原始输入与口径!AB50,"缺失")</f>
        <v>3.0015436510205249</v>
      </c>
      <c r="F50" s="15">
        <f>IF(ISNUMBER(原始输入与口径!AG50),原始输入与口径!AG50,"缺失")</f>
        <v>176.61978541345073</v>
      </c>
      <c r="G50" s="15">
        <f>IF(ISNUMBER(原始输入与口径!AJ50),原始输入与口径!AJ50,"缺失")</f>
        <v>0</v>
      </c>
      <c r="H50" s="15" t="str">
        <f t="shared" si="0"/>
        <v>未模拟</v>
      </c>
      <c r="I50" s="16">
        <f>原始输入与口径!CD50</f>
        <v>32.850392785093206</v>
      </c>
      <c r="J50" s="16">
        <f>原始输入与口径!CE50</f>
        <v>32.15830155527955</v>
      </c>
      <c r="K50" s="16">
        <f>原始输入与口径!BZ50</f>
        <v>-2.7359899018512621</v>
      </c>
      <c r="L50" s="16">
        <f>原始输入与口径!CK50</f>
        <v>40</v>
      </c>
      <c r="M50" s="16">
        <f>原始输入与口径!BT50</f>
        <v>14</v>
      </c>
      <c r="N50" s="16">
        <f>原始输入与口径!BJ50</f>
        <v>0</v>
      </c>
      <c r="O50" s="16">
        <f t="shared" si="20"/>
        <v>1.2532799999999999</v>
      </c>
      <c r="P50" s="16">
        <f t="shared" si="1"/>
        <v>0</v>
      </c>
      <c r="Q50" s="17">
        <f t="shared" si="2"/>
        <v>-45.191713203828215</v>
      </c>
      <c r="R50" s="17">
        <f t="shared" si="3"/>
        <v>662.24534522516342</v>
      </c>
      <c r="S50" s="17">
        <f t="shared" si="4"/>
        <v>18.429478017266021</v>
      </c>
      <c r="T50" s="17">
        <f t="shared" si="5"/>
        <v>0</v>
      </c>
      <c r="U50" s="17">
        <f t="shared" si="21"/>
        <v>221.35404466296953</v>
      </c>
      <c r="V50" s="17">
        <f t="shared" si="6"/>
        <v>0</v>
      </c>
      <c r="W50" s="17">
        <f t="shared" si="7"/>
        <v>856.83715470157074</v>
      </c>
      <c r="X50" s="12">
        <f>原始输入与口径!CP50</f>
        <v>856.83715470157074</v>
      </c>
      <c r="Y50" s="19">
        <f t="shared" si="8"/>
        <v>0</v>
      </c>
      <c r="Z50" s="12" t="str">
        <f t="shared" si="22"/>
        <v>当日执行</v>
      </c>
      <c r="AA50" s="12">
        <f>IF(原始输入与口径!AW50,1,0)</f>
        <v>1</v>
      </c>
      <c r="AB50" s="12">
        <f>IF(原始输入与口径!AY50,1,0)</f>
        <v>1</v>
      </c>
      <c r="AC50" s="12">
        <f>原始输入与口径!$F$5</f>
        <v>0.25</v>
      </c>
      <c r="AD50" s="18">
        <f>原始输入与口径!CG50</f>
        <v>0.3125</v>
      </c>
      <c r="AE50" s="18">
        <f>原始输入与口径!BQ50</f>
        <v>0.13714285714285715</v>
      </c>
      <c r="AF50" s="18">
        <f t="shared" si="10"/>
        <v>0.35808000000000001</v>
      </c>
      <c r="AG50" s="18">
        <f t="shared" si="11"/>
        <v>0</v>
      </c>
      <c r="AH50" s="12">
        <f>IF(ISNUMBER(原始输入与口径!T50),原始输入与口径!T50,"缺失")</f>
        <v>175</v>
      </c>
      <c r="AI50" s="12">
        <f>IF(ISNUMBER(原始输入与口径!Y50),原始输入与口径!Y50,"缺失")</f>
        <v>175</v>
      </c>
      <c r="AJ50" s="12">
        <f>IF(ISNUMBER(原始输入与口径!AI50),原始输入与口径!AI50,"缺失")</f>
        <v>15.666</v>
      </c>
      <c r="AK50" s="12">
        <f>IF(ISNUMBER(原始输入与口径!AL50),原始输入与口径!AL50,"缺失")</f>
        <v>0</v>
      </c>
      <c r="AL50" s="12">
        <f>IF(ISNUMBER(原始输入与口径!O50),原始输入与口径!O50,"缺失")</f>
        <v>91.903999999999996</v>
      </c>
      <c r="AM50" s="12">
        <f>SUMIFS(相位SOC复算!$N$9:$N$929,相位SOC复算!$S$9:$S$929,42)</f>
        <v>4.1666196755555107E-3</v>
      </c>
      <c r="AN50" s="12">
        <f>SUMIFS(相位SOC复算!$Q$9:$Q$929,相位SOC复算!$S$9:$S$929,42)</f>
        <v>0.4390716594490906</v>
      </c>
      <c r="AO50" s="12">
        <f>SUMIFS(相位SOC复算!$R$9:$R$929,相位SOC复算!$S$9:$S$929,42)</f>
        <v>1.0083541839862751</v>
      </c>
      <c r="AP50" s="12">
        <f>相位SOC复算!J102</f>
        <v>32.15830155527955</v>
      </c>
      <c r="AQ50" s="19">
        <f t="shared" si="12"/>
        <v>0</v>
      </c>
      <c r="AR50" s="12">
        <f>IF(ISBLANK(原始输入与口径!M50),"",原始输入与口径!M50)</f>
        <v>5.2473000000000001</v>
      </c>
      <c r="AS50" s="14">
        <f>IF(ISBLANK(原始输入与口径!L50),"",原始输入与口径!L50)</f>
        <v>46234</v>
      </c>
      <c r="AT50" s="13">
        <f>IF(ISBLANK(原始输入与口径!A50),"",原始输入与口径!A50)</f>
        <v>46235.302083333336</v>
      </c>
      <c r="AU50" s="12" t="str">
        <f>IF(ISBLANK(原始输入与口径!I50),"",原始输入与口径!I50)</f>
        <v>2026-08-01_38</v>
      </c>
      <c r="AV50" s="12">
        <f>IF(ISBLANK(原始输入与口径!J50),"",原始输入与口径!J50)</f>
        <v>15</v>
      </c>
      <c r="AW50" s="12" t="str">
        <f>IF(ISBLANK(原始输入与口径!BB50),"",原始输入与口径!BB50)</f>
        <v>OK</v>
      </c>
      <c r="AX50" s="12">
        <f>原始输入与口径!CI50</f>
        <v>128</v>
      </c>
      <c r="AY50" s="12">
        <f>原始输入与口径!BS50</f>
        <v>175</v>
      </c>
      <c r="AZ50" s="12">
        <f>原始输入与口径!BI50</f>
        <v>175</v>
      </c>
      <c r="BA50" s="12">
        <f>原始输入与口径!CM50</f>
        <v>40</v>
      </c>
      <c r="BB50" s="12">
        <f>原始输入与口径!BV50</f>
        <v>24</v>
      </c>
      <c r="BC50" s="12">
        <f>原始输入与口径!BL50</f>
        <v>24</v>
      </c>
      <c r="BD50" s="14">
        <f>46235</f>
        <v>46235</v>
      </c>
      <c r="BE50" s="1" t="str">
        <f t="shared" si="13"/>
        <v>-2.735990 MW × 66.070000 × 0.250000 h = -45.191713 EUR</v>
      </c>
      <c r="BF50" s="1" t="str">
        <f t="shared" si="14"/>
        <v>40.000000 MW × 66.224535 × 0.250000 h = 662.245345 EUR</v>
      </c>
      <c r="BG50" s="1" t="str">
        <f t="shared" si="15"/>
        <v>14.000000 MW × 5.265565 × 0.250000 h = 18.429478 EUR</v>
      </c>
      <c r="BH50" s="1" t="str">
        <f t="shared" si="16"/>
        <v>零头寸，无结算现金</v>
      </c>
      <c r="BI50" s="1" t="str">
        <f t="shared" si="17"/>
        <v>1.253280 MWh × 176.619785 = 221.354045 EUR</v>
      </c>
      <c r="BJ50" s="1" t="str">
        <f t="shared" si="18"/>
        <v>零下调激活电量</v>
      </c>
      <c r="BK50" s="1" t="str">
        <f t="shared" si="19"/>
        <v>-45.191713 + 662.245345 + 18.429478 + 0.000000 + 221.354045 + 0.000000 = 856.837155 EUR</v>
      </c>
    </row>
    <row r="51" spans="1:63" ht="21" customHeight="1" x14ac:dyDescent="0.45">
      <c r="A51" s="13">
        <f>原始输入与口径!C51</f>
        <v>46235.4375</v>
      </c>
      <c r="B51" s="15">
        <f>IF(ISNUMBER(原始输入与口径!H51),原始输入与口径!H51,"缺失")</f>
        <v>13.26</v>
      </c>
      <c r="C51" s="15">
        <f>IF(ISNUMBER(原始输入与口径!R51),原始输入与口径!R51,"缺失")</f>
        <v>66.224534522516336</v>
      </c>
      <c r="D51" s="15">
        <f>IF(ISNUMBER(原始输入与口径!W51),原始输入与口径!W51,"缺失")</f>
        <v>5.2655651477902916</v>
      </c>
      <c r="E51" s="15">
        <f>IF(ISNUMBER(原始输入与口径!AB51),原始输入与口径!AB51,"缺失")</f>
        <v>3.0015436510205249</v>
      </c>
      <c r="F51" s="15">
        <f>IF(ISNUMBER(原始输入与口径!AG51),原始输入与口径!AG51,"缺失")</f>
        <v>145.5032111752711</v>
      </c>
      <c r="G51" s="15">
        <f>IF(ISNUMBER(原始输入与口径!AJ51),原始输入与口径!AJ51,"缺失")</f>
        <v>0</v>
      </c>
      <c r="H51" s="15" t="str">
        <f t="shared" si="0"/>
        <v>未模拟</v>
      </c>
      <c r="I51" s="16">
        <f>原始输入与口径!CD51</f>
        <v>32.15830155527955</v>
      </c>
      <c r="J51" s="16">
        <f>原始输入与口径!CE51</f>
        <v>45.491015155279555</v>
      </c>
      <c r="K51" s="16">
        <f>原始输入与口径!BZ51</f>
        <v>-60</v>
      </c>
      <c r="L51" s="16">
        <f>原始输入与口径!CK51</f>
        <v>40</v>
      </c>
      <c r="M51" s="16">
        <f>原始输入与口径!BT51</f>
        <v>14</v>
      </c>
      <c r="N51" s="16">
        <f>原始输入与口径!BJ51</f>
        <v>0</v>
      </c>
      <c r="O51" s="16">
        <f t="shared" si="20"/>
        <v>0.50792000000000004</v>
      </c>
      <c r="P51" s="16">
        <f t="shared" si="1"/>
        <v>0</v>
      </c>
      <c r="Q51" s="17">
        <f t="shared" si="2"/>
        <v>-198.9</v>
      </c>
      <c r="R51" s="17">
        <f t="shared" si="3"/>
        <v>662.24534522516342</v>
      </c>
      <c r="S51" s="17">
        <f t="shared" si="4"/>
        <v>18.429478017266021</v>
      </c>
      <c r="T51" s="17">
        <f t="shared" si="5"/>
        <v>0</v>
      </c>
      <c r="U51" s="17">
        <f t="shared" si="21"/>
        <v>73.903991020143707</v>
      </c>
      <c r="V51" s="17">
        <f t="shared" si="6"/>
        <v>0</v>
      </c>
      <c r="W51" s="17">
        <f t="shared" si="7"/>
        <v>555.67881426257316</v>
      </c>
      <c r="X51" s="12">
        <f>原始输入与口径!CP51</f>
        <v>555.67881426257316</v>
      </c>
      <c r="Y51" s="19">
        <f t="shared" si="8"/>
        <v>0</v>
      </c>
      <c r="Z51" s="12" t="str">
        <f t="shared" si="22"/>
        <v>当日执行</v>
      </c>
      <c r="AA51" s="12">
        <f>IF(原始输入与口径!AW51,1,0)</f>
        <v>1</v>
      </c>
      <c r="AB51" s="12">
        <f>IF(原始输入与口径!AY51,1,0)</f>
        <v>1</v>
      </c>
      <c r="AC51" s="12">
        <f>原始输入与口径!$F$5</f>
        <v>0.25</v>
      </c>
      <c r="AD51" s="18">
        <f>原始输入与口径!CG51</f>
        <v>0.3125</v>
      </c>
      <c r="AE51" s="18">
        <f>原始输入与口径!BQ51</f>
        <v>0.13714285714285715</v>
      </c>
      <c r="AF51" s="18">
        <f t="shared" si="10"/>
        <v>0.14512</v>
      </c>
      <c r="AG51" s="18">
        <f t="shared" si="11"/>
        <v>0</v>
      </c>
      <c r="AH51" s="12">
        <f>IF(ISNUMBER(原始输入与口径!T51),原始输入与口径!T51,"缺失")</f>
        <v>175</v>
      </c>
      <c r="AI51" s="12">
        <f>IF(ISNUMBER(原始输入与口径!Y51),原始输入与口径!Y51,"缺失")</f>
        <v>175</v>
      </c>
      <c r="AJ51" s="12">
        <f>IF(ISNUMBER(原始输入与口径!AI51),原始输入与口径!AI51,"缺失")</f>
        <v>6.3490000000000002</v>
      </c>
      <c r="AK51" s="12">
        <f>IF(ISNUMBER(原始输入与口径!AL51),原始输入与口径!AL51,"缺失")</f>
        <v>0</v>
      </c>
      <c r="AL51" s="12">
        <f>IF(ISNUMBER(原始输入与口径!O51),原始输入与口径!O51,"缺失")</f>
        <v>91.903999999999996</v>
      </c>
      <c r="AM51" s="12">
        <f>SUMIFS(相位SOC复算!$N$9:$N$929,相位SOC复算!$S$9:$S$929,43)</f>
        <v>3.7035315555555559E-2</v>
      </c>
      <c r="AN51" s="12">
        <f>SUMIFS(相位SOC复算!$Q$9:$Q$929,相位SOC复算!$S$9:$S$929,43)</f>
        <v>14.49208</v>
      </c>
      <c r="AO51" s="12">
        <f>SUMIFS(相位SOC复算!$R$9:$R$929,相位SOC复算!$S$9:$S$929,43)</f>
        <v>0</v>
      </c>
      <c r="AP51" s="12">
        <f>相位SOC复算!J104</f>
        <v>45.491015155279555</v>
      </c>
      <c r="AQ51" s="19">
        <f t="shared" si="12"/>
        <v>0</v>
      </c>
      <c r="AR51" s="12">
        <f>IF(ISBLANK(原始输入与口径!M51),"",原始输入与口径!M51)</f>
        <v>5.2473000000000001</v>
      </c>
      <c r="AS51" s="14">
        <f>IF(ISBLANK(原始输入与口径!L51),"",原始输入与口径!L51)</f>
        <v>46234</v>
      </c>
      <c r="AT51" s="13">
        <f>IF(ISBLANK(原始输入与口径!A51),"",原始输入与口径!A51)</f>
        <v>46235.3125</v>
      </c>
      <c r="AU51" s="12" t="str">
        <f>IF(ISBLANK(原始输入与口径!I51),"",原始输入与口径!I51)</f>
        <v>2026-08-01_39</v>
      </c>
      <c r="AV51" s="12">
        <f>IF(ISBLANK(原始输入与口径!J51),"",原始输入与口径!J51)</f>
        <v>15</v>
      </c>
      <c r="AW51" s="12" t="str">
        <f>IF(ISBLANK(原始输入与口径!BB51),"",原始输入与口径!BB51)</f>
        <v>OK</v>
      </c>
      <c r="AX51" s="12">
        <f>原始输入与口径!CI51</f>
        <v>128</v>
      </c>
      <c r="AY51" s="12">
        <f>原始输入与口径!BS51</f>
        <v>175</v>
      </c>
      <c r="AZ51" s="12">
        <f>原始输入与口径!BI51</f>
        <v>175</v>
      </c>
      <c r="BA51" s="12">
        <f>原始输入与口径!CM51</f>
        <v>40</v>
      </c>
      <c r="BB51" s="12">
        <f>原始输入与口径!BV51</f>
        <v>24</v>
      </c>
      <c r="BC51" s="12">
        <f>原始输入与口径!BL51</f>
        <v>24</v>
      </c>
      <c r="BD51" s="14">
        <f>46235</f>
        <v>46235</v>
      </c>
      <c r="BE51" s="1" t="str">
        <f t="shared" si="13"/>
        <v>-60.000000 MW × 13.260000 × 0.250000 h = -198.900000 EUR</v>
      </c>
      <c r="BF51" s="1" t="str">
        <f t="shared" si="14"/>
        <v>40.000000 MW × 66.224535 × 0.250000 h = 662.245345 EUR</v>
      </c>
      <c r="BG51" s="1" t="str">
        <f t="shared" si="15"/>
        <v>14.000000 MW × 5.265565 × 0.250000 h = 18.429478 EUR</v>
      </c>
      <c r="BH51" s="1" t="str">
        <f t="shared" si="16"/>
        <v>零头寸，无结算现金</v>
      </c>
      <c r="BI51" s="1" t="str">
        <f t="shared" si="17"/>
        <v>0.507920 MWh × 145.503211 = 73.903991 EUR</v>
      </c>
      <c r="BJ51" s="1" t="str">
        <f t="shared" si="18"/>
        <v>零下调激活电量</v>
      </c>
      <c r="BK51" s="1" t="str">
        <f t="shared" si="19"/>
        <v>-198.900000 + 662.245345 + 18.429478 + 0.000000 + 73.903991 + 0.000000 = 555.678814 EUR</v>
      </c>
    </row>
    <row r="52" spans="1:63" ht="21" customHeight="1" x14ac:dyDescent="0.45">
      <c r="A52" s="13">
        <f>原始输入与口径!C52</f>
        <v>46235.447916666664</v>
      </c>
      <c r="B52" s="15">
        <f>IF(ISNUMBER(原始输入与口径!H52),原始输入与口径!H52,"缺失")</f>
        <v>14.62</v>
      </c>
      <c r="C52" s="15">
        <f>IF(ISNUMBER(原始输入与口径!R52),原始输入与口径!R52,"缺失")</f>
        <v>66.224534522516336</v>
      </c>
      <c r="D52" s="15">
        <f>IF(ISNUMBER(原始输入与口径!W52),原始输入与口径!W52,"缺失")</f>
        <v>5.2655651477902916</v>
      </c>
      <c r="E52" s="15">
        <f>IF(ISNUMBER(原始输入与口径!AB52),原始输入与口径!AB52,"缺失")</f>
        <v>3.0015436510205249</v>
      </c>
      <c r="F52" s="15">
        <f>IF(ISNUMBER(原始输入与口径!AG52),原始输入与口径!AG52,"缺失")</f>
        <v>133.21136584529185</v>
      </c>
      <c r="G52" s="15">
        <f>IF(ISNUMBER(原始输入与口径!AJ52),原始输入与口径!AJ52,"缺失")</f>
        <v>76.229680025918086</v>
      </c>
      <c r="H52" s="15" t="str">
        <f t="shared" si="0"/>
        <v>未模拟</v>
      </c>
      <c r="I52" s="16">
        <f>原始输入与口径!CD52</f>
        <v>45.491015155279555</v>
      </c>
      <c r="J52" s="16">
        <f>原始输入与口径!CE52</f>
        <v>59.284096755279556</v>
      </c>
      <c r="K52" s="16">
        <f>原始输入与口径!BZ52</f>
        <v>-60</v>
      </c>
      <c r="L52" s="16">
        <f>原始输入与口径!CK52</f>
        <v>40</v>
      </c>
      <c r="M52" s="16">
        <f>原始输入与口径!BT52</f>
        <v>14</v>
      </c>
      <c r="N52" s="16">
        <f>原始输入与口径!BJ52</f>
        <v>0</v>
      </c>
      <c r="O52" s="16">
        <f t="shared" si="20"/>
        <v>7.5199999999999998E-3</v>
      </c>
      <c r="P52" s="16">
        <f t="shared" si="1"/>
        <v>0</v>
      </c>
      <c r="Q52" s="17">
        <f t="shared" si="2"/>
        <v>-219.29999999999998</v>
      </c>
      <c r="R52" s="17">
        <f t="shared" si="3"/>
        <v>662.24534522516342</v>
      </c>
      <c r="S52" s="17">
        <f t="shared" si="4"/>
        <v>18.429478017266021</v>
      </c>
      <c r="T52" s="17">
        <f t="shared" si="5"/>
        <v>0</v>
      </c>
      <c r="U52" s="17">
        <f t="shared" si="21"/>
        <v>1.0017494711565946</v>
      </c>
      <c r="V52" s="17">
        <f t="shared" si="6"/>
        <v>0</v>
      </c>
      <c r="W52" s="17">
        <f t="shared" si="7"/>
        <v>462.37657271358609</v>
      </c>
      <c r="X52" s="12">
        <f>原始输入与口径!CP52</f>
        <v>462.37657271358603</v>
      </c>
      <c r="Y52" s="19">
        <f t="shared" si="8"/>
        <v>0</v>
      </c>
      <c r="Z52" s="12" t="str">
        <f t="shared" si="22"/>
        <v>当日执行</v>
      </c>
      <c r="AA52" s="12">
        <f>IF(原始输入与口径!AW52,1,0)</f>
        <v>1</v>
      </c>
      <c r="AB52" s="12">
        <f>IF(原始输入与口径!AY52,1,0)</f>
        <v>1</v>
      </c>
      <c r="AC52" s="12">
        <f>原始输入与口径!$F$5</f>
        <v>0.25</v>
      </c>
      <c r="AD52" s="18">
        <f>原始输入与口径!CG52</f>
        <v>0.3125</v>
      </c>
      <c r="AE52" s="18">
        <f>原始输入与口径!BQ52</f>
        <v>0.13714285714285715</v>
      </c>
      <c r="AF52" s="18">
        <f t="shared" si="10"/>
        <v>2.1485714285714285E-3</v>
      </c>
      <c r="AG52" s="18">
        <f t="shared" si="11"/>
        <v>2.8342857142857141E-3</v>
      </c>
      <c r="AH52" s="12">
        <f>IF(ISNUMBER(原始输入与口径!T52),原始输入与口径!T52,"缺失")</f>
        <v>175</v>
      </c>
      <c r="AI52" s="12">
        <f>IF(ISNUMBER(原始输入与口径!Y52),原始输入与口径!Y52,"缺失")</f>
        <v>175</v>
      </c>
      <c r="AJ52" s="12">
        <f>IF(ISNUMBER(原始输入与口径!AI52),原始输入与口径!AI52,"缺失")</f>
        <v>9.4E-2</v>
      </c>
      <c r="AK52" s="12">
        <f>IF(ISNUMBER(原始输入与口径!AL52),原始输入与口径!AL52,"缺失")</f>
        <v>0.124</v>
      </c>
      <c r="AL52" s="12">
        <f>IF(ISNUMBER(原始输入与口径!O52),原始输入与口径!O52,"缺失")</f>
        <v>91.903999999999996</v>
      </c>
      <c r="AM52" s="12">
        <f>SUMIFS(相位SOC复算!$N$9:$N$929,相位SOC复算!$S$9:$S$929,44)</f>
        <v>3.8314115555555563E-2</v>
      </c>
      <c r="AN52" s="12">
        <f>SUMIFS(相位SOC复算!$Q$9:$Q$929,相位SOC复算!$S$9:$S$929,44)</f>
        <v>14.99248</v>
      </c>
      <c r="AO52" s="12">
        <f>SUMIFS(相位SOC复算!$R$9:$R$929,相位SOC复算!$S$9:$S$929,44)</f>
        <v>0</v>
      </c>
      <c r="AP52" s="12">
        <f>相位SOC复算!J107</f>
        <v>59.284096755279556</v>
      </c>
      <c r="AQ52" s="19">
        <f t="shared" si="12"/>
        <v>0</v>
      </c>
      <c r="AR52" s="12">
        <f>IF(ISBLANK(原始输入与口径!M52),"",原始输入与口径!M52)</f>
        <v>5.2473000000000001</v>
      </c>
      <c r="AS52" s="14">
        <f>IF(ISBLANK(原始输入与口径!L52),"",原始输入与口径!L52)</f>
        <v>46234</v>
      </c>
      <c r="AT52" s="13">
        <f>IF(ISBLANK(原始输入与口径!A52),"",原始输入与口径!A52)</f>
        <v>46235.322916666664</v>
      </c>
      <c r="AU52" s="12" t="str">
        <f>IF(ISBLANK(原始输入与口径!I52),"",原始输入与口径!I52)</f>
        <v>2026-08-01_40</v>
      </c>
      <c r="AV52" s="12">
        <f>IF(ISBLANK(原始输入与口径!J52),"",原始输入与口径!J52)</f>
        <v>15</v>
      </c>
      <c r="AW52" s="12" t="str">
        <f>IF(ISBLANK(原始输入与口径!BB52),"",原始输入与口径!BB52)</f>
        <v>OK</v>
      </c>
      <c r="AX52" s="12">
        <f>原始输入与口径!CI52</f>
        <v>128</v>
      </c>
      <c r="AY52" s="12">
        <f>原始输入与口径!BS52</f>
        <v>175</v>
      </c>
      <c r="AZ52" s="12">
        <f>原始输入与口径!BI52</f>
        <v>175</v>
      </c>
      <c r="BA52" s="12">
        <f>原始输入与口径!CM52</f>
        <v>40</v>
      </c>
      <c r="BB52" s="12">
        <f>原始输入与口径!BV52</f>
        <v>24</v>
      </c>
      <c r="BC52" s="12">
        <f>原始输入与口径!BL52</f>
        <v>24</v>
      </c>
      <c r="BD52" s="14">
        <f>46235</f>
        <v>46235</v>
      </c>
      <c r="BE52" s="1" t="str">
        <f t="shared" si="13"/>
        <v>-60.000000 MW × 14.620000 × 0.250000 h = -219.300000 EUR</v>
      </c>
      <c r="BF52" s="1" t="str">
        <f t="shared" si="14"/>
        <v>40.000000 MW × 66.224535 × 0.250000 h = 662.245345 EUR</v>
      </c>
      <c r="BG52" s="1" t="str">
        <f t="shared" si="15"/>
        <v>14.000000 MW × 5.265565 × 0.250000 h = 18.429478 EUR</v>
      </c>
      <c r="BH52" s="1" t="str">
        <f t="shared" si="16"/>
        <v>零头寸，无结算现金</v>
      </c>
      <c r="BI52" s="1" t="str">
        <f t="shared" si="17"/>
        <v>0.007520 MWh × 133.211366 = 1.001749 EUR</v>
      </c>
      <c r="BJ52" s="1" t="str">
        <f t="shared" si="18"/>
        <v>零下调激活电量</v>
      </c>
      <c r="BK52" s="1" t="str">
        <f t="shared" si="19"/>
        <v>-219.300000 + 662.245345 + 18.429478 + 0.000000 + 1.001749 + 0.000000 = 462.376573 EUR</v>
      </c>
    </row>
    <row r="53" spans="1:63" ht="21" customHeight="1" x14ac:dyDescent="0.45">
      <c r="A53" s="13">
        <f>原始输入与口径!C53</f>
        <v>46235.458333333336</v>
      </c>
      <c r="B53" s="15">
        <f>IF(ISNUMBER(原始输入与口径!H53),原始输入与口径!H53,"缺失")</f>
        <v>121.44</v>
      </c>
      <c r="C53" s="15">
        <f>IF(ISNUMBER(原始输入与口径!R53),原始输入与口径!R53,"缺失")</f>
        <v>66.224534522516336</v>
      </c>
      <c r="D53" s="15">
        <f>IF(ISNUMBER(原始输入与口径!W53),原始输入与口径!W53,"缺失")</f>
        <v>5.1779010157604866</v>
      </c>
      <c r="E53" s="15">
        <f>IF(ISNUMBER(原始输入与口径!AB53),原始输入与口径!AB53,"缺失")</f>
        <v>3.0072608770224685</v>
      </c>
      <c r="F53" s="15">
        <f>IF(ISNUMBER(原始输入与口径!AG53),原始输入与口径!AG53,"缺失")</f>
        <v>133.34876984353858</v>
      </c>
      <c r="G53" s="15">
        <f>IF(ISNUMBER(原始输入与口径!AJ53),原始输入与口径!AJ53,"缺失")</f>
        <v>76.229680025918086</v>
      </c>
      <c r="H53" s="15" t="str">
        <f t="shared" si="0"/>
        <v>未模拟</v>
      </c>
      <c r="I53" s="16">
        <f>原始输入与口径!CD53</f>
        <v>59.284096755279556</v>
      </c>
      <c r="J53" s="16">
        <f>原始输入与口径!CE53</f>
        <v>42.9837737739131</v>
      </c>
      <c r="K53" s="16">
        <f>原始输入与口径!BZ53</f>
        <v>60</v>
      </c>
      <c r="L53" s="16">
        <f>原始输入与口径!CK53</f>
        <v>40</v>
      </c>
      <c r="M53" s="16">
        <f>原始输入与口径!BT53</f>
        <v>0</v>
      </c>
      <c r="N53" s="16">
        <f>原始输入与口径!BJ53</f>
        <v>24</v>
      </c>
      <c r="O53" s="16">
        <f t="shared" si="20"/>
        <v>0</v>
      </c>
      <c r="P53" s="16">
        <f t="shared" si="1"/>
        <v>3.7028571428571427E-3</v>
      </c>
      <c r="Q53" s="17">
        <f t="shared" si="2"/>
        <v>1821.6</v>
      </c>
      <c r="R53" s="17">
        <f t="shared" si="3"/>
        <v>662.24534522516342</v>
      </c>
      <c r="S53" s="17">
        <f t="shared" si="4"/>
        <v>0</v>
      </c>
      <c r="T53" s="17">
        <f t="shared" si="5"/>
        <v>18.043565262134813</v>
      </c>
      <c r="U53" s="17">
        <f t="shared" si="21"/>
        <v>0</v>
      </c>
      <c r="V53" s="17">
        <f t="shared" si="6"/>
        <v>-0.28226761518168525</v>
      </c>
      <c r="W53" s="17">
        <f t="shared" si="7"/>
        <v>2501.6066428721165</v>
      </c>
      <c r="X53" s="12">
        <f>原始输入与口径!CP53</f>
        <v>2501.6066428721165</v>
      </c>
      <c r="Y53" s="19">
        <f t="shared" si="8"/>
        <v>0</v>
      </c>
      <c r="Z53" s="12" t="str">
        <f t="shared" si="22"/>
        <v>当日执行</v>
      </c>
      <c r="AA53" s="12">
        <f>IF(原始输入与口径!AW53,1,0)</f>
        <v>1</v>
      </c>
      <c r="AB53" s="12">
        <f>IF(原始输入与口径!AY53,1,0)</f>
        <v>1</v>
      </c>
      <c r="AC53" s="12">
        <f>原始输入与口径!$F$5</f>
        <v>0.25</v>
      </c>
      <c r="AD53" s="18">
        <f>原始输入与口径!CG53</f>
        <v>0.3125</v>
      </c>
      <c r="AE53" s="18">
        <f>原始输入与口径!BQ53</f>
        <v>0.13714285714285715</v>
      </c>
      <c r="AF53" s="18">
        <f t="shared" si="10"/>
        <v>6.88E-2</v>
      </c>
      <c r="AG53" s="18">
        <f t="shared" si="11"/>
        <v>6.1714285714285712E-4</v>
      </c>
      <c r="AH53" s="12">
        <f>IF(ISNUMBER(原始输入与口径!T53),原始输入与口径!T53,"缺失")</f>
        <v>175</v>
      </c>
      <c r="AI53" s="12">
        <f>IF(ISNUMBER(原始输入与口径!Y53),原始输入与口径!Y53,"缺失")</f>
        <v>175</v>
      </c>
      <c r="AJ53" s="12">
        <f>IF(ISNUMBER(原始输入与口径!AI53),原始输入与口径!AI53,"缺失")</f>
        <v>3.01</v>
      </c>
      <c r="AK53" s="12">
        <f>IF(ISNUMBER(原始输入与口径!AL53),原始输入与口径!AL53,"缺失")</f>
        <v>2.7E-2</v>
      </c>
      <c r="AL53" s="12">
        <f>IF(ISNUMBER(原始输入与口径!O53),原始输入与口径!O53,"缺失")</f>
        <v>91.903999999999996</v>
      </c>
      <c r="AM53" s="12">
        <f>SUMIFS(相位SOC复算!$N$9:$N$929,相位SOC复算!$S$9:$S$929,45)</f>
        <v>4.5278674948240165E-2</v>
      </c>
      <c r="AN53" s="12">
        <f>SUMIFS(相位SOC复算!$Q$9:$Q$929,相位SOC复算!$S$9:$S$929,45)</f>
        <v>0</v>
      </c>
      <c r="AO53" s="12">
        <f>SUMIFS(相位SOC复算!$R$9:$R$929,相位SOC复算!$S$9:$S$929,45)</f>
        <v>14.996297142857143</v>
      </c>
      <c r="AP53" s="12">
        <f>相位SOC复算!J110</f>
        <v>42.9837737739131</v>
      </c>
      <c r="AQ53" s="19">
        <f t="shared" si="12"/>
        <v>0</v>
      </c>
      <c r="AR53" s="12">
        <f>IF(ISBLANK(原始输入与口径!M53),"",原始输入与口径!M53)</f>
        <v>5.2473000000000001</v>
      </c>
      <c r="AS53" s="14">
        <f>IF(ISBLANK(原始输入与口径!L53),"",原始输入与口径!L53)</f>
        <v>46234</v>
      </c>
      <c r="AT53" s="13">
        <f>IF(ISBLANK(原始输入与口径!A53),"",原始输入与口径!A53)</f>
        <v>46235.333333333336</v>
      </c>
      <c r="AU53" s="12" t="str">
        <f>IF(ISBLANK(原始输入与口径!I53),"",原始输入与口径!I53)</f>
        <v>2026-08-01_41</v>
      </c>
      <c r="AV53" s="12">
        <f>IF(ISBLANK(原始输入与口径!J53),"",原始输入与口径!J53)</f>
        <v>15</v>
      </c>
      <c r="AW53" s="12" t="str">
        <f>IF(ISBLANK(原始输入与口径!BB53),"",原始输入与口径!BB53)</f>
        <v>OK</v>
      </c>
      <c r="AX53" s="12">
        <f>原始输入与口径!CI53</f>
        <v>128</v>
      </c>
      <c r="AY53" s="12">
        <f>原始输入与口径!BS53</f>
        <v>175</v>
      </c>
      <c r="AZ53" s="12">
        <f>原始输入与口径!BI53</f>
        <v>175</v>
      </c>
      <c r="BA53" s="12">
        <f>原始输入与口径!CM53</f>
        <v>40</v>
      </c>
      <c r="BB53" s="12">
        <f>原始输入与口径!BV53</f>
        <v>24</v>
      </c>
      <c r="BC53" s="12">
        <f>原始输入与口径!BL53</f>
        <v>24</v>
      </c>
      <c r="BD53" s="14">
        <f>46235</f>
        <v>46235</v>
      </c>
      <c r="BE53" s="1" t="str">
        <f t="shared" si="13"/>
        <v>60.000000 MW × 121.440000 × 0.250000 h = 1821.600000 EUR</v>
      </c>
      <c r="BF53" s="1" t="str">
        <f t="shared" si="14"/>
        <v>40.000000 MW × 66.224535 × 0.250000 h = 662.245345 EUR</v>
      </c>
      <c r="BG53" s="1" t="str">
        <f t="shared" si="15"/>
        <v>零头寸，无结算现金</v>
      </c>
      <c r="BH53" s="1" t="str">
        <f t="shared" si="16"/>
        <v>24.000000 MW × 3.007261 × 0.250000 h = 18.043565 EUR</v>
      </c>
      <c r="BI53" s="1" t="str">
        <f t="shared" si="17"/>
        <v>零上调激活电量</v>
      </c>
      <c r="BJ53" s="1" t="str">
        <f t="shared" si="18"/>
        <v>−(0.003703 MWh × 76.229680) = -0.282268 EUR</v>
      </c>
      <c r="BK53" s="1" t="str">
        <f t="shared" si="19"/>
        <v>1821.600000 + 662.245345 + 0.000000 + 18.043565 + 0.000000 + -0.282268 = 2501.606643 EUR</v>
      </c>
    </row>
    <row r="54" spans="1:63" ht="21" customHeight="1" x14ac:dyDescent="0.45">
      <c r="A54" s="13">
        <f>原始输入与口径!C54</f>
        <v>46235.46875</v>
      </c>
      <c r="B54" s="15">
        <f>IF(ISNUMBER(原始输入与口径!H54),原始输入与口径!H54,"缺失")</f>
        <v>63.62</v>
      </c>
      <c r="C54" s="15">
        <f>IF(ISNUMBER(原始输入与口径!R54),原始输入与口径!R54,"缺失")</f>
        <v>66.224534522516336</v>
      </c>
      <c r="D54" s="15">
        <f>IF(ISNUMBER(原始输入与口径!W54),原始输入与口径!W54,"缺失")</f>
        <v>5.1779010157604866</v>
      </c>
      <c r="E54" s="15">
        <f>IF(ISNUMBER(原始输入与口径!AB54),原始输入与口径!AB54,"缺失")</f>
        <v>3.0072608770224685</v>
      </c>
      <c r="F54" s="15">
        <f>IF(ISNUMBER(原始输入与口径!AG54),原始输入与口径!AG54,"缺失")</f>
        <v>135.93524288681797</v>
      </c>
      <c r="G54" s="15">
        <f>IF(ISNUMBER(原始输入与口径!AJ54),原始输入与口径!AJ54,"缺失")</f>
        <v>0</v>
      </c>
      <c r="H54" s="15" t="str">
        <f t="shared" si="0"/>
        <v>未模拟</v>
      </c>
      <c r="I54" s="16">
        <f>原始输入与口径!CD54</f>
        <v>42.9837737739131</v>
      </c>
      <c r="J54" s="16">
        <f>原始输入与口径!CE54</f>
        <v>42.9837737739131</v>
      </c>
      <c r="K54" s="16">
        <f>原始输入与口径!BZ54</f>
        <v>0</v>
      </c>
      <c r="L54" s="16">
        <f>原始输入与口径!CK54</f>
        <v>40</v>
      </c>
      <c r="M54" s="16">
        <f>原始输入与口径!BT54</f>
        <v>0</v>
      </c>
      <c r="N54" s="16">
        <f>原始输入与口径!BJ54</f>
        <v>24</v>
      </c>
      <c r="O54" s="16">
        <f t="shared" si="20"/>
        <v>0</v>
      </c>
      <c r="P54" s="16">
        <f t="shared" si="1"/>
        <v>0</v>
      </c>
      <c r="Q54" s="17">
        <f t="shared" si="2"/>
        <v>0</v>
      </c>
      <c r="R54" s="17">
        <f t="shared" si="3"/>
        <v>662.24534522516342</v>
      </c>
      <c r="S54" s="17">
        <f t="shared" si="4"/>
        <v>0</v>
      </c>
      <c r="T54" s="17">
        <f t="shared" si="5"/>
        <v>18.043565262134813</v>
      </c>
      <c r="U54" s="17">
        <f t="shared" si="21"/>
        <v>0</v>
      </c>
      <c r="V54" s="17">
        <f t="shared" si="6"/>
        <v>0</v>
      </c>
      <c r="W54" s="17">
        <f t="shared" si="7"/>
        <v>680.28891048729827</v>
      </c>
      <c r="X54" s="12">
        <f>原始输入与口径!CP54</f>
        <v>680.28891048729827</v>
      </c>
      <c r="Y54" s="19">
        <f t="shared" si="8"/>
        <v>0</v>
      </c>
      <c r="Z54" s="12" t="str">
        <f t="shared" si="22"/>
        <v>当日执行</v>
      </c>
      <c r="AA54" s="12">
        <f>IF(原始输入与口径!AW54,1,0)</f>
        <v>1</v>
      </c>
      <c r="AB54" s="12">
        <f>IF(原始输入与口径!AY54,1,0)</f>
        <v>1</v>
      </c>
      <c r="AC54" s="12">
        <f>原始输入与口径!$F$5</f>
        <v>0.25</v>
      </c>
      <c r="AD54" s="18">
        <f>原始输入与口径!CG54</f>
        <v>0.3125</v>
      </c>
      <c r="AE54" s="18">
        <f>原始输入与口径!BQ54</f>
        <v>0.13714285714285715</v>
      </c>
      <c r="AF54" s="18">
        <f t="shared" si="10"/>
        <v>0.13442285714285715</v>
      </c>
      <c r="AG54" s="18">
        <f t="shared" si="11"/>
        <v>0</v>
      </c>
      <c r="AH54" s="12">
        <f>IF(ISNUMBER(原始输入与口径!T54),原始输入与口径!T54,"缺失")</f>
        <v>175</v>
      </c>
      <c r="AI54" s="12">
        <f>IF(ISNUMBER(原始输入与口径!Y54),原始输入与口径!Y54,"缺失")</f>
        <v>175</v>
      </c>
      <c r="AJ54" s="12">
        <f>IF(ISNUMBER(原始输入与口径!AI54),原始输入与口径!AI54,"缺失")</f>
        <v>5.8810000000000002</v>
      </c>
      <c r="AK54" s="12">
        <f>IF(ISNUMBER(原始输入与口径!AL54),原始输入与口径!AL54,"缺失")</f>
        <v>0</v>
      </c>
      <c r="AL54" s="12">
        <f>IF(ISNUMBER(原始输入与口径!O54),原始输入与口径!O54,"缺失")</f>
        <v>91.903999999999996</v>
      </c>
      <c r="AM54" s="12">
        <f>SUMIFS(相位SOC复算!$N$9:$N$929,相位SOC复算!$S$9:$S$929,46)</f>
        <v>0</v>
      </c>
      <c r="AN54" s="12">
        <f>SUMIFS(相位SOC复算!$Q$9:$Q$929,相位SOC复算!$S$9:$S$929,46)</f>
        <v>0</v>
      </c>
      <c r="AO54" s="12">
        <f>SUMIFS(相位SOC复算!$R$9:$R$929,相位SOC复算!$S$9:$S$929,46)</f>
        <v>0</v>
      </c>
      <c r="AP54" s="12">
        <f>相位SOC复算!J112</f>
        <v>42.9837737739131</v>
      </c>
      <c r="AQ54" s="19">
        <f t="shared" si="12"/>
        <v>0</v>
      </c>
      <c r="AR54" s="12">
        <f>IF(ISBLANK(原始输入与口径!M54),"",原始输入与口径!M54)</f>
        <v>5.2473000000000001</v>
      </c>
      <c r="AS54" s="14">
        <f>IF(ISBLANK(原始输入与口径!L54),"",原始输入与口径!L54)</f>
        <v>46234</v>
      </c>
      <c r="AT54" s="13">
        <f>IF(ISBLANK(原始输入与口径!A54),"",原始输入与口径!A54)</f>
        <v>46235.34375</v>
      </c>
      <c r="AU54" s="12" t="str">
        <f>IF(ISBLANK(原始输入与口径!I54),"",原始输入与口径!I54)</f>
        <v>2026-08-01_42</v>
      </c>
      <c r="AV54" s="12">
        <f>IF(ISBLANK(原始输入与口径!J54),"",原始输入与口径!J54)</f>
        <v>15</v>
      </c>
      <c r="AW54" s="12" t="str">
        <f>IF(ISBLANK(原始输入与口径!BB54),"",原始输入与口径!BB54)</f>
        <v>OK</v>
      </c>
      <c r="AX54" s="12">
        <f>原始输入与口径!CI54</f>
        <v>128</v>
      </c>
      <c r="AY54" s="12">
        <f>原始输入与口径!BS54</f>
        <v>175</v>
      </c>
      <c r="AZ54" s="12">
        <f>原始输入与口径!BI54</f>
        <v>175</v>
      </c>
      <c r="BA54" s="12">
        <f>原始输入与口径!CM54</f>
        <v>40</v>
      </c>
      <c r="BB54" s="12">
        <f>原始输入与口径!BV54</f>
        <v>24</v>
      </c>
      <c r="BC54" s="12">
        <f>原始输入与口径!BL54</f>
        <v>24</v>
      </c>
      <c r="BD54" s="14">
        <f>46235</f>
        <v>46235</v>
      </c>
      <c r="BE54" s="1" t="str">
        <f t="shared" si="13"/>
        <v>零头寸，无结算现金</v>
      </c>
      <c r="BF54" s="1" t="str">
        <f t="shared" si="14"/>
        <v>40.000000 MW × 66.224535 × 0.250000 h = 662.245345 EUR</v>
      </c>
      <c r="BG54" s="1" t="str">
        <f t="shared" si="15"/>
        <v>零头寸，无结算现金</v>
      </c>
      <c r="BH54" s="1" t="str">
        <f t="shared" si="16"/>
        <v>24.000000 MW × 3.007261 × 0.250000 h = 18.043565 EUR</v>
      </c>
      <c r="BI54" s="1" t="str">
        <f t="shared" si="17"/>
        <v>零上调激活电量</v>
      </c>
      <c r="BJ54" s="1" t="str">
        <f t="shared" si="18"/>
        <v>零下调激活电量</v>
      </c>
      <c r="BK54" s="1" t="str">
        <f t="shared" si="19"/>
        <v>0.000000 + 662.245345 + 0.000000 + 18.043565 + 0.000000 + 0.000000 = 680.288910 EUR</v>
      </c>
    </row>
    <row r="55" spans="1:63" ht="21" customHeight="1" x14ac:dyDescent="0.45">
      <c r="A55" s="13">
        <f>原始输入与口径!C55</f>
        <v>46235.479166666664</v>
      </c>
      <c r="B55" s="15">
        <f>IF(ISNUMBER(原始输入与口径!H55),原始输入与口径!H55,"缺失")</f>
        <v>59.18</v>
      </c>
      <c r="C55" s="15">
        <f>IF(ISNUMBER(原始输入与口径!R55),原始输入与口径!R55,"缺失")</f>
        <v>66.224534522516336</v>
      </c>
      <c r="D55" s="15">
        <f>IF(ISNUMBER(原始输入与口径!W55),原始输入与口径!W55,"缺失")</f>
        <v>5.1779010157604866</v>
      </c>
      <c r="E55" s="15">
        <f>IF(ISNUMBER(原始输入与口径!AB55),原始输入与口径!AB55,"缺失")</f>
        <v>3.0072608770224685</v>
      </c>
      <c r="F55" s="15">
        <f>IF(ISNUMBER(原始输入与口径!AG55),原始输入与口径!AG55,"缺失")</f>
        <v>133.30284146132297</v>
      </c>
      <c r="G55" s="15">
        <f>IF(ISNUMBER(原始输入与口径!AJ55),原始输入与口径!AJ55,"缺失")</f>
        <v>76.229680025918086</v>
      </c>
      <c r="H55" s="15" t="str">
        <f t="shared" si="0"/>
        <v>未模拟</v>
      </c>
      <c r="I55" s="16">
        <f>原始输入与口径!CD55</f>
        <v>42.9837737739131</v>
      </c>
      <c r="J55" s="16">
        <f>原始输入与口径!CE55</f>
        <v>51.264656973913098</v>
      </c>
      <c r="K55" s="16">
        <f>原始输入与口径!BZ55</f>
        <v>-36</v>
      </c>
      <c r="L55" s="16">
        <f>原始输入与口径!CK55</f>
        <v>40</v>
      </c>
      <c r="M55" s="16">
        <f>原始输入与口径!BT55</f>
        <v>0</v>
      </c>
      <c r="N55" s="16">
        <f>原始输入与口径!BJ55</f>
        <v>24</v>
      </c>
      <c r="O55" s="16">
        <f t="shared" si="20"/>
        <v>0</v>
      </c>
      <c r="P55" s="16">
        <f t="shared" si="1"/>
        <v>9.6000000000000013E-4</v>
      </c>
      <c r="Q55" s="17">
        <f t="shared" si="2"/>
        <v>-532.62</v>
      </c>
      <c r="R55" s="17">
        <f t="shared" si="3"/>
        <v>662.24534522516342</v>
      </c>
      <c r="S55" s="17">
        <f t="shared" si="4"/>
        <v>0</v>
      </c>
      <c r="T55" s="17">
        <f t="shared" si="5"/>
        <v>18.043565262134813</v>
      </c>
      <c r="U55" s="17">
        <f t="shared" si="21"/>
        <v>0</v>
      </c>
      <c r="V55" s="17">
        <f t="shared" si="6"/>
        <v>-7.3180492824881371E-2</v>
      </c>
      <c r="W55" s="17">
        <f t="shared" si="7"/>
        <v>147.59572999447334</v>
      </c>
      <c r="X55" s="12">
        <f>原始输入与口径!CP55</f>
        <v>147.59572999447334</v>
      </c>
      <c r="Y55" s="19">
        <f t="shared" si="8"/>
        <v>0</v>
      </c>
      <c r="Z55" s="12" t="str">
        <f t="shared" si="22"/>
        <v>当日执行</v>
      </c>
      <c r="AA55" s="12">
        <f>IF(原始输入与口径!AW55,1,0)</f>
        <v>1</v>
      </c>
      <c r="AB55" s="12">
        <f>IF(原始输入与口径!AY55,1,0)</f>
        <v>1</v>
      </c>
      <c r="AC55" s="12">
        <f>原始输入与口径!$F$5</f>
        <v>0.25</v>
      </c>
      <c r="AD55" s="18">
        <f>原始输入与口径!CG55</f>
        <v>0.3125</v>
      </c>
      <c r="AE55" s="18">
        <f>原始输入与口径!BQ55</f>
        <v>0.13714285714285715</v>
      </c>
      <c r="AF55" s="18">
        <f t="shared" si="10"/>
        <v>6.0342857142857143E-2</v>
      </c>
      <c r="AG55" s="18">
        <f t="shared" si="11"/>
        <v>1.6000000000000001E-4</v>
      </c>
      <c r="AH55" s="12">
        <f>IF(ISNUMBER(原始输入与口径!T55),原始输入与口径!T55,"缺失")</f>
        <v>175</v>
      </c>
      <c r="AI55" s="12">
        <f>IF(ISNUMBER(原始输入与口径!Y55),原始输入与口径!Y55,"缺失")</f>
        <v>175</v>
      </c>
      <c r="AJ55" s="12">
        <f>IF(ISNUMBER(原始输入与口径!AI55),原始输入与口径!AI55,"缺失")</f>
        <v>2.64</v>
      </c>
      <c r="AK55" s="12">
        <f>IF(ISNUMBER(原始输入与口径!AL55),原始输入与口径!AL55,"缺失")</f>
        <v>7.0000000000000001E-3</v>
      </c>
      <c r="AL55" s="12">
        <f>IF(ISNUMBER(原始输入与口径!O55),原始输入与口径!O55,"缺失")</f>
        <v>91.903999999999996</v>
      </c>
      <c r="AM55" s="12">
        <f>SUMIFS(相位SOC复算!$N$9:$N$929,相位SOC复算!$S$9:$S$929,47)</f>
        <v>2.3002453333333336E-2</v>
      </c>
      <c r="AN55" s="12">
        <f>SUMIFS(相位SOC复算!$Q$9:$Q$929,相位SOC复算!$S$9:$S$929,47)</f>
        <v>9.0009599999999992</v>
      </c>
      <c r="AO55" s="12">
        <f>SUMIFS(相位SOC复算!$R$9:$R$929,相位SOC复算!$S$9:$S$929,47)</f>
        <v>0</v>
      </c>
      <c r="AP55" s="12">
        <f>相位SOC复算!J115</f>
        <v>51.264656973913105</v>
      </c>
      <c r="AQ55" s="19">
        <f t="shared" si="12"/>
        <v>0</v>
      </c>
      <c r="AR55" s="12">
        <f>IF(ISBLANK(原始输入与口径!M55),"",原始输入与口径!M55)</f>
        <v>5.2473000000000001</v>
      </c>
      <c r="AS55" s="14">
        <f>IF(ISBLANK(原始输入与口径!L55),"",原始输入与口径!L55)</f>
        <v>46234</v>
      </c>
      <c r="AT55" s="13">
        <f>IF(ISBLANK(原始输入与口径!A55),"",原始输入与口径!A55)</f>
        <v>46235.354166666664</v>
      </c>
      <c r="AU55" s="12" t="str">
        <f>IF(ISBLANK(原始输入与口径!I55),"",原始输入与口径!I55)</f>
        <v>2026-08-01_43</v>
      </c>
      <c r="AV55" s="12">
        <f>IF(ISBLANK(原始输入与口径!J55),"",原始输入与口径!J55)</f>
        <v>15</v>
      </c>
      <c r="AW55" s="12" t="str">
        <f>IF(ISBLANK(原始输入与口径!BB55),"",原始输入与口径!BB55)</f>
        <v>OK</v>
      </c>
      <c r="AX55" s="12">
        <f>原始输入与口径!CI55</f>
        <v>128</v>
      </c>
      <c r="AY55" s="12">
        <f>原始输入与口径!BS55</f>
        <v>175</v>
      </c>
      <c r="AZ55" s="12">
        <f>原始输入与口径!BI55</f>
        <v>175</v>
      </c>
      <c r="BA55" s="12">
        <f>原始输入与口径!CM55</f>
        <v>40</v>
      </c>
      <c r="BB55" s="12">
        <f>原始输入与口径!BV55</f>
        <v>24</v>
      </c>
      <c r="BC55" s="12">
        <f>原始输入与口径!BL55</f>
        <v>24</v>
      </c>
      <c r="BD55" s="14">
        <f>46235</f>
        <v>46235</v>
      </c>
      <c r="BE55" s="1" t="str">
        <f t="shared" si="13"/>
        <v>-36.000000 MW × 59.180000 × 0.250000 h = -532.620000 EUR</v>
      </c>
      <c r="BF55" s="1" t="str">
        <f t="shared" si="14"/>
        <v>40.000000 MW × 66.224535 × 0.250000 h = 662.245345 EUR</v>
      </c>
      <c r="BG55" s="1" t="str">
        <f t="shared" si="15"/>
        <v>零头寸，无结算现金</v>
      </c>
      <c r="BH55" s="1" t="str">
        <f t="shared" si="16"/>
        <v>24.000000 MW × 3.007261 × 0.250000 h = 18.043565 EUR</v>
      </c>
      <c r="BI55" s="1" t="str">
        <f t="shared" si="17"/>
        <v>零上调激活电量</v>
      </c>
      <c r="BJ55" s="1" t="str">
        <f t="shared" si="18"/>
        <v>−(0.000960 MWh × 76.229680) = -0.073180 EUR</v>
      </c>
      <c r="BK55" s="1" t="str">
        <f t="shared" si="19"/>
        <v>-532.620000 + 662.245345 + 0.000000 + 18.043565 + 0.000000 + -0.073180 = 147.595730 EUR</v>
      </c>
    </row>
    <row r="56" spans="1:63" ht="21" customHeight="1" x14ac:dyDescent="0.45">
      <c r="A56" s="13">
        <f>原始输入与口径!C56</f>
        <v>46235.489583333336</v>
      </c>
      <c r="B56" s="15">
        <f>IF(ISNUMBER(原始输入与口径!H56),原始输入与口径!H56,"缺失")</f>
        <v>62.19</v>
      </c>
      <c r="C56" s="15">
        <f>IF(ISNUMBER(原始输入与口径!R56),原始输入与口径!R56,"缺失")</f>
        <v>66.224534522516336</v>
      </c>
      <c r="D56" s="15">
        <f>IF(ISNUMBER(原始输入与口径!W56),原始输入与口径!W56,"缺失")</f>
        <v>5.1779010157604866</v>
      </c>
      <c r="E56" s="15">
        <f>IF(ISNUMBER(原始输入与口径!AB56),原始输入与口径!AB56,"缺失")</f>
        <v>3.0072608770224685</v>
      </c>
      <c r="F56" s="15">
        <f>IF(ISNUMBER(原始输入与口径!AG56),原始输入与口径!AG56,"缺失")</f>
        <v>133.30360375812322</v>
      </c>
      <c r="G56" s="15">
        <f>IF(ISNUMBER(原始输入与口径!AJ56),原始输入与口径!AJ56,"缺失")</f>
        <v>55.663865225925711</v>
      </c>
      <c r="H56" s="15" t="str">
        <f t="shared" si="0"/>
        <v>未模拟</v>
      </c>
      <c r="I56" s="16">
        <f>原始输入与口径!CD56</f>
        <v>51.264656973913098</v>
      </c>
      <c r="J56" s="16">
        <f>原始输入与口径!CE56</f>
        <v>51.627652173913098</v>
      </c>
      <c r="K56" s="16">
        <f>原始输入与口径!BZ56</f>
        <v>0</v>
      </c>
      <c r="L56" s="16">
        <f>原始输入与口径!CK56</f>
        <v>40</v>
      </c>
      <c r="M56" s="16">
        <f>原始输入与口径!BT56</f>
        <v>0</v>
      </c>
      <c r="N56" s="16">
        <f>原始输入与口径!BJ56</f>
        <v>24</v>
      </c>
      <c r="O56" s="16">
        <f t="shared" si="20"/>
        <v>0</v>
      </c>
      <c r="P56" s="16">
        <f t="shared" si="1"/>
        <v>0.39456000000000002</v>
      </c>
      <c r="Q56" s="17">
        <f t="shared" si="2"/>
        <v>0</v>
      </c>
      <c r="R56" s="17">
        <f t="shared" si="3"/>
        <v>662.24534522516342</v>
      </c>
      <c r="S56" s="17">
        <f t="shared" si="4"/>
        <v>0</v>
      </c>
      <c r="T56" s="17">
        <f t="shared" si="5"/>
        <v>18.043565262134813</v>
      </c>
      <c r="U56" s="17">
        <f t="shared" si="21"/>
        <v>0</v>
      </c>
      <c r="V56" s="17">
        <f t="shared" si="6"/>
        <v>-21.962734663541251</v>
      </c>
      <c r="W56" s="17">
        <f t="shared" si="7"/>
        <v>658.32617582375701</v>
      </c>
      <c r="X56" s="12">
        <f>原始输入与口径!CP56</f>
        <v>658.32617582375701</v>
      </c>
      <c r="Y56" s="19">
        <f t="shared" si="8"/>
        <v>0</v>
      </c>
      <c r="Z56" s="12" t="str">
        <f t="shared" si="22"/>
        <v>当日执行</v>
      </c>
      <c r="AA56" s="12">
        <f>IF(原始输入与口径!AW56,1,0)</f>
        <v>1</v>
      </c>
      <c r="AB56" s="12">
        <f>IF(原始输入与口径!AY56,1,0)</f>
        <v>1</v>
      </c>
      <c r="AC56" s="12">
        <f>原始输入与口径!$F$5</f>
        <v>0.25</v>
      </c>
      <c r="AD56" s="18">
        <f>原始输入与口径!CG56</f>
        <v>0.3125</v>
      </c>
      <c r="AE56" s="18">
        <f>原始输入与口径!BQ56</f>
        <v>0.13714285714285715</v>
      </c>
      <c r="AF56" s="18">
        <f t="shared" si="10"/>
        <v>4.8502857142857139E-2</v>
      </c>
      <c r="AG56" s="18">
        <f t="shared" si="11"/>
        <v>6.5759999999999999E-2</v>
      </c>
      <c r="AH56" s="12">
        <f>IF(ISNUMBER(原始输入与口径!T56),原始输入与口径!T56,"缺失")</f>
        <v>175</v>
      </c>
      <c r="AI56" s="12">
        <f>IF(ISNUMBER(原始输入与口径!Y56),原始输入与口径!Y56,"缺失")</f>
        <v>175</v>
      </c>
      <c r="AJ56" s="12">
        <f>IF(ISNUMBER(原始输入与口径!AI56),原始输入与口径!AI56,"缺失")</f>
        <v>2.1219999999999999</v>
      </c>
      <c r="AK56" s="12">
        <f>IF(ISNUMBER(原始输入与口径!AL56),原始输入与口径!AL56,"缺失")</f>
        <v>2.8769999999999998</v>
      </c>
      <c r="AL56" s="12">
        <f>IF(ISNUMBER(原始输入与口径!O56),原始输入与口径!O56,"缺失")</f>
        <v>91.903999999999996</v>
      </c>
      <c r="AM56" s="12">
        <f>SUMIFS(相位SOC复算!$N$9:$N$929,相位SOC复算!$S$9:$S$929,48)</f>
        <v>1.00832E-3</v>
      </c>
      <c r="AN56" s="12">
        <f>SUMIFS(相位SOC复算!$Q$9:$Q$929,相位SOC复算!$S$9:$S$929,48)</f>
        <v>0.39456000000000002</v>
      </c>
      <c r="AO56" s="12">
        <f>SUMIFS(相位SOC复算!$R$9:$R$929,相位SOC复算!$S$9:$S$929,48)</f>
        <v>0</v>
      </c>
      <c r="AP56" s="12">
        <f>相位SOC复算!J118</f>
        <v>51.627652173913106</v>
      </c>
      <c r="AQ56" s="19">
        <f t="shared" si="12"/>
        <v>0</v>
      </c>
      <c r="AR56" s="12">
        <f>IF(ISBLANK(原始输入与口径!M56),"",原始输入与口径!M56)</f>
        <v>5.2473000000000001</v>
      </c>
      <c r="AS56" s="14">
        <f>IF(ISBLANK(原始输入与口径!L56),"",原始输入与口径!L56)</f>
        <v>46234</v>
      </c>
      <c r="AT56" s="13">
        <f>IF(ISBLANK(原始输入与口径!A56),"",原始输入与口径!A56)</f>
        <v>46235.364583333336</v>
      </c>
      <c r="AU56" s="12" t="str">
        <f>IF(ISBLANK(原始输入与口径!I56),"",原始输入与口径!I56)</f>
        <v>2026-08-01_44</v>
      </c>
      <c r="AV56" s="12">
        <f>IF(ISBLANK(原始输入与口径!J56),"",原始输入与口径!J56)</f>
        <v>15</v>
      </c>
      <c r="AW56" s="12" t="str">
        <f>IF(ISBLANK(原始输入与口径!BB56),"",原始输入与口径!BB56)</f>
        <v>OK</v>
      </c>
      <c r="AX56" s="12">
        <f>原始输入与口径!CI56</f>
        <v>128</v>
      </c>
      <c r="AY56" s="12">
        <f>原始输入与口径!BS56</f>
        <v>175</v>
      </c>
      <c r="AZ56" s="12">
        <f>原始输入与口径!BI56</f>
        <v>175</v>
      </c>
      <c r="BA56" s="12">
        <f>原始输入与口径!CM56</f>
        <v>40</v>
      </c>
      <c r="BB56" s="12">
        <f>原始输入与口径!BV56</f>
        <v>24</v>
      </c>
      <c r="BC56" s="12">
        <f>原始输入与口径!BL56</f>
        <v>24</v>
      </c>
      <c r="BD56" s="14">
        <f>46235</f>
        <v>46235</v>
      </c>
      <c r="BE56" s="1" t="str">
        <f t="shared" si="13"/>
        <v>零头寸，无结算现金</v>
      </c>
      <c r="BF56" s="1" t="str">
        <f t="shared" si="14"/>
        <v>40.000000 MW × 66.224535 × 0.250000 h = 662.245345 EUR</v>
      </c>
      <c r="BG56" s="1" t="str">
        <f t="shared" si="15"/>
        <v>零头寸，无结算现金</v>
      </c>
      <c r="BH56" s="1" t="str">
        <f t="shared" si="16"/>
        <v>24.000000 MW × 3.007261 × 0.250000 h = 18.043565 EUR</v>
      </c>
      <c r="BI56" s="1" t="str">
        <f t="shared" si="17"/>
        <v>零上调激活电量</v>
      </c>
      <c r="BJ56" s="1" t="str">
        <f t="shared" si="18"/>
        <v>−(0.394560 MWh × 55.663865) = -21.962735 EUR</v>
      </c>
      <c r="BK56" s="1" t="str">
        <f t="shared" si="19"/>
        <v>0.000000 + 662.245345 + 0.000000 + 18.043565 + 0.000000 + -21.962735 = 658.326176 EUR</v>
      </c>
    </row>
    <row r="57" spans="1:63" ht="21" customHeight="1" x14ac:dyDescent="0.45">
      <c r="A57" s="13">
        <f>原始输入与口径!C57</f>
        <v>46235.5</v>
      </c>
      <c r="B57" s="15">
        <f>IF(ISNUMBER(原始输入与口径!H57),原始输入与口径!H57,"缺失")</f>
        <v>90.74</v>
      </c>
      <c r="C57" s="15">
        <f>IF(ISNUMBER(原始输入与口径!R57),原始输入与口径!R57,"缺失")</f>
        <v>66.224534522516336</v>
      </c>
      <c r="D57" s="15">
        <f>IF(ISNUMBER(原始输入与口径!W57),原始输入与口径!W57,"缺失")</f>
        <v>5.2274503077773327</v>
      </c>
      <c r="E57" s="15">
        <f>IF(ISNUMBER(原始输入与口径!AB57),原始输入与口径!AB57,"缺失")</f>
        <v>6.8740113963371634</v>
      </c>
      <c r="F57" s="15">
        <f>IF(ISNUMBER(原始输入与口径!AG57),原始输入与口径!AG57,"缺失")</f>
        <v>0</v>
      </c>
      <c r="G57" s="15">
        <f>IF(ISNUMBER(原始输入与口径!AJ57),原始输入与口径!AJ57,"缺失")</f>
        <v>61.805499971413873</v>
      </c>
      <c r="H57" s="15" t="str">
        <f t="shared" si="0"/>
        <v>未模拟</v>
      </c>
      <c r="I57" s="16">
        <f>原始输入与口径!CD57</f>
        <v>51.627652173913098</v>
      </c>
      <c r="J57" s="16">
        <f>原始输入与口径!CE57</f>
        <v>41.291341614906891</v>
      </c>
      <c r="K57" s="16">
        <f>原始输入与口径!BZ57</f>
        <v>43</v>
      </c>
      <c r="L57" s="16">
        <f>原始输入与口径!CK57</f>
        <v>40</v>
      </c>
      <c r="M57" s="16">
        <f>原始输入与口径!BT57</f>
        <v>17</v>
      </c>
      <c r="N57" s="16">
        <f>原始输入与口径!BJ57</f>
        <v>24</v>
      </c>
      <c r="O57" s="16">
        <f t="shared" si="20"/>
        <v>0</v>
      </c>
      <c r="P57" s="16">
        <f t="shared" si="1"/>
        <v>1.2405942857142858</v>
      </c>
      <c r="Q57" s="17">
        <f t="shared" si="2"/>
        <v>975.45499999999993</v>
      </c>
      <c r="R57" s="17">
        <f t="shared" si="3"/>
        <v>662.24534522516342</v>
      </c>
      <c r="S57" s="17">
        <f t="shared" si="4"/>
        <v>22.216663808053664</v>
      </c>
      <c r="T57" s="17">
        <f t="shared" si="5"/>
        <v>41.24406837802298</v>
      </c>
      <c r="U57" s="17">
        <f t="shared" si="21"/>
        <v>0</v>
      </c>
      <c r="V57" s="17">
        <f t="shared" si="6"/>
        <v>-76.675550090250496</v>
      </c>
      <c r="W57" s="17">
        <f t="shared" si="7"/>
        <v>1624.4855273209896</v>
      </c>
      <c r="X57" s="12">
        <f>原始输入与口径!CP57</f>
        <v>1624.4855273209896</v>
      </c>
      <c r="Y57" s="19">
        <f t="shared" si="8"/>
        <v>0</v>
      </c>
      <c r="Z57" s="12" t="str">
        <f t="shared" si="22"/>
        <v>当日执行</v>
      </c>
      <c r="AA57" s="12">
        <f>IF(原始输入与口径!AW57,1,0)</f>
        <v>1</v>
      </c>
      <c r="AB57" s="12">
        <f>IF(原始输入与口径!AY57,1,0)</f>
        <v>1</v>
      </c>
      <c r="AC57" s="12">
        <f>原始输入与口径!$F$5</f>
        <v>0.25</v>
      </c>
      <c r="AD57" s="18">
        <f>原始输入与口径!CG57</f>
        <v>0.3125</v>
      </c>
      <c r="AE57" s="18">
        <f>原始输入与口径!BQ57</f>
        <v>0.13714285714285715</v>
      </c>
      <c r="AF57" s="18">
        <f t="shared" si="10"/>
        <v>0</v>
      </c>
      <c r="AG57" s="18">
        <f t="shared" si="11"/>
        <v>0.20676571428571427</v>
      </c>
      <c r="AH57" s="12">
        <f>IF(ISNUMBER(原始输入与口径!T57),原始输入与口径!T57,"缺失")</f>
        <v>175</v>
      </c>
      <c r="AI57" s="12">
        <f>IF(ISNUMBER(原始输入与口径!Y57),原始输入与口径!Y57,"缺失")</f>
        <v>175</v>
      </c>
      <c r="AJ57" s="12">
        <f>IF(ISNUMBER(原始输入与口径!AI57),原始输入与口径!AI57,"缺失")</f>
        <v>0</v>
      </c>
      <c r="AK57" s="12">
        <f>IF(ISNUMBER(原始输入与口径!AL57),原始输入与口径!AL57,"缺失")</f>
        <v>9.0459999999999994</v>
      </c>
      <c r="AL57" s="12">
        <f>IF(ISNUMBER(原始输入与口径!O57),原始输入与口径!O57,"缺失")</f>
        <v>91.903999999999996</v>
      </c>
      <c r="AM57" s="12">
        <f>SUMIFS(相位SOC复算!$N$9:$N$929,相位SOC复算!$S$9:$S$929,49)</f>
        <v>2.8711973775017254E-2</v>
      </c>
      <c r="AN57" s="12">
        <f>SUMIFS(相位SOC复算!$Q$9:$Q$929,相位SOC复算!$S$9:$S$929,49)</f>
        <v>0</v>
      </c>
      <c r="AO57" s="12">
        <f>SUMIFS(相位SOC复算!$R$9:$R$929,相位SOC复算!$S$9:$S$929,49)</f>
        <v>9.5094057142857142</v>
      </c>
      <c r="AP57" s="12">
        <f>相位SOC复算!J120</f>
        <v>41.291341614906898</v>
      </c>
      <c r="AQ57" s="19">
        <f t="shared" si="12"/>
        <v>0</v>
      </c>
      <c r="AR57" s="12">
        <f>IF(ISBLANK(原始输入与口径!M57),"",原始输入与口径!M57)</f>
        <v>5.2473000000000001</v>
      </c>
      <c r="AS57" s="14">
        <f>IF(ISBLANK(原始输入与口径!L57),"",原始输入与口径!L57)</f>
        <v>46234</v>
      </c>
      <c r="AT57" s="13">
        <f>IF(ISBLANK(原始输入与口径!A57),"",原始输入与口径!A57)</f>
        <v>46235.375</v>
      </c>
      <c r="AU57" s="12" t="str">
        <f>IF(ISBLANK(原始输入与口径!I57),"",原始输入与口径!I57)</f>
        <v>2026-08-01_45</v>
      </c>
      <c r="AV57" s="12">
        <f>IF(ISBLANK(原始输入与口径!J57),"",原始输入与口径!J57)</f>
        <v>15</v>
      </c>
      <c r="AW57" s="12" t="str">
        <f>IF(ISBLANK(原始输入与口径!BB57),"",原始输入与口径!BB57)</f>
        <v>OK</v>
      </c>
      <c r="AX57" s="12">
        <f>原始输入与口径!CI57</f>
        <v>128</v>
      </c>
      <c r="AY57" s="12">
        <f>原始输入与口径!BS57</f>
        <v>175</v>
      </c>
      <c r="AZ57" s="12">
        <f>原始输入与口径!BI57</f>
        <v>175</v>
      </c>
      <c r="BA57" s="12">
        <f>原始输入与口径!CM57</f>
        <v>40</v>
      </c>
      <c r="BB57" s="12">
        <f>原始输入与口径!BV57</f>
        <v>24</v>
      </c>
      <c r="BC57" s="12">
        <f>原始输入与口径!BL57</f>
        <v>24</v>
      </c>
      <c r="BD57" s="14">
        <f>46235</f>
        <v>46235</v>
      </c>
      <c r="BE57" s="1" t="str">
        <f t="shared" si="13"/>
        <v>43.000000 MW × 90.740000 × 0.250000 h = 975.455000 EUR</v>
      </c>
      <c r="BF57" s="1" t="str">
        <f t="shared" si="14"/>
        <v>40.000000 MW × 66.224535 × 0.250000 h = 662.245345 EUR</v>
      </c>
      <c r="BG57" s="1" t="str">
        <f t="shared" si="15"/>
        <v>17.000000 MW × 5.227450 × 0.250000 h = 22.216664 EUR</v>
      </c>
      <c r="BH57" s="1" t="str">
        <f t="shared" si="16"/>
        <v>24.000000 MW × 6.874011 × 0.250000 h = 41.244068 EUR</v>
      </c>
      <c r="BI57" s="1" t="str">
        <f t="shared" si="17"/>
        <v>零上调激活电量</v>
      </c>
      <c r="BJ57" s="1" t="str">
        <f t="shared" si="18"/>
        <v>−(1.240594 MWh × 61.805500) = -76.675550 EUR</v>
      </c>
      <c r="BK57" s="1" t="str">
        <f t="shared" si="19"/>
        <v>975.455000 + 662.245345 + 22.216664 + 41.244068 + 0.000000 + -76.675550 = 1624.485527 EUR</v>
      </c>
    </row>
    <row r="58" spans="1:63" ht="21" customHeight="1" x14ac:dyDescent="0.45">
      <c r="A58" s="13">
        <f>原始输入与口径!C58</f>
        <v>46235.510416666664</v>
      </c>
      <c r="B58" s="15">
        <f>IF(ISNUMBER(原始输入与口径!H58),原始输入与口径!H58,"缺失")</f>
        <v>74.41</v>
      </c>
      <c r="C58" s="15">
        <f>IF(ISNUMBER(原始输入与口径!R58),原始输入与口径!R58,"缺失")</f>
        <v>66.224534522516336</v>
      </c>
      <c r="D58" s="15">
        <f>IF(ISNUMBER(原始输入与口径!W58),原始输入与口径!W58,"缺失")</f>
        <v>5.2274503077773327</v>
      </c>
      <c r="E58" s="15">
        <f>IF(ISNUMBER(原始输入与口径!AB58),原始输入与口径!AB58,"缺失")</f>
        <v>6.8740113963371634</v>
      </c>
      <c r="F58" s="15">
        <f>IF(ISNUMBER(原始输入与口径!AG58),原始输入与口径!AG58,"缺失")</f>
        <v>0</v>
      </c>
      <c r="G58" s="15">
        <f>IF(ISNUMBER(原始输入与口径!AJ58),原始输入与口径!AJ58,"缺失")</f>
        <v>52.376460274807989</v>
      </c>
      <c r="H58" s="15" t="str">
        <f t="shared" si="0"/>
        <v>未模拟</v>
      </c>
      <c r="I58" s="16">
        <f>原始输入与口径!CD58</f>
        <v>41.291341614906891</v>
      </c>
      <c r="J58" s="16">
        <f>原始输入与口径!CE58</f>
        <v>31.73913043478267</v>
      </c>
      <c r="K58" s="16">
        <f>原始输入与口径!BZ58</f>
        <v>43</v>
      </c>
      <c r="L58" s="16">
        <f>原始输入与口径!CK58</f>
        <v>40</v>
      </c>
      <c r="M58" s="16">
        <f>原始输入与口径!BT58</f>
        <v>17</v>
      </c>
      <c r="N58" s="16">
        <f>原始输入与口径!BJ58</f>
        <v>24</v>
      </c>
      <c r="O58" s="16">
        <f t="shared" si="20"/>
        <v>0</v>
      </c>
      <c r="P58" s="16">
        <f t="shared" si="1"/>
        <v>1.9619657142857141</v>
      </c>
      <c r="Q58" s="17">
        <f t="shared" si="2"/>
        <v>799.90749999999991</v>
      </c>
      <c r="R58" s="17">
        <f t="shared" si="3"/>
        <v>662.24534522516342</v>
      </c>
      <c r="S58" s="17">
        <f t="shared" si="4"/>
        <v>22.216663808053664</v>
      </c>
      <c r="T58" s="17">
        <f t="shared" si="5"/>
        <v>41.24406837802298</v>
      </c>
      <c r="U58" s="17">
        <f t="shared" si="21"/>
        <v>0</v>
      </c>
      <c r="V58" s="17">
        <f t="shared" si="6"/>
        <v>-102.76081929482099</v>
      </c>
      <c r="W58" s="17">
        <f t="shared" si="7"/>
        <v>1422.852758116419</v>
      </c>
      <c r="X58" s="12">
        <f>原始输入与口径!CP58</f>
        <v>1422.852758116419</v>
      </c>
      <c r="Y58" s="19">
        <f t="shared" si="8"/>
        <v>0</v>
      </c>
      <c r="Z58" s="12" t="str">
        <f t="shared" si="22"/>
        <v>当日执行</v>
      </c>
      <c r="AA58" s="12">
        <f>IF(原始输入与口径!AW58,1,0)</f>
        <v>1</v>
      </c>
      <c r="AB58" s="12">
        <f>IF(原始输入与口径!AY58,1,0)</f>
        <v>1</v>
      </c>
      <c r="AC58" s="12">
        <f>原始输入与口径!$F$5</f>
        <v>0.25</v>
      </c>
      <c r="AD58" s="18">
        <f>原始输入与口径!CG58</f>
        <v>0.3125</v>
      </c>
      <c r="AE58" s="18">
        <f>原始输入与口径!BQ58</f>
        <v>0.13714285714285715</v>
      </c>
      <c r="AF58" s="18">
        <f t="shared" si="10"/>
        <v>0</v>
      </c>
      <c r="AG58" s="18">
        <f t="shared" si="11"/>
        <v>0.32699428571428568</v>
      </c>
      <c r="AH58" s="12">
        <f>IF(ISNUMBER(原始输入与口径!T58),原始输入与口径!T58,"缺失")</f>
        <v>175</v>
      </c>
      <c r="AI58" s="12">
        <f>IF(ISNUMBER(原始输入与口径!Y58),原始输入与口径!Y58,"缺失")</f>
        <v>175</v>
      </c>
      <c r="AJ58" s="12">
        <f>IF(ISNUMBER(原始输入与口径!AI58),原始输入与口径!AI58,"缺失")</f>
        <v>0</v>
      </c>
      <c r="AK58" s="12">
        <f>IF(ISNUMBER(原始输入与口径!AL58),原始输入与口径!AL58,"缺失")</f>
        <v>14.305999999999999</v>
      </c>
      <c r="AL58" s="12">
        <f>IF(ISNUMBER(原始输入与口径!O58),原始输入与口径!O58,"缺失")</f>
        <v>91.903999999999996</v>
      </c>
      <c r="AM58" s="12">
        <f>SUMIFS(相位SOC复算!$N$9:$N$929,相位SOC复算!$S$9:$S$929,50)</f>
        <v>2.653391994478951E-2</v>
      </c>
      <c r="AN58" s="12">
        <f>SUMIFS(相位SOC复算!$Q$9:$Q$929,相位SOC复算!$S$9:$S$929,50)</f>
        <v>0</v>
      </c>
      <c r="AO58" s="12">
        <f>SUMIFS(相位SOC复算!$R$9:$R$929,相位SOC复算!$S$9:$S$929,50)</f>
        <v>8.7880342857142857</v>
      </c>
      <c r="AP58" s="12">
        <f>相位SOC复算!J122</f>
        <v>31.739130434782677</v>
      </c>
      <c r="AQ58" s="19">
        <f t="shared" si="12"/>
        <v>0</v>
      </c>
      <c r="AR58" s="12">
        <f>IF(ISBLANK(原始输入与口径!M58),"",原始输入与口径!M58)</f>
        <v>5.2473000000000001</v>
      </c>
      <c r="AS58" s="14">
        <f>IF(ISBLANK(原始输入与口径!L58),"",原始输入与口径!L58)</f>
        <v>46234</v>
      </c>
      <c r="AT58" s="13">
        <f>IF(ISBLANK(原始输入与口径!A58),"",原始输入与口径!A58)</f>
        <v>46235.385416666664</v>
      </c>
      <c r="AU58" s="12" t="str">
        <f>IF(ISBLANK(原始输入与口径!I58),"",原始输入与口径!I58)</f>
        <v>2026-08-01_46</v>
      </c>
      <c r="AV58" s="12">
        <f>IF(ISBLANK(原始输入与口径!J58),"",原始输入与口径!J58)</f>
        <v>15</v>
      </c>
      <c r="AW58" s="12" t="str">
        <f>IF(ISBLANK(原始输入与口径!BB58),"",原始输入与口径!BB58)</f>
        <v>OK</v>
      </c>
      <c r="AX58" s="12">
        <f>原始输入与口径!CI58</f>
        <v>128</v>
      </c>
      <c r="AY58" s="12">
        <f>原始输入与口径!BS58</f>
        <v>175</v>
      </c>
      <c r="AZ58" s="12">
        <f>原始输入与口径!BI58</f>
        <v>175</v>
      </c>
      <c r="BA58" s="12">
        <f>原始输入与口径!CM58</f>
        <v>40</v>
      </c>
      <c r="BB58" s="12">
        <f>原始输入与口径!BV58</f>
        <v>24</v>
      </c>
      <c r="BC58" s="12">
        <f>原始输入与口径!BL58</f>
        <v>24</v>
      </c>
      <c r="BD58" s="14">
        <f>46235</f>
        <v>46235</v>
      </c>
      <c r="BE58" s="1" t="str">
        <f t="shared" si="13"/>
        <v>43.000000 MW × 74.410000 × 0.250000 h = 799.907500 EUR</v>
      </c>
      <c r="BF58" s="1" t="str">
        <f t="shared" si="14"/>
        <v>40.000000 MW × 66.224535 × 0.250000 h = 662.245345 EUR</v>
      </c>
      <c r="BG58" s="1" t="str">
        <f t="shared" si="15"/>
        <v>17.000000 MW × 5.227450 × 0.250000 h = 22.216664 EUR</v>
      </c>
      <c r="BH58" s="1" t="str">
        <f t="shared" si="16"/>
        <v>24.000000 MW × 6.874011 × 0.250000 h = 41.244068 EUR</v>
      </c>
      <c r="BI58" s="1" t="str">
        <f t="shared" si="17"/>
        <v>零上调激活电量</v>
      </c>
      <c r="BJ58" s="1" t="str">
        <f t="shared" si="18"/>
        <v>−(1.961966 MWh × 52.376460) = -102.760819 EUR</v>
      </c>
      <c r="BK58" s="1" t="str">
        <f t="shared" si="19"/>
        <v>799.907500 + 662.245345 + 22.216664 + 41.244068 + 0.000000 + -102.760819 = 1422.852758 EUR</v>
      </c>
    </row>
    <row r="59" spans="1:63" ht="21" customHeight="1" x14ac:dyDescent="0.45">
      <c r="A59" s="13">
        <f>原始输入与口径!C59</f>
        <v>46235.520833333336</v>
      </c>
      <c r="B59" s="15">
        <f>IF(ISNUMBER(原始输入与口径!H59),原始输入与口径!H59,"缺失")</f>
        <v>56.04</v>
      </c>
      <c r="C59" s="15">
        <f>IF(ISNUMBER(原始输入与口径!R59),原始输入与口径!R59,"缺失")</f>
        <v>66.224534522516336</v>
      </c>
      <c r="D59" s="15">
        <f>IF(ISNUMBER(原始输入与口径!W59),原始输入与口径!W59,"缺失")</f>
        <v>5.2274503077773327</v>
      </c>
      <c r="E59" s="15">
        <f>IF(ISNUMBER(原始输入与口径!AB59),原始输入与口径!AB59,"缺失")</f>
        <v>6.8740113963371634</v>
      </c>
      <c r="F59" s="15">
        <f>IF(ISNUMBER(原始输入与口径!AG59),原始输入与口径!AG59,"缺失")</f>
        <v>0</v>
      </c>
      <c r="G59" s="15">
        <f>IF(ISNUMBER(原始输入与口径!AJ59),原始输入与口径!AJ59,"缺失")</f>
        <v>47.699959979417983</v>
      </c>
      <c r="H59" s="15" t="str">
        <f t="shared" si="0"/>
        <v>未模拟</v>
      </c>
      <c r="I59" s="16">
        <f>原始输入与口径!CD59</f>
        <v>31.73913043478267</v>
      </c>
      <c r="J59" s="16">
        <f>原始输入与口径!CE59</f>
        <v>31.739130434782673</v>
      </c>
      <c r="K59" s="16">
        <f>原始输入与口径!BZ59</f>
        <v>10.608940694005863</v>
      </c>
      <c r="L59" s="16">
        <f>原始输入与口径!CK59</f>
        <v>40</v>
      </c>
      <c r="M59" s="16">
        <f>原始输入与口径!BT59</f>
        <v>17</v>
      </c>
      <c r="N59" s="16">
        <f>原始输入与口径!BJ59</f>
        <v>24</v>
      </c>
      <c r="O59" s="16">
        <f t="shared" si="20"/>
        <v>0</v>
      </c>
      <c r="P59" s="16">
        <f t="shared" si="1"/>
        <v>2.9008457142857145</v>
      </c>
      <c r="Q59" s="17">
        <f t="shared" si="2"/>
        <v>148.63125912302215</v>
      </c>
      <c r="R59" s="17">
        <f t="shared" si="3"/>
        <v>662.24534522516342</v>
      </c>
      <c r="S59" s="17">
        <f t="shared" si="4"/>
        <v>22.216663808053664</v>
      </c>
      <c r="T59" s="17">
        <f t="shared" si="5"/>
        <v>41.24406837802298</v>
      </c>
      <c r="U59" s="17">
        <f t="shared" si="21"/>
        <v>0</v>
      </c>
      <c r="V59" s="17">
        <f t="shared" si="6"/>
        <v>-138.37022447789477</v>
      </c>
      <c r="W59" s="17">
        <f t="shared" si="7"/>
        <v>735.96711205636745</v>
      </c>
      <c r="X59" s="12">
        <f>原始输入与口径!CP59</f>
        <v>735.96711205636745</v>
      </c>
      <c r="Y59" s="19">
        <f t="shared" si="8"/>
        <v>0</v>
      </c>
      <c r="Z59" s="12" t="str">
        <f t="shared" si="22"/>
        <v>当日执行</v>
      </c>
      <c r="AA59" s="12">
        <f>IF(原始输入与口径!AW59,1,0)</f>
        <v>1</v>
      </c>
      <c r="AB59" s="12">
        <f>IF(原始输入与口径!AY59,1,0)</f>
        <v>1</v>
      </c>
      <c r="AC59" s="12">
        <f>原始输入与口径!$F$5</f>
        <v>0.25</v>
      </c>
      <c r="AD59" s="18">
        <f>原始输入与口径!CG59</f>
        <v>0.3125</v>
      </c>
      <c r="AE59" s="18">
        <f>原始输入与口径!BQ59</f>
        <v>0.13714285714285715</v>
      </c>
      <c r="AF59" s="18">
        <f t="shared" si="10"/>
        <v>0</v>
      </c>
      <c r="AG59" s="18">
        <f t="shared" si="11"/>
        <v>0.48347428571428575</v>
      </c>
      <c r="AH59" s="12">
        <f>IF(ISNUMBER(原始输入与口径!T59),原始输入与口径!T59,"缺失")</f>
        <v>175</v>
      </c>
      <c r="AI59" s="12">
        <f>IF(ISNUMBER(原始输入与口径!Y59),原始输入与口径!Y59,"缺失")</f>
        <v>175</v>
      </c>
      <c r="AJ59" s="12">
        <f>IF(ISNUMBER(原始输入与口径!AI59),原始输入与口径!AI59,"缺失")</f>
        <v>0</v>
      </c>
      <c r="AK59" s="12">
        <f>IF(ISNUMBER(原始输入与口径!AL59),原始输入与口径!AL59,"缺失")</f>
        <v>21.152000000000001</v>
      </c>
      <c r="AL59" s="12">
        <f>IF(ISNUMBER(原始输入与口径!O59),原始输入与口径!O59,"缺失")</f>
        <v>91.903999999999996</v>
      </c>
      <c r="AM59" s="12">
        <f>SUMIFS(相位SOC复算!$N$9:$N$929,相位SOC复算!$S$9:$S$929,51)</f>
        <v>8.272630842068477E-3</v>
      </c>
      <c r="AN59" s="12">
        <f>SUMIFS(相位SOC复算!$Q$9:$Q$929,相位SOC复算!$S$9:$S$929,51)</f>
        <v>1.6185582082307886</v>
      </c>
      <c r="AO59" s="12">
        <f>SUMIFS(相位SOC复算!$R$9:$R$929,相位SOC复算!$S$9:$S$929,51)</f>
        <v>1.3699476674465398</v>
      </c>
      <c r="AP59" s="12">
        <f>相位SOC复算!J124</f>
        <v>31.73913043478268</v>
      </c>
      <c r="AQ59" s="19">
        <f t="shared" si="12"/>
        <v>0</v>
      </c>
      <c r="AR59" s="12">
        <f>IF(ISBLANK(原始输入与口径!M59),"",原始输入与口径!M59)</f>
        <v>5.2473000000000001</v>
      </c>
      <c r="AS59" s="14">
        <f>IF(ISBLANK(原始输入与口径!L59),"",原始输入与口径!L59)</f>
        <v>46234</v>
      </c>
      <c r="AT59" s="13">
        <f>IF(ISBLANK(原始输入与口径!A59),"",原始输入与口径!A59)</f>
        <v>46235.395833333336</v>
      </c>
      <c r="AU59" s="12" t="str">
        <f>IF(ISBLANK(原始输入与口径!I59),"",原始输入与口径!I59)</f>
        <v>2026-08-01_47</v>
      </c>
      <c r="AV59" s="12">
        <f>IF(ISBLANK(原始输入与口径!J59),"",原始输入与口径!J59)</f>
        <v>15</v>
      </c>
      <c r="AW59" s="12" t="str">
        <f>IF(ISBLANK(原始输入与口径!BB59),"",原始输入与口径!BB59)</f>
        <v>OK</v>
      </c>
      <c r="AX59" s="12">
        <f>原始输入与口径!CI59</f>
        <v>128</v>
      </c>
      <c r="AY59" s="12">
        <f>原始输入与口径!BS59</f>
        <v>175</v>
      </c>
      <c r="AZ59" s="12">
        <f>原始输入与口径!BI59</f>
        <v>175</v>
      </c>
      <c r="BA59" s="12">
        <f>原始输入与口径!CM59</f>
        <v>40</v>
      </c>
      <c r="BB59" s="12">
        <f>原始输入与口径!BV59</f>
        <v>24</v>
      </c>
      <c r="BC59" s="12">
        <f>原始输入与口径!BL59</f>
        <v>24</v>
      </c>
      <c r="BD59" s="14">
        <f>46235</f>
        <v>46235</v>
      </c>
      <c r="BE59" s="1" t="str">
        <f t="shared" si="13"/>
        <v>10.608941 MW × 56.040000 × 0.250000 h = 148.631259 EUR</v>
      </c>
      <c r="BF59" s="1" t="str">
        <f t="shared" si="14"/>
        <v>40.000000 MW × 66.224535 × 0.250000 h = 662.245345 EUR</v>
      </c>
      <c r="BG59" s="1" t="str">
        <f t="shared" si="15"/>
        <v>17.000000 MW × 5.227450 × 0.250000 h = 22.216664 EUR</v>
      </c>
      <c r="BH59" s="1" t="str">
        <f t="shared" si="16"/>
        <v>24.000000 MW × 6.874011 × 0.250000 h = 41.244068 EUR</v>
      </c>
      <c r="BI59" s="1" t="str">
        <f t="shared" si="17"/>
        <v>零上调激活电量</v>
      </c>
      <c r="BJ59" s="1" t="str">
        <f t="shared" si="18"/>
        <v>−(2.900846 MWh × 47.699960) = -138.370224 EUR</v>
      </c>
      <c r="BK59" s="1" t="str">
        <f t="shared" si="19"/>
        <v>148.631259 + 662.245345 + 22.216664 + 41.244068 + 0.000000 + -138.370224 = 735.967112 EUR</v>
      </c>
    </row>
    <row r="60" spans="1:63" ht="21" customHeight="1" x14ac:dyDescent="0.45">
      <c r="A60" s="13">
        <f>原始输入与口径!C60</f>
        <v>46235.53125</v>
      </c>
      <c r="B60" s="15">
        <f>IF(ISNUMBER(原始输入与口径!H60),原始输入与口径!H60,"缺失")</f>
        <v>28.94</v>
      </c>
      <c r="C60" s="15">
        <f>IF(ISNUMBER(原始输入与口径!R60),原始输入与口径!R60,"缺失")</f>
        <v>66.224534522516336</v>
      </c>
      <c r="D60" s="15">
        <f>IF(ISNUMBER(原始输入与口径!W60),原始输入与口径!W60,"缺失")</f>
        <v>5.2274503077773327</v>
      </c>
      <c r="E60" s="15">
        <f>IF(ISNUMBER(原始输入与口径!AB60),原始输入与口径!AB60,"缺失")</f>
        <v>6.8740113963371634</v>
      </c>
      <c r="F60" s="15">
        <f>IF(ISNUMBER(原始输入与口径!AG60),原始输入与口径!AG60,"缺失")</f>
        <v>0</v>
      </c>
      <c r="G60" s="15">
        <f>IF(ISNUMBER(原始输入与口径!AJ60),原始输入与口径!AJ60,"缺失")</f>
        <v>35.267852038191073</v>
      </c>
      <c r="H60" s="15" t="str">
        <f t="shared" si="0"/>
        <v>未模拟</v>
      </c>
      <c r="I60" s="16">
        <f>原始输入与口径!CD60</f>
        <v>31.739130434782673</v>
      </c>
      <c r="J60" s="16">
        <f>原始输入与口径!CE60</f>
        <v>37.175055900621189</v>
      </c>
      <c r="K60" s="16">
        <f>原始输入与口径!BZ60</f>
        <v>-11.084241404266832</v>
      </c>
      <c r="L60" s="16">
        <f>原始输入与口径!CK60</f>
        <v>40</v>
      </c>
      <c r="M60" s="16">
        <f>原始输入与口径!BT60</f>
        <v>17</v>
      </c>
      <c r="N60" s="16">
        <f>原始输入与口径!BJ60</f>
        <v>24</v>
      </c>
      <c r="O60" s="16">
        <f t="shared" si="20"/>
        <v>0</v>
      </c>
      <c r="P60" s="16">
        <f t="shared" si="1"/>
        <v>3.1375542857142857</v>
      </c>
      <c r="Q60" s="17">
        <f t="shared" si="2"/>
        <v>-80.194486559870526</v>
      </c>
      <c r="R60" s="17">
        <f t="shared" si="3"/>
        <v>662.24534522516342</v>
      </c>
      <c r="S60" s="17">
        <f t="shared" si="4"/>
        <v>22.216663808053664</v>
      </c>
      <c r="T60" s="17">
        <f t="shared" si="5"/>
        <v>41.24406837802298</v>
      </c>
      <c r="U60" s="17">
        <f t="shared" si="21"/>
        <v>0</v>
      </c>
      <c r="V60" s="17">
        <f t="shared" si="6"/>
        <v>-110.65480031036371</v>
      </c>
      <c r="W60" s="17">
        <f t="shared" si="7"/>
        <v>534.85679054100592</v>
      </c>
      <c r="X60" s="12">
        <f>原始输入与口径!CP60</f>
        <v>534.85679054100581</v>
      </c>
      <c r="Y60" s="19">
        <f t="shared" si="8"/>
        <v>0</v>
      </c>
      <c r="Z60" s="12" t="str">
        <f t="shared" si="22"/>
        <v>当日执行</v>
      </c>
      <c r="AA60" s="12">
        <f>IF(原始输入与口径!AW60,1,0)</f>
        <v>1</v>
      </c>
      <c r="AB60" s="12">
        <f>IF(原始输入与口径!AY60,1,0)</f>
        <v>1</v>
      </c>
      <c r="AC60" s="12">
        <f>原始输入与口径!$F$5</f>
        <v>0.25</v>
      </c>
      <c r="AD60" s="18">
        <f>原始输入与口径!CG60</f>
        <v>0.3125</v>
      </c>
      <c r="AE60" s="18">
        <f>原始输入与口径!BQ60</f>
        <v>0.13714285714285715</v>
      </c>
      <c r="AF60" s="18">
        <f t="shared" si="10"/>
        <v>0</v>
      </c>
      <c r="AG60" s="18">
        <f t="shared" si="11"/>
        <v>0.52292571428571433</v>
      </c>
      <c r="AH60" s="12">
        <f>IF(ISNUMBER(原始输入与口径!T60),原始输入与口径!T60,"缺失")</f>
        <v>175</v>
      </c>
      <c r="AI60" s="12">
        <f>IF(ISNUMBER(原始输入与口径!Y60),原始输入与口径!Y60,"缺失")</f>
        <v>175</v>
      </c>
      <c r="AJ60" s="12">
        <f>IF(ISNUMBER(原始输入与口径!AI60),原始输入与口径!AI60,"缺失")</f>
        <v>0</v>
      </c>
      <c r="AK60" s="12">
        <f>IF(ISNUMBER(原始输入与口径!AL60),原始输入与口径!AL60,"缺失")</f>
        <v>22.878</v>
      </c>
      <c r="AL60" s="12">
        <f>IF(ISNUMBER(原始输入与口径!O60),原始输入与口径!O60,"缺失")</f>
        <v>91.903999999999996</v>
      </c>
      <c r="AM60" s="12">
        <f>SUMIFS(相位SOC复算!$N$9:$N$929,相位SOC复算!$S$9:$S$929,52)</f>
        <v>1.5099792960662543E-2</v>
      </c>
      <c r="AN60" s="12">
        <f>SUMIFS(相位SOC复算!$Q$9:$Q$929,相位SOC复算!$S$9:$S$929,52)</f>
        <v>5.9086146367809942</v>
      </c>
      <c r="AO60" s="12">
        <f>SUMIFS(相位SOC复算!$R$9:$R$929,相位SOC复算!$S$9:$S$929,52)</f>
        <v>0</v>
      </c>
      <c r="AP60" s="12">
        <f>相位SOC复算!J126</f>
        <v>37.175055900621196</v>
      </c>
      <c r="AQ60" s="19">
        <f t="shared" si="12"/>
        <v>0</v>
      </c>
      <c r="AR60" s="12">
        <f>IF(ISBLANK(原始输入与口径!M60),"",原始输入与口径!M60)</f>
        <v>5.2473000000000001</v>
      </c>
      <c r="AS60" s="14">
        <f>IF(ISBLANK(原始输入与口径!L60),"",原始输入与口径!L60)</f>
        <v>46234</v>
      </c>
      <c r="AT60" s="13">
        <f>IF(ISBLANK(原始输入与口径!A60),"",原始输入与口径!A60)</f>
        <v>46235.40625</v>
      </c>
      <c r="AU60" s="12" t="str">
        <f>IF(ISBLANK(原始输入与口径!I60),"",原始输入与口径!I60)</f>
        <v>2026-08-01_48</v>
      </c>
      <c r="AV60" s="12">
        <f>IF(ISBLANK(原始输入与口径!J60),"",原始输入与口径!J60)</f>
        <v>15</v>
      </c>
      <c r="AW60" s="12" t="str">
        <f>IF(ISBLANK(原始输入与口径!BB60),"",原始输入与口径!BB60)</f>
        <v>OK</v>
      </c>
      <c r="AX60" s="12">
        <f>原始输入与口径!CI60</f>
        <v>128</v>
      </c>
      <c r="AY60" s="12">
        <f>原始输入与口径!BS60</f>
        <v>175</v>
      </c>
      <c r="AZ60" s="12">
        <f>原始输入与口径!BI60</f>
        <v>175</v>
      </c>
      <c r="BA60" s="12">
        <f>原始输入与口径!CM60</f>
        <v>40</v>
      </c>
      <c r="BB60" s="12">
        <f>原始输入与口径!BV60</f>
        <v>24</v>
      </c>
      <c r="BC60" s="12">
        <f>原始输入与口径!BL60</f>
        <v>24</v>
      </c>
      <c r="BD60" s="14">
        <f>46235</f>
        <v>46235</v>
      </c>
      <c r="BE60" s="1" t="str">
        <f t="shared" si="13"/>
        <v>-11.084241 MW × 28.940000 × 0.250000 h = -80.194487 EUR</v>
      </c>
      <c r="BF60" s="1" t="str">
        <f t="shared" si="14"/>
        <v>40.000000 MW × 66.224535 × 0.250000 h = 662.245345 EUR</v>
      </c>
      <c r="BG60" s="1" t="str">
        <f t="shared" si="15"/>
        <v>17.000000 MW × 5.227450 × 0.250000 h = 22.216664 EUR</v>
      </c>
      <c r="BH60" s="1" t="str">
        <f t="shared" si="16"/>
        <v>24.000000 MW × 6.874011 × 0.250000 h = 41.244068 EUR</v>
      </c>
      <c r="BI60" s="1" t="str">
        <f t="shared" si="17"/>
        <v>零上调激活电量</v>
      </c>
      <c r="BJ60" s="1" t="str">
        <f t="shared" si="18"/>
        <v>−(3.137554 MWh × 35.267852) = -110.654800 EUR</v>
      </c>
      <c r="BK60" s="1" t="str">
        <f t="shared" si="19"/>
        <v>-80.194487 + 662.245345 + 22.216664 + 41.244068 + 0.000000 + -110.654800 = 534.856791 EUR</v>
      </c>
    </row>
    <row r="61" spans="1:63" ht="21" customHeight="1" x14ac:dyDescent="0.45">
      <c r="A61" s="13">
        <f>原始输入与口径!C61</f>
        <v>46235.541666666664</v>
      </c>
      <c r="B61" s="15">
        <f>IF(ISNUMBER(原始输入与口径!H61),原始输入与口径!H61,"缺失")</f>
        <v>35.909999999999997</v>
      </c>
      <c r="C61" s="15">
        <f>IF(ISNUMBER(原始输入与口径!R61),原始输入与口径!R61,"缺失")</f>
        <v>66.224534522516336</v>
      </c>
      <c r="D61" s="15">
        <f>IF(ISNUMBER(原始输入与口径!W61),原始输入与口径!W61,"缺失")</f>
        <v>5.1626550797553028</v>
      </c>
      <c r="E61" s="15">
        <f>IF(ISNUMBER(原始输入与口径!AB61),原始输入与口径!AB61,"缺失")</f>
        <v>6.8606712023326279</v>
      </c>
      <c r="F61" s="15">
        <f>IF(ISNUMBER(原始输入与口径!AG61),原始输入与口径!AG61,"缺失")</f>
        <v>0</v>
      </c>
      <c r="G61" s="15">
        <f>IF(ISNUMBER(原始输入与口径!AJ61),原始输入与口径!AJ61,"缺失")</f>
        <v>-267.70948868942122</v>
      </c>
      <c r="H61" s="15" t="str">
        <f t="shared" si="0"/>
        <v>未模拟</v>
      </c>
      <c r="I61" s="16">
        <f>原始输入与口径!CD61</f>
        <v>37.175055900621189</v>
      </c>
      <c r="J61" s="16">
        <f>原始输入与口径!CE61</f>
        <v>31.73913043478268</v>
      </c>
      <c r="K61" s="16">
        <f>原始输入与口径!BZ61</f>
        <v>36</v>
      </c>
      <c r="L61" s="16">
        <f>原始输入与口径!CK61</f>
        <v>40</v>
      </c>
      <c r="M61" s="16">
        <f>原始输入与口径!BT61</f>
        <v>24</v>
      </c>
      <c r="N61" s="16">
        <f>原始输入与口径!BJ61</f>
        <v>24</v>
      </c>
      <c r="O61" s="16">
        <f t="shared" si="20"/>
        <v>0</v>
      </c>
      <c r="P61" s="16">
        <f t="shared" si="1"/>
        <v>3.9989485714285711</v>
      </c>
      <c r="Q61" s="17">
        <f t="shared" si="2"/>
        <v>323.18999999999994</v>
      </c>
      <c r="R61" s="17">
        <f t="shared" si="3"/>
        <v>662.24534522516342</v>
      </c>
      <c r="S61" s="17">
        <f t="shared" si="4"/>
        <v>30.975930478531815</v>
      </c>
      <c r="T61" s="17">
        <f t="shared" si="5"/>
        <v>41.164027213995766</v>
      </c>
      <c r="U61" s="17">
        <f t="shared" si="21"/>
        <v>0</v>
      </c>
      <c r="V61" s="17">
        <f t="shared" si="6"/>
        <v>1070.5564773524343</v>
      </c>
      <c r="W61" s="17">
        <f t="shared" si="7"/>
        <v>2128.1317802701251</v>
      </c>
      <c r="X61" s="12">
        <f>原始输入与口径!CP61</f>
        <v>2128.1317802701251</v>
      </c>
      <c r="Y61" s="19">
        <f t="shared" si="8"/>
        <v>0</v>
      </c>
      <c r="Z61" s="12" t="str">
        <f t="shared" si="22"/>
        <v>当日执行</v>
      </c>
      <c r="AA61" s="12">
        <f>IF(原始输入与口径!AW61,1,0)</f>
        <v>1</v>
      </c>
      <c r="AB61" s="12">
        <f>IF(原始输入与口径!AY61,1,0)</f>
        <v>1</v>
      </c>
      <c r="AC61" s="12">
        <f>原始输入与口径!$F$5</f>
        <v>0.25</v>
      </c>
      <c r="AD61" s="18">
        <f>原始输入与口径!CG61</f>
        <v>0.3125</v>
      </c>
      <c r="AE61" s="18">
        <f>原始输入与口径!BQ61</f>
        <v>0.13714285714285715</v>
      </c>
      <c r="AF61" s="18">
        <f t="shared" si="10"/>
        <v>0</v>
      </c>
      <c r="AG61" s="18">
        <f t="shared" si="11"/>
        <v>0.66649142857142851</v>
      </c>
      <c r="AH61" s="12">
        <f>IF(ISNUMBER(原始输入与口径!T61),原始输入与口径!T61,"缺失")</f>
        <v>175</v>
      </c>
      <c r="AI61" s="12">
        <f>IF(ISNUMBER(原始输入与口径!Y61),原始输入与口径!Y61,"缺失")</f>
        <v>175</v>
      </c>
      <c r="AJ61" s="12">
        <f>IF(ISNUMBER(原始输入与口径!AI61),原始输入与口径!AI61,"缺失")</f>
        <v>0</v>
      </c>
      <c r="AK61" s="12">
        <f>IF(ISNUMBER(原始输入与口径!AL61),原始输入与口径!AL61,"缺失")</f>
        <v>29.158999999999999</v>
      </c>
      <c r="AL61" s="12">
        <f>IF(ISNUMBER(原始输入与口径!O61),原始输入与口径!O61,"缺失")</f>
        <v>91.903999999999996</v>
      </c>
      <c r="AM61" s="12">
        <f>SUMIFS(相位SOC复算!$N$9:$N$929,相位SOC复算!$S$9:$S$929,53)</f>
        <v>1.5099792960662526E-2</v>
      </c>
      <c r="AN61" s="12">
        <f>SUMIFS(相位SOC复算!$Q$9:$Q$929,相位SOC复算!$S$9:$S$929,53)</f>
        <v>0</v>
      </c>
      <c r="AO61" s="12">
        <f>SUMIFS(相位SOC复算!$R$9:$R$929,相位SOC复算!$S$9:$S$929,53)</f>
        <v>5.0010514285714285</v>
      </c>
      <c r="AP61" s="12">
        <f>相位SOC复算!J128</f>
        <v>31.739130434782687</v>
      </c>
      <c r="AQ61" s="19">
        <f t="shared" si="12"/>
        <v>0</v>
      </c>
      <c r="AR61" s="12">
        <f>IF(ISBLANK(原始输入与口径!M61),"",原始输入与口径!M61)</f>
        <v>5.2473000000000001</v>
      </c>
      <c r="AS61" s="14">
        <f>IF(ISBLANK(原始输入与口径!L61),"",原始输入与口径!L61)</f>
        <v>46234</v>
      </c>
      <c r="AT61" s="13">
        <f>IF(ISBLANK(原始输入与口径!A61),"",原始输入与口径!A61)</f>
        <v>46235.416666666664</v>
      </c>
      <c r="AU61" s="12" t="str">
        <f>IF(ISBLANK(原始输入与口径!I61),"",原始输入与口径!I61)</f>
        <v>2026-08-01_49</v>
      </c>
      <c r="AV61" s="12">
        <f>IF(ISBLANK(原始输入与口径!J61),"",原始输入与口径!J61)</f>
        <v>15</v>
      </c>
      <c r="AW61" s="12" t="str">
        <f>IF(ISBLANK(原始输入与口径!BB61),"",原始输入与口径!BB61)</f>
        <v>OK</v>
      </c>
      <c r="AX61" s="12">
        <f>原始输入与口径!CI61</f>
        <v>128</v>
      </c>
      <c r="AY61" s="12">
        <f>原始输入与口径!BS61</f>
        <v>175</v>
      </c>
      <c r="AZ61" s="12">
        <f>原始输入与口径!BI61</f>
        <v>175</v>
      </c>
      <c r="BA61" s="12">
        <f>原始输入与口径!CM61</f>
        <v>40</v>
      </c>
      <c r="BB61" s="12">
        <f>原始输入与口径!BV61</f>
        <v>24</v>
      </c>
      <c r="BC61" s="12">
        <f>原始输入与口径!BL61</f>
        <v>24</v>
      </c>
      <c r="BD61" s="14">
        <f>46235</f>
        <v>46235</v>
      </c>
      <c r="BE61" s="1" t="str">
        <f t="shared" si="13"/>
        <v>36.000000 MW × 35.910000 × 0.250000 h = 323.190000 EUR</v>
      </c>
      <c r="BF61" s="1" t="str">
        <f t="shared" si="14"/>
        <v>40.000000 MW × 66.224535 × 0.250000 h = 662.245345 EUR</v>
      </c>
      <c r="BG61" s="1" t="str">
        <f t="shared" si="15"/>
        <v>24.000000 MW × 5.162655 × 0.250000 h = 30.975930 EUR</v>
      </c>
      <c r="BH61" s="1" t="str">
        <f t="shared" si="16"/>
        <v>24.000000 MW × 6.860671 × 0.250000 h = 41.164027 EUR</v>
      </c>
      <c r="BI61" s="1" t="str">
        <f t="shared" si="17"/>
        <v>零上调激活电量</v>
      </c>
      <c r="BJ61" s="1" t="str">
        <f t="shared" si="18"/>
        <v>−(3.998949 MWh × -267.709489) = 1070.556477 EUR</v>
      </c>
      <c r="BK61" s="1" t="str">
        <f t="shared" si="19"/>
        <v>323.190000 + 662.245345 + 30.975930 + 41.164027 + 0.000000 + 1070.556477 = 2128.131780 EUR</v>
      </c>
    </row>
    <row r="62" spans="1:63" ht="21" customHeight="1" x14ac:dyDescent="0.45">
      <c r="A62" s="13">
        <f>原始输入与口径!C62</f>
        <v>46235.552083333336</v>
      </c>
      <c r="B62" s="15">
        <f>IF(ISNUMBER(原始输入与口径!H62),原始输入与口径!H62,"缺失")</f>
        <v>22.63</v>
      </c>
      <c r="C62" s="15">
        <f>IF(ISNUMBER(原始输入与口径!R62),原始输入与口径!R62,"缺失")</f>
        <v>66.224534522516336</v>
      </c>
      <c r="D62" s="15">
        <f>IF(ISNUMBER(原始输入与口径!W62),原始输入与口径!W62,"缺失")</f>
        <v>5.1626550797553028</v>
      </c>
      <c r="E62" s="15">
        <f>IF(ISNUMBER(原始输入与口径!AB62),原始输入与口径!AB62,"缺失")</f>
        <v>6.8606712023326279</v>
      </c>
      <c r="F62" s="15">
        <f>IF(ISNUMBER(原始输入与口径!AG62),原始输入与口径!AG62,"缺失")</f>
        <v>0</v>
      </c>
      <c r="G62" s="15">
        <f>IF(ISNUMBER(原始输入与口径!AJ62),原始输入与口径!AJ62,"缺失")</f>
        <v>-462.28498465877692</v>
      </c>
      <c r="H62" s="15" t="str">
        <f t="shared" si="0"/>
        <v>未模拟</v>
      </c>
      <c r="I62" s="16">
        <f>原始输入与口径!CD62</f>
        <v>31.73913043478268</v>
      </c>
      <c r="J62" s="16">
        <f>原始输入与口径!CE62</f>
        <v>44.16058140621125</v>
      </c>
      <c r="K62" s="16">
        <f>原始输入与口径!BZ62</f>
        <v>-36</v>
      </c>
      <c r="L62" s="16">
        <f>原始输入与口径!CK62</f>
        <v>40</v>
      </c>
      <c r="M62" s="16">
        <f>原始输入与口径!BT62</f>
        <v>24</v>
      </c>
      <c r="N62" s="16">
        <f>原始输入与口径!BJ62</f>
        <v>24</v>
      </c>
      <c r="O62" s="16">
        <f t="shared" si="20"/>
        <v>0</v>
      </c>
      <c r="P62" s="16">
        <f t="shared" si="1"/>
        <v>4.5015771428571423</v>
      </c>
      <c r="Q62" s="17">
        <f t="shared" si="2"/>
        <v>-203.67</v>
      </c>
      <c r="R62" s="17">
        <f t="shared" si="3"/>
        <v>662.24534522516342</v>
      </c>
      <c r="S62" s="17">
        <f t="shared" si="4"/>
        <v>30.975930478531815</v>
      </c>
      <c r="T62" s="17">
        <f t="shared" si="5"/>
        <v>41.164027213995766</v>
      </c>
      <c r="U62" s="17">
        <f t="shared" si="21"/>
        <v>0</v>
      </c>
      <c r="V62" s="17">
        <f t="shared" si="6"/>
        <v>2081.0115204260151</v>
      </c>
      <c r="W62" s="17">
        <f t="shared" si="7"/>
        <v>2611.7268233437062</v>
      </c>
      <c r="X62" s="12">
        <f>原始输入与口径!CP62</f>
        <v>2611.7268233437062</v>
      </c>
      <c r="Y62" s="19">
        <f t="shared" si="8"/>
        <v>0</v>
      </c>
      <c r="Z62" s="12" t="str">
        <f t="shared" si="22"/>
        <v>当日执行</v>
      </c>
      <c r="AA62" s="12">
        <f>IF(原始输入与口径!AW62,1,0)</f>
        <v>1</v>
      </c>
      <c r="AB62" s="12">
        <f>IF(原始输入与口径!AY62,1,0)</f>
        <v>1</v>
      </c>
      <c r="AC62" s="12">
        <f>原始输入与口径!$F$5</f>
        <v>0.25</v>
      </c>
      <c r="AD62" s="18">
        <f>原始输入与口径!CG62</f>
        <v>0.3125</v>
      </c>
      <c r="AE62" s="18">
        <f>原始输入与口径!BQ62</f>
        <v>0.13714285714285715</v>
      </c>
      <c r="AF62" s="18">
        <f t="shared" si="10"/>
        <v>0</v>
      </c>
      <c r="AG62" s="18">
        <f t="shared" si="11"/>
        <v>0.75026285714285712</v>
      </c>
      <c r="AH62" s="12">
        <f>IF(ISNUMBER(原始输入与口径!T62),原始输入与口径!T62,"缺失")</f>
        <v>175</v>
      </c>
      <c r="AI62" s="12">
        <f>IF(ISNUMBER(原始输入与口径!Y62),原始输入与口径!Y62,"缺失")</f>
        <v>175</v>
      </c>
      <c r="AJ62" s="12">
        <f>IF(ISNUMBER(原始输入与口径!AI62),原始输入与口径!AI62,"缺失")</f>
        <v>0</v>
      </c>
      <c r="AK62" s="12">
        <f>IF(ISNUMBER(原始输入与口径!AL62),原始输入与口径!AL62,"缺失")</f>
        <v>32.823999999999998</v>
      </c>
      <c r="AL62" s="12">
        <f>IF(ISNUMBER(原始输入与口径!O62),原始输入与口径!O62,"缺失")</f>
        <v>91.903999999999996</v>
      </c>
      <c r="AM62" s="12">
        <f>SUMIFS(相位SOC复算!$N$9:$N$929,相位SOC复算!$S$9:$S$929,54)</f>
        <v>3.4504030476190474E-2</v>
      </c>
      <c r="AN62" s="12">
        <f>SUMIFS(相位SOC复算!$Q$9:$Q$929,相位SOC复算!$S$9:$S$929,54)</f>
        <v>13.501577142857142</v>
      </c>
      <c r="AO62" s="12">
        <f>SUMIFS(相位SOC复算!$R$9:$R$929,相位SOC复算!$S$9:$S$929,54)</f>
        <v>0</v>
      </c>
      <c r="AP62" s="12">
        <f>相位SOC复算!J130</f>
        <v>44.160581406211257</v>
      </c>
      <c r="AQ62" s="19">
        <f t="shared" si="12"/>
        <v>0</v>
      </c>
      <c r="AR62" s="12">
        <f>IF(ISBLANK(原始输入与口径!M62),"",原始输入与口径!M62)</f>
        <v>5.2473000000000001</v>
      </c>
      <c r="AS62" s="14">
        <f>IF(ISBLANK(原始输入与口径!L62),"",原始输入与口径!L62)</f>
        <v>46234</v>
      </c>
      <c r="AT62" s="13">
        <f>IF(ISBLANK(原始输入与口径!A62),"",原始输入与口径!A62)</f>
        <v>46235.427083333336</v>
      </c>
      <c r="AU62" s="12" t="str">
        <f>IF(ISBLANK(原始输入与口径!I62),"",原始输入与口径!I62)</f>
        <v>2026-08-01_50</v>
      </c>
      <c r="AV62" s="12">
        <f>IF(ISBLANK(原始输入与口径!J62),"",原始输入与口径!J62)</f>
        <v>15</v>
      </c>
      <c r="AW62" s="12" t="str">
        <f>IF(ISBLANK(原始输入与口径!BB62),"",原始输入与口径!BB62)</f>
        <v>OK</v>
      </c>
      <c r="AX62" s="12">
        <f>原始输入与口径!CI62</f>
        <v>128</v>
      </c>
      <c r="AY62" s="12">
        <f>原始输入与口径!BS62</f>
        <v>175</v>
      </c>
      <c r="AZ62" s="12">
        <f>原始输入与口径!BI62</f>
        <v>175</v>
      </c>
      <c r="BA62" s="12">
        <f>原始输入与口径!CM62</f>
        <v>40</v>
      </c>
      <c r="BB62" s="12">
        <f>原始输入与口径!BV62</f>
        <v>24</v>
      </c>
      <c r="BC62" s="12">
        <f>原始输入与口径!BL62</f>
        <v>24</v>
      </c>
      <c r="BD62" s="14">
        <f>46235</f>
        <v>46235</v>
      </c>
      <c r="BE62" s="1" t="str">
        <f t="shared" si="13"/>
        <v>-36.000000 MW × 22.630000 × 0.250000 h = -203.670000 EUR</v>
      </c>
      <c r="BF62" s="1" t="str">
        <f t="shared" si="14"/>
        <v>40.000000 MW × 66.224535 × 0.250000 h = 662.245345 EUR</v>
      </c>
      <c r="BG62" s="1" t="str">
        <f t="shared" si="15"/>
        <v>24.000000 MW × 5.162655 × 0.250000 h = 30.975930 EUR</v>
      </c>
      <c r="BH62" s="1" t="str">
        <f t="shared" si="16"/>
        <v>24.000000 MW × 6.860671 × 0.250000 h = 41.164027 EUR</v>
      </c>
      <c r="BI62" s="1" t="str">
        <f t="shared" si="17"/>
        <v>零上调激活电量</v>
      </c>
      <c r="BJ62" s="1" t="str">
        <f t="shared" si="18"/>
        <v>−(4.501577 MWh × -462.284985) = 2081.011520 EUR</v>
      </c>
      <c r="BK62" s="1" t="str">
        <f t="shared" si="19"/>
        <v>-203.670000 + 662.245345 + 30.975930 + 41.164027 + 0.000000 + 2081.011520 = 2611.726823 EUR</v>
      </c>
    </row>
    <row r="63" spans="1:63" ht="21" customHeight="1" x14ac:dyDescent="0.45">
      <c r="A63" s="13">
        <f>原始输入与口径!C63</f>
        <v>46235.5625</v>
      </c>
      <c r="B63" s="15">
        <f>IF(ISNUMBER(原始输入与口径!H63),原始输入与口径!H63,"缺失")</f>
        <v>14.99</v>
      </c>
      <c r="C63" s="15">
        <f>IF(ISNUMBER(原始输入与口径!R63),原始输入与口径!R63,"缺失")</f>
        <v>66.224534522516336</v>
      </c>
      <c r="D63" s="15">
        <f>IF(ISNUMBER(原始输入与口径!W63),原始输入与口径!W63,"缺失")</f>
        <v>5.1626550797553028</v>
      </c>
      <c r="E63" s="15">
        <f>IF(ISNUMBER(原始输入与口径!AB63),原始输入与口径!AB63,"缺失")</f>
        <v>6.8606712023326279</v>
      </c>
      <c r="F63" s="15">
        <f>IF(ISNUMBER(原始输入与口径!AG63),原始输入与口径!AG63,"缺失")</f>
        <v>0</v>
      </c>
      <c r="G63" s="15">
        <f>IF(ISNUMBER(原始输入与口径!AJ63),原始输入与口径!AJ63,"缺失")</f>
        <v>-6.6495149886608358</v>
      </c>
      <c r="H63" s="15" t="str">
        <f t="shared" si="0"/>
        <v>未模拟</v>
      </c>
      <c r="I63" s="16">
        <f>原始输入与口径!CD63</f>
        <v>44.16058140621125</v>
      </c>
      <c r="J63" s="16">
        <f>原始输入与口径!CE63</f>
        <v>53.855720149068397</v>
      </c>
      <c r="K63" s="16">
        <f>原始输入与口径!BZ63</f>
        <v>-36</v>
      </c>
      <c r="L63" s="16">
        <f>原始输入与口径!CK63</f>
        <v>40</v>
      </c>
      <c r="M63" s="16">
        <f>原始输入与口径!BT63</f>
        <v>24</v>
      </c>
      <c r="N63" s="16">
        <f>原始输入与口径!BJ63</f>
        <v>24</v>
      </c>
      <c r="O63" s="16">
        <f t="shared" si="20"/>
        <v>0</v>
      </c>
      <c r="P63" s="16">
        <f t="shared" si="1"/>
        <v>1.5381942857142854</v>
      </c>
      <c r="Q63" s="17">
        <f t="shared" si="2"/>
        <v>-134.91</v>
      </c>
      <c r="R63" s="17">
        <f t="shared" si="3"/>
        <v>662.24534522516342</v>
      </c>
      <c r="S63" s="17">
        <f t="shared" si="4"/>
        <v>30.975930478531815</v>
      </c>
      <c r="T63" s="17">
        <f t="shared" si="5"/>
        <v>41.164027213995766</v>
      </c>
      <c r="U63" s="17">
        <f t="shared" si="21"/>
        <v>0</v>
      </c>
      <c r="V63" s="17">
        <f t="shared" si="6"/>
        <v>10.228245958329589</v>
      </c>
      <c r="W63" s="17">
        <f t="shared" si="7"/>
        <v>609.70354887602059</v>
      </c>
      <c r="X63" s="12">
        <f>原始输入与口径!CP63</f>
        <v>609.70354887602059</v>
      </c>
      <c r="Y63" s="19">
        <f t="shared" si="8"/>
        <v>0</v>
      </c>
      <c r="Z63" s="12" t="str">
        <f t="shared" si="22"/>
        <v>当日执行</v>
      </c>
      <c r="AA63" s="12">
        <f>IF(原始输入与口径!AW63,1,0)</f>
        <v>1</v>
      </c>
      <c r="AB63" s="12">
        <f>IF(原始输入与口径!AY63,1,0)</f>
        <v>1</v>
      </c>
      <c r="AC63" s="12">
        <f>原始输入与口径!$F$5</f>
        <v>0.25</v>
      </c>
      <c r="AD63" s="18">
        <f>原始输入与口径!CG63</f>
        <v>0.3125</v>
      </c>
      <c r="AE63" s="18">
        <f>原始输入与口径!BQ63</f>
        <v>0.13714285714285715</v>
      </c>
      <c r="AF63" s="18">
        <f t="shared" si="10"/>
        <v>0</v>
      </c>
      <c r="AG63" s="18">
        <f t="shared" si="11"/>
        <v>0.25636571428571425</v>
      </c>
      <c r="AH63" s="12">
        <f>IF(ISNUMBER(原始输入与口径!T63),原始输入与口径!T63,"缺失")</f>
        <v>175</v>
      </c>
      <c r="AI63" s="12">
        <f>IF(ISNUMBER(原始输入与口径!Y63),原始输入与口径!Y63,"缺失")</f>
        <v>175</v>
      </c>
      <c r="AJ63" s="12">
        <f>IF(ISNUMBER(原始输入与口径!AI63),原始输入与口径!AI63,"缺失")</f>
        <v>0</v>
      </c>
      <c r="AK63" s="12">
        <f>IF(ISNUMBER(原始输入与口径!AL63),原始输入与口径!AL63,"缺失")</f>
        <v>11.215999999999999</v>
      </c>
      <c r="AL63" s="12">
        <f>IF(ISNUMBER(原始输入与口径!O63),原始输入与口径!O63,"缺失")</f>
        <v>91.903999999999996</v>
      </c>
      <c r="AM63" s="12">
        <f>SUMIFS(相位SOC复算!$N$9:$N$929,相位SOC复算!$S$9:$S$929,55)</f>
        <v>2.6930940952380952E-2</v>
      </c>
      <c r="AN63" s="12">
        <f>SUMIFS(相位SOC复算!$Q$9:$Q$929,相位SOC复算!$S$9:$S$929,55)</f>
        <v>10.538194285714285</v>
      </c>
      <c r="AO63" s="12">
        <f>SUMIFS(相位SOC复算!$R$9:$R$929,相位SOC复算!$S$9:$S$929,55)</f>
        <v>0</v>
      </c>
      <c r="AP63" s="12">
        <f>相位SOC复算!J132</f>
        <v>53.855720149068404</v>
      </c>
      <c r="AQ63" s="19">
        <f t="shared" si="12"/>
        <v>0</v>
      </c>
      <c r="AR63" s="12">
        <f>IF(ISBLANK(原始输入与口径!M63),"",原始输入与口径!M63)</f>
        <v>5.2473000000000001</v>
      </c>
      <c r="AS63" s="14">
        <f>IF(ISBLANK(原始输入与口径!L63),"",原始输入与口径!L63)</f>
        <v>46234</v>
      </c>
      <c r="AT63" s="13">
        <f>IF(ISBLANK(原始输入与口径!A63),"",原始输入与口径!A63)</f>
        <v>46235.4375</v>
      </c>
      <c r="AU63" s="12" t="str">
        <f>IF(ISBLANK(原始输入与口径!I63),"",原始输入与口径!I63)</f>
        <v>2026-08-01_51</v>
      </c>
      <c r="AV63" s="12">
        <f>IF(ISBLANK(原始输入与口径!J63),"",原始输入与口径!J63)</f>
        <v>15</v>
      </c>
      <c r="AW63" s="12" t="str">
        <f>IF(ISBLANK(原始输入与口径!BB63),"",原始输入与口径!BB63)</f>
        <v>OK</v>
      </c>
      <c r="AX63" s="12">
        <f>原始输入与口径!CI63</f>
        <v>128</v>
      </c>
      <c r="AY63" s="12">
        <f>原始输入与口径!BS63</f>
        <v>175</v>
      </c>
      <c r="AZ63" s="12">
        <f>原始输入与口径!BI63</f>
        <v>175</v>
      </c>
      <c r="BA63" s="12">
        <f>原始输入与口径!CM63</f>
        <v>40</v>
      </c>
      <c r="BB63" s="12">
        <f>原始输入与口径!BV63</f>
        <v>24</v>
      </c>
      <c r="BC63" s="12">
        <f>原始输入与口径!BL63</f>
        <v>24</v>
      </c>
      <c r="BD63" s="14">
        <f>46235</f>
        <v>46235</v>
      </c>
      <c r="BE63" s="1" t="str">
        <f t="shared" si="13"/>
        <v>-36.000000 MW × 14.990000 × 0.250000 h = -134.910000 EUR</v>
      </c>
      <c r="BF63" s="1" t="str">
        <f t="shared" si="14"/>
        <v>40.000000 MW × 66.224535 × 0.250000 h = 662.245345 EUR</v>
      </c>
      <c r="BG63" s="1" t="str">
        <f t="shared" si="15"/>
        <v>24.000000 MW × 5.162655 × 0.250000 h = 30.975930 EUR</v>
      </c>
      <c r="BH63" s="1" t="str">
        <f t="shared" si="16"/>
        <v>24.000000 MW × 6.860671 × 0.250000 h = 41.164027 EUR</v>
      </c>
      <c r="BI63" s="1" t="str">
        <f t="shared" si="17"/>
        <v>零上调激活电量</v>
      </c>
      <c r="BJ63" s="1" t="str">
        <f t="shared" si="18"/>
        <v>−(1.538194 MWh × -6.649515) = 10.228246 EUR</v>
      </c>
      <c r="BK63" s="1" t="str">
        <f t="shared" si="19"/>
        <v>-134.910000 + 662.245345 + 30.975930 + 41.164027 + 0.000000 + 10.228246 = 609.703549 EUR</v>
      </c>
    </row>
    <row r="64" spans="1:63" ht="21" customHeight="1" x14ac:dyDescent="0.45">
      <c r="A64" s="13">
        <f>原始输入与口径!C64</f>
        <v>46235.572916666664</v>
      </c>
      <c r="B64" s="15">
        <f>IF(ISNUMBER(原始输入与口径!H64),原始输入与口径!H64,"缺失")</f>
        <v>13</v>
      </c>
      <c r="C64" s="15">
        <f>IF(ISNUMBER(原始输入与口径!R64),原始输入与口径!R64,"缺失")</f>
        <v>66.224534522516336</v>
      </c>
      <c r="D64" s="15">
        <f>IF(ISNUMBER(原始输入与口径!W64),原始输入与口径!W64,"缺失")</f>
        <v>5.1626550797553028</v>
      </c>
      <c r="E64" s="15">
        <f>IF(ISNUMBER(原始输入与口径!AB64),原始输入与口径!AB64,"缺失")</f>
        <v>6.8606712023326279</v>
      </c>
      <c r="F64" s="15">
        <f>IF(ISNUMBER(原始输入与口径!AG64),原始输入与口径!AG64,"缺失")</f>
        <v>0</v>
      </c>
      <c r="G64" s="15">
        <f>IF(ISNUMBER(原始输入与口径!AJ64),原始输入与口径!AJ64,"缺失")</f>
        <v>-20.246793589083911</v>
      </c>
      <c r="H64" s="15" t="str">
        <f t="shared" si="0"/>
        <v>未模拟</v>
      </c>
      <c r="I64" s="16">
        <f>原始输入与口径!CD64</f>
        <v>53.855720149068397</v>
      </c>
      <c r="J64" s="16">
        <f>原始输入与口径!CE64</f>
        <v>64.500298891925539</v>
      </c>
      <c r="K64" s="16">
        <f>原始输入与口径!BZ64</f>
        <v>-36</v>
      </c>
      <c r="L64" s="16">
        <f>原始输入与口径!CK64</f>
        <v>40</v>
      </c>
      <c r="M64" s="16">
        <f>原始输入与口径!BT64</f>
        <v>24</v>
      </c>
      <c r="N64" s="16">
        <f>原始输入与口径!BJ64</f>
        <v>24</v>
      </c>
      <c r="O64" s="16">
        <f t="shared" si="20"/>
        <v>0</v>
      </c>
      <c r="P64" s="16">
        <f t="shared" si="1"/>
        <v>2.5701942857142859</v>
      </c>
      <c r="Q64" s="17">
        <f t="shared" si="2"/>
        <v>-117</v>
      </c>
      <c r="R64" s="17">
        <f t="shared" si="3"/>
        <v>662.24534522516342</v>
      </c>
      <c r="S64" s="17">
        <f t="shared" si="4"/>
        <v>30.975930478531815</v>
      </c>
      <c r="T64" s="17">
        <f t="shared" si="5"/>
        <v>41.164027213995766</v>
      </c>
      <c r="U64" s="17">
        <f t="shared" si="21"/>
        <v>0</v>
      </c>
      <c r="V64" s="17">
        <f t="shared" si="6"/>
        <v>52.038193186700106</v>
      </c>
      <c r="W64" s="17">
        <f t="shared" si="7"/>
        <v>669.42349610439112</v>
      </c>
      <c r="X64" s="12">
        <f>原始输入与口径!CP64</f>
        <v>669.42349610439112</v>
      </c>
      <c r="Y64" s="19">
        <f t="shared" si="8"/>
        <v>0</v>
      </c>
      <c r="Z64" s="12" t="str">
        <f t="shared" si="22"/>
        <v>当日执行</v>
      </c>
      <c r="AA64" s="12">
        <f>IF(原始输入与口径!AW64,1,0)</f>
        <v>1</v>
      </c>
      <c r="AB64" s="12">
        <f>IF(原始输入与口径!AY64,1,0)</f>
        <v>1</v>
      </c>
      <c r="AC64" s="12">
        <f>原始输入与口径!$F$5</f>
        <v>0.25</v>
      </c>
      <c r="AD64" s="18">
        <f>原始输入与口径!CG64</f>
        <v>0.3125</v>
      </c>
      <c r="AE64" s="18">
        <f>原始输入与口径!BQ64</f>
        <v>0.13714285714285715</v>
      </c>
      <c r="AF64" s="18">
        <f t="shared" si="10"/>
        <v>0</v>
      </c>
      <c r="AG64" s="18">
        <f t="shared" si="11"/>
        <v>0.42836571428571429</v>
      </c>
      <c r="AH64" s="12">
        <f>IF(ISNUMBER(原始输入与口径!T64),原始输入与口径!T64,"缺失")</f>
        <v>175</v>
      </c>
      <c r="AI64" s="12">
        <f>IF(ISNUMBER(原始输入与口径!Y64),原始输入与口径!Y64,"缺失")</f>
        <v>175</v>
      </c>
      <c r="AJ64" s="12">
        <f>IF(ISNUMBER(原始输入与口径!AI64),原始输入与口径!AI64,"缺失")</f>
        <v>0</v>
      </c>
      <c r="AK64" s="12">
        <f>IF(ISNUMBER(原始输入与口径!AL64),原始输入与口径!AL64,"缺失")</f>
        <v>18.741</v>
      </c>
      <c r="AL64" s="12">
        <f>IF(ISNUMBER(原始输入与口径!O64),原始输入与口径!O64,"缺失")</f>
        <v>91.903999999999996</v>
      </c>
      <c r="AM64" s="12">
        <f>SUMIFS(相位SOC复算!$N$9:$N$929,相位SOC复算!$S$9:$S$929,56)</f>
        <v>2.9568274285714291E-2</v>
      </c>
      <c r="AN64" s="12">
        <f>SUMIFS(相位SOC复算!$Q$9:$Q$929,相位SOC复算!$S$9:$S$929,56)</f>
        <v>11.570194285714287</v>
      </c>
      <c r="AO64" s="12">
        <f>SUMIFS(相位SOC复算!$R$9:$R$929,相位SOC复算!$S$9:$S$929,56)</f>
        <v>0</v>
      </c>
      <c r="AP64" s="12">
        <f>相位SOC复算!J134</f>
        <v>64.500298891925553</v>
      </c>
      <c r="AQ64" s="19">
        <f t="shared" si="12"/>
        <v>0</v>
      </c>
      <c r="AR64" s="12">
        <f>IF(ISBLANK(原始输入与口径!M64),"",原始输入与口径!M64)</f>
        <v>5.2473000000000001</v>
      </c>
      <c r="AS64" s="14">
        <f>IF(ISBLANK(原始输入与口径!L64),"",原始输入与口径!L64)</f>
        <v>46234</v>
      </c>
      <c r="AT64" s="13">
        <f>IF(ISBLANK(原始输入与口径!A64),"",原始输入与口径!A64)</f>
        <v>46235.447916666664</v>
      </c>
      <c r="AU64" s="12" t="str">
        <f>IF(ISBLANK(原始输入与口径!I64),"",原始输入与口径!I64)</f>
        <v>2026-08-01_52</v>
      </c>
      <c r="AV64" s="12">
        <f>IF(ISBLANK(原始输入与口径!J64),"",原始输入与口径!J64)</f>
        <v>15</v>
      </c>
      <c r="AW64" s="12" t="str">
        <f>IF(ISBLANK(原始输入与口径!BB64),"",原始输入与口径!BB64)</f>
        <v>OK</v>
      </c>
      <c r="AX64" s="12">
        <f>原始输入与口径!CI64</f>
        <v>128</v>
      </c>
      <c r="AY64" s="12">
        <f>原始输入与口径!BS64</f>
        <v>175</v>
      </c>
      <c r="AZ64" s="12">
        <f>原始输入与口径!BI64</f>
        <v>175</v>
      </c>
      <c r="BA64" s="12">
        <f>原始输入与口径!CM64</f>
        <v>40</v>
      </c>
      <c r="BB64" s="12">
        <f>原始输入与口径!BV64</f>
        <v>24</v>
      </c>
      <c r="BC64" s="12">
        <f>原始输入与口径!BL64</f>
        <v>24</v>
      </c>
      <c r="BD64" s="14">
        <f>46235</f>
        <v>46235</v>
      </c>
      <c r="BE64" s="1" t="str">
        <f t="shared" si="13"/>
        <v>-36.000000 MW × 13.000000 × 0.250000 h = -117.000000 EUR</v>
      </c>
      <c r="BF64" s="1" t="str">
        <f t="shared" si="14"/>
        <v>40.000000 MW × 66.224535 × 0.250000 h = 662.245345 EUR</v>
      </c>
      <c r="BG64" s="1" t="str">
        <f t="shared" si="15"/>
        <v>24.000000 MW × 5.162655 × 0.250000 h = 30.975930 EUR</v>
      </c>
      <c r="BH64" s="1" t="str">
        <f t="shared" si="16"/>
        <v>24.000000 MW × 6.860671 × 0.250000 h = 41.164027 EUR</v>
      </c>
      <c r="BI64" s="1" t="str">
        <f t="shared" si="17"/>
        <v>零上调激活电量</v>
      </c>
      <c r="BJ64" s="1" t="str">
        <f t="shared" si="18"/>
        <v>−(2.570194 MWh × -20.246794) = 52.038193 EUR</v>
      </c>
      <c r="BK64" s="1" t="str">
        <f t="shared" si="19"/>
        <v>-117.000000 + 662.245345 + 30.975930 + 41.164027 + 0.000000 + 52.038193 = 669.423496 EUR</v>
      </c>
    </row>
    <row r="65" spans="1:63" ht="21" customHeight="1" x14ac:dyDescent="0.45">
      <c r="A65" s="13">
        <f>原始输入与口径!C65</f>
        <v>46235.583333333336</v>
      </c>
      <c r="B65" s="15">
        <f>IF(ISNUMBER(原始输入与口径!H65),原始输入与口径!H65,"缺失")</f>
        <v>14.94</v>
      </c>
      <c r="C65" s="15">
        <f>IF(ISNUMBER(原始输入与口径!R65),原始输入与口径!R65,"缺失")</f>
        <v>66.224534522516336</v>
      </c>
      <c r="D65" s="15">
        <f>IF(ISNUMBER(原始输入与口径!W65),原始输入与口径!W65,"缺失")</f>
        <v>5.1626550797553028</v>
      </c>
      <c r="E65" s="15">
        <f>IF(ISNUMBER(原始输入与口径!AB65),原始输入与口径!AB65,"缺失")</f>
        <v>6.8606712023326279</v>
      </c>
      <c r="F65" s="15">
        <f>IF(ISNUMBER(原始输入与口径!AG65),原始输入与口径!AG65,"缺失")</f>
        <v>0</v>
      </c>
      <c r="G65" s="15">
        <f>IF(ISNUMBER(原始输入与口径!AJ65),原始输入与口径!AJ65,"缺失")</f>
        <v>6.8698187639357382</v>
      </c>
      <c r="H65" s="15" t="str">
        <f t="shared" si="0"/>
        <v>未模拟</v>
      </c>
      <c r="I65" s="16">
        <f>原始输入与口径!CD65</f>
        <v>64.500298891925539</v>
      </c>
      <c r="J65" s="16">
        <f>原始输入与口径!CE65</f>
        <v>73.975773177639823</v>
      </c>
      <c r="K65" s="16">
        <f>原始输入与口径!BZ65</f>
        <v>-36</v>
      </c>
      <c r="L65" s="16">
        <f>原始输入与口径!CK65</f>
        <v>40</v>
      </c>
      <c r="M65" s="16">
        <f>原始输入与口径!BT65</f>
        <v>24</v>
      </c>
      <c r="N65" s="16">
        <f>原始输入与口径!BJ65</f>
        <v>24</v>
      </c>
      <c r="O65" s="16">
        <f t="shared" si="20"/>
        <v>0</v>
      </c>
      <c r="P65" s="16">
        <f t="shared" si="1"/>
        <v>1.2994285714285714</v>
      </c>
      <c r="Q65" s="17">
        <f t="shared" si="2"/>
        <v>-134.46</v>
      </c>
      <c r="R65" s="17">
        <f t="shared" si="3"/>
        <v>662.24534522516342</v>
      </c>
      <c r="S65" s="17">
        <f t="shared" si="4"/>
        <v>30.975930478531815</v>
      </c>
      <c r="T65" s="17">
        <f t="shared" si="5"/>
        <v>41.164027213995766</v>
      </c>
      <c r="U65" s="17">
        <f t="shared" si="21"/>
        <v>0</v>
      </c>
      <c r="V65" s="17">
        <f t="shared" si="6"/>
        <v>-8.9268387823942099</v>
      </c>
      <c r="W65" s="17">
        <f t="shared" si="7"/>
        <v>590.99846413529679</v>
      </c>
      <c r="X65" s="12">
        <f>原始输入与口径!CP65</f>
        <v>590.99846413529679</v>
      </c>
      <c r="Y65" s="19">
        <f t="shared" si="8"/>
        <v>0</v>
      </c>
      <c r="Z65" s="12" t="str">
        <f t="shared" si="22"/>
        <v>当日执行</v>
      </c>
      <c r="AA65" s="12">
        <f>IF(原始输入与口径!AW65,1,0)</f>
        <v>1</v>
      </c>
      <c r="AB65" s="12">
        <f>IF(原始输入与口径!AY65,1,0)</f>
        <v>1</v>
      </c>
      <c r="AC65" s="12">
        <f>原始输入与口径!$F$5</f>
        <v>0.25</v>
      </c>
      <c r="AD65" s="18">
        <f>原始输入与口径!CG65</f>
        <v>0.3125</v>
      </c>
      <c r="AE65" s="18">
        <f>原始输入与口径!BQ65</f>
        <v>0.13714285714285715</v>
      </c>
      <c r="AF65" s="18">
        <f t="shared" si="10"/>
        <v>0</v>
      </c>
      <c r="AG65" s="18">
        <f t="shared" si="11"/>
        <v>0.21657142857142855</v>
      </c>
      <c r="AH65" s="12">
        <f>IF(ISNUMBER(原始输入与口径!T65),原始输入与口径!T65,"缺失")</f>
        <v>175</v>
      </c>
      <c r="AI65" s="12">
        <f>IF(ISNUMBER(原始输入与口径!Y65),原始输入与口径!Y65,"缺失")</f>
        <v>175</v>
      </c>
      <c r="AJ65" s="12">
        <f>IF(ISNUMBER(原始输入与口径!AI65),原始输入与口径!AI65,"缺失")</f>
        <v>0</v>
      </c>
      <c r="AK65" s="12">
        <f>IF(ISNUMBER(原始输入与口径!AL65),原始输入与口径!AL65,"缺失")</f>
        <v>9.4749999999999996</v>
      </c>
      <c r="AL65" s="12">
        <f>IF(ISNUMBER(原始输入与口径!O65),原始输入与口径!O65,"缺失")</f>
        <v>91.903999999999996</v>
      </c>
      <c r="AM65" s="12">
        <f>SUMIFS(相位SOC复算!$N$9:$N$929,相位SOC复算!$S$9:$S$929,57)</f>
        <v>2.6320761904761909E-2</v>
      </c>
      <c r="AN65" s="12">
        <f>SUMIFS(相位SOC复算!$Q$9:$Q$929,相位SOC复算!$S$9:$S$929,57)</f>
        <v>10.299428571428571</v>
      </c>
      <c r="AO65" s="12">
        <f>SUMIFS(相位SOC复算!$R$9:$R$929,相位SOC复算!$S$9:$S$929,57)</f>
        <v>0</v>
      </c>
      <c r="AP65" s="12">
        <f>相位SOC复算!J136</f>
        <v>73.975773177639837</v>
      </c>
      <c r="AQ65" s="19">
        <f t="shared" si="12"/>
        <v>0</v>
      </c>
      <c r="AR65" s="12">
        <f>IF(ISBLANK(原始输入与口径!M65),"",原始输入与口径!M65)</f>
        <v>5.2473000000000001</v>
      </c>
      <c r="AS65" s="14">
        <f>IF(ISBLANK(原始输入与口径!L65),"",原始输入与口径!L65)</f>
        <v>46234</v>
      </c>
      <c r="AT65" s="13">
        <f>IF(ISBLANK(原始输入与口径!A65),"",原始输入与口径!A65)</f>
        <v>46235.458333333336</v>
      </c>
      <c r="AU65" s="12" t="str">
        <f>IF(ISBLANK(原始输入与口径!I65),"",原始输入与口径!I65)</f>
        <v>2026-08-01_53</v>
      </c>
      <c r="AV65" s="12">
        <f>IF(ISBLANK(原始输入与口径!J65),"",原始输入与口径!J65)</f>
        <v>15</v>
      </c>
      <c r="AW65" s="12" t="str">
        <f>IF(ISBLANK(原始输入与口径!BB65),"",原始输入与口径!BB65)</f>
        <v>OK</v>
      </c>
      <c r="AX65" s="12">
        <f>原始输入与口径!CI65</f>
        <v>128</v>
      </c>
      <c r="AY65" s="12">
        <f>原始输入与口径!BS65</f>
        <v>175</v>
      </c>
      <c r="AZ65" s="12">
        <f>原始输入与口径!BI65</f>
        <v>175</v>
      </c>
      <c r="BA65" s="12">
        <f>原始输入与口径!CM65</f>
        <v>40</v>
      </c>
      <c r="BB65" s="12">
        <f>原始输入与口径!BV65</f>
        <v>24</v>
      </c>
      <c r="BC65" s="12">
        <f>原始输入与口径!BL65</f>
        <v>24</v>
      </c>
      <c r="BD65" s="14">
        <f>46235</f>
        <v>46235</v>
      </c>
      <c r="BE65" s="1" t="str">
        <f t="shared" si="13"/>
        <v>-36.000000 MW × 14.940000 × 0.250000 h = -134.460000 EUR</v>
      </c>
      <c r="BF65" s="1" t="str">
        <f t="shared" si="14"/>
        <v>40.000000 MW × 66.224535 × 0.250000 h = 662.245345 EUR</v>
      </c>
      <c r="BG65" s="1" t="str">
        <f t="shared" si="15"/>
        <v>24.000000 MW × 5.162655 × 0.250000 h = 30.975930 EUR</v>
      </c>
      <c r="BH65" s="1" t="str">
        <f t="shared" si="16"/>
        <v>24.000000 MW × 6.860671 × 0.250000 h = 41.164027 EUR</v>
      </c>
      <c r="BI65" s="1" t="str">
        <f t="shared" si="17"/>
        <v>零上调激活电量</v>
      </c>
      <c r="BJ65" s="1" t="str">
        <f t="shared" si="18"/>
        <v>−(1.299429 MWh × 6.869819) = -8.926839 EUR</v>
      </c>
      <c r="BK65" s="1" t="str">
        <f t="shared" si="19"/>
        <v>-134.460000 + 662.245345 + 30.975930 + 41.164027 + 0.000000 + -8.926839 = 590.998464 EUR</v>
      </c>
    </row>
    <row r="66" spans="1:63" ht="21" customHeight="1" x14ac:dyDescent="0.45">
      <c r="A66" s="13">
        <f>原始输入与口径!C66</f>
        <v>46235.59375</v>
      </c>
      <c r="B66" s="15">
        <f>IF(ISNUMBER(原始输入与口径!H66),原始输入与口径!H66,"缺失")</f>
        <v>14.93</v>
      </c>
      <c r="C66" s="15">
        <f>IF(ISNUMBER(原始输入与口径!R66),原始输入与口径!R66,"缺失")</f>
        <v>66.224534522516336</v>
      </c>
      <c r="D66" s="15">
        <f>IF(ISNUMBER(原始输入与口径!W66),原始输入与口径!W66,"缺失")</f>
        <v>5.1626550797553028</v>
      </c>
      <c r="E66" s="15">
        <f>IF(ISNUMBER(原始输入与口径!AB66),原始输入与口径!AB66,"缺失")</f>
        <v>6.8606712023326279</v>
      </c>
      <c r="F66" s="15">
        <f>IF(ISNUMBER(原始输入与口径!AG66),原始输入与口径!AG66,"缺失")</f>
        <v>0</v>
      </c>
      <c r="G66" s="15">
        <f>IF(ISNUMBER(原始输入与口径!AJ66),原始输入与口径!AJ66,"缺失")</f>
        <v>-1.7111657423817961</v>
      </c>
      <c r="H66" s="15" t="str">
        <f t="shared" si="0"/>
        <v>未模拟</v>
      </c>
      <c r="I66" s="16">
        <f>原始输入与口径!CD66</f>
        <v>73.975773177639823</v>
      </c>
      <c r="J66" s="16">
        <f>原始输入与口径!CE66</f>
        <v>83.099860034782679</v>
      </c>
      <c r="K66" s="16">
        <f>原始输入与口径!BZ66</f>
        <v>-36</v>
      </c>
      <c r="L66" s="16">
        <f>原始输入与口径!CK66</f>
        <v>40</v>
      </c>
      <c r="M66" s="16">
        <f>原始输入与口径!BT66</f>
        <v>24</v>
      </c>
      <c r="N66" s="16">
        <f>原始输入与口径!BJ66</f>
        <v>24</v>
      </c>
      <c r="O66" s="16">
        <f t="shared" si="20"/>
        <v>0</v>
      </c>
      <c r="P66" s="16">
        <f t="shared" si="1"/>
        <v>0.91748571428571435</v>
      </c>
      <c r="Q66" s="17">
        <f t="shared" si="2"/>
        <v>-134.37</v>
      </c>
      <c r="R66" s="17">
        <f t="shared" si="3"/>
        <v>662.24534522516342</v>
      </c>
      <c r="S66" s="17">
        <f t="shared" si="4"/>
        <v>30.975930478531815</v>
      </c>
      <c r="T66" s="17">
        <f t="shared" si="5"/>
        <v>41.164027213995766</v>
      </c>
      <c r="U66" s="17">
        <f t="shared" si="21"/>
        <v>0</v>
      </c>
      <c r="V66" s="17">
        <f t="shared" si="6"/>
        <v>1.5699701234104069</v>
      </c>
      <c r="W66" s="17">
        <f t="shared" si="7"/>
        <v>601.58527304110135</v>
      </c>
      <c r="X66" s="12">
        <f>原始输入与口径!CP66</f>
        <v>601.58527304110135</v>
      </c>
      <c r="Y66" s="19">
        <f t="shared" si="8"/>
        <v>0</v>
      </c>
      <c r="Z66" s="12" t="str">
        <f t="shared" si="22"/>
        <v>当日执行</v>
      </c>
      <c r="AA66" s="12">
        <f>IF(原始输入与口径!AW66,1,0)</f>
        <v>1</v>
      </c>
      <c r="AB66" s="12">
        <f>IF(原始输入与口径!AY66,1,0)</f>
        <v>1</v>
      </c>
      <c r="AC66" s="12">
        <f>原始输入与口径!$F$5</f>
        <v>0.25</v>
      </c>
      <c r="AD66" s="18">
        <f>原始输入与口径!CG66</f>
        <v>0.3125</v>
      </c>
      <c r="AE66" s="18">
        <f>原始输入与口径!BQ66</f>
        <v>0.13714285714285715</v>
      </c>
      <c r="AF66" s="18">
        <f t="shared" si="10"/>
        <v>0</v>
      </c>
      <c r="AG66" s="18">
        <f t="shared" si="11"/>
        <v>0.15291428571428572</v>
      </c>
      <c r="AH66" s="12">
        <f>IF(ISNUMBER(原始输入与口径!T66),原始输入与口径!T66,"缺失")</f>
        <v>175</v>
      </c>
      <c r="AI66" s="12">
        <f>IF(ISNUMBER(原始输入与口径!Y66),原始输入与口径!Y66,"缺失")</f>
        <v>175</v>
      </c>
      <c r="AJ66" s="12">
        <f>IF(ISNUMBER(原始输入与口径!AI66),原始输入与口径!AI66,"缺失")</f>
        <v>0</v>
      </c>
      <c r="AK66" s="12">
        <f>IF(ISNUMBER(原始输入与口径!AL66),原始输入与口径!AL66,"缺失")</f>
        <v>6.69</v>
      </c>
      <c r="AL66" s="12">
        <f>IF(ISNUMBER(原始输入与口径!O66),原始输入与口径!O66,"缺失")</f>
        <v>91.903999999999996</v>
      </c>
      <c r="AM66" s="12">
        <f>SUMIFS(相位SOC复算!$N$9:$N$929,相位SOC复算!$S$9:$S$929,58)</f>
        <v>2.5344685714285716E-2</v>
      </c>
      <c r="AN66" s="12">
        <f>SUMIFS(相位SOC复算!$Q$9:$Q$929,相位SOC复算!$S$9:$S$929,58)</f>
        <v>9.9174857142857142</v>
      </c>
      <c r="AO66" s="12">
        <f>SUMIFS(相位SOC复算!$R$9:$R$929,相位SOC复算!$S$9:$S$929,58)</f>
        <v>0</v>
      </c>
      <c r="AP66" s="12">
        <f>相位SOC复算!J138</f>
        <v>83.099860034782694</v>
      </c>
      <c r="AQ66" s="19">
        <f t="shared" si="12"/>
        <v>0</v>
      </c>
      <c r="AR66" s="12">
        <f>IF(ISBLANK(原始输入与口径!M66),"",原始输入与口径!M66)</f>
        <v>5.2473000000000001</v>
      </c>
      <c r="AS66" s="14">
        <f>IF(ISBLANK(原始输入与口径!L66),"",原始输入与口径!L66)</f>
        <v>46234</v>
      </c>
      <c r="AT66" s="13">
        <f>IF(ISBLANK(原始输入与口径!A66),"",原始输入与口径!A66)</f>
        <v>46235.46875</v>
      </c>
      <c r="AU66" s="12" t="str">
        <f>IF(ISBLANK(原始输入与口径!I66),"",原始输入与口径!I66)</f>
        <v>2026-08-01_54</v>
      </c>
      <c r="AV66" s="12">
        <f>IF(ISBLANK(原始输入与口径!J66),"",原始输入与口径!J66)</f>
        <v>15</v>
      </c>
      <c r="AW66" s="12" t="str">
        <f>IF(ISBLANK(原始输入与口径!BB66),"",原始输入与口径!BB66)</f>
        <v>OK</v>
      </c>
      <c r="AX66" s="12">
        <f>原始输入与口径!CI66</f>
        <v>128</v>
      </c>
      <c r="AY66" s="12">
        <f>原始输入与口径!BS66</f>
        <v>175</v>
      </c>
      <c r="AZ66" s="12">
        <f>原始输入与口径!BI66</f>
        <v>175</v>
      </c>
      <c r="BA66" s="12">
        <f>原始输入与口径!CM66</f>
        <v>40</v>
      </c>
      <c r="BB66" s="12">
        <f>原始输入与口径!BV66</f>
        <v>24</v>
      </c>
      <c r="BC66" s="12">
        <f>原始输入与口径!BL66</f>
        <v>24</v>
      </c>
      <c r="BD66" s="14">
        <f>46235</f>
        <v>46235</v>
      </c>
      <c r="BE66" s="1" t="str">
        <f t="shared" si="13"/>
        <v>-36.000000 MW × 14.930000 × 0.250000 h = -134.370000 EUR</v>
      </c>
      <c r="BF66" s="1" t="str">
        <f t="shared" si="14"/>
        <v>40.000000 MW × 66.224535 × 0.250000 h = 662.245345 EUR</v>
      </c>
      <c r="BG66" s="1" t="str">
        <f t="shared" si="15"/>
        <v>24.000000 MW × 5.162655 × 0.250000 h = 30.975930 EUR</v>
      </c>
      <c r="BH66" s="1" t="str">
        <f t="shared" si="16"/>
        <v>24.000000 MW × 6.860671 × 0.250000 h = 41.164027 EUR</v>
      </c>
      <c r="BI66" s="1" t="str">
        <f t="shared" si="17"/>
        <v>零上调激活电量</v>
      </c>
      <c r="BJ66" s="1" t="str">
        <f t="shared" si="18"/>
        <v>−(0.917486 MWh × -1.711166) = 1.569970 EUR</v>
      </c>
      <c r="BK66" s="1" t="str">
        <f t="shared" si="19"/>
        <v>-134.370000 + 662.245345 + 30.975930 + 41.164027 + 0.000000 + 1.569970 = 601.585273 EUR</v>
      </c>
    </row>
    <row r="67" spans="1:63" ht="21" customHeight="1" x14ac:dyDescent="0.45">
      <c r="A67" s="13">
        <f>原始输入与口径!C67</f>
        <v>46235.604166666664</v>
      </c>
      <c r="B67" s="15">
        <f>IF(ISNUMBER(原始输入与口径!H67),原始输入与口径!H67,"缺失")</f>
        <v>15.27</v>
      </c>
      <c r="C67" s="15">
        <f>IF(ISNUMBER(原始输入与口径!R67),原始输入与口径!R67,"缺失")</f>
        <v>66.224534522516336</v>
      </c>
      <c r="D67" s="15">
        <f>IF(ISNUMBER(原始输入与口径!W67),原始输入与口径!W67,"缺失")</f>
        <v>5.1626550797553028</v>
      </c>
      <c r="E67" s="15">
        <f>IF(ISNUMBER(原始输入与口径!AB67),原始输入与口径!AB67,"缺失")</f>
        <v>6.8606712023326279</v>
      </c>
      <c r="F67" s="15">
        <f>IF(ISNUMBER(原始输入与口径!AG67),原始输入与口径!AG67,"缺失")</f>
        <v>0</v>
      </c>
      <c r="G67" s="15">
        <f>IF(ISNUMBER(原始输入与口径!AJ67),原始输入与口径!AJ67,"缺失")</f>
        <v>-27.546357174165763</v>
      </c>
      <c r="H67" s="15" t="str">
        <f t="shared" si="0"/>
        <v>未模拟</v>
      </c>
      <c r="I67" s="16">
        <f>原始输入与口径!CD67</f>
        <v>83.099860034782679</v>
      </c>
      <c r="J67" s="16">
        <f>原始输入与口径!CE67</f>
        <v>93.657759006211251</v>
      </c>
      <c r="K67" s="16">
        <f>原始输入与口径!BZ67</f>
        <v>-36</v>
      </c>
      <c r="L67" s="16">
        <f>原始输入与口径!CK67</f>
        <v>40</v>
      </c>
      <c r="M67" s="16">
        <f>原始输入与口径!BT67</f>
        <v>24</v>
      </c>
      <c r="N67" s="16">
        <f>原始输入与口径!BJ67</f>
        <v>24</v>
      </c>
      <c r="O67" s="16">
        <f t="shared" si="20"/>
        <v>0</v>
      </c>
      <c r="P67" s="16">
        <f t="shared" si="1"/>
        <v>2.4759771428571424</v>
      </c>
      <c r="Q67" s="17">
        <f t="shared" si="2"/>
        <v>-137.43</v>
      </c>
      <c r="R67" s="17">
        <f t="shared" si="3"/>
        <v>662.24534522516342</v>
      </c>
      <c r="S67" s="17">
        <f t="shared" si="4"/>
        <v>30.975930478531815</v>
      </c>
      <c r="T67" s="17">
        <f t="shared" si="5"/>
        <v>41.164027213995766</v>
      </c>
      <c r="U67" s="17">
        <f t="shared" si="21"/>
        <v>0</v>
      </c>
      <c r="V67" s="17">
        <f t="shared" si="6"/>
        <v>68.204150732213293</v>
      </c>
      <c r="W67" s="17">
        <f t="shared" si="7"/>
        <v>665.15945364990421</v>
      </c>
      <c r="X67" s="12">
        <f>原始输入与口径!CP67</f>
        <v>665.15945364990432</v>
      </c>
      <c r="Y67" s="19">
        <f t="shared" si="8"/>
        <v>0</v>
      </c>
      <c r="Z67" s="12" t="str">
        <f t="shared" si="22"/>
        <v>当日执行</v>
      </c>
      <c r="AA67" s="12">
        <f>IF(原始输入与口径!AW67,1,0)</f>
        <v>1</v>
      </c>
      <c r="AB67" s="12">
        <f>IF(原始输入与口径!AY67,1,0)</f>
        <v>1</v>
      </c>
      <c r="AC67" s="12">
        <f>原始输入与口径!$F$5</f>
        <v>0.25</v>
      </c>
      <c r="AD67" s="18">
        <f>原始输入与口径!CG67</f>
        <v>0.3125</v>
      </c>
      <c r="AE67" s="18">
        <f>原始输入与口径!BQ67</f>
        <v>0.13714285714285715</v>
      </c>
      <c r="AF67" s="18">
        <f t="shared" si="10"/>
        <v>0</v>
      </c>
      <c r="AG67" s="18">
        <f t="shared" si="11"/>
        <v>0.41266285714285711</v>
      </c>
      <c r="AH67" s="12">
        <f>IF(ISNUMBER(原始输入与口径!T67),原始输入与口径!T67,"缺失")</f>
        <v>175</v>
      </c>
      <c r="AI67" s="12">
        <f>IF(ISNUMBER(原始输入与口径!Y67),原始输入与口径!Y67,"缺失")</f>
        <v>175</v>
      </c>
      <c r="AJ67" s="12">
        <f>IF(ISNUMBER(原始输入与口径!AI67),原始输入与口径!AI67,"缺失")</f>
        <v>0</v>
      </c>
      <c r="AK67" s="12">
        <f>IF(ISNUMBER(原始输入与口径!AL67),原始输入与口径!AL67,"缺失")</f>
        <v>18.053999999999998</v>
      </c>
      <c r="AL67" s="12">
        <f>IF(ISNUMBER(原始输入与口径!O67),原始输入与口径!O67,"缺失")</f>
        <v>91.903999999999996</v>
      </c>
      <c r="AM67" s="12">
        <f>SUMIFS(相位SOC复算!$N$9:$N$929,相位SOC复算!$S$9:$S$929,59)</f>
        <v>2.9327497142857144E-2</v>
      </c>
      <c r="AN67" s="12">
        <f>SUMIFS(相位SOC复算!$Q$9:$Q$929,相位SOC复算!$S$9:$S$929,59)</f>
        <v>11.475977142857143</v>
      </c>
      <c r="AO67" s="12">
        <f>SUMIFS(相位SOC复算!$R$9:$R$929,相位SOC复算!$S$9:$S$929,59)</f>
        <v>0</v>
      </c>
      <c r="AP67" s="12">
        <f>相位SOC复算!J140</f>
        <v>93.657759006211265</v>
      </c>
      <c r="AQ67" s="19">
        <f t="shared" si="12"/>
        <v>0</v>
      </c>
      <c r="AR67" s="12">
        <f>IF(ISBLANK(原始输入与口径!M67),"",原始输入与口径!M67)</f>
        <v>5.2473000000000001</v>
      </c>
      <c r="AS67" s="14">
        <f>IF(ISBLANK(原始输入与口径!L67),"",原始输入与口径!L67)</f>
        <v>46234</v>
      </c>
      <c r="AT67" s="13">
        <f>IF(ISBLANK(原始输入与口径!A67),"",原始输入与口径!A67)</f>
        <v>46235.479166666664</v>
      </c>
      <c r="AU67" s="12" t="str">
        <f>IF(ISBLANK(原始输入与口径!I67),"",原始输入与口径!I67)</f>
        <v>2026-08-01_55</v>
      </c>
      <c r="AV67" s="12">
        <f>IF(ISBLANK(原始输入与口径!J67),"",原始输入与口径!J67)</f>
        <v>15</v>
      </c>
      <c r="AW67" s="12" t="str">
        <f>IF(ISBLANK(原始输入与口径!BB67),"",原始输入与口径!BB67)</f>
        <v>OK</v>
      </c>
      <c r="AX67" s="12">
        <f>原始输入与口径!CI67</f>
        <v>128</v>
      </c>
      <c r="AY67" s="12">
        <f>原始输入与口径!BS67</f>
        <v>175</v>
      </c>
      <c r="AZ67" s="12">
        <f>原始输入与口径!BI67</f>
        <v>175</v>
      </c>
      <c r="BA67" s="12">
        <f>原始输入与口径!CM67</f>
        <v>40</v>
      </c>
      <c r="BB67" s="12">
        <f>原始输入与口径!BV67</f>
        <v>24</v>
      </c>
      <c r="BC67" s="12">
        <f>原始输入与口径!BL67</f>
        <v>24</v>
      </c>
      <c r="BD67" s="14">
        <f>46235</f>
        <v>46235</v>
      </c>
      <c r="BE67" s="1" t="str">
        <f t="shared" si="13"/>
        <v>-36.000000 MW × 15.270000 × 0.250000 h = -137.430000 EUR</v>
      </c>
      <c r="BF67" s="1" t="str">
        <f t="shared" si="14"/>
        <v>40.000000 MW × 66.224535 × 0.250000 h = 662.245345 EUR</v>
      </c>
      <c r="BG67" s="1" t="str">
        <f t="shared" si="15"/>
        <v>24.000000 MW × 5.162655 × 0.250000 h = 30.975930 EUR</v>
      </c>
      <c r="BH67" s="1" t="str">
        <f t="shared" si="16"/>
        <v>24.000000 MW × 6.860671 × 0.250000 h = 41.164027 EUR</v>
      </c>
      <c r="BI67" s="1" t="str">
        <f t="shared" si="17"/>
        <v>零上调激活电量</v>
      </c>
      <c r="BJ67" s="1" t="str">
        <f t="shared" si="18"/>
        <v>−(2.475977 MWh × -27.546357) = 68.204151 EUR</v>
      </c>
      <c r="BK67" s="1" t="str">
        <f t="shared" si="19"/>
        <v>-137.430000 + 662.245345 + 30.975930 + 41.164027 + 0.000000 + 68.204151 = 665.159454 EUR</v>
      </c>
    </row>
    <row r="68" spans="1:63" ht="21" customHeight="1" x14ac:dyDescent="0.45">
      <c r="A68" s="13">
        <f>原始输入与口径!C68</f>
        <v>46235.614583333336</v>
      </c>
      <c r="B68" s="15">
        <f>IF(ISNUMBER(原始输入与口径!H68),原始输入与口径!H68,"缺失")</f>
        <v>15.26</v>
      </c>
      <c r="C68" s="15">
        <f>IF(ISNUMBER(原始输入与口径!R68),原始输入与口径!R68,"缺失")</f>
        <v>66.224534522516336</v>
      </c>
      <c r="D68" s="15">
        <f>IF(ISNUMBER(原始输入与口径!W68),原始输入与口径!W68,"缺失")</f>
        <v>5.1626550797553028</v>
      </c>
      <c r="E68" s="15">
        <f>IF(ISNUMBER(原始输入与口径!AB68),原始输入与口径!AB68,"缺失")</f>
        <v>6.8606712023326279</v>
      </c>
      <c r="F68" s="15">
        <f>IF(ISNUMBER(原始输入与口径!AG68),原始输入与口径!AG68,"缺失")</f>
        <v>0</v>
      </c>
      <c r="G68" s="15">
        <f>IF(ISNUMBER(原始输入与口径!AJ68),原始输入与口径!AJ68,"缺失")</f>
        <v>-12.386179559011302</v>
      </c>
      <c r="H68" s="15" t="str">
        <f t="shared" si="0"/>
        <v>未模拟</v>
      </c>
      <c r="I68" s="16">
        <f>原始输入与口径!CD68</f>
        <v>93.657759006211251</v>
      </c>
      <c r="J68" s="16">
        <f>原始输入与口径!CE68</f>
        <v>103.48411603478269</v>
      </c>
      <c r="K68" s="16">
        <f>原始输入与口径!BZ68</f>
        <v>-36</v>
      </c>
      <c r="L68" s="16">
        <f>原始输入与口径!CK68</f>
        <v>40</v>
      </c>
      <c r="M68" s="16">
        <f>原始输入与口径!BT68</f>
        <v>24</v>
      </c>
      <c r="N68" s="16">
        <f>原始输入与口径!BJ68</f>
        <v>24</v>
      </c>
      <c r="O68" s="16">
        <f t="shared" si="20"/>
        <v>0</v>
      </c>
      <c r="P68" s="16">
        <f t="shared" si="1"/>
        <v>1.6808228571428572</v>
      </c>
      <c r="Q68" s="17">
        <f t="shared" si="2"/>
        <v>-137.34</v>
      </c>
      <c r="R68" s="17">
        <f t="shared" si="3"/>
        <v>662.24534522516342</v>
      </c>
      <c r="S68" s="17">
        <f t="shared" si="4"/>
        <v>30.975930478531815</v>
      </c>
      <c r="T68" s="17">
        <f t="shared" si="5"/>
        <v>41.164027213995766</v>
      </c>
      <c r="U68" s="17">
        <f t="shared" si="21"/>
        <v>0</v>
      </c>
      <c r="V68" s="17">
        <f t="shared" si="6"/>
        <v>20.81897371546183</v>
      </c>
      <c r="W68" s="17">
        <f t="shared" si="7"/>
        <v>617.86427663315283</v>
      </c>
      <c r="X68" s="12">
        <f>原始输入与口径!CP68</f>
        <v>617.86427663315283</v>
      </c>
      <c r="Y68" s="19">
        <f t="shared" si="8"/>
        <v>0</v>
      </c>
      <c r="Z68" s="12" t="str">
        <f t="shared" si="22"/>
        <v>当日执行</v>
      </c>
      <c r="AA68" s="12">
        <f>IF(原始输入与口径!AW68,1,0)</f>
        <v>1</v>
      </c>
      <c r="AB68" s="12">
        <f>IF(原始输入与口径!AY68,1,0)</f>
        <v>1</v>
      </c>
      <c r="AC68" s="12">
        <f>原始输入与口径!$F$5</f>
        <v>0.25</v>
      </c>
      <c r="AD68" s="18">
        <f>原始输入与口径!CG68</f>
        <v>0.3125</v>
      </c>
      <c r="AE68" s="18">
        <f>原始输入与口径!BQ68</f>
        <v>0.13714285714285715</v>
      </c>
      <c r="AF68" s="18">
        <f t="shared" si="10"/>
        <v>0</v>
      </c>
      <c r="AG68" s="18">
        <f t="shared" si="11"/>
        <v>0.28013714285714286</v>
      </c>
      <c r="AH68" s="12">
        <f>IF(ISNUMBER(原始输入与口径!T68),原始输入与口径!T68,"缺失")</f>
        <v>175</v>
      </c>
      <c r="AI68" s="12">
        <f>IF(ISNUMBER(原始输入与口径!Y68),原始输入与口径!Y68,"缺失")</f>
        <v>175</v>
      </c>
      <c r="AJ68" s="12">
        <f>IF(ISNUMBER(原始输入与口径!AI68),原始输入与口径!AI68,"缺失")</f>
        <v>0</v>
      </c>
      <c r="AK68" s="12">
        <f>IF(ISNUMBER(原始输入与口径!AL68),原始输入与口径!AL68,"缺失")</f>
        <v>12.256</v>
      </c>
      <c r="AL68" s="12">
        <f>IF(ISNUMBER(原始输入与口径!O68),原始输入与口径!O68,"缺失")</f>
        <v>91.903999999999996</v>
      </c>
      <c r="AM68" s="12">
        <f>SUMIFS(相位SOC复算!$N$9:$N$929,相位SOC复算!$S$9:$S$929,60)</f>
        <v>2.729543619047619E-2</v>
      </c>
      <c r="AN68" s="12">
        <f>SUMIFS(相位SOC复算!$Q$9:$Q$929,相位SOC复算!$S$9:$S$929,60)</f>
        <v>10.680822857142857</v>
      </c>
      <c r="AO68" s="12">
        <f>SUMIFS(相位SOC复算!$R$9:$R$929,相位SOC复算!$S$9:$S$929,60)</f>
        <v>0</v>
      </c>
      <c r="AP68" s="12">
        <f>相位SOC复算!J142</f>
        <v>103.4841160347827</v>
      </c>
      <c r="AQ68" s="19">
        <f t="shared" si="12"/>
        <v>0</v>
      </c>
      <c r="AR68" s="12">
        <f>IF(ISBLANK(原始输入与口径!M68),"",原始输入与口径!M68)</f>
        <v>5.2473000000000001</v>
      </c>
      <c r="AS68" s="14">
        <f>IF(ISBLANK(原始输入与口径!L68),"",原始输入与口径!L68)</f>
        <v>46234</v>
      </c>
      <c r="AT68" s="13">
        <f>IF(ISBLANK(原始输入与口径!A68),"",原始输入与口径!A68)</f>
        <v>46235.489583333336</v>
      </c>
      <c r="AU68" s="12" t="str">
        <f>IF(ISBLANK(原始输入与口径!I68),"",原始输入与口径!I68)</f>
        <v>2026-08-01_56</v>
      </c>
      <c r="AV68" s="12">
        <f>IF(ISBLANK(原始输入与口径!J68),"",原始输入与口径!J68)</f>
        <v>15</v>
      </c>
      <c r="AW68" s="12" t="str">
        <f>IF(ISBLANK(原始输入与口径!BB68),"",原始输入与口径!BB68)</f>
        <v>OK</v>
      </c>
      <c r="AX68" s="12">
        <f>原始输入与口径!CI68</f>
        <v>128</v>
      </c>
      <c r="AY68" s="12">
        <f>原始输入与口径!BS68</f>
        <v>175</v>
      </c>
      <c r="AZ68" s="12">
        <f>原始输入与口径!BI68</f>
        <v>175</v>
      </c>
      <c r="BA68" s="12">
        <f>原始输入与口径!CM68</f>
        <v>40</v>
      </c>
      <c r="BB68" s="12">
        <f>原始输入与口径!BV68</f>
        <v>24</v>
      </c>
      <c r="BC68" s="12">
        <f>原始输入与口径!BL68</f>
        <v>24</v>
      </c>
      <c r="BD68" s="14">
        <f>46235</f>
        <v>46235</v>
      </c>
      <c r="BE68" s="1" t="str">
        <f t="shared" si="13"/>
        <v>-36.000000 MW × 15.260000 × 0.250000 h = -137.340000 EUR</v>
      </c>
      <c r="BF68" s="1" t="str">
        <f t="shared" si="14"/>
        <v>40.000000 MW × 66.224535 × 0.250000 h = 662.245345 EUR</v>
      </c>
      <c r="BG68" s="1" t="str">
        <f t="shared" si="15"/>
        <v>24.000000 MW × 5.162655 × 0.250000 h = 30.975930 EUR</v>
      </c>
      <c r="BH68" s="1" t="str">
        <f t="shared" si="16"/>
        <v>24.000000 MW × 6.860671 × 0.250000 h = 41.164027 EUR</v>
      </c>
      <c r="BI68" s="1" t="str">
        <f t="shared" si="17"/>
        <v>零上调激活电量</v>
      </c>
      <c r="BJ68" s="1" t="str">
        <f t="shared" si="18"/>
        <v>−(1.680823 MWh × -12.386180) = 20.818974 EUR</v>
      </c>
      <c r="BK68" s="1" t="str">
        <f t="shared" si="19"/>
        <v>-137.340000 + 662.245345 + 30.975930 + 41.164027 + 0.000000 + 20.818974 = 617.864277 EUR</v>
      </c>
    </row>
    <row r="69" spans="1:63" ht="21" customHeight="1" x14ac:dyDescent="0.45">
      <c r="A69" s="13">
        <f>原始输入与口径!C69</f>
        <v>46235.625</v>
      </c>
      <c r="B69" s="15">
        <f>IF(ISNUMBER(原始输入与口径!H69),原始输入与口径!H69,"缺失")</f>
        <v>12.94</v>
      </c>
      <c r="C69" s="15">
        <f>IF(ISNUMBER(原始输入与口径!R69),原始输入与口径!R69,"缺失")</f>
        <v>66.224534522516336</v>
      </c>
      <c r="D69" s="15">
        <f>IF(ISNUMBER(原始输入与口径!W69),原始输入与口径!W69,"缺失")</f>
        <v>5.0654622377222571</v>
      </c>
      <c r="E69" s="15">
        <f>IF(ISNUMBER(原始输入与口径!AB69),原始输入与口径!AB69,"缺失")</f>
        <v>6.8606712023326279</v>
      </c>
      <c r="F69" s="15">
        <f>IF(ISNUMBER(原始输入与口径!AG69),原始输入与口径!AG69,"缺失")</f>
        <v>133.21136584529185</v>
      </c>
      <c r="G69" s="15">
        <f>IF(ISNUMBER(原始输入与口径!AJ69),原始输入与口径!AJ69,"缺失")</f>
        <v>45.676443123129992</v>
      </c>
      <c r="H69" s="15" t="str">
        <f t="shared" si="0"/>
        <v>未模拟</v>
      </c>
      <c r="I69" s="16">
        <f>原始输入与口径!CD69</f>
        <v>103.48411603478269</v>
      </c>
      <c r="J69" s="16">
        <f>原始输入与口径!CE69</f>
        <v>112.19673683478268</v>
      </c>
      <c r="K69" s="16">
        <f>原始输入与口径!BZ69</f>
        <v>-37</v>
      </c>
      <c r="L69" s="16">
        <f>原始输入与口径!CK69</f>
        <v>40</v>
      </c>
      <c r="M69" s="16">
        <f>原始输入与口径!BT69</f>
        <v>24</v>
      </c>
      <c r="N69" s="16">
        <f>原始输入与口径!BJ69</f>
        <v>23</v>
      </c>
      <c r="O69" s="16">
        <f t="shared" si="20"/>
        <v>7.1314285714285715E-3</v>
      </c>
      <c r="P69" s="16">
        <f t="shared" si="1"/>
        <v>0.22737142857142859</v>
      </c>
      <c r="Q69" s="17">
        <f t="shared" si="2"/>
        <v>-119.69499999999999</v>
      </c>
      <c r="R69" s="17">
        <f t="shared" si="3"/>
        <v>662.24534522516342</v>
      </c>
      <c r="S69" s="17">
        <f t="shared" si="4"/>
        <v>30.392773426333541</v>
      </c>
      <c r="T69" s="17">
        <f t="shared" si="5"/>
        <v>39.448859413412613</v>
      </c>
      <c r="U69" s="17">
        <f t="shared" si="21"/>
        <v>0.94998734042813848</v>
      </c>
      <c r="V69" s="17">
        <f t="shared" si="6"/>
        <v>-10.385518124967671</v>
      </c>
      <c r="W69" s="17">
        <f t="shared" si="7"/>
        <v>602.95644728037007</v>
      </c>
      <c r="X69" s="12">
        <f>原始输入与口径!CP69</f>
        <v>602.95644728037007</v>
      </c>
      <c r="Y69" s="19">
        <f t="shared" si="8"/>
        <v>0</v>
      </c>
      <c r="Z69" s="12" t="str">
        <f t="shared" si="22"/>
        <v>当日执行</v>
      </c>
      <c r="AA69" s="12">
        <f>IF(原始输入与口径!AW69,1,0)</f>
        <v>1</v>
      </c>
      <c r="AB69" s="12">
        <f>IF(原始输入与口径!AY69,1,0)</f>
        <v>1</v>
      </c>
      <c r="AC69" s="12">
        <f>原始输入与口径!$F$5</f>
        <v>0.25</v>
      </c>
      <c r="AD69" s="18">
        <f>原始输入与口径!CG69</f>
        <v>0.3125</v>
      </c>
      <c r="AE69" s="18">
        <f>原始输入与口径!BQ69</f>
        <v>0.13714285714285715</v>
      </c>
      <c r="AF69" s="18">
        <f t="shared" si="10"/>
        <v>1.1885714285714286E-3</v>
      </c>
      <c r="AG69" s="18">
        <f t="shared" si="11"/>
        <v>3.9542857142857143E-2</v>
      </c>
      <c r="AH69" s="12">
        <f>IF(ISNUMBER(原始输入与口径!T69),原始输入与口径!T69,"缺失")</f>
        <v>175</v>
      </c>
      <c r="AI69" s="12">
        <f>IF(ISNUMBER(原始输入与口径!Y69),原始输入与口径!Y69,"缺失")</f>
        <v>175</v>
      </c>
      <c r="AJ69" s="12">
        <f>IF(ISNUMBER(原始输入与口径!AI69),原始输入与口径!AI69,"缺失")</f>
        <v>5.1999999999999998E-2</v>
      </c>
      <c r="AK69" s="12">
        <f>IF(ISNUMBER(原始输入与口径!AL69),原始输入与口径!AL69,"缺失")</f>
        <v>1.73</v>
      </c>
      <c r="AL69" s="12">
        <f>IF(ISNUMBER(原始输入与口径!O69),原始输入与口径!O69,"缺失")</f>
        <v>91.903999999999996</v>
      </c>
      <c r="AM69" s="12">
        <f>SUMIFS(相位SOC复算!$N$9:$N$929,相位SOC复算!$S$9:$S$929,61)</f>
        <v>2.4201724444444444E-2</v>
      </c>
      <c r="AN69" s="12">
        <f>SUMIFS(相位SOC复算!$Q$9:$Q$929,相位SOC复算!$S$9:$S$929,61)</f>
        <v>9.4702400000000004</v>
      </c>
      <c r="AO69" s="12">
        <f>SUMIFS(相位SOC复算!$R$9:$R$929,相位SOC复算!$S$9:$S$929,61)</f>
        <v>0</v>
      </c>
      <c r="AP69" s="12">
        <f>相位SOC复算!J145</f>
        <v>112.1967368347827</v>
      </c>
      <c r="AQ69" s="19">
        <f t="shared" si="12"/>
        <v>0</v>
      </c>
      <c r="AR69" s="12">
        <f>IF(ISBLANK(原始输入与口径!M69),"",原始输入与口径!M69)</f>
        <v>5.2473000000000001</v>
      </c>
      <c r="AS69" s="14">
        <f>IF(ISBLANK(原始输入与口径!L69),"",原始输入与口径!L69)</f>
        <v>46234</v>
      </c>
      <c r="AT69" s="13">
        <f>IF(ISBLANK(原始输入与口径!A69),"",原始输入与口径!A69)</f>
        <v>46235.5</v>
      </c>
      <c r="AU69" s="12" t="str">
        <f>IF(ISBLANK(原始输入与口径!I69),"",原始输入与口径!I69)</f>
        <v>2026-08-01_57</v>
      </c>
      <c r="AV69" s="12">
        <f>IF(ISBLANK(原始输入与口径!J69),"",原始输入与口径!J69)</f>
        <v>15</v>
      </c>
      <c r="AW69" s="12" t="str">
        <f>IF(ISBLANK(原始输入与口径!BB69),"",原始输入与口径!BB69)</f>
        <v>OK</v>
      </c>
      <c r="AX69" s="12">
        <f>原始输入与口径!CI69</f>
        <v>128</v>
      </c>
      <c r="AY69" s="12">
        <f>原始输入与口径!BS69</f>
        <v>175</v>
      </c>
      <c r="AZ69" s="12">
        <f>原始输入与口径!BI69</f>
        <v>175</v>
      </c>
      <c r="BA69" s="12">
        <f>原始输入与口径!CM69</f>
        <v>40</v>
      </c>
      <c r="BB69" s="12">
        <f>原始输入与口径!BV69</f>
        <v>24</v>
      </c>
      <c r="BC69" s="12">
        <f>原始输入与口径!BL69</f>
        <v>24</v>
      </c>
      <c r="BD69" s="14">
        <f>46235</f>
        <v>46235</v>
      </c>
      <c r="BE69" s="1" t="str">
        <f t="shared" si="13"/>
        <v>-37.000000 MW × 12.940000 × 0.250000 h = -119.695000 EUR</v>
      </c>
      <c r="BF69" s="1" t="str">
        <f t="shared" si="14"/>
        <v>40.000000 MW × 66.224535 × 0.250000 h = 662.245345 EUR</v>
      </c>
      <c r="BG69" s="1" t="str">
        <f t="shared" si="15"/>
        <v>24.000000 MW × 5.065462 × 0.250000 h = 30.392773 EUR</v>
      </c>
      <c r="BH69" s="1" t="str">
        <f t="shared" si="16"/>
        <v>23.000000 MW × 6.860671 × 0.250000 h = 39.448859 EUR</v>
      </c>
      <c r="BI69" s="1" t="str">
        <f t="shared" si="17"/>
        <v>0.007131 MWh × 133.211366 = 0.949987 EUR</v>
      </c>
      <c r="BJ69" s="1" t="str">
        <f t="shared" si="18"/>
        <v>−(0.227371 MWh × 45.676443) = -10.385518 EUR</v>
      </c>
      <c r="BK69" s="1" t="str">
        <f t="shared" si="19"/>
        <v>-119.695000 + 662.245345 + 30.392773 + 39.448859 + 0.949987 + -10.385518 = 602.956447 EUR</v>
      </c>
    </row>
    <row r="70" spans="1:63" ht="21" customHeight="1" x14ac:dyDescent="0.45">
      <c r="A70" s="13">
        <f>原始输入与口径!C70</f>
        <v>46235.635416666664</v>
      </c>
      <c r="B70" s="15">
        <f>IF(ISNUMBER(原始输入与口径!H70),原始输入与口径!H70,"缺失")</f>
        <v>12.93</v>
      </c>
      <c r="C70" s="15">
        <f>IF(ISNUMBER(原始输入与口径!R70),原始输入与口径!R70,"缺失")</f>
        <v>66.224534522516336</v>
      </c>
      <c r="D70" s="15">
        <f>IF(ISNUMBER(原始输入与口径!W70),原始输入与口径!W70,"缺失")</f>
        <v>5.0654622377222571</v>
      </c>
      <c r="E70" s="15">
        <f>IF(ISNUMBER(原始输入与口径!AB70),原始输入与口径!AB70,"缺失")</f>
        <v>6.8606712023326279</v>
      </c>
      <c r="F70" s="15">
        <f>IF(ISNUMBER(原始输入与口径!AG70),原始输入与口径!AG70,"缺失")</f>
        <v>0</v>
      </c>
      <c r="G70" s="15">
        <f>IF(ISNUMBER(原始输入与口径!AJ70),原始输入与口径!AJ70,"缺失")</f>
        <v>25.69321365273569</v>
      </c>
      <c r="H70" s="15" t="str">
        <f t="shared" si="0"/>
        <v>未模拟</v>
      </c>
      <c r="I70" s="16">
        <f>原始输入与口径!CD70</f>
        <v>112.19673683478268</v>
      </c>
      <c r="J70" s="16">
        <f>原始输入与口径!CE70</f>
        <v>121.00696700621126</v>
      </c>
      <c r="K70" s="16">
        <f>原始输入与口径!BZ70</f>
        <v>-37</v>
      </c>
      <c r="L70" s="16">
        <f>原始输入与口径!CK70</f>
        <v>40</v>
      </c>
      <c r="M70" s="16">
        <f>原始输入与口径!BT70</f>
        <v>24</v>
      </c>
      <c r="N70" s="16">
        <f>原始输入与口径!BJ70</f>
        <v>23</v>
      </c>
      <c r="O70" s="16">
        <f t="shared" si="20"/>
        <v>0</v>
      </c>
      <c r="P70" s="16">
        <f t="shared" si="1"/>
        <v>0.32633714285714288</v>
      </c>
      <c r="Q70" s="17">
        <f t="shared" si="2"/>
        <v>-119.60249999999999</v>
      </c>
      <c r="R70" s="17">
        <f t="shared" si="3"/>
        <v>662.24534522516342</v>
      </c>
      <c r="S70" s="17">
        <f t="shared" si="4"/>
        <v>30.392773426333541</v>
      </c>
      <c r="T70" s="17">
        <f t="shared" si="5"/>
        <v>39.448859413412613</v>
      </c>
      <c r="U70" s="17">
        <f t="shared" si="21"/>
        <v>0</v>
      </c>
      <c r="V70" s="17">
        <f t="shared" si="6"/>
        <v>-8.3846499342519003</v>
      </c>
      <c r="W70" s="17">
        <f t="shared" si="7"/>
        <v>604.09982813065767</v>
      </c>
      <c r="X70" s="12">
        <f>原始输入与口径!CP70</f>
        <v>604.09982813065767</v>
      </c>
      <c r="Y70" s="19">
        <f t="shared" si="8"/>
        <v>0</v>
      </c>
      <c r="Z70" s="12" t="str">
        <f t="shared" si="22"/>
        <v>当日执行</v>
      </c>
      <c r="AA70" s="12">
        <f>IF(原始输入与口径!AW70,1,0)</f>
        <v>1</v>
      </c>
      <c r="AB70" s="12">
        <f>IF(原始输入与口径!AY70,1,0)</f>
        <v>1</v>
      </c>
      <c r="AC70" s="12">
        <f>原始输入与口径!$F$5</f>
        <v>0.25</v>
      </c>
      <c r="AD70" s="18">
        <f>原始输入与口径!CG70</f>
        <v>0.3125</v>
      </c>
      <c r="AE70" s="18">
        <f>原始输入与口径!BQ70</f>
        <v>0.13714285714285715</v>
      </c>
      <c r="AF70" s="18">
        <f t="shared" si="10"/>
        <v>0</v>
      </c>
      <c r="AG70" s="18">
        <f t="shared" si="11"/>
        <v>5.6754285714285715E-2</v>
      </c>
      <c r="AH70" s="12">
        <f>IF(ISNUMBER(原始输入与口径!T70),原始输入与口径!T70,"缺失")</f>
        <v>175</v>
      </c>
      <c r="AI70" s="12">
        <f>IF(ISNUMBER(原始输入与口径!Y70),原始输入与口径!Y70,"缺失")</f>
        <v>175</v>
      </c>
      <c r="AJ70" s="12">
        <f>IF(ISNUMBER(原始输入与口径!AI70),原始输入与口径!AI70,"缺失")</f>
        <v>0</v>
      </c>
      <c r="AK70" s="12">
        <f>IF(ISNUMBER(原始输入与口径!AL70),原始输入与口径!AL70,"缺失")</f>
        <v>2.4830000000000001</v>
      </c>
      <c r="AL70" s="12">
        <f>IF(ISNUMBER(原始输入与口径!O70),原始输入与口径!O70,"缺失")</f>
        <v>91.903999999999996</v>
      </c>
      <c r="AM70" s="12">
        <f>SUMIFS(相位SOC复算!$N$9:$N$929,相位SOC复算!$S$9:$S$929,62)</f>
        <v>2.4472861587301584E-2</v>
      </c>
      <c r="AN70" s="12">
        <f>SUMIFS(相位SOC复算!$Q$9:$Q$929,相位SOC复算!$S$9:$S$929,62)</f>
        <v>9.5763371428571435</v>
      </c>
      <c r="AO70" s="12">
        <f>SUMIFS(相位SOC复算!$R$9:$R$929,相位SOC复算!$S$9:$S$929,62)</f>
        <v>0</v>
      </c>
      <c r="AP70" s="12">
        <f>相位SOC复算!J147</f>
        <v>121.00696700621127</v>
      </c>
      <c r="AQ70" s="19">
        <f t="shared" si="12"/>
        <v>0</v>
      </c>
      <c r="AR70" s="12">
        <f>IF(ISBLANK(原始输入与口径!M70),"",原始输入与口径!M70)</f>
        <v>5.2473000000000001</v>
      </c>
      <c r="AS70" s="14">
        <f>IF(ISBLANK(原始输入与口径!L70),"",原始输入与口径!L70)</f>
        <v>46234</v>
      </c>
      <c r="AT70" s="13">
        <f>IF(ISBLANK(原始输入与口径!A70),"",原始输入与口径!A70)</f>
        <v>46235.510416666664</v>
      </c>
      <c r="AU70" s="12" t="str">
        <f>IF(ISBLANK(原始输入与口径!I70),"",原始输入与口径!I70)</f>
        <v>2026-08-01_58</v>
      </c>
      <c r="AV70" s="12">
        <f>IF(ISBLANK(原始输入与口径!J70),"",原始输入与口径!J70)</f>
        <v>15</v>
      </c>
      <c r="AW70" s="12" t="str">
        <f>IF(ISBLANK(原始输入与口径!BB70),"",原始输入与口径!BB70)</f>
        <v>OK</v>
      </c>
      <c r="AX70" s="12">
        <f>原始输入与口径!CI70</f>
        <v>128</v>
      </c>
      <c r="AY70" s="12">
        <f>原始输入与口径!BS70</f>
        <v>175</v>
      </c>
      <c r="AZ70" s="12">
        <f>原始输入与口径!BI70</f>
        <v>175</v>
      </c>
      <c r="BA70" s="12">
        <f>原始输入与口径!CM70</f>
        <v>40</v>
      </c>
      <c r="BB70" s="12">
        <f>原始输入与口径!BV70</f>
        <v>24</v>
      </c>
      <c r="BC70" s="12">
        <f>原始输入与口径!BL70</f>
        <v>24</v>
      </c>
      <c r="BD70" s="14">
        <f>46235</f>
        <v>46235</v>
      </c>
      <c r="BE70" s="1" t="str">
        <f t="shared" si="13"/>
        <v>-37.000000 MW × 12.930000 × 0.250000 h = -119.602500 EUR</v>
      </c>
      <c r="BF70" s="1" t="str">
        <f t="shared" si="14"/>
        <v>40.000000 MW × 66.224535 × 0.250000 h = 662.245345 EUR</v>
      </c>
      <c r="BG70" s="1" t="str">
        <f t="shared" si="15"/>
        <v>24.000000 MW × 5.065462 × 0.250000 h = 30.392773 EUR</v>
      </c>
      <c r="BH70" s="1" t="str">
        <f t="shared" si="16"/>
        <v>23.000000 MW × 6.860671 × 0.250000 h = 39.448859 EUR</v>
      </c>
      <c r="BI70" s="1" t="str">
        <f t="shared" si="17"/>
        <v>零上调激活电量</v>
      </c>
      <c r="BJ70" s="1" t="str">
        <f t="shared" si="18"/>
        <v>−(0.326337 MWh × 25.693214) = -8.384650 EUR</v>
      </c>
      <c r="BK70" s="1" t="str">
        <f t="shared" si="19"/>
        <v>-119.602500 + 662.245345 + 30.392773 + 39.448859 + 0.000000 + -8.384650 = 604.099828 EUR</v>
      </c>
    </row>
    <row r="71" spans="1:63" ht="21" customHeight="1" x14ac:dyDescent="0.45">
      <c r="A71" s="13">
        <f>原始输入与口径!C71</f>
        <v>46235.645833333336</v>
      </c>
      <c r="B71" s="15">
        <f>IF(ISNUMBER(原始输入与口径!H71),原始输入与口径!H71,"缺失")</f>
        <v>14.92</v>
      </c>
      <c r="C71" s="15">
        <f>IF(ISNUMBER(原始输入与口径!R71),原始输入与口径!R71,"缺失")</f>
        <v>66.224534522516336</v>
      </c>
      <c r="D71" s="15">
        <f>IF(ISNUMBER(原始输入与口径!W71),原始输入与口径!W71,"缺失")</f>
        <v>5.0654622377222571</v>
      </c>
      <c r="E71" s="15">
        <f>IF(ISNUMBER(原始输入与口径!AB71),原始输入与口径!AB71,"缺失")</f>
        <v>6.8606712023326279</v>
      </c>
      <c r="F71" s="15">
        <f>IF(ISNUMBER(原始输入与口径!AG71),原始输入与口径!AG71,"缺失")</f>
        <v>0</v>
      </c>
      <c r="G71" s="15">
        <f>IF(ISNUMBER(原始输入与口径!AJ71),原始输入与口径!AJ71,"缺失")</f>
        <v>-5.6400434509176147</v>
      </c>
      <c r="H71" s="15" t="str">
        <f t="shared" si="0"/>
        <v>未模拟</v>
      </c>
      <c r="I71" s="16">
        <f>原始输入与口径!CD71</f>
        <v>121.00696700621126</v>
      </c>
      <c r="J71" s="16">
        <f>原始输入与口径!CE71</f>
        <v>130.52732677763981</v>
      </c>
      <c r="K71" s="16">
        <f>原始输入与口径!BZ71</f>
        <v>-37</v>
      </c>
      <c r="L71" s="16">
        <f>原始输入与口径!CK71</f>
        <v>40</v>
      </c>
      <c r="M71" s="16">
        <f>原始输入与口径!BT71</f>
        <v>24</v>
      </c>
      <c r="N71" s="16">
        <f>原始输入与口径!BJ71</f>
        <v>23</v>
      </c>
      <c r="O71" s="16">
        <f t="shared" si="20"/>
        <v>0</v>
      </c>
      <c r="P71" s="16">
        <f t="shared" si="1"/>
        <v>1.0982171428571428</v>
      </c>
      <c r="Q71" s="17">
        <f t="shared" si="2"/>
        <v>-138.01</v>
      </c>
      <c r="R71" s="17">
        <f t="shared" si="3"/>
        <v>662.24534522516342</v>
      </c>
      <c r="S71" s="17">
        <f t="shared" si="4"/>
        <v>30.392773426333541</v>
      </c>
      <c r="T71" s="17">
        <f t="shared" si="5"/>
        <v>39.448859413412613</v>
      </c>
      <c r="U71" s="17">
        <f t="shared" si="21"/>
        <v>0</v>
      </c>
      <c r="V71" s="17">
        <f t="shared" si="6"/>
        <v>6.1939924042568828</v>
      </c>
      <c r="W71" s="17">
        <f t="shared" si="7"/>
        <v>600.2709704691664</v>
      </c>
      <c r="X71" s="12">
        <f>原始输入与口径!CP71</f>
        <v>600.27097046916651</v>
      </c>
      <c r="Y71" s="19">
        <f t="shared" si="8"/>
        <v>0</v>
      </c>
      <c r="Z71" s="12" t="str">
        <f t="shared" si="22"/>
        <v>当日执行</v>
      </c>
      <c r="AA71" s="12">
        <f>IF(原始输入与口径!AW71,1,0)</f>
        <v>1</v>
      </c>
      <c r="AB71" s="12">
        <f>IF(原始输入与口径!AY71,1,0)</f>
        <v>1</v>
      </c>
      <c r="AC71" s="12">
        <f>原始输入与口径!$F$5</f>
        <v>0.25</v>
      </c>
      <c r="AD71" s="18">
        <f>原始输入与口径!CG71</f>
        <v>0.3125</v>
      </c>
      <c r="AE71" s="18">
        <f>原始输入与口径!BQ71</f>
        <v>0.13714285714285715</v>
      </c>
      <c r="AF71" s="18">
        <f t="shared" si="10"/>
        <v>0</v>
      </c>
      <c r="AG71" s="18">
        <f t="shared" si="11"/>
        <v>0.1909942857142857</v>
      </c>
      <c r="AH71" s="12">
        <f>IF(ISNUMBER(原始输入与口径!T71),原始输入与口径!T71,"缺失")</f>
        <v>175</v>
      </c>
      <c r="AI71" s="12">
        <f>IF(ISNUMBER(原始输入与口径!Y71),原始输入与口径!Y71,"缺失")</f>
        <v>175</v>
      </c>
      <c r="AJ71" s="12">
        <f>IF(ISNUMBER(原始输入与口径!AI71),原始输入与口径!AI71,"缺失")</f>
        <v>0</v>
      </c>
      <c r="AK71" s="12">
        <f>IF(ISNUMBER(原始输入与口径!AL71),原始输入与口径!AL71,"缺失")</f>
        <v>8.3559999999999999</v>
      </c>
      <c r="AL71" s="12">
        <f>IF(ISNUMBER(原始输入与口径!O71),原始输入与口径!O71,"缺失")</f>
        <v>91.903999999999996</v>
      </c>
      <c r="AM71" s="12">
        <f>SUMIFS(相位SOC复算!$N$9:$N$929,相位SOC复算!$S$9:$S$929,63)</f>
        <v>2.6445443809523808E-2</v>
      </c>
      <c r="AN71" s="12">
        <f>SUMIFS(相位SOC复算!$Q$9:$Q$929,相位SOC复算!$S$9:$S$929,63)</f>
        <v>10.348217142857143</v>
      </c>
      <c r="AO71" s="12">
        <f>SUMIFS(相位SOC复算!$R$9:$R$929,相位SOC复算!$S$9:$S$929,63)</f>
        <v>0</v>
      </c>
      <c r="AP71" s="12">
        <f>相位SOC复算!J149</f>
        <v>130.52732677763984</v>
      </c>
      <c r="AQ71" s="19">
        <f t="shared" si="12"/>
        <v>0</v>
      </c>
      <c r="AR71" s="12">
        <f>IF(ISBLANK(原始输入与口径!M71),"",原始输入与口径!M71)</f>
        <v>5.2473000000000001</v>
      </c>
      <c r="AS71" s="14">
        <f>IF(ISBLANK(原始输入与口径!L71),"",原始输入与口径!L71)</f>
        <v>46234</v>
      </c>
      <c r="AT71" s="13">
        <f>IF(ISBLANK(原始输入与口径!A71),"",原始输入与口径!A71)</f>
        <v>46235.520833333336</v>
      </c>
      <c r="AU71" s="12" t="str">
        <f>IF(ISBLANK(原始输入与口径!I71),"",原始输入与口径!I71)</f>
        <v>2026-08-01_59</v>
      </c>
      <c r="AV71" s="12">
        <f>IF(ISBLANK(原始输入与口径!J71),"",原始输入与口径!J71)</f>
        <v>15</v>
      </c>
      <c r="AW71" s="12" t="str">
        <f>IF(ISBLANK(原始输入与口径!BB71),"",原始输入与口径!BB71)</f>
        <v>OK</v>
      </c>
      <c r="AX71" s="12">
        <f>原始输入与口径!CI71</f>
        <v>128</v>
      </c>
      <c r="AY71" s="12">
        <f>原始输入与口径!BS71</f>
        <v>175</v>
      </c>
      <c r="AZ71" s="12">
        <f>原始输入与口径!BI71</f>
        <v>175</v>
      </c>
      <c r="BA71" s="12">
        <f>原始输入与口径!CM71</f>
        <v>40</v>
      </c>
      <c r="BB71" s="12">
        <f>原始输入与口径!BV71</f>
        <v>24</v>
      </c>
      <c r="BC71" s="12">
        <f>原始输入与口径!BL71</f>
        <v>24</v>
      </c>
      <c r="BD71" s="14">
        <f>46235</f>
        <v>46235</v>
      </c>
      <c r="BE71" s="1" t="str">
        <f t="shared" si="13"/>
        <v>-37.000000 MW × 14.920000 × 0.250000 h = -138.010000 EUR</v>
      </c>
      <c r="BF71" s="1" t="str">
        <f t="shared" si="14"/>
        <v>40.000000 MW × 66.224535 × 0.250000 h = 662.245345 EUR</v>
      </c>
      <c r="BG71" s="1" t="str">
        <f t="shared" si="15"/>
        <v>24.000000 MW × 5.065462 × 0.250000 h = 30.392773 EUR</v>
      </c>
      <c r="BH71" s="1" t="str">
        <f t="shared" si="16"/>
        <v>23.000000 MW × 6.860671 × 0.250000 h = 39.448859 EUR</v>
      </c>
      <c r="BI71" s="1" t="str">
        <f t="shared" si="17"/>
        <v>零上调激活电量</v>
      </c>
      <c r="BJ71" s="1" t="str">
        <f t="shared" si="18"/>
        <v>−(1.098217 MWh × -5.640043) = 6.193992 EUR</v>
      </c>
      <c r="BK71" s="1" t="str">
        <f t="shared" si="19"/>
        <v>-138.010000 + 662.245345 + 30.392773 + 39.448859 + 0.000000 + 6.193992 = 600.270970 EUR</v>
      </c>
    </row>
    <row r="72" spans="1:63" ht="21" customHeight="1" x14ac:dyDescent="0.45">
      <c r="A72" s="13">
        <f>原始输入与口径!C72</f>
        <v>46235.65625</v>
      </c>
      <c r="B72" s="15">
        <f>IF(ISNUMBER(原始输入与口径!H72),原始输入与口径!H72,"缺失")</f>
        <v>26.16</v>
      </c>
      <c r="C72" s="15">
        <f>IF(ISNUMBER(原始输入与口径!R72),原始输入与口径!R72,"缺失")</f>
        <v>66.224534522516336</v>
      </c>
      <c r="D72" s="15">
        <f>IF(ISNUMBER(原始输入与口径!W72),原始输入与口径!W72,"缺失")</f>
        <v>5.0654622377222571</v>
      </c>
      <c r="E72" s="15">
        <f>IF(ISNUMBER(原始输入与口径!AB72),原始输入与口径!AB72,"缺失")</f>
        <v>6.8606712023326279</v>
      </c>
      <c r="F72" s="15">
        <f>IF(ISNUMBER(原始输入与口径!AG72),原始输入与口径!AG72,"缺失")</f>
        <v>133.21136584529185</v>
      </c>
      <c r="G72" s="15">
        <f>IF(ISNUMBER(原始输入与口径!AJ72),原始输入与口径!AJ72,"缺失")</f>
        <v>21.842661940426503</v>
      </c>
      <c r="H72" s="15" t="str">
        <f t="shared" si="0"/>
        <v>未模拟</v>
      </c>
      <c r="I72" s="16">
        <f>原始输入与口径!CD72</f>
        <v>130.52732677763981</v>
      </c>
      <c r="J72" s="16">
        <f>原始输入与口径!CE72</f>
        <v>130.81456666832304</v>
      </c>
      <c r="K72" s="16">
        <f>原始输入与口径!BZ72</f>
        <v>0</v>
      </c>
      <c r="L72" s="16">
        <f>原始输入与口径!CK72</f>
        <v>40</v>
      </c>
      <c r="M72" s="16">
        <f>原始输入与口径!BT72</f>
        <v>24</v>
      </c>
      <c r="N72" s="16">
        <f>原始输入与口径!BJ72</f>
        <v>23</v>
      </c>
      <c r="O72" s="16">
        <f t="shared" si="20"/>
        <v>1.8514285714285716E-2</v>
      </c>
      <c r="P72" s="16">
        <f t="shared" si="1"/>
        <v>0.33409142857142854</v>
      </c>
      <c r="Q72" s="17">
        <f t="shared" si="2"/>
        <v>0</v>
      </c>
      <c r="R72" s="17">
        <f t="shared" si="3"/>
        <v>662.24534522516342</v>
      </c>
      <c r="S72" s="17">
        <f t="shared" si="4"/>
        <v>30.392773426333541</v>
      </c>
      <c r="T72" s="17">
        <f t="shared" si="5"/>
        <v>39.448859413412613</v>
      </c>
      <c r="U72" s="17">
        <f t="shared" si="21"/>
        <v>2.4663132876499749</v>
      </c>
      <c r="V72" s="17">
        <f t="shared" si="6"/>
        <v>-7.2974461314798615</v>
      </c>
      <c r="W72" s="17">
        <f t="shared" si="7"/>
        <v>727.25584522107965</v>
      </c>
      <c r="X72" s="12">
        <f>原始输入与口径!CP72</f>
        <v>727.25584522107965</v>
      </c>
      <c r="Y72" s="19">
        <f t="shared" si="8"/>
        <v>0</v>
      </c>
      <c r="Z72" s="12" t="str">
        <f t="shared" si="22"/>
        <v>当日执行</v>
      </c>
      <c r="AA72" s="12">
        <f>IF(原始输入与口径!AW72,1,0)</f>
        <v>1</v>
      </c>
      <c r="AB72" s="12">
        <f>IF(原始输入与口径!AY72,1,0)</f>
        <v>1</v>
      </c>
      <c r="AC72" s="12">
        <f>原始输入与口径!$F$5</f>
        <v>0.25</v>
      </c>
      <c r="AD72" s="18">
        <f>原始输入与口径!CG72</f>
        <v>0.3125</v>
      </c>
      <c r="AE72" s="18">
        <f>原始输入与口径!BQ72</f>
        <v>0.13714285714285715</v>
      </c>
      <c r="AF72" s="18">
        <f t="shared" si="10"/>
        <v>3.0857142857142858E-3</v>
      </c>
      <c r="AG72" s="18">
        <f t="shared" si="11"/>
        <v>5.8102857142857137E-2</v>
      </c>
      <c r="AH72" s="12">
        <f>IF(ISNUMBER(原始输入与口径!T72),原始输入与口径!T72,"缺失")</f>
        <v>175</v>
      </c>
      <c r="AI72" s="12">
        <f>IF(ISNUMBER(原始输入与口径!Y72),原始输入与口径!Y72,"缺失")</f>
        <v>175</v>
      </c>
      <c r="AJ72" s="12">
        <f>IF(ISNUMBER(原始输入与口径!AI72),原始输入与口径!AI72,"缺失")</f>
        <v>0.13500000000000001</v>
      </c>
      <c r="AK72" s="12">
        <f>IF(ISNUMBER(原始输入与口径!AL72),原始输入与口径!AL72,"缺失")</f>
        <v>2.5419999999999998</v>
      </c>
      <c r="AL72" s="12">
        <f>IF(ISNUMBER(原始输入与口径!O72),原始输入与口径!O72,"缺失")</f>
        <v>91.903999999999996</v>
      </c>
      <c r="AM72" s="12">
        <f>SUMIFS(相位SOC复算!$N$9:$N$929,相位SOC复算!$S$9:$S$929,64)</f>
        <v>9.0968982746721864E-4</v>
      </c>
      <c r="AN72" s="12">
        <f>SUMIFS(相位SOC复算!$Q$9:$Q$929,相位SOC复算!$S$9:$S$929,64)</f>
        <v>0.33409142857142854</v>
      </c>
      <c r="AO72" s="12">
        <f>SUMIFS(相位SOC复算!$R$9:$R$929,相位SOC复算!$S$9:$S$929,64)</f>
        <v>1.8514285714285716E-2</v>
      </c>
      <c r="AP72" s="12">
        <f>相位SOC复算!J152</f>
        <v>130.81456666832307</v>
      </c>
      <c r="AQ72" s="19">
        <f t="shared" si="12"/>
        <v>0</v>
      </c>
      <c r="AR72" s="12">
        <f>IF(ISBLANK(原始输入与口径!M72),"",原始输入与口径!M72)</f>
        <v>5.2473000000000001</v>
      </c>
      <c r="AS72" s="14">
        <f>IF(ISBLANK(原始输入与口径!L72),"",原始输入与口径!L72)</f>
        <v>46234</v>
      </c>
      <c r="AT72" s="13">
        <f>IF(ISBLANK(原始输入与口径!A72),"",原始输入与口径!A72)</f>
        <v>46235.53125</v>
      </c>
      <c r="AU72" s="12" t="str">
        <f>IF(ISBLANK(原始输入与口径!I72),"",原始输入与口径!I72)</f>
        <v>2026-08-01_60</v>
      </c>
      <c r="AV72" s="12">
        <f>IF(ISBLANK(原始输入与口径!J72),"",原始输入与口径!J72)</f>
        <v>15</v>
      </c>
      <c r="AW72" s="12" t="str">
        <f>IF(ISBLANK(原始输入与口径!BB72),"",原始输入与口径!BB72)</f>
        <v>OK</v>
      </c>
      <c r="AX72" s="12">
        <f>原始输入与口径!CI72</f>
        <v>128</v>
      </c>
      <c r="AY72" s="12">
        <f>原始输入与口径!BS72</f>
        <v>175</v>
      </c>
      <c r="AZ72" s="12">
        <f>原始输入与口径!BI72</f>
        <v>175</v>
      </c>
      <c r="BA72" s="12">
        <f>原始输入与口径!CM72</f>
        <v>40</v>
      </c>
      <c r="BB72" s="12">
        <f>原始输入与口径!BV72</f>
        <v>24</v>
      </c>
      <c r="BC72" s="12">
        <f>原始输入与口径!BL72</f>
        <v>24</v>
      </c>
      <c r="BD72" s="14">
        <f>46235</f>
        <v>46235</v>
      </c>
      <c r="BE72" s="1" t="str">
        <f t="shared" si="13"/>
        <v>零头寸，无结算现金</v>
      </c>
      <c r="BF72" s="1" t="str">
        <f t="shared" si="14"/>
        <v>40.000000 MW × 66.224535 × 0.250000 h = 662.245345 EUR</v>
      </c>
      <c r="BG72" s="1" t="str">
        <f t="shared" si="15"/>
        <v>24.000000 MW × 5.065462 × 0.250000 h = 30.392773 EUR</v>
      </c>
      <c r="BH72" s="1" t="str">
        <f t="shared" si="16"/>
        <v>23.000000 MW × 6.860671 × 0.250000 h = 39.448859 EUR</v>
      </c>
      <c r="BI72" s="1" t="str">
        <f t="shared" si="17"/>
        <v>0.018514 MWh × 133.211366 = 2.466313 EUR</v>
      </c>
      <c r="BJ72" s="1" t="str">
        <f t="shared" si="18"/>
        <v>−(0.334091 MWh × 21.842662) = -7.297446 EUR</v>
      </c>
      <c r="BK72" s="1" t="str">
        <f t="shared" si="19"/>
        <v>0.000000 + 662.245345 + 30.392773 + 39.448859 + 2.466313 + -7.297446 = 727.255845 EUR</v>
      </c>
    </row>
    <row r="73" spans="1:63" ht="21" customHeight="1" x14ac:dyDescent="0.45">
      <c r="A73" s="13">
        <f>原始输入与口径!C73</f>
        <v>46235.666666666664</v>
      </c>
      <c r="B73" s="15">
        <f>IF(ISNUMBER(原始输入与口径!H73),原始输入与口径!H73,"缺失")</f>
        <v>11.26</v>
      </c>
      <c r="C73" s="15">
        <f>IF(ISNUMBER(原始输入与口径!R73),原始输入与口径!R73,"缺失")</f>
        <v>66.224534522516336</v>
      </c>
      <c r="D73" s="15">
        <f>IF(ISNUMBER(原始输入与口径!W73),原始输入与口径!W73,"缺失")</f>
        <v>4.9854210736950435</v>
      </c>
      <c r="E73" s="15">
        <f>IF(ISNUMBER(原始输入与口径!AB73),原始输入与口径!AB73,"缺失")</f>
        <v>3.0072608770224685</v>
      </c>
      <c r="F73" s="15">
        <f>IF(ISNUMBER(原始输入与口径!AG73),原始输入与口径!AG73,"缺失")</f>
        <v>133.21136584529185</v>
      </c>
      <c r="G73" s="15">
        <f>IF(ISNUMBER(原始输入与口径!AJ73),原始输入与口径!AJ73,"缺失")</f>
        <v>62.031902121090845</v>
      </c>
      <c r="H73" s="15" t="str">
        <f t="shared" ref="H73:H136" si="23">"未模拟"</f>
        <v>未模拟</v>
      </c>
      <c r="I73" s="16">
        <f>原始输入与口径!CD73</f>
        <v>130.81456666832304</v>
      </c>
      <c r="J73" s="16">
        <f>原始输入与口径!CE73</f>
        <v>144.59135112546591</v>
      </c>
      <c r="K73" s="16">
        <f>原始输入与口径!BZ73</f>
        <v>-60</v>
      </c>
      <c r="L73" s="16">
        <f>原始输入与口径!CK73</f>
        <v>40</v>
      </c>
      <c r="M73" s="16">
        <f>原始输入与口径!BT73</f>
        <v>24</v>
      </c>
      <c r="N73" s="16">
        <f>原始输入与口径!BJ73</f>
        <v>0</v>
      </c>
      <c r="O73" s="16">
        <f t="shared" ref="O73:O136" si="24">M73*AF73*AC73</f>
        <v>2.5234285714285716E-2</v>
      </c>
      <c r="P73" s="16">
        <f t="shared" ref="P73:P136" si="25">N73*AG73*AC73</f>
        <v>0</v>
      </c>
      <c r="Q73" s="17">
        <f t="shared" ref="Q73:Q136" si="26">IF(K73=0,0,IF(ISNUMBER(B73),K73*B73*AC73,NA()))</f>
        <v>-168.9</v>
      </c>
      <c r="R73" s="17">
        <f t="shared" ref="R73:R136" si="27">IF(L73=0,0,IF(ISNUMBER(C73),L73*C73*AC73,NA()))</f>
        <v>662.24534522516342</v>
      </c>
      <c r="S73" s="17">
        <f t="shared" ref="S73:S136" si="28">IF(M73=0,0,IF(ISNUMBER(D73),M73*D73*AC73,NA()))</f>
        <v>29.912526442170261</v>
      </c>
      <c r="T73" s="17">
        <f t="shared" ref="T73:T136" si="29">IF(N73=0,0,IF(ISNUMBER(E73),N73*E73*AC73,NA()))</f>
        <v>0</v>
      </c>
      <c r="U73" s="17">
        <f t="shared" ref="U73:U136" si="30">IF(O73=0,0,O73*F73)</f>
        <v>3.3614936661303365</v>
      </c>
      <c r="V73" s="17">
        <f t="shared" ref="V73:V136" si="31">IF(P73=0,0,-P73*G73)</f>
        <v>0</v>
      </c>
      <c r="W73" s="17">
        <f t="shared" ref="W73:W136" si="32">SUM(Q73:V73)</f>
        <v>526.61936533346397</v>
      </c>
      <c r="X73" s="12">
        <f>原始输入与口径!CP73</f>
        <v>526.61936533346397</v>
      </c>
      <c r="Y73" s="19">
        <f t="shared" ref="Y73:Y136" si="33">W73-X73</f>
        <v>0</v>
      </c>
      <c r="Z73" s="12" t="str">
        <f t="shared" ref="Z73:Z104" si="34">"当日执行"</f>
        <v>当日执行</v>
      </c>
      <c r="AA73" s="12">
        <f>IF(原始输入与口径!AW73,1,0)</f>
        <v>1</v>
      </c>
      <c r="AB73" s="12">
        <f>IF(原始输入与口径!AY73,1,0)</f>
        <v>1</v>
      </c>
      <c r="AC73" s="12">
        <f>原始输入与口径!$F$5</f>
        <v>0.25</v>
      </c>
      <c r="AD73" s="18">
        <f>原始输入与口径!CG73</f>
        <v>0.3125</v>
      </c>
      <c r="AE73" s="18">
        <f>原始输入与口径!BQ73</f>
        <v>0.13714285714285715</v>
      </c>
      <c r="AF73" s="18">
        <f t="shared" ref="AF73:AF136" si="35">IF(AA73=0,0,AJ73/(AH73*AC73))</f>
        <v>4.2057142857142857E-3</v>
      </c>
      <c r="AG73" s="18">
        <f t="shared" ref="AG73:AG136" si="36">IF(AA73=0,0,AK73/(AI73*AC73))</f>
        <v>5.2571428571428578E-3</v>
      </c>
      <c r="AH73" s="12">
        <f>IF(ISNUMBER(原始输入与口径!T73),原始输入与口径!T73,"缺失")</f>
        <v>175</v>
      </c>
      <c r="AI73" s="12">
        <f>IF(ISNUMBER(原始输入与口径!Y73),原始输入与口径!Y73,"缺失")</f>
        <v>175</v>
      </c>
      <c r="AJ73" s="12">
        <f>IF(ISNUMBER(原始输入与口径!AI73),原始输入与口径!AI73,"缺失")</f>
        <v>0.184</v>
      </c>
      <c r="AK73" s="12">
        <f>IF(ISNUMBER(原始输入与口径!AL73),原始输入与口径!AL73,"缺失")</f>
        <v>0.23</v>
      </c>
      <c r="AL73" s="12">
        <f>IF(ISNUMBER(原始输入与口径!O73),原始输入与口径!O73,"缺失")</f>
        <v>91.903999999999996</v>
      </c>
      <c r="AM73" s="12">
        <f>SUMIFS(相位SOC复算!$N$9:$N$929,相位SOC复算!$S$9:$S$929,65)</f>
        <v>3.8268845714285717E-2</v>
      </c>
      <c r="AN73" s="12">
        <f>SUMIFS(相位SOC复算!$Q$9:$Q$929,相位SOC复算!$S$9:$S$929,65)</f>
        <v>14.974765714285715</v>
      </c>
      <c r="AO73" s="12">
        <f>SUMIFS(相位SOC复算!$R$9:$R$929,相位SOC复算!$S$9:$S$929,65)</f>
        <v>0</v>
      </c>
      <c r="AP73" s="12">
        <f>相位SOC复算!J155</f>
        <v>144.59135112546593</v>
      </c>
      <c r="AQ73" s="19">
        <f t="shared" ref="AQ73:AQ136" si="37">AP73-J73</f>
        <v>0</v>
      </c>
      <c r="AR73" s="12">
        <f>IF(ISBLANK(原始输入与口径!M73),"",原始输入与口径!M73)</f>
        <v>5.2473000000000001</v>
      </c>
      <c r="AS73" s="14">
        <f>IF(ISBLANK(原始输入与口径!L73),"",原始输入与口径!L73)</f>
        <v>46234</v>
      </c>
      <c r="AT73" s="13">
        <f>IF(ISBLANK(原始输入与口径!A73),"",原始输入与口径!A73)</f>
        <v>46235.541666666664</v>
      </c>
      <c r="AU73" s="12" t="str">
        <f>IF(ISBLANK(原始输入与口径!I73),"",原始输入与口径!I73)</f>
        <v>2026-08-01_61</v>
      </c>
      <c r="AV73" s="12">
        <f>IF(ISBLANK(原始输入与口径!J73),"",原始输入与口径!J73)</f>
        <v>15</v>
      </c>
      <c r="AW73" s="12" t="str">
        <f>IF(ISBLANK(原始输入与口径!BB73),"",原始输入与口径!BB73)</f>
        <v>OK</v>
      </c>
      <c r="AX73" s="12">
        <f>原始输入与口径!CI73</f>
        <v>128</v>
      </c>
      <c r="AY73" s="12">
        <f>原始输入与口径!BS73</f>
        <v>175</v>
      </c>
      <c r="AZ73" s="12">
        <f>原始输入与口径!BI73</f>
        <v>175</v>
      </c>
      <c r="BA73" s="12">
        <f>原始输入与口径!CM73</f>
        <v>40</v>
      </c>
      <c r="BB73" s="12">
        <f>原始输入与口径!BV73</f>
        <v>24</v>
      </c>
      <c r="BC73" s="12">
        <f>原始输入与口径!BL73</f>
        <v>24</v>
      </c>
      <c r="BD73" s="14">
        <f>46235</f>
        <v>46235</v>
      </c>
      <c r="BE73" s="1" t="str">
        <f t="shared" ref="BE73:BE136" si="38">IF(K73=0,"零头寸，无结算现金",TEXT(K73,"0.000000")&amp;" MW × "&amp;TEXT(B73,"0.000000")&amp;" × "&amp;TEXT(AC73,"0.000000")&amp;" h = "&amp;TEXT(Q73,"0.000000")&amp;" EUR")</f>
        <v>-60.000000 MW × 11.260000 × 0.250000 h = -168.900000 EUR</v>
      </c>
      <c r="BF73" s="1" t="str">
        <f t="shared" ref="BF73:BF136" si="39">IF(L73=0,"零头寸，无结算现金",TEXT(L73,"0.000000")&amp;" MW × "&amp;TEXT(C73,"0.000000")&amp;" × "&amp;TEXT(AC73,"0.000000")&amp;" h = "&amp;TEXT(R73,"0.000000")&amp;" EUR")</f>
        <v>40.000000 MW × 66.224535 × 0.250000 h = 662.245345 EUR</v>
      </c>
      <c r="BG73" s="1" t="str">
        <f t="shared" ref="BG73:BG136" si="40">IF(M73=0,"零头寸，无结算现金",TEXT(M73,"0.000000")&amp;" MW × "&amp;TEXT(D73,"0.000000")&amp;" × "&amp;TEXT(AC73,"0.000000")&amp;" h = "&amp;TEXT(S73,"0.000000")&amp;" EUR")</f>
        <v>24.000000 MW × 4.985421 × 0.250000 h = 29.912526 EUR</v>
      </c>
      <c r="BH73" s="1" t="str">
        <f t="shared" ref="BH73:BH136" si="41">IF(N73=0,"零头寸，无结算现金",TEXT(N73,"0.000000")&amp;" MW × "&amp;TEXT(E73,"0.000000")&amp;" × "&amp;TEXT(AC73,"0.000000")&amp;" h = "&amp;TEXT(T73,"0.000000")&amp;" EUR")</f>
        <v>零头寸，无结算现金</v>
      </c>
      <c r="BI73" s="1" t="str">
        <f t="shared" ref="BI73:BI136" si="42">IF(O73=0,"零上调激活电量",TEXT(O73,"0.000000")&amp;" MWh × "&amp;TEXT(F73,"0.000000")&amp;" = "&amp;TEXT(U73,"0.000000")&amp;" EUR")</f>
        <v>0.025234 MWh × 133.211366 = 3.361494 EUR</v>
      </c>
      <c r="BJ73" s="1" t="str">
        <f t="shared" ref="BJ73:BJ136" si="43">IF(P73=0,"零下调激活电量","−("&amp;TEXT(P73,"0.000000")&amp;" MWh × "&amp;TEXT(G73,"0.000000")&amp;") = "&amp;TEXT(V73,"0.000000")&amp;" EUR")</f>
        <v>零下调激活电量</v>
      </c>
      <c r="BK73" s="1" t="str">
        <f t="shared" ref="BK73:BK136" si="44">TEXT(Q73,"0.000000")&amp;" + "&amp;TEXT(R73,"0.000000")&amp;" + "&amp;TEXT(S73,"0.000000")&amp;" + "&amp;TEXT(T73,"0.000000")&amp;" + "&amp;TEXT(U73,"0.000000")&amp;" + "&amp;TEXT(V73,"0.000000")&amp;" = "&amp;TEXT(W73,"0.000000")&amp;" EUR"</f>
        <v>-168.900000 + 662.245345 + 29.912526 + 0.000000 + 3.361494 + 0.000000 = 526.619365 EUR</v>
      </c>
    </row>
    <row r="74" spans="1:63" ht="21" customHeight="1" x14ac:dyDescent="0.45">
      <c r="A74" s="13">
        <f>原始输入与口径!C74</f>
        <v>46235.677083333336</v>
      </c>
      <c r="B74" s="15">
        <f>IF(ISNUMBER(原始输入与口径!H74),原始输入与口径!H74,"缺失")</f>
        <v>13.64</v>
      </c>
      <c r="C74" s="15">
        <f>IF(ISNUMBER(原始输入与口径!R74),原始输入与口径!R74,"缺失")</f>
        <v>66.224534522516336</v>
      </c>
      <c r="D74" s="15">
        <f>IF(ISNUMBER(原始输入与口径!W74),原始输入与口径!W74,"缺失")</f>
        <v>4.9854210736950435</v>
      </c>
      <c r="E74" s="15">
        <f>IF(ISNUMBER(原始输入与口径!AB74),原始输入与口径!AB74,"缺失")</f>
        <v>3.0072608770224685</v>
      </c>
      <c r="F74" s="15">
        <f>IF(ISNUMBER(原始输入与口径!AG74),原始输入与口径!AG74,"缺失")</f>
        <v>137.18560021344311</v>
      </c>
      <c r="G74" s="15">
        <f>IF(ISNUMBER(原始输入与口径!AJ74),原始输入与口径!AJ74,"缺失")</f>
        <v>76.229680025918086</v>
      </c>
      <c r="H74" s="15" t="str">
        <f t="shared" si="23"/>
        <v>未模拟</v>
      </c>
      <c r="I74" s="16">
        <f>原始输入与口径!CD74</f>
        <v>144.59135112546591</v>
      </c>
      <c r="J74" s="16">
        <f>原始输入与口径!CE74</f>
        <v>158.08790883975163</v>
      </c>
      <c r="K74" s="16">
        <f>原始输入与口径!BZ74</f>
        <v>-60</v>
      </c>
      <c r="L74" s="16">
        <f>原始输入与口径!CK74</f>
        <v>40</v>
      </c>
      <c r="M74" s="16">
        <f>原始输入与口径!BT74</f>
        <v>24</v>
      </c>
      <c r="N74" s="16">
        <f>原始输入与口径!BJ74</f>
        <v>0</v>
      </c>
      <c r="O74" s="16">
        <f t="shared" si="24"/>
        <v>0.32982857142857142</v>
      </c>
      <c r="P74" s="16">
        <f t="shared" si="25"/>
        <v>0</v>
      </c>
      <c r="Q74" s="17">
        <f t="shared" si="26"/>
        <v>-204.60000000000002</v>
      </c>
      <c r="R74" s="17">
        <f t="shared" si="27"/>
        <v>662.24534522516342</v>
      </c>
      <c r="S74" s="17">
        <f t="shared" si="28"/>
        <v>29.912526442170261</v>
      </c>
      <c r="T74" s="17">
        <f t="shared" si="29"/>
        <v>0</v>
      </c>
      <c r="U74" s="17">
        <f t="shared" si="30"/>
        <v>45.247730538971062</v>
      </c>
      <c r="V74" s="17">
        <f t="shared" si="31"/>
        <v>0</v>
      </c>
      <c r="W74" s="17">
        <f t="shared" si="32"/>
        <v>532.80560220630468</v>
      </c>
      <c r="X74" s="12">
        <f>原始输入与口径!CP74</f>
        <v>532.80560220630468</v>
      </c>
      <c r="Y74" s="19">
        <f t="shared" si="33"/>
        <v>0</v>
      </c>
      <c r="Z74" s="12" t="str">
        <f t="shared" si="34"/>
        <v>当日执行</v>
      </c>
      <c r="AA74" s="12">
        <f>IF(原始输入与口径!AW74,1,0)</f>
        <v>1</v>
      </c>
      <c r="AB74" s="12">
        <f>IF(原始输入与口径!AY74,1,0)</f>
        <v>1</v>
      </c>
      <c r="AC74" s="12">
        <f>原始输入与口径!$F$5</f>
        <v>0.25</v>
      </c>
      <c r="AD74" s="18">
        <f>原始输入与口径!CG74</f>
        <v>0.3125</v>
      </c>
      <c r="AE74" s="18">
        <f>原始输入与口径!BQ74</f>
        <v>0.13714285714285715</v>
      </c>
      <c r="AF74" s="18">
        <f t="shared" si="35"/>
        <v>5.4971428571428567E-2</v>
      </c>
      <c r="AG74" s="18">
        <f t="shared" si="36"/>
        <v>2.4457142857142859E-3</v>
      </c>
      <c r="AH74" s="12">
        <f>IF(ISNUMBER(原始输入与口径!T74),原始输入与口径!T74,"缺失")</f>
        <v>175</v>
      </c>
      <c r="AI74" s="12">
        <f>IF(ISNUMBER(原始输入与口径!Y74),原始输入与口径!Y74,"缺失")</f>
        <v>175</v>
      </c>
      <c r="AJ74" s="12">
        <f>IF(ISNUMBER(原始输入与口径!AI74),原始输入与口径!AI74,"缺失")</f>
        <v>2.4049999999999998</v>
      </c>
      <c r="AK74" s="12">
        <f>IF(ISNUMBER(原始输入与口径!AL74),原始输入与口径!AL74,"缺失")</f>
        <v>0.107</v>
      </c>
      <c r="AL74" s="12">
        <f>IF(ISNUMBER(原始输入与口径!O74),原始输入与口径!O74,"缺失")</f>
        <v>91.903999999999996</v>
      </c>
      <c r="AM74" s="12">
        <f>SUMIFS(相位SOC复算!$N$9:$N$929,相位SOC复算!$S$9:$S$929,66)</f>
        <v>3.7490438095238096E-2</v>
      </c>
      <c r="AN74" s="12">
        <f>SUMIFS(相位SOC复算!$Q$9:$Q$929,相位SOC复算!$S$9:$S$929,66)</f>
        <v>14.670171428571429</v>
      </c>
      <c r="AO74" s="12">
        <f>SUMIFS(相位SOC复算!$R$9:$R$929,相位SOC复算!$S$9:$S$929,66)</f>
        <v>0</v>
      </c>
      <c r="AP74" s="12">
        <f>相位SOC复算!J158</f>
        <v>158.08790883975166</v>
      </c>
      <c r="AQ74" s="19">
        <f t="shared" si="37"/>
        <v>0</v>
      </c>
      <c r="AR74" s="12">
        <f>IF(ISBLANK(原始输入与口径!M74),"",原始输入与口径!M74)</f>
        <v>5.2473000000000001</v>
      </c>
      <c r="AS74" s="14">
        <f>IF(ISBLANK(原始输入与口径!L74),"",原始输入与口径!L74)</f>
        <v>46234</v>
      </c>
      <c r="AT74" s="13">
        <f>IF(ISBLANK(原始输入与口径!A74),"",原始输入与口径!A74)</f>
        <v>46235.552083333336</v>
      </c>
      <c r="AU74" s="12" t="str">
        <f>IF(ISBLANK(原始输入与口径!I74),"",原始输入与口径!I74)</f>
        <v>2026-08-01_62</v>
      </c>
      <c r="AV74" s="12">
        <f>IF(ISBLANK(原始输入与口径!J74),"",原始输入与口径!J74)</f>
        <v>15</v>
      </c>
      <c r="AW74" s="12" t="str">
        <f>IF(ISBLANK(原始输入与口径!BB74),"",原始输入与口径!BB74)</f>
        <v>OK</v>
      </c>
      <c r="AX74" s="12">
        <f>原始输入与口径!CI74</f>
        <v>128</v>
      </c>
      <c r="AY74" s="12">
        <f>原始输入与口径!BS74</f>
        <v>175</v>
      </c>
      <c r="AZ74" s="12">
        <f>原始输入与口径!BI74</f>
        <v>175</v>
      </c>
      <c r="BA74" s="12">
        <f>原始输入与口径!CM74</f>
        <v>40</v>
      </c>
      <c r="BB74" s="12">
        <f>原始输入与口径!BV74</f>
        <v>24</v>
      </c>
      <c r="BC74" s="12">
        <f>原始输入与口径!BL74</f>
        <v>24</v>
      </c>
      <c r="BD74" s="14">
        <f>46235</f>
        <v>46235</v>
      </c>
      <c r="BE74" s="1" t="str">
        <f t="shared" si="38"/>
        <v>-60.000000 MW × 13.640000 × 0.250000 h = -204.600000 EUR</v>
      </c>
      <c r="BF74" s="1" t="str">
        <f t="shared" si="39"/>
        <v>40.000000 MW × 66.224535 × 0.250000 h = 662.245345 EUR</v>
      </c>
      <c r="BG74" s="1" t="str">
        <f t="shared" si="40"/>
        <v>24.000000 MW × 4.985421 × 0.250000 h = 29.912526 EUR</v>
      </c>
      <c r="BH74" s="1" t="str">
        <f t="shared" si="41"/>
        <v>零头寸，无结算现金</v>
      </c>
      <c r="BI74" s="1" t="str">
        <f t="shared" si="42"/>
        <v>0.329829 MWh × 137.185600 = 45.247731 EUR</v>
      </c>
      <c r="BJ74" s="1" t="str">
        <f t="shared" si="43"/>
        <v>零下调激活电量</v>
      </c>
      <c r="BK74" s="1" t="str">
        <f t="shared" si="44"/>
        <v>-204.600000 + 662.245345 + 29.912526 + 0.000000 + 45.247731 + 0.000000 = 532.805602 EUR</v>
      </c>
    </row>
    <row r="75" spans="1:63" ht="21" customHeight="1" x14ac:dyDescent="0.45">
      <c r="A75" s="13">
        <f>原始输入与口径!C75</f>
        <v>46235.6875</v>
      </c>
      <c r="B75" s="15">
        <f>IF(ISNUMBER(原始输入与口径!H75),原始输入与口径!H75,"缺失")</f>
        <v>23.93</v>
      </c>
      <c r="C75" s="15">
        <f>IF(ISNUMBER(原始输入与口径!R75),原始输入与口径!R75,"缺失")</f>
        <v>66.224534522516336</v>
      </c>
      <c r="D75" s="15">
        <f>IF(ISNUMBER(原始输入与口径!W75),原始输入与口径!W75,"缺失")</f>
        <v>4.9854210736950435</v>
      </c>
      <c r="E75" s="15">
        <f>IF(ISNUMBER(原始输入与口径!AB75),原始输入与口径!AB75,"缺失")</f>
        <v>3.0072608770224685</v>
      </c>
      <c r="F75" s="15">
        <f>IF(ISNUMBER(原始输入与口径!AG75),原始输入与口径!AG75,"缺失")</f>
        <v>133.27654222171401</v>
      </c>
      <c r="G75" s="15">
        <f>IF(ISNUMBER(原始输入与口径!AJ75),原始输入与口径!AJ75,"缺失")</f>
        <v>75.04659539191583</v>
      </c>
      <c r="H75" s="15" t="str">
        <f t="shared" si="23"/>
        <v>未模拟</v>
      </c>
      <c r="I75" s="16">
        <f>原始输入与口径!CD75</f>
        <v>158.08790883975163</v>
      </c>
      <c r="J75" s="16">
        <f>原始输入与口径!CE75</f>
        <v>171.60000000000005</v>
      </c>
      <c r="K75" s="16">
        <f>原始输入与口径!BZ75</f>
        <v>-59.794896721576919</v>
      </c>
      <c r="L75" s="16">
        <f>原始输入与口径!CK75</f>
        <v>40</v>
      </c>
      <c r="M75" s="16">
        <f>原始输入与口径!BT75</f>
        <v>24</v>
      </c>
      <c r="N75" s="16">
        <f>原始输入与口径!BJ75</f>
        <v>0</v>
      </c>
      <c r="O75" s="16">
        <f t="shared" si="24"/>
        <v>0.26166857142857142</v>
      </c>
      <c r="P75" s="16">
        <f t="shared" si="25"/>
        <v>0</v>
      </c>
      <c r="Q75" s="17">
        <f t="shared" si="26"/>
        <v>-357.72296963683391</v>
      </c>
      <c r="R75" s="17">
        <f t="shared" si="27"/>
        <v>662.24534522516342</v>
      </c>
      <c r="S75" s="17">
        <f t="shared" si="28"/>
        <v>29.912526442170261</v>
      </c>
      <c r="T75" s="17">
        <f t="shared" si="29"/>
        <v>0</v>
      </c>
      <c r="U75" s="17">
        <f t="shared" si="30"/>
        <v>34.874282408095588</v>
      </c>
      <c r="V75" s="17">
        <f t="shared" si="31"/>
        <v>0</v>
      </c>
      <c r="W75" s="17">
        <f t="shared" si="32"/>
        <v>369.30918443859537</v>
      </c>
      <c r="X75" s="12">
        <f>原始输入与口径!CP75</f>
        <v>369.30918443859537</v>
      </c>
      <c r="Y75" s="19">
        <f t="shared" si="33"/>
        <v>0</v>
      </c>
      <c r="Z75" s="12" t="str">
        <f t="shared" si="34"/>
        <v>当日执行</v>
      </c>
      <c r="AA75" s="12">
        <f>IF(原始输入与口径!AW75,1,0)</f>
        <v>1</v>
      </c>
      <c r="AB75" s="12">
        <f>IF(原始输入与口径!AY75,1,0)</f>
        <v>1</v>
      </c>
      <c r="AC75" s="12">
        <f>原始输入与口径!$F$5</f>
        <v>0.25</v>
      </c>
      <c r="AD75" s="18">
        <f>原始输入与口径!CG75</f>
        <v>0.3125</v>
      </c>
      <c r="AE75" s="18">
        <f>原始输入与口径!BQ75</f>
        <v>0.13714285714285715</v>
      </c>
      <c r="AF75" s="18">
        <f t="shared" si="35"/>
        <v>4.3611428571428572E-2</v>
      </c>
      <c r="AG75" s="18">
        <f t="shared" si="36"/>
        <v>2.1942857142857142E-3</v>
      </c>
      <c r="AH75" s="12">
        <f>IF(ISNUMBER(原始输入与口径!T75),原始输入与口径!T75,"缺失")</f>
        <v>175</v>
      </c>
      <c r="AI75" s="12">
        <f>IF(ISNUMBER(原始输入与口径!Y75),原始输入与口径!Y75,"缺失")</f>
        <v>175</v>
      </c>
      <c r="AJ75" s="12">
        <f>IF(ISNUMBER(原始输入与口径!AI75),原始输入与口径!AI75,"缺失")</f>
        <v>1.9079999999999999</v>
      </c>
      <c r="AK75" s="12">
        <f>IF(ISNUMBER(原始输入与口径!AL75),原始输入与口径!AL75,"缺失")</f>
        <v>9.6000000000000002E-2</v>
      </c>
      <c r="AL75" s="12">
        <f>IF(ISNUMBER(原始输入与口径!O75),原始输入与口径!O75,"缺失")</f>
        <v>91.903999999999996</v>
      </c>
      <c r="AM75" s="12">
        <f>SUMIFS(相位SOC复算!$N$9:$N$929,相位SOC复算!$S$9:$S$929,67)</f>
        <v>3.7533586556245578E-2</v>
      </c>
      <c r="AN75" s="12">
        <f>SUMIFS(相位SOC复算!$Q$9:$Q$929,相位SOC复算!$S$9:$S$929,67)</f>
        <v>14.687055608965657</v>
      </c>
      <c r="AO75" s="12">
        <f>SUMIFS(相位SOC复算!$R$9:$R$929,相位SOC复算!$S$9:$S$929,67)</f>
        <v>0</v>
      </c>
      <c r="AP75" s="12">
        <f>相位SOC复算!J161</f>
        <v>171.60000000000008</v>
      </c>
      <c r="AQ75" s="19">
        <f t="shared" si="37"/>
        <v>0</v>
      </c>
      <c r="AR75" s="12">
        <f>IF(ISBLANK(原始输入与口径!M75),"",原始输入与口径!M75)</f>
        <v>5.2473000000000001</v>
      </c>
      <c r="AS75" s="14">
        <f>IF(ISBLANK(原始输入与口径!L75),"",原始输入与口径!L75)</f>
        <v>46234</v>
      </c>
      <c r="AT75" s="13">
        <f>IF(ISBLANK(原始输入与口径!A75),"",原始输入与口径!A75)</f>
        <v>46235.5625</v>
      </c>
      <c r="AU75" s="12" t="str">
        <f>IF(ISBLANK(原始输入与口径!I75),"",原始输入与口径!I75)</f>
        <v>2026-08-01_63</v>
      </c>
      <c r="AV75" s="12">
        <f>IF(ISBLANK(原始输入与口径!J75),"",原始输入与口径!J75)</f>
        <v>15</v>
      </c>
      <c r="AW75" s="12" t="str">
        <f>IF(ISBLANK(原始输入与口径!BB75),"",原始输入与口径!BB75)</f>
        <v>OK</v>
      </c>
      <c r="AX75" s="12">
        <f>原始输入与口径!CI75</f>
        <v>128</v>
      </c>
      <c r="AY75" s="12">
        <f>原始输入与口径!BS75</f>
        <v>175</v>
      </c>
      <c r="AZ75" s="12">
        <f>原始输入与口径!BI75</f>
        <v>175</v>
      </c>
      <c r="BA75" s="12">
        <f>原始输入与口径!CM75</f>
        <v>40</v>
      </c>
      <c r="BB75" s="12">
        <f>原始输入与口径!BV75</f>
        <v>24</v>
      </c>
      <c r="BC75" s="12">
        <f>原始输入与口径!BL75</f>
        <v>24</v>
      </c>
      <c r="BD75" s="14">
        <f>46235</f>
        <v>46235</v>
      </c>
      <c r="BE75" s="1" t="str">
        <f t="shared" si="38"/>
        <v>-59.794897 MW × 23.930000 × 0.250000 h = -357.722970 EUR</v>
      </c>
      <c r="BF75" s="1" t="str">
        <f t="shared" si="39"/>
        <v>40.000000 MW × 66.224535 × 0.250000 h = 662.245345 EUR</v>
      </c>
      <c r="BG75" s="1" t="str">
        <f t="shared" si="40"/>
        <v>24.000000 MW × 4.985421 × 0.250000 h = 29.912526 EUR</v>
      </c>
      <c r="BH75" s="1" t="str">
        <f t="shared" si="41"/>
        <v>零头寸，无结算现金</v>
      </c>
      <c r="BI75" s="1" t="str">
        <f t="shared" si="42"/>
        <v>0.261669 MWh × 133.276542 = 34.874282 EUR</v>
      </c>
      <c r="BJ75" s="1" t="str">
        <f t="shared" si="43"/>
        <v>零下调激活电量</v>
      </c>
      <c r="BK75" s="1" t="str">
        <f t="shared" si="44"/>
        <v>-357.722970 + 662.245345 + 29.912526 + 0.000000 + 34.874282 + 0.000000 = 369.309184 EUR</v>
      </c>
    </row>
    <row r="76" spans="1:63" ht="21" customHeight="1" x14ac:dyDescent="0.45">
      <c r="A76" s="13">
        <f>原始输入与口径!C76</f>
        <v>46235.697916666664</v>
      </c>
      <c r="B76" s="15">
        <f>IF(ISNUMBER(原始输入与口径!H76),原始输入与口径!H76,"缺失")</f>
        <v>62.7</v>
      </c>
      <c r="C76" s="15">
        <f>IF(ISNUMBER(原始输入与口径!R76),原始输入与口径!R76,"缺失")</f>
        <v>66.224534522516336</v>
      </c>
      <c r="D76" s="15">
        <f>IF(ISNUMBER(原始输入与口径!W76),原始输入与口径!W76,"缺失")</f>
        <v>4.9854210736950435</v>
      </c>
      <c r="E76" s="15">
        <f>IF(ISNUMBER(原始输入与口径!AB76),原始输入与口径!AB76,"缺失")</f>
        <v>3.0072608770224685</v>
      </c>
      <c r="F76" s="15">
        <f>IF(ISNUMBER(原始输入与口径!AG76),原始输入与口径!AG76,"缺失")</f>
        <v>133.21136584529185</v>
      </c>
      <c r="G76" s="15">
        <f>IF(ISNUMBER(原始输入与口径!AJ76),原始输入与口径!AJ76,"缺失")</f>
        <v>68.87656509061803</v>
      </c>
      <c r="H76" s="15" t="str">
        <f t="shared" si="23"/>
        <v>未模拟</v>
      </c>
      <c r="I76" s="16">
        <f>原始输入与口径!CD76</f>
        <v>171.60000000000005</v>
      </c>
      <c r="J76" s="16">
        <f>原始输入与口径!CE76</f>
        <v>161.9104149503948</v>
      </c>
      <c r="K76" s="16">
        <f>原始输入与口径!BZ76</f>
        <v>35.598427268261688</v>
      </c>
      <c r="L76" s="16">
        <f>原始输入与口径!CK76</f>
        <v>40</v>
      </c>
      <c r="M76" s="16">
        <f>原始输入与口径!BT76</f>
        <v>24</v>
      </c>
      <c r="N76" s="16">
        <f>原始输入与口径!BJ76</f>
        <v>0</v>
      </c>
      <c r="O76" s="16">
        <f t="shared" si="24"/>
        <v>1.4811428571428571E-2</v>
      </c>
      <c r="P76" s="16">
        <f t="shared" si="25"/>
        <v>0</v>
      </c>
      <c r="Q76" s="17">
        <f t="shared" si="26"/>
        <v>558.00534743000196</v>
      </c>
      <c r="R76" s="17">
        <f t="shared" si="27"/>
        <v>662.24534522516342</v>
      </c>
      <c r="S76" s="17">
        <f t="shared" si="28"/>
        <v>29.912526442170261</v>
      </c>
      <c r="T76" s="17">
        <f t="shared" si="29"/>
        <v>0</v>
      </c>
      <c r="U76" s="17">
        <f t="shared" si="30"/>
        <v>1.9730506301199797</v>
      </c>
      <c r="V76" s="17">
        <f t="shared" si="31"/>
        <v>0</v>
      </c>
      <c r="W76" s="17">
        <f t="shared" si="32"/>
        <v>1252.1362697274558</v>
      </c>
      <c r="X76" s="12">
        <f>原始输入与口径!CP76</f>
        <v>1252.1362697274556</v>
      </c>
      <c r="Y76" s="19">
        <f t="shared" si="33"/>
        <v>0</v>
      </c>
      <c r="Z76" s="12" t="str">
        <f t="shared" si="34"/>
        <v>当日执行</v>
      </c>
      <c r="AA76" s="12">
        <f>IF(原始输入与口径!AW76,1,0)</f>
        <v>1</v>
      </c>
      <c r="AB76" s="12">
        <f>IF(原始输入与口径!AY76,1,0)</f>
        <v>1</v>
      </c>
      <c r="AC76" s="12">
        <f>原始输入与口径!$F$5</f>
        <v>0.25</v>
      </c>
      <c r="AD76" s="18">
        <f>原始输入与口径!CG76</f>
        <v>0.3125</v>
      </c>
      <c r="AE76" s="18">
        <f>原始输入与口径!BQ76</f>
        <v>0.13714285714285715</v>
      </c>
      <c r="AF76" s="18">
        <f t="shared" si="35"/>
        <v>2.4685714285714285E-3</v>
      </c>
      <c r="AG76" s="18">
        <f t="shared" si="36"/>
        <v>8.2971428571428571E-3</v>
      </c>
      <c r="AH76" s="12">
        <f>IF(ISNUMBER(原始输入与口径!T76),原始输入与口径!T76,"缺失")</f>
        <v>175</v>
      </c>
      <c r="AI76" s="12">
        <f>IF(ISNUMBER(原始输入与口径!Y76),原始输入与口径!Y76,"缺失")</f>
        <v>175</v>
      </c>
      <c r="AJ76" s="12">
        <f>IF(ISNUMBER(原始输入与口径!AI76),原始输入与口径!AI76,"缺失")</f>
        <v>0.108</v>
      </c>
      <c r="AK76" s="12">
        <f>IF(ISNUMBER(原始输入与口径!AL76),原始输入与口径!AL76,"缺失")</f>
        <v>0.36299999999999999</v>
      </c>
      <c r="AL76" s="12">
        <f>IF(ISNUMBER(原始输入与口径!O76),原始输入与口径!O76,"缺失")</f>
        <v>91.903999999999996</v>
      </c>
      <c r="AM76" s="12">
        <f>SUMIFS(相位SOC复算!$N$9:$N$929,相位SOC复算!$S$9:$S$929,68)</f>
        <v>2.6915514026681311E-2</v>
      </c>
      <c r="AN76" s="12">
        <f>SUMIFS(相位SOC复算!$Q$9:$Q$929,相位SOC复算!$S$9:$S$929,68)</f>
        <v>0</v>
      </c>
      <c r="AO76" s="12">
        <f>SUMIFS(相位SOC复算!$R$9:$R$929,相位SOC复算!$S$9:$S$929,68)</f>
        <v>8.914418245636849</v>
      </c>
      <c r="AP76" s="12">
        <f>相位SOC复算!J164</f>
        <v>161.91041495039482</v>
      </c>
      <c r="AQ76" s="19">
        <f t="shared" si="37"/>
        <v>0</v>
      </c>
      <c r="AR76" s="12">
        <f>IF(ISBLANK(原始输入与口径!M76),"",原始输入与口径!M76)</f>
        <v>5.2473000000000001</v>
      </c>
      <c r="AS76" s="14">
        <f>IF(ISBLANK(原始输入与口径!L76),"",原始输入与口径!L76)</f>
        <v>46234</v>
      </c>
      <c r="AT76" s="13">
        <f>IF(ISBLANK(原始输入与口径!A76),"",原始输入与口径!A76)</f>
        <v>46235.572916666664</v>
      </c>
      <c r="AU76" s="12" t="str">
        <f>IF(ISBLANK(原始输入与口径!I76),"",原始输入与口径!I76)</f>
        <v>2026-08-01_64</v>
      </c>
      <c r="AV76" s="12">
        <f>IF(ISBLANK(原始输入与口径!J76),"",原始输入与口径!J76)</f>
        <v>15</v>
      </c>
      <c r="AW76" s="12" t="str">
        <f>IF(ISBLANK(原始输入与口径!BB76),"",原始输入与口径!BB76)</f>
        <v>OK</v>
      </c>
      <c r="AX76" s="12">
        <f>原始输入与口径!CI76</f>
        <v>128</v>
      </c>
      <c r="AY76" s="12">
        <f>原始输入与口径!BS76</f>
        <v>175</v>
      </c>
      <c r="AZ76" s="12">
        <f>原始输入与口径!BI76</f>
        <v>175</v>
      </c>
      <c r="BA76" s="12">
        <f>原始输入与口径!CM76</f>
        <v>40</v>
      </c>
      <c r="BB76" s="12">
        <f>原始输入与口径!BV76</f>
        <v>24</v>
      </c>
      <c r="BC76" s="12">
        <f>原始输入与口径!BL76</f>
        <v>24</v>
      </c>
      <c r="BD76" s="14">
        <f>46235</f>
        <v>46235</v>
      </c>
      <c r="BE76" s="1" t="str">
        <f t="shared" si="38"/>
        <v>35.598427 MW × 62.700000 × 0.250000 h = 558.005347 EUR</v>
      </c>
      <c r="BF76" s="1" t="str">
        <f t="shared" si="39"/>
        <v>40.000000 MW × 66.224535 × 0.250000 h = 662.245345 EUR</v>
      </c>
      <c r="BG76" s="1" t="str">
        <f t="shared" si="40"/>
        <v>24.000000 MW × 4.985421 × 0.250000 h = 29.912526 EUR</v>
      </c>
      <c r="BH76" s="1" t="str">
        <f t="shared" si="41"/>
        <v>零头寸，无结算现金</v>
      </c>
      <c r="BI76" s="1" t="str">
        <f t="shared" si="42"/>
        <v>0.014811 MWh × 133.211366 = 1.973051 EUR</v>
      </c>
      <c r="BJ76" s="1" t="str">
        <f t="shared" si="43"/>
        <v>零下调激活电量</v>
      </c>
      <c r="BK76" s="1" t="str">
        <f t="shared" si="44"/>
        <v>558.005347 + 662.245345 + 29.912526 + 0.000000 + 1.973051 + 0.000000 = 1252.136270 EUR</v>
      </c>
    </row>
    <row r="77" spans="1:63" ht="21" customHeight="1" x14ac:dyDescent="0.45">
      <c r="A77" s="13">
        <f>原始输入与口径!C77</f>
        <v>46235.708333333336</v>
      </c>
      <c r="B77" s="15">
        <f>IF(ISNUMBER(原始输入与口径!H77),原始输入与口径!H77,"缺失")</f>
        <v>24.29</v>
      </c>
      <c r="C77" s="15">
        <f>IF(ISNUMBER(原始输入与口径!R77),原始输入与口径!R77,"缺失")</f>
        <v>66.224534522516336</v>
      </c>
      <c r="D77" s="15">
        <f>IF(ISNUMBER(原始输入与口径!W77),原始输入与口径!W77,"缺失")</f>
        <v>5.6505250319211777</v>
      </c>
      <c r="E77" s="15">
        <f>IF(ISNUMBER(原始输入与口径!AB77),原始输入与口径!AB77,"缺失")</f>
        <v>3.0072608770224685</v>
      </c>
      <c r="F77" s="15">
        <f>IF(ISNUMBER(原始输入与口径!AG77),原始输入与口径!AG77,"缺失")</f>
        <v>133.21136584529185</v>
      </c>
      <c r="G77" s="15">
        <f>IF(ISNUMBER(原始输入与口径!AJ77),原始输入与口径!AJ77,"缺失")</f>
        <v>55.38772321003183</v>
      </c>
      <c r="H77" s="15" t="str">
        <f t="shared" si="23"/>
        <v>未模拟</v>
      </c>
      <c r="I77" s="16">
        <f>原始输入与口径!CD77</f>
        <v>161.9104149503948</v>
      </c>
      <c r="J77" s="16">
        <f>原始输入与口径!CE77</f>
        <v>170.9969342646805</v>
      </c>
      <c r="K77" s="16">
        <f>原始输入与口径!BZ77</f>
        <v>-38.999999999999979</v>
      </c>
      <c r="L77" s="16">
        <f>原始输入与口径!CK77</f>
        <v>40</v>
      </c>
      <c r="M77" s="16">
        <f>原始输入与口径!BT77</f>
        <v>24</v>
      </c>
      <c r="N77" s="16">
        <f>原始输入与口径!BJ77</f>
        <v>21</v>
      </c>
      <c r="O77" s="16">
        <f t="shared" si="24"/>
        <v>8.2285714285714288E-3</v>
      </c>
      <c r="P77" s="16">
        <f t="shared" si="25"/>
        <v>0.13488</v>
      </c>
      <c r="Q77" s="17">
        <f t="shared" si="26"/>
        <v>-236.82749999999987</v>
      </c>
      <c r="R77" s="17">
        <f t="shared" si="27"/>
        <v>662.24534522516342</v>
      </c>
      <c r="S77" s="17">
        <f t="shared" si="28"/>
        <v>33.903150191527068</v>
      </c>
      <c r="T77" s="17">
        <f t="shared" si="29"/>
        <v>15.78811960436796</v>
      </c>
      <c r="U77" s="17">
        <f t="shared" si="30"/>
        <v>1.0961392389555444</v>
      </c>
      <c r="V77" s="17">
        <f t="shared" si="31"/>
        <v>-7.4706961065690933</v>
      </c>
      <c r="W77" s="17">
        <f t="shared" si="32"/>
        <v>468.73455815344505</v>
      </c>
      <c r="X77" s="12">
        <f>原始输入与口径!CP77</f>
        <v>468.73455815344505</v>
      </c>
      <c r="Y77" s="19">
        <f t="shared" si="33"/>
        <v>0</v>
      </c>
      <c r="Z77" s="12" t="str">
        <f t="shared" si="34"/>
        <v>当日执行</v>
      </c>
      <c r="AA77" s="12">
        <f>IF(原始输入与口径!AW77,1,0)</f>
        <v>1</v>
      </c>
      <c r="AB77" s="12">
        <f>IF(原始输入与口径!AY77,1,0)</f>
        <v>1</v>
      </c>
      <c r="AC77" s="12">
        <f>原始输入与口径!$F$5</f>
        <v>0.25</v>
      </c>
      <c r="AD77" s="18">
        <f>原始输入与口径!CG77</f>
        <v>0.3125</v>
      </c>
      <c r="AE77" s="18">
        <f>原始输入与口径!BQ77</f>
        <v>0.13714285714285715</v>
      </c>
      <c r="AF77" s="18">
        <f t="shared" si="35"/>
        <v>1.3714285714285714E-3</v>
      </c>
      <c r="AG77" s="18">
        <f t="shared" si="36"/>
        <v>2.5691428571428573E-2</v>
      </c>
      <c r="AH77" s="12">
        <f>IF(ISNUMBER(原始输入与口径!T77),原始输入与口径!T77,"缺失")</f>
        <v>175</v>
      </c>
      <c r="AI77" s="12">
        <f>IF(ISNUMBER(原始输入与口径!Y77),原始输入与口径!Y77,"缺失")</f>
        <v>175</v>
      </c>
      <c r="AJ77" s="12">
        <f>IF(ISNUMBER(原始输入与口径!AI77),原始输入与口径!AI77,"缺失")</f>
        <v>0.06</v>
      </c>
      <c r="AK77" s="12">
        <f>IF(ISNUMBER(原始输入与口径!AL77),原始输入与口径!AL77,"缺失")</f>
        <v>1.1240000000000001</v>
      </c>
      <c r="AL77" s="12">
        <f>IF(ISNUMBER(原始输入与口径!O77),原始输入与口径!O77,"缺失")</f>
        <v>91.903999999999996</v>
      </c>
      <c r="AM77" s="12">
        <f>SUMIFS(相位SOC复算!$N$9:$N$929,相位SOC复算!$S$9:$S$929,69)</f>
        <v>2.5240331428571412E-2</v>
      </c>
      <c r="AN77" s="12">
        <f>SUMIFS(相位SOC复算!$Q$9:$Q$929,相位SOC复算!$S$9:$S$929,69)</f>
        <v>9.8766514285714226</v>
      </c>
      <c r="AO77" s="12">
        <f>SUMIFS(相位SOC复算!$R$9:$R$929,相位SOC复算!$S$9:$S$929,69)</f>
        <v>0</v>
      </c>
      <c r="AP77" s="12">
        <f>相位SOC复算!J167</f>
        <v>170.99693426468053</v>
      </c>
      <c r="AQ77" s="19">
        <f t="shared" si="37"/>
        <v>0</v>
      </c>
      <c r="AR77" s="12">
        <f>IF(ISBLANK(原始输入与口径!M77),"",原始输入与口径!M77)</f>
        <v>5.2473000000000001</v>
      </c>
      <c r="AS77" s="14">
        <f>IF(ISBLANK(原始输入与口径!L77),"",原始输入与口径!L77)</f>
        <v>46234</v>
      </c>
      <c r="AT77" s="13">
        <f>IF(ISBLANK(原始输入与口径!A77),"",原始输入与口径!A77)</f>
        <v>46235.583333333336</v>
      </c>
      <c r="AU77" s="12" t="str">
        <f>IF(ISBLANK(原始输入与口径!I77),"",原始输入与口径!I77)</f>
        <v>2026-08-01_65</v>
      </c>
      <c r="AV77" s="12">
        <f>IF(ISBLANK(原始输入与口径!J77),"",原始输入与口径!J77)</f>
        <v>15</v>
      </c>
      <c r="AW77" s="12" t="str">
        <f>IF(ISBLANK(原始输入与口径!BB77),"",原始输入与口径!BB77)</f>
        <v>OK</v>
      </c>
      <c r="AX77" s="12">
        <f>原始输入与口径!CI77</f>
        <v>128</v>
      </c>
      <c r="AY77" s="12">
        <f>原始输入与口径!BS77</f>
        <v>175</v>
      </c>
      <c r="AZ77" s="12">
        <f>原始输入与口径!BI77</f>
        <v>175</v>
      </c>
      <c r="BA77" s="12">
        <f>原始输入与口径!CM77</f>
        <v>40</v>
      </c>
      <c r="BB77" s="12">
        <f>原始输入与口径!BV77</f>
        <v>24</v>
      </c>
      <c r="BC77" s="12">
        <f>原始输入与口径!BL77</f>
        <v>24</v>
      </c>
      <c r="BD77" s="14">
        <f>46235</f>
        <v>46235</v>
      </c>
      <c r="BE77" s="1" t="str">
        <f t="shared" si="38"/>
        <v>-39.000000 MW × 24.290000 × 0.250000 h = -236.827500 EUR</v>
      </c>
      <c r="BF77" s="1" t="str">
        <f t="shared" si="39"/>
        <v>40.000000 MW × 66.224535 × 0.250000 h = 662.245345 EUR</v>
      </c>
      <c r="BG77" s="1" t="str">
        <f t="shared" si="40"/>
        <v>24.000000 MW × 5.650525 × 0.250000 h = 33.903150 EUR</v>
      </c>
      <c r="BH77" s="1" t="str">
        <f t="shared" si="41"/>
        <v>21.000000 MW × 3.007261 × 0.250000 h = 15.788120 EUR</v>
      </c>
      <c r="BI77" s="1" t="str">
        <f t="shared" si="42"/>
        <v>0.008229 MWh × 133.211366 = 1.096139 EUR</v>
      </c>
      <c r="BJ77" s="1" t="str">
        <f t="shared" si="43"/>
        <v>−(0.134880 MWh × 55.387723) = -7.470696 EUR</v>
      </c>
      <c r="BK77" s="1" t="str">
        <f t="shared" si="44"/>
        <v>-236.827500 + 662.245345 + 33.903150 + 15.788120 + 1.096139 + -7.470696 = 468.734558 EUR</v>
      </c>
    </row>
    <row r="78" spans="1:63" ht="21" customHeight="1" x14ac:dyDescent="0.45">
      <c r="A78" s="13">
        <f>原始输入与口径!C78</f>
        <v>46235.71875</v>
      </c>
      <c r="B78" s="15">
        <f>IF(ISNUMBER(原始输入与口径!H78),原始输入与口径!H78,"缺失")</f>
        <v>69.88</v>
      </c>
      <c r="C78" s="15">
        <f>IF(ISNUMBER(原始输入与口径!R78),原始输入与口径!R78,"缺失")</f>
        <v>66.224534522516336</v>
      </c>
      <c r="D78" s="15">
        <f>IF(ISNUMBER(原始输入与口径!W78),原始输入与口径!W78,"缺失")</f>
        <v>5.6505250319211777</v>
      </c>
      <c r="E78" s="15">
        <f>IF(ISNUMBER(原始输入与口径!AB78),原始输入与口径!AB78,"缺失")</f>
        <v>3.0072608770224685</v>
      </c>
      <c r="F78" s="15">
        <f>IF(ISNUMBER(原始输入与口径!AG78),原始输入与口径!AG78,"缺失")</f>
        <v>133.24948068530483</v>
      </c>
      <c r="G78" s="15">
        <f>IF(ISNUMBER(原始输入与口径!AJ78),原始输入与口径!AJ78,"缺失")</f>
        <v>-0.21763573647399612</v>
      </c>
      <c r="H78" s="15" t="str">
        <f t="shared" si="23"/>
        <v>未模拟</v>
      </c>
      <c r="I78" s="16">
        <f>原始输入与口径!CD78</f>
        <v>170.9969342646805</v>
      </c>
      <c r="J78" s="16">
        <f>原始输入与口径!CE78</f>
        <v>171.59291126689536</v>
      </c>
      <c r="K78" s="16">
        <f>原始输入与口径!BZ78</f>
        <v>-1.2399362073522855</v>
      </c>
      <c r="L78" s="16">
        <f>原始输入与口径!CK78</f>
        <v>40</v>
      </c>
      <c r="M78" s="16">
        <f>原始输入与口径!BT78</f>
        <v>24</v>
      </c>
      <c r="N78" s="16">
        <f>原始输入与口径!BJ78</f>
        <v>21</v>
      </c>
      <c r="O78" s="16">
        <f t="shared" si="24"/>
        <v>0.23986285714285716</v>
      </c>
      <c r="P78" s="16">
        <f t="shared" si="25"/>
        <v>0.61896000000000007</v>
      </c>
      <c r="Q78" s="17">
        <f t="shared" si="26"/>
        <v>-21.661685542444427</v>
      </c>
      <c r="R78" s="17">
        <f t="shared" si="27"/>
        <v>662.24534522516342</v>
      </c>
      <c r="S78" s="17">
        <f t="shared" si="28"/>
        <v>33.903150191527068</v>
      </c>
      <c r="T78" s="17">
        <f t="shared" si="29"/>
        <v>15.78811960436796</v>
      </c>
      <c r="U78" s="17">
        <f t="shared" si="30"/>
        <v>31.961601149979177</v>
      </c>
      <c r="V78" s="17">
        <f t="shared" si="31"/>
        <v>0.13470781544794466</v>
      </c>
      <c r="W78" s="17">
        <f t="shared" si="32"/>
        <v>722.37123844404118</v>
      </c>
      <c r="X78" s="12">
        <f>原始输入与口径!CP78</f>
        <v>722.37123844404118</v>
      </c>
      <c r="Y78" s="19">
        <f t="shared" si="33"/>
        <v>0</v>
      </c>
      <c r="Z78" s="12" t="str">
        <f t="shared" si="34"/>
        <v>当日执行</v>
      </c>
      <c r="AA78" s="12">
        <f>IF(原始输入与口径!AW78,1,0)</f>
        <v>1</v>
      </c>
      <c r="AB78" s="12">
        <f>IF(原始输入与口径!AY78,1,0)</f>
        <v>1</v>
      </c>
      <c r="AC78" s="12">
        <f>原始输入与口径!$F$5</f>
        <v>0.25</v>
      </c>
      <c r="AD78" s="18">
        <f>原始输入与口径!CG78</f>
        <v>0.3125</v>
      </c>
      <c r="AE78" s="18">
        <f>原始输入与口径!BQ78</f>
        <v>0.13714285714285715</v>
      </c>
      <c r="AF78" s="18">
        <f t="shared" si="35"/>
        <v>3.9977142857142857E-2</v>
      </c>
      <c r="AG78" s="18">
        <f t="shared" si="36"/>
        <v>0.11789714285714287</v>
      </c>
      <c r="AH78" s="12">
        <f>IF(ISNUMBER(原始输入与口径!T78),原始输入与口径!T78,"缺失")</f>
        <v>175</v>
      </c>
      <c r="AI78" s="12">
        <f>IF(ISNUMBER(原始输入与口径!Y78),原始输入与口径!Y78,"缺失")</f>
        <v>175</v>
      </c>
      <c r="AJ78" s="12">
        <f>IF(ISNUMBER(原始输入与口径!AI78),原始输入与口径!AI78,"缺失")</f>
        <v>1.7490000000000001</v>
      </c>
      <c r="AK78" s="12">
        <f>IF(ISNUMBER(原始输入与口径!AL78),原始输入与口径!AL78,"缺失")</f>
        <v>5.1580000000000004</v>
      </c>
      <c r="AL78" s="12">
        <f>IF(ISNUMBER(原始输入与口径!O78),原始输入与口径!O78,"缺失")</f>
        <v>91.903999999999996</v>
      </c>
      <c r="AM78" s="12">
        <f>SUMIFS(相位SOC复算!$N$9:$N$929,相位SOC复算!$S$9:$S$929,70)</f>
        <v>3.0291062888763228E-3</v>
      </c>
      <c r="AN78" s="12">
        <f>SUMIFS(相位SOC复算!$Q$9:$Q$929,相位SOC复算!$S$9:$S$929,70)</f>
        <v>0.91655177511430486</v>
      </c>
      <c r="AO78" s="12">
        <f>SUMIFS(相位SOC复算!$R$9:$R$929,相位SOC复算!$S$9:$S$929,70)</f>
        <v>0.22747058041909057</v>
      </c>
      <c r="AP78" s="12">
        <f>相位SOC复算!J170</f>
        <v>171.59291126689538</v>
      </c>
      <c r="AQ78" s="19">
        <f t="shared" si="37"/>
        <v>0</v>
      </c>
      <c r="AR78" s="12">
        <f>IF(ISBLANK(原始输入与口径!M78),"",原始输入与口径!M78)</f>
        <v>5.2473000000000001</v>
      </c>
      <c r="AS78" s="14">
        <f>IF(ISBLANK(原始输入与口径!L78),"",原始输入与口径!L78)</f>
        <v>46234</v>
      </c>
      <c r="AT78" s="13">
        <f>IF(ISBLANK(原始输入与口径!A78),"",原始输入与口径!A78)</f>
        <v>46235.59375</v>
      </c>
      <c r="AU78" s="12" t="str">
        <f>IF(ISBLANK(原始输入与口径!I78),"",原始输入与口径!I78)</f>
        <v>2026-08-01_66</v>
      </c>
      <c r="AV78" s="12">
        <f>IF(ISBLANK(原始输入与口径!J78),"",原始输入与口径!J78)</f>
        <v>15</v>
      </c>
      <c r="AW78" s="12" t="str">
        <f>IF(ISBLANK(原始输入与口径!BB78),"",原始输入与口径!BB78)</f>
        <v>OK</v>
      </c>
      <c r="AX78" s="12">
        <f>原始输入与口径!CI78</f>
        <v>128</v>
      </c>
      <c r="AY78" s="12">
        <f>原始输入与口径!BS78</f>
        <v>175</v>
      </c>
      <c r="AZ78" s="12">
        <f>原始输入与口径!BI78</f>
        <v>175</v>
      </c>
      <c r="BA78" s="12">
        <f>原始输入与口径!CM78</f>
        <v>40</v>
      </c>
      <c r="BB78" s="12">
        <f>原始输入与口径!BV78</f>
        <v>24</v>
      </c>
      <c r="BC78" s="12">
        <f>原始输入与口径!BL78</f>
        <v>24</v>
      </c>
      <c r="BD78" s="14">
        <f>46235</f>
        <v>46235</v>
      </c>
      <c r="BE78" s="1" t="str">
        <f t="shared" si="38"/>
        <v>-1.239936 MW × 69.880000 × 0.250000 h = -21.661686 EUR</v>
      </c>
      <c r="BF78" s="1" t="str">
        <f t="shared" si="39"/>
        <v>40.000000 MW × 66.224535 × 0.250000 h = 662.245345 EUR</v>
      </c>
      <c r="BG78" s="1" t="str">
        <f t="shared" si="40"/>
        <v>24.000000 MW × 5.650525 × 0.250000 h = 33.903150 EUR</v>
      </c>
      <c r="BH78" s="1" t="str">
        <f t="shared" si="41"/>
        <v>21.000000 MW × 3.007261 × 0.250000 h = 15.788120 EUR</v>
      </c>
      <c r="BI78" s="1" t="str">
        <f t="shared" si="42"/>
        <v>0.239863 MWh × 133.249481 = 31.961601 EUR</v>
      </c>
      <c r="BJ78" s="1" t="str">
        <f t="shared" si="43"/>
        <v>−(0.618960 MWh × -0.217636) = 0.134708 EUR</v>
      </c>
      <c r="BK78" s="1" t="str">
        <f t="shared" si="44"/>
        <v>-21.661686 + 662.245345 + 33.903150 + 15.788120 + 31.961601 + 0.134708 = 722.371238 EUR</v>
      </c>
    </row>
    <row r="79" spans="1:63" ht="21" customHeight="1" x14ac:dyDescent="0.45">
      <c r="A79" s="13">
        <f>原始输入与口径!C79</f>
        <v>46235.729166666664</v>
      </c>
      <c r="B79" s="15">
        <f>IF(ISNUMBER(原始输入与口径!H79),原始输入与口径!H79,"缺失")</f>
        <v>131.37</v>
      </c>
      <c r="C79" s="15">
        <f>IF(ISNUMBER(原始输入与口径!R79),原始输入与口径!R79,"缺失")</f>
        <v>66.224534522516336</v>
      </c>
      <c r="D79" s="15">
        <f>IF(ISNUMBER(原始输入与口径!W79),原始输入与口径!W79,"缺失")</f>
        <v>5.6505250319211777</v>
      </c>
      <c r="E79" s="15">
        <f>IF(ISNUMBER(原始输入与口径!AB79),原始输入与口径!AB79,"缺失")</f>
        <v>3.0072608770224685</v>
      </c>
      <c r="F79" s="15">
        <f>IF(ISNUMBER(原始输入与口径!AG79),原始输入与口径!AG79,"缺失")</f>
        <v>159.05494254187869</v>
      </c>
      <c r="G79" s="15">
        <f>IF(ISNUMBER(原始输入与口径!AJ79),原始输入与口径!AJ79,"缺失")</f>
        <v>73.550778495607261</v>
      </c>
      <c r="H79" s="15" t="str">
        <f t="shared" si="23"/>
        <v>未模拟</v>
      </c>
      <c r="I79" s="16">
        <f>原始输入与口径!CD79</f>
        <v>171.59291126689536</v>
      </c>
      <c r="J79" s="16">
        <f>原始输入与口径!CE79</f>
        <v>170.55661478925222</v>
      </c>
      <c r="K79" s="16">
        <f>原始输入与口径!BZ79</f>
        <v>-4.441515449637027</v>
      </c>
      <c r="L79" s="16">
        <f>原始输入与口径!CK79</f>
        <v>40</v>
      </c>
      <c r="M79" s="16">
        <f>原始输入与口径!BT79</f>
        <v>24</v>
      </c>
      <c r="N79" s="16">
        <f>原始输入与口径!BJ79</f>
        <v>21</v>
      </c>
      <c r="O79" s="16">
        <f t="shared" si="24"/>
        <v>1.9541485714285716</v>
      </c>
      <c r="P79" s="16">
        <f t="shared" si="25"/>
        <v>6.3600000000000002E-3</v>
      </c>
      <c r="Q79" s="17">
        <f t="shared" si="26"/>
        <v>-145.87047115470406</v>
      </c>
      <c r="R79" s="17">
        <f t="shared" si="27"/>
        <v>662.24534522516342</v>
      </c>
      <c r="S79" s="17">
        <f t="shared" si="28"/>
        <v>33.903150191527068</v>
      </c>
      <c r="T79" s="17">
        <f t="shared" si="29"/>
        <v>15.78811960436796</v>
      </c>
      <c r="U79" s="17">
        <f t="shared" si="30"/>
        <v>310.81698874686577</v>
      </c>
      <c r="V79" s="17">
        <f t="shared" si="31"/>
        <v>-0.46778295123206221</v>
      </c>
      <c r="W79" s="17">
        <f t="shared" si="32"/>
        <v>876.4153496619881</v>
      </c>
      <c r="X79" s="12">
        <f>原始输入与口径!CP79</f>
        <v>876.4153496619881</v>
      </c>
      <c r="Y79" s="19">
        <f t="shared" si="33"/>
        <v>0</v>
      </c>
      <c r="Z79" s="12" t="str">
        <f t="shared" si="34"/>
        <v>当日执行</v>
      </c>
      <c r="AA79" s="12">
        <f>IF(原始输入与口径!AW79,1,0)</f>
        <v>1</v>
      </c>
      <c r="AB79" s="12">
        <f>IF(原始输入与口径!AY79,1,0)</f>
        <v>1</v>
      </c>
      <c r="AC79" s="12">
        <f>原始输入与口径!$F$5</f>
        <v>0.25</v>
      </c>
      <c r="AD79" s="18">
        <f>原始输入与口径!CG79</f>
        <v>0.3125</v>
      </c>
      <c r="AE79" s="18">
        <f>原始输入与口径!BQ79</f>
        <v>0.13714285714285715</v>
      </c>
      <c r="AF79" s="18">
        <f t="shared" si="35"/>
        <v>0.32569142857142858</v>
      </c>
      <c r="AG79" s="18">
        <f t="shared" si="36"/>
        <v>1.2114285714285714E-3</v>
      </c>
      <c r="AH79" s="12">
        <f>IF(ISNUMBER(原始输入与口径!T79),原始输入与口径!T79,"缺失")</f>
        <v>175</v>
      </c>
      <c r="AI79" s="12">
        <f>IF(ISNUMBER(原始输入与口径!Y79),原始输入与口径!Y79,"缺失")</f>
        <v>175</v>
      </c>
      <c r="AJ79" s="12">
        <f>IF(ISNUMBER(原始输入与口径!AI79),原始输入与口径!AI79,"缺失")</f>
        <v>14.249000000000001</v>
      </c>
      <c r="AK79" s="12">
        <f>IF(ISNUMBER(原始输入与口径!AL79),原始输入与口径!AL79,"缺失")</f>
        <v>5.2999999999999999E-2</v>
      </c>
      <c r="AL79" s="12">
        <f>IF(ISNUMBER(原始输入与口径!O79),原始输入与口径!O79,"缺失")</f>
        <v>91.903999999999996</v>
      </c>
      <c r="AM79" s="12">
        <f>SUMIFS(相位SOC复算!$N$9:$N$929,相位SOC复算!$S$9:$S$929,71)</f>
        <v>6.7379910251155212E-3</v>
      </c>
      <c r="AN79" s="12">
        <f>SUMIFS(相位SOC复算!$Q$9:$Q$929,相位SOC复算!$S$9:$S$929,71)</f>
        <v>0.75509798445566834</v>
      </c>
      <c r="AO79" s="12">
        <f>SUMIFS(相位SOC复算!$R$9:$R$929,相位SOC复算!$S$9:$S$929,71)</f>
        <v>1.5925076934749829</v>
      </c>
      <c r="AP79" s="12">
        <f>相位SOC复算!J173</f>
        <v>170.55661478925225</v>
      </c>
      <c r="AQ79" s="19">
        <f t="shared" si="37"/>
        <v>0</v>
      </c>
      <c r="AR79" s="12">
        <f>IF(ISBLANK(原始输入与口径!M79),"",原始输入与口径!M79)</f>
        <v>5.2473000000000001</v>
      </c>
      <c r="AS79" s="14">
        <f>IF(ISBLANK(原始输入与口径!L79),"",原始输入与口径!L79)</f>
        <v>46234</v>
      </c>
      <c r="AT79" s="13">
        <f>IF(ISBLANK(原始输入与口径!A79),"",原始输入与口径!A79)</f>
        <v>46235.604166666664</v>
      </c>
      <c r="AU79" s="12" t="str">
        <f>IF(ISBLANK(原始输入与口径!I79),"",原始输入与口径!I79)</f>
        <v>2026-08-01_67</v>
      </c>
      <c r="AV79" s="12">
        <f>IF(ISBLANK(原始输入与口径!J79),"",原始输入与口径!J79)</f>
        <v>15</v>
      </c>
      <c r="AW79" s="12" t="str">
        <f>IF(ISBLANK(原始输入与口径!BB79),"",原始输入与口径!BB79)</f>
        <v>OK</v>
      </c>
      <c r="AX79" s="12">
        <f>原始输入与口径!CI79</f>
        <v>128</v>
      </c>
      <c r="AY79" s="12">
        <f>原始输入与口径!BS79</f>
        <v>175</v>
      </c>
      <c r="AZ79" s="12">
        <f>原始输入与口径!BI79</f>
        <v>175</v>
      </c>
      <c r="BA79" s="12">
        <f>原始输入与口径!CM79</f>
        <v>40</v>
      </c>
      <c r="BB79" s="12">
        <f>原始输入与口径!BV79</f>
        <v>24</v>
      </c>
      <c r="BC79" s="12">
        <f>原始输入与口径!BL79</f>
        <v>24</v>
      </c>
      <c r="BD79" s="14">
        <f>46235</f>
        <v>46235</v>
      </c>
      <c r="BE79" s="1" t="str">
        <f t="shared" si="38"/>
        <v>-4.441515 MW × 131.370000 × 0.250000 h = -145.870471 EUR</v>
      </c>
      <c r="BF79" s="1" t="str">
        <f t="shared" si="39"/>
        <v>40.000000 MW × 66.224535 × 0.250000 h = 662.245345 EUR</v>
      </c>
      <c r="BG79" s="1" t="str">
        <f t="shared" si="40"/>
        <v>24.000000 MW × 5.650525 × 0.250000 h = 33.903150 EUR</v>
      </c>
      <c r="BH79" s="1" t="str">
        <f t="shared" si="41"/>
        <v>21.000000 MW × 3.007261 × 0.250000 h = 15.788120 EUR</v>
      </c>
      <c r="BI79" s="1" t="str">
        <f t="shared" si="42"/>
        <v>1.954149 MWh × 159.054943 = 310.816989 EUR</v>
      </c>
      <c r="BJ79" s="1" t="str">
        <f t="shared" si="43"/>
        <v>−(0.006360 MWh × 73.550778) = -0.467783 EUR</v>
      </c>
      <c r="BK79" s="1" t="str">
        <f t="shared" si="44"/>
        <v>-145.870471 + 662.245345 + 33.903150 + 15.788120 + 310.816989 + -0.467783 = 876.415350 EUR</v>
      </c>
    </row>
    <row r="80" spans="1:63" ht="21" customHeight="1" x14ac:dyDescent="0.45">
      <c r="A80" s="13">
        <f>原始输入与口径!C80</f>
        <v>46235.739583333336</v>
      </c>
      <c r="B80" s="15">
        <f>IF(ISNUMBER(原始输入与口径!H80),原始输入与口径!H80,"缺失")</f>
        <v>153.38999999999999</v>
      </c>
      <c r="C80" s="15">
        <f>IF(ISNUMBER(原始输入与口径!R80),原始输入与口径!R80,"缺失")</f>
        <v>66.224534522516336</v>
      </c>
      <c r="D80" s="15">
        <f>IF(ISNUMBER(原始输入与口径!W80),原始输入与口径!W80,"缺失")</f>
        <v>5.6505250319211777</v>
      </c>
      <c r="E80" s="15">
        <f>IF(ISNUMBER(原始输入与口径!AB80),原始输入与口径!AB80,"缺失")</f>
        <v>3.0072608770224685</v>
      </c>
      <c r="F80" s="15">
        <f>IF(ISNUMBER(原始输入与口径!AG80),原始输入与口径!AG80,"缺失")</f>
        <v>186.6485621176605</v>
      </c>
      <c r="G80" s="15">
        <f>IF(ISNUMBER(原始输入与口径!AJ80),原始输入与口径!AJ80,"缺失")</f>
        <v>0</v>
      </c>
      <c r="H80" s="15" t="str">
        <f t="shared" si="23"/>
        <v>未模拟</v>
      </c>
      <c r="I80" s="16">
        <f>原始输入与口径!CD80</f>
        <v>170.55661478925222</v>
      </c>
      <c r="J80" s="16">
        <f>原始输入与口径!CE80</f>
        <v>158.79750919919013</v>
      </c>
      <c r="K80" s="16">
        <f>原始输入与口径!BZ80</f>
        <v>36</v>
      </c>
      <c r="L80" s="16">
        <f>原始输入与口径!CK80</f>
        <v>40</v>
      </c>
      <c r="M80" s="16">
        <f>原始输入与口径!BT80</f>
        <v>24</v>
      </c>
      <c r="N80" s="16">
        <f>原始输入与口径!BJ80</f>
        <v>21</v>
      </c>
      <c r="O80" s="16">
        <f t="shared" si="24"/>
        <v>1.8183771428571429</v>
      </c>
      <c r="P80" s="16">
        <f t="shared" si="25"/>
        <v>0</v>
      </c>
      <c r="Q80" s="17">
        <f t="shared" si="26"/>
        <v>1380.5099999999998</v>
      </c>
      <c r="R80" s="17">
        <f t="shared" si="27"/>
        <v>662.24534522516342</v>
      </c>
      <c r="S80" s="17">
        <f t="shared" si="28"/>
        <v>33.903150191527068</v>
      </c>
      <c r="T80" s="17">
        <f t="shared" si="29"/>
        <v>15.78811960436796</v>
      </c>
      <c r="U80" s="17">
        <f t="shared" si="30"/>
        <v>339.39747910190545</v>
      </c>
      <c r="V80" s="17">
        <f t="shared" si="31"/>
        <v>0</v>
      </c>
      <c r="W80" s="17">
        <f t="shared" si="32"/>
        <v>2431.8440941229637</v>
      </c>
      <c r="X80" s="12">
        <f>原始输入与口径!CP80</f>
        <v>2431.8440941229637</v>
      </c>
      <c r="Y80" s="19">
        <f t="shared" si="33"/>
        <v>0</v>
      </c>
      <c r="Z80" s="12" t="str">
        <f t="shared" si="34"/>
        <v>当日执行</v>
      </c>
      <c r="AA80" s="12">
        <f>IF(原始输入与口径!AW80,1,0)</f>
        <v>1</v>
      </c>
      <c r="AB80" s="12">
        <f>IF(原始输入与口径!AY80,1,0)</f>
        <v>1</v>
      </c>
      <c r="AC80" s="12">
        <f>原始输入与口径!$F$5</f>
        <v>0.25</v>
      </c>
      <c r="AD80" s="18">
        <f>原始输入与口径!CG80</f>
        <v>0.3125</v>
      </c>
      <c r="AE80" s="18">
        <f>原始输入与口径!BQ80</f>
        <v>0.13714285714285715</v>
      </c>
      <c r="AF80" s="18">
        <f t="shared" si="35"/>
        <v>0.30306285714285713</v>
      </c>
      <c r="AG80" s="18">
        <f t="shared" si="36"/>
        <v>0</v>
      </c>
      <c r="AH80" s="12">
        <f>IF(ISNUMBER(原始输入与口径!T80),原始输入与口径!T80,"缺失")</f>
        <v>175</v>
      </c>
      <c r="AI80" s="12">
        <f>IF(ISNUMBER(原始输入与口径!Y80),原始输入与口径!Y80,"缺失")</f>
        <v>175</v>
      </c>
      <c r="AJ80" s="12">
        <f>IF(ISNUMBER(原始输入与口径!AI80),原始输入与口径!AI80,"缺失")</f>
        <v>13.259</v>
      </c>
      <c r="AK80" s="12">
        <f>IF(ISNUMBER(原始输入与口径!AL80),原始输入与口径!AL80,"缺失")</f>
        <v>0</v>
      </c>
      <c r="AL80" s="12">
        <f>IF(ISNUMBER(原始输入与口径!O80),原始输入与口径!O80,"缺失")</f>
        <v>91.903999999999996</v>
      </c>
      <c r="AM80" s="12">
        <f>SUMIFS(相位SOC复算!$N$9:$N$929,相位SOC复算!$S$9:$S$929,72)</f>
        <v>3.2664182194616982E-2</v>
      </c>
      <c r="AN80" s="12">
        <f>SUMIFS(相位SOC复算!$Q$9:$Q$929,相位SOC复算!$S$9:$S$929,72)</f>
        <v>0</v>
      </c>
      <c r="AO80" s="12">
        <f>SUMIFS(相位SOC复算!$R$9:$R$929,相位SOC复算!$S$9:$S$929,72)</f>
        <v>10.818377142857145</v>
      </c>
      <c r="AP80" s="12">
        <f>相位SOC复算!J175</f>
        <v>158.79750919919016</v>
      </c>
      <c r="AQ80" s="19">
        <f t="shared" si="37"/>
        <v>0</v>
      </c>
      <c r="AR80" s="12">
        <f>IF(ISBLANK(原始输入与口径!M80),"",原始输入与口径!M80)</f>
        <v>5.2473000000000001</v>
      </c>
      <c r="AS80" s="14">
        <f>IF(ISBLANK(原始输入与口径!L80),"",原始输入与口径!L80)</f>
        <v>46234</v>
      </c>
      <c r="AT80" s="13">
        <f>IF(ISBLANK(原始输入与口径!A80),"",原始输入与口径!A80)</f>
        <v>46235.614583333336</v>
      </c>
      <c r="AU80" s="12" t="str">
        <f>IF(ISBLANK(原始输入与口径!I80),"",原始输入与口径!I80)</f>
        <v>2026-08-01_68</v>
      </c>
      <c r="AV80" s="12">
        <f>IF(ISBLANK(原始输入与口径!J80),"",原始输入与口径!J80)</f>
        <v>15</v>
      </c>
      <c r="AW80" s="12" t="str">
        <f>IF(ISBLANK(原始输入与口径!BB80),"",原始输入与口径!BB80)</f>
        <v>OK</v>
      </c>
      <c r="AX80" s="12">
        <f>原始输入与口径!CI80</f>
        <v>128</v>
      </c>
      <c r="AY80" s="12">
        <f>原始输入与口径!BS80</f>
        <v>175</v>
      </c>
      <c r="AZ80" s="12">
        <f>原始输入与口径!BI80</f>
        <v>175</v>
      </c>
      <c r="BA80" s="12">
        <f>原始输入与口径!CM80</f>
        <v>40</v>
      </c>
      <c r="BB80" s="12">
        <f>原始输入与口径!BV80</f>
        <v>24</v>
      </c>
      <c r="BC80" s="12">
        <f>原始输入与口径!BL80</f>
        <v>24</v>
      </c>
      <c r="BD80" s="14">
        <f>46235</f>
        <v>46235</v>
      </c>
      <c r="BE80" s="1" t="str">
        <f t="shared" si="38"/>
        <v>36.000000 MW × 153.390000 × 0.250000 h = 1380.510000 EUR</v>
      </c>
      <c r="BF80" s="1" t="str">
        <f t="shared" si="39"/>
        <v>40.000000 MW × 66.224535 × 0.250000 h = 662.245345 EUR</v>
      </c>
      <c r="BG80" s="1" t="str">
        <f t="shared" si="40"/>
        <v>24.000000 MW × 5.650525 × 0.250000 h = 33.903150 EUR</v>
      </c>
      <c r="BH80" s="1" t="str">
        <f t="shared" si="41"/>
        <v>21.000000 MW × 3.007261 × 0.250000 h = 15.788120 EUR</v>
      </c>
      <c r="BI80" s="1" t="str">
        <f t="shared" si="42"/>
        <v>1.818377 MWh × 186.648562 = 339.397479 EUR</v>
      </c>
      <c r="BJ80" s="1" t="str">
        <f t="shared" si="43"/>
        <v>零下调激活电量</v>
      </c>
      <c r="BK80" s="1" t="str">
        <f t="shared" si="44"/>
        <v>1380.510000 + 662.245345 + 33.903150 + 15.788120 + 339.397479 + 0.000000 = 2431.844094 EUR</v>
      </c>
    </row>
    <row r="81" spans="1:63" ht="21" customHeight="1" x14ac:dyDescent="0.45">
      <c r="A81" s="13">
        <f>原始输入与口径!C81</f>
        <v>46235.75</v>
      </c>
      <c r="B81" s="15">
        <f>IF(ISNUMBER(原始输入与口径!H81),原始输入与口径!H81,"缺失")</f>
        <v>105.85</v>
      </c>
      <c r="C81" s="15">
        <f>IF(ISNUMBER(原始输入与口径!R81),原始输入与口径!R81,"缺失")</f>
        <v>66.224534522516336</v>
      </c>
      <c r="D81" s="15">
        <f>IF(ISNUMBER(原始输入与口径!W81),原始输入与口径!W81,"缺失")</f>
        <v>7.1274750824233415</v>
      </c>
      <c r="E81" s="15">
        <f>IF(ISNUMBER(原始输入与口径!AB81),原始输入与口径!AB81,"缺失")</f>
        <v>2.5937148628818627</v>
      </c>
      <c r="F81" s="15">
        <f>IF(ISNUMBER(原始输入与口径!AG81),原始输入与口径!AG81,"缺失")</f>
        <v>208.17144055037829</v>
      </c>
      <c r="G81" s="15">
        <f>IF(ISNUMBER(原始输入与口径!AJ81),原始输入与口径!AJ81,"缺失")</f>
        <v>9.0505593352771907</v>
      </c>
      <c r="H81" s="15" t="str">
        <f t="shared" si="23"/>
        <v>未模拟</v>
      </c>
      <c r="I81" s="16">
        <f>原始输入与口径!CD81</f>
        <v>158.79750919919013</v>
      </c>
      <c r="J81" s="16">
        <f>原始输入与口径!CE81</f>
        <v>169.29358417061871</v>
      </c>
      <c r="K81" s="16">
        <f>原始输入与口径!BZ81</f>
        <v>-36</v>
      </c>
      <c r="L81" s="16">
        <f>原始输入与口径!CK81</f>
        <v>40</v>
      </c>
      <c r="M81" s="16">
        <f>原始输入与口径!BT81</f>
        <v>24</v>
      </c>
      <c r="N81" s="16">
        <f>原始输入与口径!BJ81</f>
        <v>24</v>
      </c>
      <c r="O81" s="16">
        <f t="shared" si="24"/>
        <v>0.14166857142857142</v>
      </c>
      <c r="P81" s="16">
        <f t="shared" si="25"/>
        <v>2.5504457142857144</v>
      </c>
      <c r="Q81" s="17">
        <f t="shared" si="26"/>
        <v>-952.65</v>
      </c>
      <c r="R81" s="17">
        <f t="shared" si="27"/>
        <v>662.24534522516342</v>
      </c>
      <c r="S81" s="17">
        <f t="shared" si="28"/>
        <v>42.764850494540049</v>
      </c>
      <c r="T81" s="17">
        <f t="shared" si="29"/>
        <v>15.562289177291177</v>
      </c>
      <c r="U81" s="17">
        <f t="shared" si="30"/>
        <v>29.491350594999876</v>
      </c>
      <c r="V81" s="17">
        <f t="shared" si="31"/>
        <v>-23.082960268546277</v>
      </c>
      <c r="W81" s="17">
        <f t="shared" si="32"/>
        <v>-225.66912477655174</v>
      </c>
      <c r="X81" s="12">
        <f>原始输入与口径!CP81</f>
        <v>-225.66912477655174</v>
      </c>
      <c r="Y81" s="19">
        <f t="shared" si="33"/>
        <v>0</v>
      </c>
      <c r="Z81" s="12" t="str">
        <f t="shared" si="34"/>
        <v>当日执行</v>
      </c>
      <c r="AA81" s="12">
        <f>IF(原始输入与口径!AW81,1,0)</f>
        <v>1</v>
      </c>
      <c r="AB81" s="12">
        <f>IF(原始输入与口径!AY81,1,0)</f>
        <v>1</v>
      </c>
      <c r="AC81" s="12">
        <f>原始输入与口径!$F$5</f>
        <v>0.25</v>
      </c>
      <c r="AD81" s="18">
        <f>原始输入与口径!CG81</f>
        <v>0.3125</v>
      </c>
      <c r="AE81" s="18">
        <f>原始输入与口径!BQ81</f>
        <v>0.13714285714285715</v>
      </c>
      <c r="AF81" s="18">
        <f t="shared" si="35"/>
        <v>2.3611428571428568E-2</v>
      </c>
      <c r="AG81" s="18">
        <f t="shared" si="36"/>
        <v>0.42507428571428574</v>
      </c>
      <c r="AH81" s="12">
        <f>IF(ISNUMBER(原始输入与口径!T81),原始输入与口径!T81,"缺失")</f>
        <v>175</v>
      </c>
      <c r="AI81" s="12">
        <f>IF(ISNUMBER(原始输入与口径!Y81),原始输入与口径!Y81,"缺失")</f>
        <v>175</v>
      </c>
      <c r="AJ81" s="12">
        <f>IF(ISNUMBER(原始输入与口径!AI81),原始输入与口径!AI81,"缺失")</f>
        <v>1.0329999999999999</v>
      </c>
      <c r="AK81" s="12">
        <f>IF(ISNUMBER(原始输入与口径!AL81),原始输入与口径!AL81,"缺失")</f>
        <v>18.597000000000001</v>
      </c>
      <c r="AL81" s="12">
        <f>IF(ISNUMBER(原始输入与口径!O81),原始输入与口径!O81,"缺失")</f>
        <v>128</v>
      </c>
      <c r="AM81" s="12">
        <f>SUMIFS(相位SOC复算!$N$9:$N$929,相位SOC复算!$S$9:$S$929,73)</f>
        <v>2.915576380952381E-2</v>
      </c>
      <c r="AN81" s="12">
        <f>SUMIFS(相位SOC复算!$Q$9:$Q$929,相位SOC复算!$S$9:$S$929,73)</f>
        <v>11.408777142857144</v>
      </c>
      <c r="AO81" s="12">
        <f>SUMIFS(相位SOC复算!$R$9:$R$929,相位SOC复算!$S$9:$S$929,73)</f>
        <v>0</v>
      </c>
      <c r="AP81" s="12">
        <f>相位SOC复算!J178</f>
        <v>169.29358417061874</v>
      </c>
      <c r="AQ81" s="19">
        <f t="shared" si="37"/>
        <v>0</v>
      </c>
      <c r="AR81" s="12">
        <f>IF(ISBLANK(原始输入与口径!M81),"",原始输入与口径!M81)</f>
        <v>5.2473000000000001</v>
      </c>
      <c r="AS81" s="14">
        <f>IF(ISBLANK(原始输入与口径!L81),"",原始输入与口径!L81)</f>
        <v>46234</v>
      </c>
      <c r="AT81" s="13">
        <f>IF(ISBLANK(原始输入与口径!A81),"",原始输入与口径!A81)</f>
        <v>46235.625</v>
      </c>
      <c r="AU81" s="12" t="str">
        <f>IF(ISBLANK(原始输入与口径!I81),"",原始输入与口径!I81)</f>
        <v>2026-08-01_69</v>
      </c>
      <c r="AV81" s="12">
        <f>IF(ISBLANK(原始输入与口径!J81),"",原始输入与口径!J81)</f>
        <v>15</v>
      </c>
      <c r="AW81" s="12" t="str">
        <f>IF(ISBLANK(原始输入与口径!BB81),"",原始输入与口径!BB81)</f>
        <v>OK</v>
      </c>
      <c r="AX81" s="12">
        <f>原始输入与口径!CI81</f>
        <v>128</v>
      </c>
      <c r="AY81" s="12">
        <f>原始输入与口径!BS81</f>
        <v>175</v>
      </c>
      <c r="AZ81" s="12">
        <f>原始输入与口径!BI81</f>
        <v>175</v>
      </c>
      <c r="BA81" s="12">
        <f>原始输入与口径!CM81</f>
        <v>40</v>
      </c>
      <c r="BB81" s="12">
        <f>原始输入与口径!BV81</f>
        <v>24</v>
      </c>
      <c r="BC81" s="12">
        <f>原始输入与口径!BL81</f>
        <v>24</v>
      </c>
      <c r="BD81" s="14">
        <f>46235</f>
        <v>46235</v>
      </c>
      <c r="BE81" s="1" t="str">
        <f t="shared" si="38"/>
        <v>-36.000000 MW × 105.850000 × 0.250000 h = -952.650000 EUR</v>
      </c>
      <c r="BF81" s="1" t="str">
        <f t="shared" si="39"/>
        <v>40.000000 MW × 66.224535 × 0.250000 h = 662.245345 EUR</v>
      </c>
      <c r="BG81" s="1" t="str">
        <f t="shared" si="40"/>
        <v>24.000000 MW × 7.127475 × 0.250000 h = 42.764850 EUR</v>
      </c>
      <c r="BH81" s="1" t="str">
        <f t="shared" si="41"/>
        <v>24.000000 MW × 2.593715 × 0.250000 h = 15.562289 EUR</v>
      </c>
      <c r="BI81" s="1" t="str">
        <f t="shared" si="42"/>
        <v>0.141669 MWh × 208.171441 = 29.491351 EUR</v>
      </c>
      <c r="BJ81" s="1" t="str">
        <f t="shared" si="43"/>
        <v>−(2.550446 MWh × 9.050559) = -23.082960 EUR</v>
      </c>
      <c r="BK81" s="1" t="str">
        <f t="shared" si="44"/>
        <v>-952.650000 + 662.245345 + 42.764850 + 15.562289 + 29.491351 + -23.082960 = -225.669125 EUR</v>
      </c>
    </row>
    <row r="82" spans="1:63" ht="21" customHeight="1" x14ac:dyDescent="0.45">
      <c r="A82" s="13">
        <f>原始输入与口径!C82</f>
        <v>46235.760416666664</v>
      </c>
      <c r="B82" s="15">
        <f>IF(ISNUMBER(原始输入与口径!H82),原始输入与口径!H82,"缺失")</f>
        <v>130.5</v>
      </c>
      <c r="C82" s="15">
        <f>IF(ISNUMBER(原始输入与口径!R82),原始输入与口径!R82,"缺失")</f>
        <v>66.224534522516336</v>
      </c>
      <c r="D82" s="15">
        <f>IF(ISNUMBER(原始输入与口径!W82),原始输入与口径!W82,"缺失")</f>
        <v>7.1274750824233415</v>
      </c>
      <c r="E82" s="15">
        <f>IF(ISNUMBER(原始输入与口径!AB82),原始输入与口径!AB82,"缺失")</f>
        <v>2.5937148628818627</v>
      </c>
      <c r="F82" s="15">
        <f>IF(ISNUMBER(原始输入与口径!AG82),原始输入与口径!AG82,"缺失")</f>
        <v>0</v>
      </c>
      <c r="G82" s="15">
        <f>IF(ISNUMBER(原始输入与口径!AJ82),原始输入与口径!AJ82,"缺失")</f>
        <v>50.190764774264856</v>
      </c>
      <c r="H82" s="15" t="str">
        <f t="shared" si="23"/>
        <v>未模拟</v>
      </c>
      <c r="I82" s="16">
        <f>原始输入与口径!CD82</f>
        <v>169.29358417061871</v>
      </c>
      <c r="J82" s="16">
        <f>原始输入与口径!CE82</f>
        <v>170.27860451347587</v>
      </c>
      <c r="K82" s="16">
        <f>原始输入与口径!BZ82</f>
        <v>0</v>
      </c>
      <c r="L82" s="16">
        <f>原始输入与口径!CK82</f>
        <v>40</v>
      </c>
      <c r="M82" s="16">
        <f>原始输入与口径!BT82</f>
        <v>24</v>
      </c>
      <c r="N82" s="16">
        <f>原始输入与口径!BJ82</f>
        <v>24</v>
      </c>
      <c r="O82" s="16">
        <f t="shared" si="24"/>
        <v>0</v>
      </c>
      <c r="P82" s="16">
        <f t="shared" si="25"/>
        <v>1.0706742857142857</v>
      </c>
      <c r="Q82" s="17">
        <f t="shared" si="26"/>
        <v>0</v>
      </c>
      <c r="R82" s="17">
        <f t="shared" si="27"/>
        <v>662.24534522516342</v>
      </c>
      <c r="S82" s="17">
        <f t="shared" si="28"/>
        <v>42.764850494540049</v>
      </c>
      <c r="T82" s="17">
        <f t="shared" si="29"/>
        <v>15.562289177291177</v>
      </c>
      <c r="U82" s="17">
        <f t="shared" si="30"/>
        <v>0</v>
      </c>
      <c r="V82" s="17">
        <f t="shared" si="31"/>
        <v>-53.73796122413976</v>
      </c>
      <c r="W82" s="17">
        <f t="shared" si="32"/>
        <v>666.83452367285486</v>
      </c>
      <c r="X82" s="12">
        <f>原始输入与口径!CP82</f>
        <v>666.83452367285486</v>
      </c>
      <c r="Y82" s="19">
        <f t="shared" si="33"/>
        <v>0</v>
      </c>
      <c r="Z82" s="12" t="str">
        <f t="shared" si="34"/>
        <v>当日执行</v>
      </c>
      <c r="AA82" s="12">
        <f>IF(原始输入与口径!AW82,1,0)</f>
        <v>1</v>
      </c>
      <c r="AB82" s="12">
        <f>IF(原始输入与口径!AY82,1,0)</f>
        <v>1</v>
      </c>
      <c r="AC82" s="12">
        <f>原始输入与口径!$F$5</f>
        <v>0.25</v>
      </c>
      <c r="AD82" s="18">
        <f>原始输入与口径!CG82</f>
        <v>0.3125</v>
      </c>
      <c r="AE82" s="18">
        <f>原始输入与口径!BQ82</f>
        <v>0.13714285714285715</v>
      </c>
      <c r="AF82" s="18">
        <f t="shared" si="35"/>
        <v>0</v>
      </c>
      <c r="AG82" s="18">
        <f t="shared" si="36"/>
        <v>0.17844571428571429</v>
      </c>
      <c r="AH82" s="12">
        <f>IF(ISNUMBER(原始输入与口径!T82),原始输入与口径!T82,"缺失")</f>
        <v>175</v>
      </c>
      <c r="AI82" s="12">
        <f>IF(ISNUMBER(原始输入与口径!Y82),原始输入与口径!Y82,"缺失")</f>
        <v>175</v>
      </c>
      <c r="AJ82" s="12">
        <f>IF(ISNUMBER(原始输入与口径!AI82),原始输入与口径!AI82,"缺失")</f>
        <v>0</v>
      </c>
      <c r="AK82" s="12">
        <f>IF(ISNUMBER(原始输入与口径!AL82),原始输入与口径!AL82,"缺失")</f>
        <v>7.8070000000000004</v>
      </c>
      <c r="AL82" s="12">
        <f>IF(ISNUMBER(原始输入与口径!O82),原始输入与口径!O82,"缺失")</f>
        <v>128</v>
      </c>
      <c r="AM82" s="12">
        <f>SUMIFS(相位SOC复算!$N$9:$N$929,相位SOC复算!$S$9:$S$929,74)</f>
        <v>2.7361676190476194E-3</v>
      </c>
      <c r="AN82" s="12">
        <f>SUMIFS(相位SOC复算!$Q$9:$Q$929,相位SOC复算!$S$9:$S$929,74)</f>
        <v>1.0706742857142857</v>
      </c>
      <c r="AO82" s="12">
        <f>SUMIFS(相位SOC复算!$R$9:$R$929,相位SOC复算!$S$9:$S$929,74)</f>
        <v>0</v>
      </c>
      <c r="AP82" s="12">
        <f>相位SOC复算!J180</f>
        <v>170.2786045134759</v>
      </c>
      <c r="AQ82" s="19">
        <f t="shared" si="37"/>
        <v>0</v>
      </c>
      <c r="AR82" s="12">
        <f>IF(ISBLANK(原始输入与口径!M82),"",原始输入与口径!M82)</f>
        <v>5.2473000000000001</v>
      </c>
      <c r="AS82" s="14">
        <f>IF(ISBLANK(原始输入与口径!L82),"",原始输入与口径!L82)</f>
        <v>46234</v>
      </c>
      <c r="AT82" s="13">
        <f>IF(ISBLANK(原始输入与口径!A82),"",原始输入与口径!A82)</f>
        <v>46235.635416666664</v>
      </c>
      <c r="AU82" s="12" t="str">
        <f>IF(ISBLANK(原始输入与口径!I82),"",原始输入与口径!I82)</f>
        <v>2026-08-01_70</v>
      </c>
      <c r="AV82" s="12">
        <f>IF(ISBLANK(原始输入与口径!J82),"",原始输入与口径!J82)</f>
        <v>15</v>
      </c>
      <c r="AW82" s="12" t="str">
        <f>IF(ISBLANK(原始输入与口径!BB82),"",原始输入与口径!BB82)</f>
        <v>OK</v>
      </c>
      <c r="AX82" s="12">
        <f>原始输入与口径!CI82</f>
        <v>128</v>
      </c>
      <c r="AY82" s="12">
        <f>原始输入与口径!BS82</f>
        <v>175</v>
      </c>
      <c r="AZ82" s="12">
        <f>原始输入与口径!BI82</f>
        <v>175</v>
      </c>
      <c r="BA82" s="12">
        <f>原始输入与口径!CM82</f>
        <v>40</v>
      </c>
      <c r="BB82" s="12">
        <f>原始输入与口径!BV82</f>
        <v>24</v>
      </c>
      <c r="BC82" s="12">
        <f>原始输入与口径!BL82</f>
        <v>24</v>
      </c>
      <c r="BD82" s="14">
        <f>46235</f>
        <v>46235</v>
      </c>
      <c r="BE82" s="1" t="str">
        <f t="shared" si="38"/>
        <v>零头寸，无结算现金</v>
      </c>
      <c r="BF82" s="1" t="str">
        <f t="shared" si="39"/>
        <v>40.000000 MW × 66.224535 × 0.250000 h = 662.245345 EUR</v>
      </c>
      <c r="BG82" s="1" t="str">
        <f t="shared" si="40"/>
        <v>24.000000 MW × 7.127475 × 0.250000 h = 42.764850 EUR</v>
      </c>
      <c r="BH82" s="1" t="str">
        <f t="shared" si="41"/>
        <v>24.000000 MW × 2.593715 × 0.250000 h = 15.562289 EUR</v>
      </c>
      <c r="BI82" s="1" t="str">
        <f t="shared" si="42"/>
        <v>零上调激活电量</v>
      </c>
      <c r="BJ82" s="1" t="str">
        <f t="shared" si="43"/>
        <v>−(1.070674 MWh × 50.190765) = -53.737961 EUR</v>
      </c>
      <c r="BK82" s="1" t="str">
        <f t="shared" si="44"/>
        <v>0.000000 + 662.245345 + 42.764850 + 15.562289 + 0.000000 + -53.737961 = 666.834524 EUR</v>
      </c>
    </row>
    <row r="83" spans="1:63" ht="21" customHeight="1" x14ac:dyDescent="0.45">
      <c r="A83" s="13">
        <f>原始输入与口径!C83</f>
        <v>46235.770833333336</v>
      </c>
      <c r="B83" s="15">
        <f>IF(ISNUMBER(原始输入与口径!H83),原始输入与口径!H83,"缺失")</f>
        <v>166.54</v>
      </c>
      <c r="C83" s="15">
        <f>IF(ISNUMBER(原始输入与口径!R83),原始输入与口径!R83,"缺失")</f>
        <v>66.224534522516336</v>
      </c>
      <c r="D83" s="15">
        <f>IF(ISNUMBER(原始输入与口径!W83),原始输入与口径!W83,"缺失")</f>
        <v>7.1274750824233415</v>
      </c>
      <c r="E83" s="15">
        <f>IF(ISNUMBER(原始输入与口径!AB83),原始输入与口径!AB83,"缺失")</f>
        <v>2.5937148628818627</v>
      </c>
      <c r="F83" s="15">
        <f>IF(ISNUMBER(原始输入与口径!AG83),原始输入与口径!AG83,"缺失")</f>
        <v>0</v>
      </c>
      <c r="G83" s="15">
        <f>IF(ISNUMBER(原始输入与口径!AJ83),原始输入与口径!AJ83,"缺失")</f>
        <v>41.101709450574582</v>
      </c>
      <c r="H83" s="15" t="str">
        <f t="shared" si="23"/>
        <v>未模拟</v>
      </c>
      <c r="I83" s="16">
        <f>原始输入与口径!CD83</f>
        <v>170.27860451347587</v>
      </c>
      <c r="J83" s="16">
        <f>原始输入与口径!CE83</f>
        <v>171.51483428571444</v>
      </c>
      <c r="K83" s="16">
        <f>原始输入与口径!BZ83</f>
        <v>0.4143377753602967</v>
      </c>
      <c r="L83" s="16">
        <f>原始输入与口径!CK83</f>
        <v>40</v>
      </c>
      <c r="M83" s="16">
        <f>原始输入与口径!BT83</f>
        <v>24</v>
      </c>
      <c r="N83" s="16">
        <f>原始输入与口径!BJ83</f>
        <v>24</v>
      </c>
      <c r="O83" s="16">
        <f t="shared" si="24"/>
        <v>0</v>
      </c>
      <c r="P83" s="16">
        <f t="shared" si="25"/>
        <v>1.4615314285714285</v>
      </c>
      <c r="Q83" s="17">
        <f t="shared" si="26"/>
        <v>17.250953277125952</v>
      </c>
      <c r="R83" s="17">
        <f t="shared" si="27"/>
        <v>662.24534522516342</v>
      </c>
      <c r="S83" s="17">
        <f t="shared" si="28"/>
        <v>42.764850494540049</v>
      </c>
      <c r="T83" s="17">
        <f t="shared" si="29"/>
        <v>15.562289177291177</v>
      </c>
      <c r="U83" s="17">
        <f t="shared" si="30"/>
        <v>0</v>
      </c>
      <c r="V83" s="17">
        <f t="shared" si="31"/>
        <v>-60.071440130026055</v>
      </c>
      <c r="W83" s="17">
        <f t="shared" si="32"/>
        <v>677.75199804409453</v>
      </c>
      <c r="X83" s="12">
        <f>原始输入与口径!CP83</f>
        <v>677.75199804409453</v>
      </c>
      <c r="Y83" s="19">
        <f t="shared" si="33"/>
        <v>0</v>
      </c>
      <c r="Z83" s="12" t="str">
        <f t="shared" si="34"/>
        <v>当日执行</v>
      </c>
      <c r="AA83" s="12">
        <f>IF(原始输入与口径!AW83,1,0)</f>
        <v>1</v>
      </c>
      <c r="AB83" s="12">
        <f>IF(原始输入与口径!AY83,1,0)</f>
        <v>1</v>
      </c>
      <c r="AC83" s="12">
        <f>原始输入与口径!$F$5</f>
        <v>0.25</v>
      </c>
      <c r="AD83" s="18">
        <f>原始输入与口径!CG83</f>
        <v>0.3125</v>
      </c>
      <c r="AE83" s="18">
        <f>原始输入与口径!BQ83</f>
        <v>0.13714285714285715</v>
      </c>
      <c r="AF83" s="18">
        <f t="shared" si="35"/>
        <v>0</v>
      </c>
      <c r="AG83" s="18">
        <f t="shared" si="36"/>
        <v>0.24358857142857143</v>
      </c>
      <c r="AH83" s="12">
        <f>IF(ISNUMBER(原始输入与口径!T83),原始输入与口径!T83,"缺失")</f>
        <v>175</v>
      </c>
      <c r="AI83" s="12">
        <f>IF(ISNUMBER(原始输入与口径!Y83),原始输入与口径!Y83,"缺失")</f>
        <v>175</v>
      </c>
      <c r="AJ83" s="12">
        <f>IF(ISNUMBER(原始输入与口径!AI83),原始输入与口径!AI83,"缺失")</f>
        <v>0</v>
      </c>
      <c r="AK83" s="12">
        <f>IF(ISNUMBER(原始输入与口径!AL83),原始输入与口径!AL83,"缺失")</f>
        <v>10.657</v>
      </c>
      <c r="AL83" s="12">
        <f>IF(ISNUMBER(原始输入与口径!O83),原始输入与口径!O83,"缺失")</f>
        <v>128</v>
      </c>
      <c r="AM83" s="12">
        <f>SUMIFS(相位SOC复算!$N$9:$N$929,相位SOC复算!$S$9:$S$929,75)</f>
        <v>3.90711444669436E-3</v>
      </c>
      <c r="AN83" s="12">
        <f>SUMIFS(相位SOC复算!$Q$9:$Q$929,相位SOC复算!$S$9:$S$929,75)</f>
        <v>1.4362994418742017</v>
      </c>
      <c r="AO83" s="12">
        <f>SUMIFS(相位SOC复算!$R$9:$R$929,相位SOC复算!$S$9:$S$929,75)</f>
        <v>7.8352457142847415E-2</v>
      </c>
      <c r="AP83" s="12">
        <f>相位SOC复算!J182</f>
        <v>171.51483428571447</v>
      </c>
      <c r="AQ83" s="19">
        <f t="shared" si="37"/>
        <v>0</v>
      </c>
      <c r="AR83" s="12">
        <f>IF(ISBLANK(原始输入与口径!M83),"",原始输入与口径!M83)</f>
        <v>5.2473000000000001</v>
      </c>
      <c r="AS83" s="14">
        <f>IF(ISBLANK(原始输入与口径!L83),"",原始输入与口径!L83)</f>
        <v>46234</v>
      </c>
      <c r="AT83" s="13">
        <f>IF(ISBLANK(原始输入与口径!A83),"",原始输入与口径!A83)</f>
        <v>46235.645833333336</v>
      </c>
      <c r="AU83" s="12" t="str">
        <f>IF(ISBLANK(原始输入与口径!I83),"",原始输入与口径!I83)</f>
        <v>2026-08-01_71</v>
      </c>
      <c r="AV83" s="12">
        <f>IF(ISBLANK(原始输入与口径!J83),"",原始输入与口径!J83)</f>
        <v>15</v>
      </c>
      <c r="AW83" s="12" t="str">
        <f>IF(ISBLANK(原始输入与口径!BB83),"",原始输入与口径!BB83)</f>
        <v>OK</v>
      </c>
      <c r="AX83" s="12">
        <f>原始输入与口径!CI83</f>
        <v>128</v>
      </c>
      <c r="AY83" s="12">
        <f>原始输入与口径!BS83</f>
        <v>175</v>
      </c>
      <c r="AZ83" s="12">
        <f>原始输入与口径!BI83</f>
        <v>175</v>
      </c>
      <c r="BA83" s="12">
        <f>原始输入与口径!CM83</f>
        <v>40</v>
      </c>
      <c r="BB83" s="12">
        <f>原始输入与口径!BV83</f>
        <v>24</v>
      </c>
      <c r="BC83" s="12">
        <f>原始输入与口径!BL83</f>
        <v>24</v>
      </c>
      <c r="BD83" s="14">
        <f>46235</f>
        <v>46235</v>
      </c>
      <c r="BE83" s="1" t="str">
        <f t="shared" si="38"/>
        <v>0.414338 MW × 166.540000 × 0.250000 h = 17.250953 EUR</v>
      </c>
      <c r="BF83" s="1" t="str">
        <f t="shared" si="39"/>
        <v>40.000000 MW × 66.224535 × 0.250000 h = 662.245345 EUR</v>
      </c>
      <c r="BG83" s="1" t="str">
        <f t="shared" si="40"/>
        <v>24.000000 MW × 7.127475 × 0.250000 h = 42.764850 EUR</v>
      </c>
      <c r="BH83" s="1" t="str">
        <f t="shared" si="41"/>
        <v>24.000000 MW × 2.593715 × 0.250000 h = 15.562289 EUR</v>
      </c>
      <c r="BI83" s="1" t="str">
        <f t="shared" si="42"/>
        <v>零上调激活电量</v>
      </c>
      <c r="BJ83" s="1" t="str">
        <f t="shared" si="43"/>
        <v>−(1.461531 MWh × 41.101709) = -60.071440 EUR</v>
      </c>
      <c r="BK83" s="1" t="str">
        <f t="shared" si="44"/>
        <v>17.250953 + 662.245345 + 42.764850 + 15.562289 + 0.000000 + -60.071440 = 677.751998 EUR</v>
      </c>
    </row>
    <row r="84" spans="1:63" ht="21" customHeight="1" x14ac:dyDescent="0.45">
      <c r="A84" s="13">
        <f>原始输入与口径!C84</f>
        <v>46235.78125</v>
      </c>
      <c r="B84" s="15">
        <f>IF(ISNUMBER(原始输入与口径!H84),原始输入与口径!H84,"缺失")</f>
        <v>179.42</v>
      </c>
      <c r="C84" s="15">
        <f>IF(ISNUMBER(原始输入与口径!R84),原始输入与口径!R84,"缺失")</f>
        <v>66.224534522516336</v>
      </c>
      <c r="D84" s="15">
        <f>IF(ISNUMBER(原始输入与口径!W84),原始输入与口径!W84,"缺失")</f>
        <v>7.1274750824233415</v>
      </c>
      <c r="E84" s="15">
        <f>IF(ISNUMBER(原始输入与口径!AB84),原始输入与口径!AB84,"缺失")</f>
        <v>2.5937148628818627</v>
      </c>
      <c r="F84" s="15">
        <f>IF(ISNUMBER(原始输入与口径!AG84),原始输入与口径!AG84,"缺失")</f>
        <v>205.5828711908982</v>
      </c>
      <c r="G84" s="15">
        <f>IF(ISNUMBER(原始输入与口径!AJ84),原始输入与口径!AJ84,"缺失")</f>
        <v>67.481371371943666</v>
      </c>
      <c r="H84" s="15" t="str">
        <f t="shared" si="23"/>
        <v>未模拟</v>
      </c>
      <c r="I84" s="16">
        <f>原始输入与口径!CD84</f>
        <v>171.51483428571444</v>
      </c>
      <c r="J84" s="16">
        <f>原始输入与口径!CE84</f>
        <v>171.10718012422376</v>
      </c>
      <c r="K84" s="16">
        <f>原始输入与口径!BZ84</f>
        <v>0</v>
      </c>
      <c r="L84" s="16">
        <f>原始输入与口径!CK84</f>
        <v>40</v>
      </c>
      <c r="M84" s="16">
        <f>原始输入与口径!BT84</f>
        <v>24</v>
      </c>
      <c r="N84" s="16">
        <f>原始输入与口径!BJ84</f>
        <v>24</v>
      </c>
      <c r="O84" s="16">
        <f t="shared" si="24"/>
        <v>0.45339428571428575</v>
      </c>
      <c r="P84" s="16">
        <f t="shared" si="25"/>
        <v>9.2571428571428582E-2</v>
      </c>
      <c r="Q84" s="17">
        <f t="shared" si="26"/>
        <v>0</v>
      </c>
      <c r="R84" s="17">
        <f t="shared" si="27"/>
        <v>662.24534522516342</v>
      </c>
      <c r="S84" s="17">
        <f t="shared" si="28"/>
        <v>42.764850494540049</v>
      </c>
      <c r="T84" s="17">
        <f t="shared" si="29"/>
        <v>15.562289177291177</v>
      </c>
      <c r="U84" s="17">
        <f t="shared" si="30"/>
        <v>93.210099038689307</v>
      </c>
      <c r="V84" s="17">
        <f t="shared" si="31"/>
        <v>-6.2468469498599291</v>
      </c>
      <c r="W84" s="17">
        <f t="shared" si="32"/>
        <v>807.53573698582409</v>
      </c>
      <c r="X84" s="12">
        <f>原始输入与口径!CP84</f>
        <v>807.53573698582397</v>
      </c>
      <c r="Y84" s="19">
        <f t="shared" si="33"/>
        <v>0</v>
      </c>
      <c r="Z84" s="12" t="str">
        <f t="shared" si="34"/>
        <v>当日执行</v>
      </c>
      <c r="AA84" s="12">
        <f>IF(原始输入与口径!AW84,1,0)</f>
        <v>1</v>
      </c>
      <c r="AB84" s="12">
        <f>IF(原始输入与口径!AY84,1,0)</f>
        <v>1</v>
      </c>
      <c r="AC84" s="12">
        <f>原始输入与口径!$F$5</f>
        <v>0.25</v>
      </c>
      <c r="AD84" s="18">
        <f>原始输入与口径!CG84</f>
        <v>0.3125</v>
      </c>
      <c r="AE84" s="18">
        <f>原始输入与口径!BQ84</f>
        <v>0.13714285714285715</v>
      </c>
      <c r="AF84" s="18">
        <f t="shared" si="35"/>
        <v>7.5565714285714292E-2</v>
      </c>
      <c r="AG84" s="18">
        <f t="shared" si="36"/>
        <v>1.542857142857143E-2</v>
      </c>
      <c r="AH84" s="12">
        <f>IF(ISNUMBER(原始输入与口径!T84),原始输入与口径!T84,"缺失")</f>
        <v>175</v>
      </c>
      <c r="AI84" s="12">
        <f>IF(ISNUMBER(原始输入与口径!Y84),原始输入与口径!Y84,"缺失")</f>
        <v>175</v>
      </c>
      <c r="AJ84" s="12">
        <f>IF(ISNUMBER(原始输入与口径!AI84),原始输入与口径!AI84,"缺失")</f>
        <v>3.306</v>
      </c>
      <c r="AK84" s="12">
        <f>IF(ISNUMBER(原始输入与口径!AL84),原始输入与口径!AL84,"缺失")</f>
        <v>0.67500000000000004</v>
      </c>
      <c r="AL84" s="12">
        <f>IF(ISNUMBER(原始输入与口径!O84),原始输入与口径!O84,"缺失")</f>
        <v>128</v>
      </c>
      <c r="AM84" s="12">
        <f>SUMIFS(相位SOC复算!$N$9:$N$929,相位SOC复算!$S$9:$S$929,76)</f>
        <v>1.6055155279503107E-3</v>
      </c>
      <c r="AN84" s="12">
        <f>SUMIFS(相位SOC复算!$Q$9:$Q$929,相位SOC复算!$S$9:$S$929,76)</f>
        <v>9.2571428571428582E-2</v>
      </c>
      <c r="AO84" s="12">
        <f>SUMIFS(相位SOC复算!$R$9:$R$929,相位SOC复算!$S$9:$S$929,76)</f>
        <v>0.45339428571428575</v>
      </c>
      <c r="AP84" s="12">
        <f>相位SOC复算!J185</f>
        <v>171.10718012422379</v>
      </c>
      <c r="AQ84" s="19">
        <f t="shared" si="37"/>
        <v>0</v>
      </c>
      <c r="AR84" s="12">
        <f>IF(ISBLANK(原始输入与口径!M84),"",原始输入与口径!M84)</f>
        <v>5.2473000000000001</v>
      </c>
      <c r="AS84" s="14">
        <f>IF(ISBLANK(原始输入与口径!L84),"",原始输入与口径!L84)</f>
        <v>46234</v>
      </c>
      <c r="AT84" s="13">
        <f>IF(ISBLANK(原始输入与口径!A84),"",原始输入与口径!A84)</f>
        <v>46235.65625</v>
      </c>
      <c r="AU84" s="12" t="str">
        <f>IF(ISBLANK(原始输入与口径!I84),"",原始输入与口径!I84)</f>
        <v>2026-08-01_72</v>
      </c>
      <c r="AV84" s="12">
        <f>IF(ISBLANK(原始输入与口径!J84),"",原始输入与口径!J84)</f>
        <v>15</v>
      </c>
      <c r="AW84" s="12" t="str">
        <f>IF(ISBLANK(原始输入与口径!BB84),"",原始输入与口径!BB84)</f>
        <v>OK</v>
      </c>
      <c r="AX84" s="12">
        <f>原始输入与口径!CI84</f>
        <v>128</v>
      </c>
      <c r="AY84" s="12">
        <f>原始输入与口径!BS84</f>
        <v>175</v>
      </c>
      <c r="AZ84" s="12">
        <f>原始输入与口径!BI84</f>
        <v>175</v>
      </c>
      <c r="BA84" s="12">
        <f>原始输入与口径!CM84</f>
        <v>40</v>
      </c>
      <c r="BB84" s="12">
        <f>原始输入与口径!BV84</f>
        <v>24</v>
      </c>
      <c r="BC84" s="12">
        <f>原始输入与口径!BL84</f>
        <v>24</v>
      </c>
      <c r="BD84" s="14">
        <f>46235</f>
        <v>46235</v>
      </c>
      <c r="BE84" s="1" t="str">
        <f t="shared" si="38"/>
        <v>零头寸，无结算现金</v>
      </c>
      <c r="BF84" s="1" t="str">
        <f t="shared" si="39"/>
        <v>40.000000 MW × 66.224535 × 0.250000 h = 662.245345 EUR</v>
      </c>
      <c r="BG84" s="1" t="str">
        <f t="shared" si="40"/>
        <v>24.000000 MW × 7.127475 × 0.250000 h = 42.764850 EUR</v>
      </c>
      <c r="BH84" s="1" t="str">
        <f t="shared" si="41"/>
        <v>24.000000 MW × 2.593715 × 0.250000 h = 15.562289 EUR</v>
      </c>
      <c r="BI84" s="1" t="str">
        <f t="shared" si="42"/>
        <v>0.453394 MWh × 205.582871 = 93.210099 EUR</v>
      </c>
      <c r="BJ84" s="1" t="str">
        <f t="shared" si="43"/>
        <v>−(0.092571 MWh × 67.481371) = -6.246847 EUR</v>
      </c>
      <c r="BK84" s="1" t="str">
        <f t="shared" si="44"/>
        <v>0.000000 + 662.245345 + 42.764850 + 15.562289 + 93.210099 + -6.246847 = 807.535737 EUR</v>
      </c>
    </row>
    <row r="85" spans="1:63" ht="21" customHeight="1" x14ac:dyDescent="0.45">
      <c r="A85" s="13">
        <f>原始输入与口径!C85</f>
        <v>46235.791666666664</v>
      </c>
      <c r="B85" s="15">
        <f>IF(ISNUMBER(原始输入与口径!H85),原始输入与口径!H85,"缺失")</f>
        <v>187.32</v>
      </c>
      <c r="C85" s="15">
        <f>IF(ISNUMBER(原始输入与口径!R85),原始输入与口径!R85,"缺失")</f>
        <v>66.224534522516336</v>
      </c>
      <c r="D85" s="15">
        <f>IF(ISNUMBER(原始输入与口径!W85),原始输入与口径!W85,"缺失")</f>
        <v>7.1027004364149189</v>
      </c>
      <c r="E85" s="15">
        <f>IF(ISNUMBER(原始输入与口径!AB85),原始输入与口径!AB85,"缺失")</f>
        <v>2.5937148628818627</v>
      </c>
      <c r="F85" s="15">
        <f>IF(ISNUMBER(原始输入与口径!AG85),原始输入与口径!AG85,"缺失")</f>
        <v>0</v>
      </c>
      <c r="G85" s="15">
        <f>IF(ISNUMBER(原始输入与口径!AJ85),原始输入与口径!AJ85,"缺失")</f>
        <v>11.283707811636461</v>
      </c>
      <c r="H85" s="15" t="str">
        <f t="shared" si="23"/>
        <v>未模拟</v>
      </c>
      <c r="I85" s="16">
        <f>原始输入与口径!CD85</f>
        <v>171.10718012422376</v>
      </c>
      <c r="J85" s="16">
        <f>原始输入与口径!CE85</f>
        <v>166.73008695652189</v>
      </c>
      <c r="K85" s="16">
        <f>原始输入与口径!BZ85</f>
        <v>24</v>
      </c>
      <c r="L85" s="16">
        <f>原始输入与口径!CK85</f>
        <v>40</v>
      </c>
      <c r="M85" s="16">
        <f>原始输入与口径!BT85</f>
        <v>0</v>
      </c>
      <c r="N85" s="16">
        <f>原始输入与口径!BJ85</f>
        <v>24</v>
      </c>
      <c r="O85" s="16">
        <f t="shared" si="24"/>
        <v>0</v>
      </c>
      <c r="P85" s="16">
        <f t="shared" si="25"/>
        <v>1.9730742857142858</v>
      </c>
      <c r="Q85" s="17">
        <f t="shared" si="26"/>
        <v>1123.92</v>
      </c>
      <c r="R85" s="17">
        <f t="shared" si="27"/>
        <v>662.24534522516342</v>
      </c>
      <c r="S85" s="17">
        <f t="shared" si="28"/>
        <v>0</v>
      </c>
      <c r="T85" s="17">
        <f t="shared" si="29"/>
        <v>15.562289177291177</v>
      </c>
      <c r="U85" s="17">
        <f t="shared" si="30"/>
        <v>0</v>
      </c>
      <c r="V85" s="17">
        <f t="shared" si="31"/>
        <v>-22.263593730653316</v>
      </c>
      <c r="W85" s="17">
        <f t="shared" si="32"/>
        <v>1779.4640406718013</v>
      </c>
      <c r="X85" s="12">
        <f>原始输入与口径!CP85</f>
        <v>1779.4640406718013</v>
      </c>
      <c r="Y85" s="19">
        <f t="shared" si="33"/>
        <v>0</v>
      </c>
      <c r="Z85" s="12" t="str">
        <f t="shared" si="34"/>
        <v>当日执行</v>
      </c>
      <c r="AA85" s="12">
        <f>IF(原始输入与口径!AW85,1,0)</f>
        <v>1</v>
      </c>
      <c r="AB85" s="12">
        <f>IF(原始输入与口径!AY85,1,0)</f>
        <v>1</v>
      </c>
      <c r="AC85" s="12">
        <f>原始输入与口径!$F$5</f>
        <v>0.25</v>
      </c>
      <c r="AD85" s="18">
        <f>原始输入与口径!CG85</f>
        <v>0.3125</v>
      </c>
      <c r="AE85" s="18">
        <f>原始输入与口径!BQ85</f>
        <v>0.13714285714285715</v>
      </c>
      <c r="AF85" s="18">
        <f t="shared" si="35"/>
        <v>0</v>
      </c>
      <c r="AG85" s="18">
        <f t="shared" si="36"/>
        <v>0.3288457142857143</v>
      </c>
      <c r="AH85" s="12">
        <f>IF(ISNUMBER(原始输入与口径!T85),原始输入与口径!T85,"缺失")</f>
        <v>175</v>
      </c>
      <c r="AI85" s="12">
        <f>IF(ISNUMBER(原始输入与口径!Y85),原始输入与口径!Y85,"缺失")</f>
        <v>175</v>
      </c>
      <c r="AJ85" s="12">
        <f>IF(ISNUMBER(原始输入与口径!AI85),原始输入与口径!AI85,"缺失")</f>
        <v>0</v>
      </c>
      <c r="AK85" s="12">
        <f>IF(ISNUMBER(原始输入与口径!AL85),原始输入与口径!AL85,"缺失")</f>
        <v>14.387</v>
      </c>
      <c r="AL85" s="12">
        <f>IF(ISNUMBER(原始输入与口径!O85),原始输入与口径!O85,"缺失")</f>
        <v>131.96799999999999</v>
      </c>
      <c r="AM85" s="12">
        <f>SUMIFS(相位SOC复算!$N$9:$N$929,相位SOC复算!$S$9:$S$929,77)</f>
        <v>1.2158592132505176E-2</v>
      </c>
      <c r="AN85" s="12">
        <f>SUMIFS(相位SOC复算!$Q$9:$Q$929,相位SOC复算!$S$9:$S$929,77)</f>
        <v>0</v>
      </c>
      <c r="AO85" s="12">
        <f>SUMIFS(相位SOC复算!$R$9:$R$929,相位SOC复算!$S$9:$S$929,77)</f>
        <v>4.0269257142857144</v>
      </c>
      <c r="AP85" s="12">
        <f>相位SOC复算!J187</f>
        <v>166.73008695652192</v>
      </c>
      <c r="AQ85" s="19">
        <f t="shared" si="37"/>
        <v>0</v>
      </c>
      <c r="AR85" s="12">
        <f>IF(ISBLANK(原始输入与口径!M85),"",原始输入与口径!M85)</f>
        <v>5.2473000000000001</v>
      </c>
      <c r="AS85" s="14">
        <f>IF(ISBLANK(原始输入与口径!L85),"",原始输入与口径!L85)</f>
        <v>46234</v>
      </c>
      <c r="AT85" s="13">
        <f>IF(ISBLANK(原始输入与口径!A85),"",原始输入与口径!A85)</f>
        <v>46235.666666666664</v>
      </c>
      <c r="AU85" s="12" t="str">
        <f>IF(ISBLANK(原始输入与口径!I85),"",原始输入与口径!I85)</f>
        <v>2026-08-01_73</v>
      </c>
      <c r="AV85" s="12">
        <f>IF(ISBLANK(原始输入与口径!J85),"",原始输入与口径!J85)</f>
        <v>15</v>
      </c>
      <c r="AW85" s="12" t="str">
        <f>IF(ISBLANK(原始输入与口径!BB85),"",原始输入与口径!BB85)</f>
        <v>OK</v>
      </c>
      <c r="AX85" s="12">
        <f>原始输入与口径!CI85</f>
        <v>128</v>
      </c>
      <c r="AY85" s="12">
        <f>原始输入与口径!BS85</f>
        <v>175</v>
      </c>
      <c r="AZ85" s="12">
        <f>原始输入与口径!BI85</f>
        <v>175</v>
      </c>
      <c r="BA85" s="12">
        <f>原始输入与口径!CM85</f>
        <v>40</v>
      </c>
      <c r="BB85" s="12">
        <f>原始输入与口径!BV85</f>
        <v>24</v>
      </c>
      <c r="BC85" s="12">
        <f>原始输入与口径!BL85</f>
        <v>24</v>
      </c>
      <c r="BD85" s="14">
        <f>46235</f>
        <v>46235</v>
      </c>
      <c r="BE85" s="1" t="str">
        <f t="shared" si="38"/>
        <v>24.000000 MW × 187.320000 × 0.250000 h = 1123.920000 EUR</v>
      </c>
      <c r="BF85" s="1" t="str">
        <f t="shared" si="39"/>
        <v>40.000000 MW × 66.224535 × 0.250000 h = 662.245345 EUR</v>
      </c>
      <c r="BG85" s="1" t="str">
        <f t="shared" si="40"/>
        <v>零头寸，无结算现金</v>
      </c>
      <c r="BH85" s="1" t="str">
        <f t="shared" si="41"/>
        <v>24.000000 MW × 2.593715 × 0.250000 h = 15.562289 EUR</v>
      </c>
      <c r="BI85" s="1" t="str">
        <f t="shared" si="42"/>
        <v>零上调激活电量</v>
      </c>
      <c r="BJ85" s="1" t="str">
        <f t="shared" si="43"/>
        <v>−(1.973074 MWh × 11.283708) = -22.263594 EUR</v>
      </c>
      <c r="BK85" s="1" t="str">
        <f t="shared" si="44"/>
        <v>1123.920000 + 662.245345 + 0.000000 + 15.562289 + 0.000000 + -22.263594 = 1779.464041 EUR</v>
      </c>
    </row>
    <row r="86" spans="1:63" ht="21" customHeight="1" x14ac:dyDescent="0.45">
      <c r="A86" s="13">
        <f>原始输入与口径!C86</f>
        <v>46235.802083333336</v>
      </c>
      <c r="B86" s="15">
        <f>IF(ISNUMBER(原始输入与口径!H86),原始输入与口径!H86,"缺失")</f>
        <v>194.64</v>
      </c>
      <c r="C86" s="15">
        <f>IF(ISNUMBER(原始输入与口径!R86),原始输入与口径!R86,"缺失")</f>
        <v>66.224534522516336</v>
      </c>
      <c r="D86" s="15">
        <f>IF(ISNUMBER(原始输入与口径!W86),原始输入与口径!W86,"缺失")</f>
        <v>7.1027004364149189</v>
      </c>
      <c r="E86" s="15">
        <f>IF(ISNUMBER(原始输入与口径!AB86),原始输入与口径!AB86,"缺失")</f>
        <v>2.5937148628818627</v>
      </c>
      <c r="F86" s="15">
        <f>IF(ISNUMBER(原始输入与口径!AG86),原始输入与口径!AG86,"缺失")</f>
        <v>189.8326758523431</v>
      </c>
      <c r="G86" s="15">
        <f>IF(ISNUMBER(原始输入与口径!AJ86),原始输入与口径!AJ86,"缺失")</f>
        <v>48.855030206010717</v>
      </c>
      <c r="H86" s="15" t="str">
        <f t="shared" si="23"/>
        <v>未模拟</v>
      </c>
      <c r="I86" s="16">
        <f>原始输入与口径!CD86</f>
        <v>166.73008695652189</v>
      </c>
      <c r="J86" s="16">
        <f>原始输入与口径!CE86</f>
        <v>151.33028571428591</v>
      </c>
      <c r="K86" s="16">
        <f>原始输入与口径!BZ86</f>
        <v>59.999999999999837</v>
      </c>
      <c r="L86" s="16">
        <f>原始输入与口径!CK86</f>
        <v>40</v>
      </c>
      <c r="M86" s="16">
        <f>原始输入与口径!BT86</f>
        <v>0</v>
      </c>
      <c r="N86" s="16">
        <f>原始输入与口径!BJ86</f>
        <v>24</v>
      </c>
      <c r="O86" s="16">
        <f t="shared" si="24"/>
        <v>0</v>
      </c>
      <c r="P86" s="16">
        <f t="shared" si="25"/>
        <v>0.83218285714285711</v>
      </c>
      <c r="Q86" s="17">
        <f t="shared" si="26"/>
        <v>2919.5999999999917</v>
      </c>
      <c r="R86" s="17">
        <f t="shared" si="27"/>
        <v>662.24534522516342</v>
      </c>
      <c r="S86" s="17">
        <f t="shared" si="28"/>
        <v>0</v>
      </c>
      <c r="T86" s="17">
        <f t="shared" si="29"/>
        <v>15.562289177291177</v>
      </c>
      <c r="U86" s="17">
        <f t="shared" si="30"/>
        <v>0</v>
      </c>
      <c r="V86" s="17">
        <f t="shared" si="31"/>
        <v>-40.656318622638587</v>
      </c>
      <c r="W86" s="17">
        <f t="shared" si="32"/>
        <v>3556.7513157798076</v>
      </c>
      <c r="X86" s="12">
        <f>原始输入与口径!CP86</f>
        <v>3556.7513157798076</v>
      </c>
      <c r="Y86" s="19">
        <f t="shared" si="33"/>
        <v>0</v>
      </c>
      <c r="Z86" s="12" t="str">
        <f t="shared" si="34"/>
        <v>当日执行</v>
      </c>
      <c r="AA86" s="12">
        <f>IF(原始输入与口径!AW86,1,0)</f>
        <v>1</v>
      </c>
      <c r="AB86" s="12">
        <f>IF(原始输入与口径!AY86,1,0)</f>
        <v>1</v>
      </c>
      <c r="AC86" s="12">
        <f>原始输入与口径!$F$5</f>
        <v>0.25</v>
      </c>
      <c r="AD86" s="18">
        <f>原始输入与口径!CG86</f>
        <v>0.3125</v>
      </c>
      <c r="AE86" s="18">
        <f>原始输入与口径!BQ86</f>
        <v>0.13714285714285715</v>
      </c>
      <c r="AF86" s="18">
        <f t="shared" si="35"/>
        <v>9.6685714285714274E-3</v>
      </c>
      <c r="AG86" s="18">
        <f t="shared" si="36"/>
        <v>0.13869714285714285</v>
      </c>
      <c r="AH86" s="12">
        <f>IF(ISNUMBER(原始输入与口径!T86),原始输入与口径!T86,"缺失")</f>
        <v>175</v>
      </c>
      <c r="AI86" s="12">
        <f>IF(ISNUMBER(原始输入与口径!Y86),原始输入与口径!Y86,"缺失")</f>
        <v>175</v>
      </c>
      <c r="AJ86" s="12">
        <f>IF(ISNUMBER(原始输入与口径!AI86),原始输入与口径!AI86,"缺失")</f>
        <v>0.42299999999999999</v>
      </c>
      <c r="AK86" s="12">
        <f>IF(ISNUMBER(原始输入与口径!AL86),原始输入与口径!AL86,"缺失")</f>
        <v>6.0679999999999996</v>
      </c>
      <c r="AL86" s="12">
        <f>IF(ISNUMBER(原始输入与口径!O86),原始输入与口径!O86,"缺失")</f>
        <v>131.96799999999999</v>
      </c>
      <c r="AM86" s="12">
        <f>SUMIFS(相位SOC复算!$N$9:$N$929,相位SOC复算!$S$9:$S$929,78)</f>
        <v>4.2777225672877721E-2</v>
      </c>
      <c r="AN86" s="12">
        <f>SUMIFS(相位SOC复算!$Q$9:$Q$929,相位SOC复算!$S$9:$S$929,78)</f>
        <v>0</v>
      </c>
      <c r="AO86" s="12">
        <f>SUMIFS(相位SOC复算!$R$9:$R$929,相位SOC复算!$S$9:$S$929,78)</f>
        <v>14.167817142857102</v>
      </c>
      <c r="AP86" s="12">
        <f>相位SOC复算!J190</f>
        <v>151.33028571428594</v>
      </c>
      <c r="AQ86" s="19">
        <f t="shared" si="37"/>
        <v>0</v>
      </c>
      <c r="AR86" s="12">
        <f>IF(ISBLANK(原始输入与口径!M86),"",原始输入与口径!M86)</f>
        <v>5.2473000000000001</v>
      </c>
      <c r="AS86" s="14">
        <f>IF(ISBLANK(原始输入与口径!L86),"",原始输入与口径!L86)</f>
        <v>46234</v>
      </c>
      <c r="AT86" s="13">
        <f>IF(ISBLANK(原始输入与口径!A86),"",原始输入与口径!A86)</f>
        <v>46235.677083333336</v>
      </c>
      <c r="AU86" s="12" t="str">
        <f>IF(ISBLANK(原始输入与口径!I86),"",原始输入与口径!I86)</f>
        <v>2026-08-01_74</v>
      </c>
      <c r="AV86" s="12">
        <f>IF(ISBLANK(原始输入与口径!J86),"",原始输入与口径!J86)</f>
        <v>15</v>
      </c>
      <c r="AW86" s="12" t="str">
        <f>IF(ISBLANK(原始输入与口径!BB86),"",原始输入与口径!BB86)</f>
        <v>OK</v>
      </c>
      <c r="AX86" s="12">
        <f>原始输入与口径!CI86</f>
        <v>128</v>
      </c>
      <c r="AY86" s="12">
        <f>原始输入与口径!BS86</f>
        <v>175</v>
      </c>
      <c r="AZ86" s="12">
        <f>原始输入与口径!BI86</f>
        <v>175</v>
      </c>
      <c r="BA86" s="12">
        <f>原始输入与口径!CM86</f>
        <v>40</v>
      </c>
      <c r="BB86" s="12">
        <f>原始输入与口径!BV86</f>
        <v>24</v>
      </c>
      <c r="BC86" s="12">
        <f>原始输入与口径!BL86</f>
        <v>24</v>
      </c>
      <c r="BD86" s="14">
        <f>46235</f>
        <v>46235</v>
      </c>
      <c r="BE86" s="1" t="str">
        <f t="shared" si="38"/>
        <v>60.000000 MW × 194.640000 × 0.250000 h = 2919.600000 EUR</v>
      </c>
      <c r="BF86" s="1" t="str">
        <f t="shared" si="39"/>
        <v>40.000000 MW × 66.224535 × 0.250000 h = 662.245345 EUR</v>
      </c>
      <c r="BG86" s="1" t="str">
        <f t="shared" si="40"/>
        <v>零头寸，无结算现金</v>
      </c>
      <c r="BH86" s="1" t="str">
        <f t="shared" si="41"/>
        <v>24.000000 MW × 2.593715 × 0.250000 h = 15.562289 EUR</v>
      </c>
      <c r="BI86" s="1" t="str">
        <f t="shared" si="42"/>
        <v>零上调激活电量</v>
      </c>
      <c r="BJ86" s="1" t="str">
        <f t="shared" si="43"/>
        <v>−(0.832183 MWh × 48.855030) = -40.656319 EUR</v>
      </c>
      <c r="BK86" s="1" t="str">
        <f t="shared" si="44"/>
        <v>2919.600000 + 662.245345 + 0.000000 + 15.562289 + 0.000000 + -40.656319 = 3556.751316 EUR</v>
      </c>
    </row>
    <row r="87" spans="1:63" ht="21" customHeight="1" x14ac:dyDescent="0.45">
      <c r="A87" s="13">
        <f>原始输入与口径!C87</f>
        <v>46235.8125</v>
      </c>
      <c r="B87" s="15">
        <f>IF(ISNUMBER(原始输入与口径!H87),原始输入与口径!H87,"缺失")</f>
        <v>192.96</v>
      </c>
      <c r="C87" s="15">
        <f>IF(ISNUMBER(原始输入与口径!R87),原始输入与口径!R87,"缺失")</f>
        <v>66.224534522516336</v>
      </c>
      <c r="D87" s="15">
        <f>IF(ISNUMBER(原始输入与口径!W87),原始输入与口径!W87,"缺失")</f>
        <v>7.1027004364149189</v>
      </c>
      <c r="E87" s="15">
        <f>IF(ISNUMBER(原始输入与口径!AB87),原始输入与口径!AB87,"缺失")</f>
        <v>2.5937148628818627</v>
      </c>
      <c r="F87" s="15">
        <f>IF(ISNUMBER(原始输入与口径!AG87),原始输入与口径!AG87,"缺失")</f>
        <v>222.2615440321689</v>
      </c>
      <c r="G87" s="15">
        <f>IF(ISNUMBER(原始输入与口径!AJ87),原始输入与口径!AJ87,"缺失")</f>
        <v>76.420254225982887</v>
      </c>
      <c r="H87" s="15" t="str">
        <f t="shared" si="23"/>
        <v>未模拟</v>
      </c>
      <c r="I87" s="16">
        <f>原始输入与口径!CD87</f>
        <v>151.33028571428591</v>
      </c>
      <c r="J87" s="16">
        <f>原始输入与口径!CE87</f>
        <v>151.33041188571448</v>
      </c>
      <c r="K87" s="16">
        <f>原始输入与口径!BZ87</f>
        <v>0</v>
      </c>
      <c r="L87" s="16">
        <f>原始输入与口径!CK87</f>
        <v>40</v>
      </c>
      <c r="M87" s="16">
        <f>原始输入与口径!BT87</f>
        <v>0</v>
      </c>
      <c r="N87" s="16">
        <f>原始输入与口径!BJ87</f>
        <v>24</v>
      </c>
      <c r="O87" s="16">
        <f t="shared" si="24"/>
        <v>0</v>
      </c>
      <c r="P87" s="16">
        <f t="shared" si="25"/>
        <v>1.3714285714285716E-4</v>
      </c>
      <c r="Q87" s="17">
        <f t="shared" si="26"/>
        <v>0</v>
      </c>
      <c r="R87" s="17">
        <f t="shared" si="27"/>
        <v>662.24534522516342</v>
      </c>
      <c r="S87" s="17">
        <f t="shared" si="28"/>
        <v>0</v>
      </c>
      <c r="T87" s="17">
        <f t="shared" si="29"/>
        <v>15.562289177291177</v>
      </c>
      <c r="U87" s="17">
        <f t="shared" si="30"/>
        <v>0</v>
      </c>
      <c r="V87" s="17">
        <f t="shared" si="31"/>
        <v>-1.0480492008134798E-2</v>
      </c>
      <c r="W87" s="17">
        <f t="shared" si="32"/>
        <v>677.79715391044647</v>
      </c>
      <c r="X87" s="12">
        <f>原始输入与口径!CP87</f>
        <v>677.79715391044647</v>
      </c>
      <c r="Y87" s="19">
        <f t="shared" si="33"/>
        <v>0</v>
      </c>
      <c r="Z87" s="12" t="str">
        <f t="shared" si="34"/>
        <v>当日执行</v>
      </c>
      <c r="AA87" s="12">
        <f>IF(原始输入与口径!AW87,1,0)</f>
        <v>1</v>
      </c>
      <c r="AB87" s="12">
        <f>IF(原始输入与口径!AY87,1,0)</f>
        <v>1</v>
      </c>
      <c r="AC87" s="12">
        <f>原始输入与口径!$F$5</f>
        <v>0.25</v>
      </c>
      <c r="AD87" s="18">
        <f>原始输入与口径!CG87</f>
        <v>0.3125</v>
      </c>
      <c r="AE87" s="18">
        <f>原始输入与口径!BQ87</f>
        <v>0.13714285714285715</v>
      </c>
      <c r="AF87" s="18">
        <f t="shared" si="35"/>
        <v>3.9062857142857142E-2</v>
      </c>
      <c r="AG87" s="18">
        <f t="shared" si="36"/>
        <v>2.2857142857142858E-5</v>
      </c>
      <c r="AH87" s="12">
        <f>IF(ISNUMBER(原始输入与口径!T87),原始输入与口径!T87,"缺失")</f>
        <v>175</v>
      </c>
      <c r="AI87" s="12">
        <f>IF(ISNUMBER(原始输入与口径!Y87),原始输入与口径!Y87,"缺失")</f>
        <v>175</v>
      </c>
      <c r="AJ87" s="12">
        <f>IF(ISNUMBER(原始输入与口径!AI87),原始输入与口径!AI87,"缺失")</f>
        <v>1.7090000000000001</v>
      </c>
      <c r="AK87" s="12">
        <f>IF(ISNUMBER(原始输入与口径!AL87),原始输入与口径!AL87,"缺失")</f>
        <v>1E-3</v>
      </c>
      <c r="AL87" s="12">
        <f>IF(ISNUMBER(原始输入与口径!O87),原始输入与口径!O87,"缺失")</f>
        <v>131.96799999999999</v>
      </c>
      <c r="AM87" s="12">
        <f>SUMIFS(相位SOC复算!$N$9:$N$929,相位SOC复算!$S$9:$S$929,79)</f>
        <v>3.5047619047619054E-7</v>
      </c>
      <c r="AN87" s="12">
        <f>SUMIFS(相位SOC复算!$Q$9:$Q$929,相位SOC复算!$S$9:$S$929,79)</f>
        <v>1.3714285714285716E-4</v>
      </c>
      <c r="AO87" s="12">
        <f>SUMIFS(相位SOC复算!$R$9:$R$929,相位SOC复算!$S$9:$S$929,79)</f>
        <v>0</v>
      </c>
      <c r="AP87" s="12">
        <f>相位SOC复算!J193</f>
        <v>151.33041188571451</v>
      </c>
      <c r="AQ87" s="19">
        <f t="shared" si="37"/>
        <v>0</v>
      </c>
      <c r="AR87" s="12">
        <f>IF(ISBLANK(原始输入与口径!M87),"",原始输入与口径!M87)</f>
        <v>5.2473000000000001</v>
      </c>
      <c r="AS87" s="14">
        <f>IF(ISBLANK(原始输入与口径!L87),"",原始输入与口径!L87)</f>
        <v>46234</v>
      </c>
      <c r="AT87" s="13">
        <f>IF(ISBLANK(原始输入与口径!A87),"",原始输入与口径!A87)</f>
        <v>46235.6875</v>
      </c>
      <c r="AU87" s="12" t="str">
        <f>IF(ISBLANK(原始输入与口径!I87),"",原始输入与口径!I87)</f>
        <v>2026-08-01_75</v>
      </c>
      <c r="AV87" s="12">
        <f>IF(ISBLANK(原始输入与口径!J87),"",原始输入与口径!J87)</f>
        <v>15</v>
      </c>
      <c r="AW87" s="12" t="str">
        <f>IF(ISBLANK(原始输入与口径!BB87),"",原始输入与口径!BB87)</f>
        <v>OK</v>
      </c>
      <c r="AX87" s="12">
        <f>原始输入与口径!CI87</f>
        <v>128</v>
      </c>
      <c r="AY87" s="12">
        <f>原始输入与口径!BS87</f>
        <v>175</v>
      </c>
      <c r="AZ87" s="12">
        <f>原始输入与口径!BI87</f>
        <v>175</v>
      </c>
      <c r="BA87" s="12">
        <f>原始输入与口径!CM87</f>
        <v>40</v>
      </c>
      <c r="BB87" s="12">
        <f>原始输入与口径!BV87</f>
        <v>24</v>
      </c>
      <c r="BC87" s="12">
        <f>原始输入与口径!BL87</f>
        <v>24</v>
      </c>
      <c r="BD87" s="14">
        <f>46235</f>
        <v>46235</v>
      </c>
      <c r="BE87" s="1" t="str">
        <f t="shared" si="38"/>
        <v>零头寸，无结算现金</v>
      </c>
      <c r="BF87" s="1" t="str">
        <f t="shared" si="39"/>
        <v>40.000000 MW × 66.224535 × 0.250000 h = 662.245345 EUR</v>
      </c>
      <c r="BG87" s="1" t="str">
        <f t="shared" si="40"/>
        <v>零头寸，无结算现金</v>
      </c>
      <c r="BH87" s="1" t="str">
        <f t="shared" si="41"/>
        <v>24.000000 MW × 2.593715 × 0.250000 h = 15.562289 EUR</v>
      </c>
      <c r="BI87" s="1" t="str">
        <f t="shared" si="42"/>
        <v>零上调激活电量</v>
      </c>
      <c r="BJ87" s="1" t="str">
        <f t="shared" si="43"/>
        <v>−(0.000137 MWh × 76.420254) = -0.010480 EUR</v>
      </c>
      <c r="BK87" s="1" t="str">
        <f t="shared" si="44"/>
        <v>0.000000 + 662.245345 + 0.000000 + 15.562289 + 0.000000 + -0.010480 = 677.797154 EUR</v>
      </c>
    </row>
    <row r="88" spans="1:63" ht="21" customHeight="1" x14ac:dyDescent="0.45">
      <c r="A88" s="13">
        <f>原始输入与口径!C88</f>
        <v>46235.822916666664</v>
      </c>
      <c r="B88" s="15">
        <f>IF(ISNUMBER(原始输入与口径!H88),原始输入与口径!H88,"缺失")</f>
        <v>235.85</v>
      </c>
      <c r="C88" s="15">
        <f>IF(ISNUMBER(原始输入与口径!R88),原始输入与口径!R88,"缺失")</f>
        <v>66.224534522516336</v>
      </c>
      <c r="D88" s="15">
        <f>IF(ISNUMBER(原始输入与口径!W88),原始输入与口径!W88,"缺失")</f>
        <v>7.1027004364149189</v>
      </c>
      <c r="E88" s="15">
        <f>IF(ISNUMBER(原始输入与口径!AB88),原始输入与口径!AB88,"缺失")</f>
        <v>2.5937148628818627</v>
      </c>
      <c r="F88" s="15">
        <f>IF(ISNUMBER(原始输入与口径!AG88),原始输入与口径!AG88,"缺失")</f>
        <v>229.3261296285709</v>
      </c>
      <c r="G88" s="15">
        <f>IF(ISNUMBER(原始输入与口径!AJ88),原始输入与口径!AJ88,"缺失")</f>
        <v>0</v>
      </c>
      <c r="H88" s="15" t="str">
        <f t="shared" si="23"/>
        <v>未模拟</v>
      </c>
      <c r="I88" s="16">
        <f>原始输入与口径!CD88</f>
        <v>151.33041188571448</v>
      </c>
      <c r="J88" s="16">
        <f>原始输入与口径!CE88</f>
        <v>135.02606405962754</v>
      </c>
      <c r="K88" s="16">
        <f>原始输入与口径!BZ88</f>
        <v>60</v>
      </c>
      <c r="L88" s="16">
        <f>原始输入与口径!CK88</f>
        <v>40</v>
      </c>
      <c r="M88" s="16">
        <f>原始输入与口径!BT88</f>
        <v>0</v>
      </c>
      <c r="N88" s="16">
        <f>原始输入与口径!BJ88</f>
        <v>24</v>
      </c>
      <c r="O88" s="16">
        <f t="shared" si="24"/>
        <v>0</v>
      </c>
      <c r="P88" s="16">
        <f t="shared" si="25"/>
        <v>0</v>
      </c>
      <c r="Q88" s="17">
        <f t="shared" si="26"/>
        <v>3537.75</v>
      </c>
      <c r="R88" s="17">
        <f t="shared" si="27"/>
        <v>662.24534522516342</v>
      </c>
      <c r="S88" s="17">
        <f t="shared" si="28"/>
        <v>0</v>
      </c>
      <c r="T88" s="17">
        <f t="shared" si="29"/>
        <v>15.562289177291177</v>
      </c>
      <c r="U88" s="17">
        <f t="shared" si="30"/>
        <v>0</v>
      </c>
      <c r="V88" s="17">
        <f t="shared" si="31"/>
        <v>0</v>
      </c>
      <c r="W88" s="17">
        <f t="shared" si="32"/>
        <v>4215.5576344024539</v>
      </c>
      <c r="X88" s="12">
        <f>原始输入与口径!CP88</f>
        <v>4215.5576344024548</v>
      </c>
      <c r="Y88" s="19">
        <f t="shared" si="33"/>
        <v>0</v>
      </c>
      <c r="Z88" s="12" t="str">
        <f t="shared" si="34"/>
        <v>当日执行</v>
      </c>
      <c r="AA88" s="12">
        <f>IF(原始输入与口径!AW88,1,0)</f>
        <v>1</v>
      </c>
      <c r="AB88" s="12">
        <f>IF(原始输入与口径!AY88,1,0)</f>
        <v>1</v>
      </c>
      <c r="AC88" s="12">
        <f>原始输入与口径!$F$5</f>
        <v>0.25</v>
      </c>
      <c r="AD88" s="18">
        <f>原始输入与口径!CG88</f>
        <v>0.3125</v>
      </c>
      <c r="AE88" s="18">
        <f>原始输入与口径!BQ88</f>
        <v>0.13714285714285715</v>
      </c>
      <c r="AF88" s="18">
        <f t="shared" si="35"/>
        <v>0.14493714285714285</v>
      </c>
      <c r="AG88" s="18">
        <f t="shared" si="36"/>
        <v>0</v>
      </c>
      <c r="AH88" s="12">
        <f>IF(ISNUMBER(原始输入与口径!T88),原始输入与口径!T88,"缺失")</f>
        <v>175</v>
      </c>
      <c r="AI88" s="12">
        <f>IF(ISNUMBER(原始输入与口径!Y88),原始输入与口径!Y88,"缺失")</f>
        <v>175</v>
      </c>
      <c r="AJ88" s="12">
        <f>IF(ISNUMBER(原始输入与口径!AI88),原始输入与口径!AI88,"缺失")</f>
        <v>6.3410000000000002</v>
      </c>
      <c r="AK88" s="12">
        <f>IF(ISNUMBER(原始输入与口径!AL88),原始输入与口径!AL88,"缺失")</f>
        <v>0</v>
      </c>
      <c r="AL88" s="12">
        <f>IF(ISNUMBER(原始输入与口径!O88),原始输入与口径!O88,"缺失")</f>
        <v>131.96799999999999</v>
      </c>
      <c r="AM88" s="12">
        <f>SUMIFS(相位SOC复算!$N$9:$N$929,相位SOC复算!$S$9:$S$929,80)</f>
        <v>4.5289855072463768E-2</v>
      </c>
      <c r="AN88" s="12">
        <f>SUMIFS(相位SOC复算!$Q$9:$Q$929,相位SOC复算!$S$9:$S$929,80)</f>
        <v>0</v>
      </c>
      <c r="AO88" s="12">
        <f>SUMIFS(相位SOC复算!$R$9:$R$929,相位SOC复算!$S$9:$S$929,80)</f>
        <v>15</v>
      </c>
      <c r="AP88" s="12">
        <f>相位SOC复算!J195</f>
        <v>135.02606405962757</v>
      </c>
      <c r="AQ88" s="19">
        <f t="shared" si="37"/>
        <v>0</v>
      </c>
      <c r="AR88" s="12">
        <f>IF(ISBLANK(原始输入与口径!M88),"",原始输入与口径!M88)</f>
        <v>5.2473000000000001</v>
      </c>
      <c r="AS88" s="14">
        <f>IF(ISBLANK(原始输入与口径!L88),"",原始输入与口径!L88)</f>
        <v>46234</v>
      </c>
      <c r="AT88" s="13">
        <f>IF(ISBLANK(原始输入与口径!A88),"",原始输入与口径!A88)</f>
        <v>46235.697916666664</v>
      </c>
      <c r="AU88" s="12" t="str">
        <f>IF(ISBLANK(原始输入与口径!I88),"",原始输入与口径!I88)</f>
        <v>2026-08-01_76</v>
      </c>
      <c r="AV88" s="12">
        <f>IF(ISBLANK(原始输入与口径!J88),"",原始输入与口径!J88)</f>
        <v>15</v>
      </c>
      <c r="AW88" s="12" t="str">
        <f>IF(ISBLANK(原始输入与口径!BB88),"",原始输入与口径!BB88)</f>
        <v>OK</v>
      </c>
      <c r="AX88" s="12">
        <f>原始输入与口径!CI88</f>
        <v>128</v>
      </c>
      <c r="AY88" s="12">
        <f>原始输入与口径!BS88</f>
        <v>175</v>
      </c>
      <c r="AZ88" s="12">
        <f>原始输入与口径!BI88</f>
        <v>175</v>
      </c>
      <c r="BA88" s="12">
        <f>原始输入与口径!CM88</f>
        <v>40</v>
      </c>
      <c r="BB88" s="12">
        <f>原始输入与口径!BV88</f>
        <v>24</v>
      </c>
      <c r="BC88" s="12">
        <f>原始输入与口径!BL88</f>
        <v>24</v>
      </c>
      <c r="BD88" s="14">
        <f>46235</f>
        <v>46235</v>
      </c>
      <c r="BE88" s="1" t="str">
        <f t="shared" si="38"/>
        <v>60.000000 MW × 235.850000 × 0.250000 h = 3537.750000 EUR</v>
      </c>
      <c r="BF88" s="1" t="str">
        <f t="shared" si="39"/>
        <v>40.000000 MW × 66.224535 × 0.250000 h = 662.245345 EUR</v>
      </c>
      <c r="BG88" s="1" t="str">
        <f t="shared" si="40"/>
        <v>零头寸，无结算现金</v>
      </c>
      <c r="BH88" s="1" t="str">
        <f t="shared" si="41"/>
        <v>24.000000 MW × 2.593715 × 0.250000 h = 15.562289 EUR</v>
      </c>
      <c r="BI88" s="1" t="str">
        <f t="shared" si="42"/>
        <v>零上调激活电量</v>
      </c>
      <c r="BJ88" s="1" t="str">
        <f t="shared" si="43"/>
        <v>零下调激活电量</v>
      </c>
      <c r="BK88" s="1" t="str">
        <f t="shared" si="44"/>
        <v>3537.750000 + 662.245345 + 0.000000 + 15.562289 + 0.000000 + 0.000000 = 4215.557634 EUR</v>
      </c>
    </row>
    <row r="89" spans="1:63" ht="21" customHeight="1" x14ac:dyDescent="0.45">
      <c r="A89" s="13">
        <f>原始输入与口径!C89</f>
        <v>46235.833333333336</v>
      </c>
      <c r="B89" s="15">
        <f>IF(ISNUMBER(原始输入与口径!H89),原始输入与口径!H89,"缺失")</f>
        <v>185.76</v>
      </c>
      <c r="C89" s="15">
        <f>IF(ISNUMBER(原始输入与口径!R89),原始输入与口径!R89,"缺失")</f>
        <v>66.224534522516336</v>
      </c>
      <c r="D89" s="15">
        <f>IF(ISNUMBER(原始输入与口径!W89),原始输入与口径!W89,"缺失")</f>
        <v>3.9143940693308936</v>
      </c>
      <c r="E89" s="15">
        <f>IF(ISNUMBER(原始输入与口径!AB89),原始输入与口径!AB89,"缺失")</f>
        <v>2.5937148628818627</v>
      </c>
      <c r="F89" s="15">
        <f>IF(ISNUMBER(原始输入与口径!AG89),原始输入与口径!AG89,"缺失")</f>
        <v>228.22689764259715</v>
      </c>
      <c r="G89" s="15">
        <f>IF(ISNUMBER(原始输入与口径!AJ89),原始输入与口径!AJ89,"缺失")</f>
        <v>0</v>
      </c>
      <c r="H89" s="15" t="str">
        <f t="shared" si="23"/>
        <v>未模拟</v>
      </c>
      <c r="I89" s="16">
        <f>原始输入与口径!CD89</f>
        <v>135.02606405962754</v>
      </c>
      <c r="J89" s="16">
        <f>原始输入与口径!CE89</f>
        <v>135.02606405962754</v>
      </c>
      <c r="K89" s="16">
        <f>原始输入与口径!BZ89</f>
        <v>0</v>
      </c>
      <c r="L89" s="16">
        <f>原始输入与口径!CK89</f>
        <v>40</v>
      </c>
      <c r="M89" s="16">
        <f>原始输入与口径!BT89</f>
        <v>0</v>
      </c>
      <c r="N89" s="16">
        <f>原始输入与口径!BJ89</f>
        <v>24</v>
      </c>
      <c r="O89" s="16">
        <f t="shared" si="24"/>
        <v>0</v>
      </c>
      <c r="P89" s="16">
        <f t="shared" si="25"/>
        <v>0</v>
      </c>
      <c r="Q89" s="17">
        <f t="shared" si="26"/>
        <v>0</v>
      </c>
      <c r="R89" s="17">
        <f t="shared" si="27"/>
        <v>662.24534522516342</v>
      </c>
      <c r="S89" s="17">
        <f t="shared" si="28"/>
        <v>0</v>
      </c>
      <c r="T89" s="17">
        <f t="shared" si="29"/>
        <v>15.562289177291177</v>
      </c>
      <c r="U89" s="17">
        <f t="shared" si="30"/>
        <v>0</v>
      </c>
      <c r="V89" s="17">
        <f t="shared" si="31"/>
        <v>0</v>
      </c>
      <c r="W89" s="17">
        <f t="shared" si="32"/>
        <v>677.8076344024546</v>
      </c>
      <c r="X89" s="12">
        <f>原始输入与口径!CP89</f>
        <v>677.8076344024546</v>
      </c>
      <c r="Y89" s="19">
        <f t="shared" si="33"/>
        <v>0</v>
      </c>
      <c r="Z89" s="12" t="str">
        <f t="shared" si="34"/>
        <v>当日执行</v>
      </c>
      <c r="AA89" s="12">
        <f>IF(原始输入与口径!AW89,1,0)</f>
        <v>1</v>
      </c>
      <c r="AB89" s="12">
        <f>IF(原始输入与口径!AY89,1,0)</f>
        <v>1</v>
      </c>
      <c r="AC89" s="12">
        <f>原始输入与口径!$F$5</f>
        <v>0.25</v>
      </c>
      <c r="AD89" s="18">
        <f>原始输入与口径!CG89</f>
        <v>0.3125</v>
      </c>
      <c r="AE89" s="18">
        <f>原始输入与口径!BQ89</f>
        <v>0.13714285714285715</v>
      </c>
      <c r="AF89" s="18">
        <f t="shared" si="35"/>
        <v>0.16173714285714286</v>
      </c>
      <c r="AG89" s="18">
        <f t="shared" si="36"/>
        <v>0</v>
      </c>
      <c r="AH89" s="12">
        <f>IF(ISNUMBER(原始输入与口径!T89),原始输入与口径!T89,"缺失")</f>
        <v>175</v>
      </c>
      <c r="AI89" s="12">
        <f>IF(ISNUMBER(原始输入与口径!Y89),原始输入与口径!Y89,"缺失")</f>
        <v>175</v>
      </c>
      <c r="AJ89" s="12">
        <f>IF(ISNUMBER(原始输入与口径!AI89),原始输入与口径!AI89,"缺失")</f>
        <v>7.0759999999999996</v>
      </c>
      <c r="AK89" s="12">
        <f>IF(ISNUMBER(原始输入与口径!AL89),原始输入与口径!AL89,"缺失")</f>
        <v>0</v>
      </c>
      <c r="AL89" s="12">
        <f>IF(ISNUMBER(原始输入与口径!O89),原始输入与口径!O89,"缺失")</f>
        <v>131.96799999999999</v>
      </c>
      <c r="AM89" s="12">
        <f>SUMIFS(相位SOC复算!$N$9:$N$929,相位SOC复算!$S$9:$S$929,81)</f>
        <v>0</v>
      </c>
      <c r="AN89" s="12">
        <f>SUMIFS(相位SOC复算!$Q$9:$Q$929,相位SOC复算!$S$9:$S$929,81)</f>
        <v>0</v>
      </c>
      <c r="AO89" s="12">
        <f>SUMIFS(相位SOC复算!$R$9:$R$929,相位SOC复算!$S$9:$S$929,81)</f>
        <v>0</v>
      </c>
      <c r="AP89" s="12">
        <f>相位SOC复算!J197</f>
        <v>135.02606405962757</v>
      </c>
      <c r="AQ89" s="19">
        <f t="shared" si="37"/>
        <v>0</v>
      </c>
      <c r="AR89" s="12">
        <f>IF(ISBLANK(原始输入与口径!M89),"",原始输入与口径!M89)</f>
        <v>5.2473000000000001</v>
      </c>
      <c r="AS89" s="14">
        <f>IF(ISBLANK(原始输入与口径!L89),"",原始输入与口径!L89)</f>
        <v>46234</v>
      </c>
      <c r="AT89" s="13">
        <f>IF(ISBLANK(原始输入与口径!A89),"",原始输入与口径!A89)</f>
        <v>46235.708333333336</v>
      </c>
      <c r="AU89" s="12" t="str">
        <f>IF(ISBLANK(原始输入与口径!I89),"",原始输入与口径!I89)</f>
        <v>2026-08-01_77</v>
      </c>
      <c r="AV89" s="12">
        <f>IF(ISBLANK(原始输入与口径!J89),"",原始输入与口径!J89)</f>
        <v>15</v>
      </c>
      <c r="AW89" s="12" t="str">
        <f>IF(ISBLANK(原始输入与口径!BB89),"",原始输入与口径!BB89)</f>
        <v>OK</v>
      </c>
      <c r="AX89" s="12">
        <f>原始输入与口径!CI89</f>
        <v>128</v>
      </c>
      <c r="AY89" s="12">
        <f>原始输入与口径!BS89</f>
        <v>175</v>
      </c>
      <c r="AZ89" s="12">
        <f>原始输入与口径!BI89</f>
        <v>175</v>
      </c>
      <c r="BA89" s="12">
        <f>原始输入与口径!CM89</f>
        <v>40</v>
      </c>
      <c r="BB89" s="12">
        <f>原始输入与口径!BV89</f>
        <v>24</v>
      </c>
      <c r="BC89" s="12">
        <f>原始输入与口径!BL89</f>
        <v>24</v>
      </c>
      <c r="BD89" s="14">
        <f>46235</f>
        <v>46235</v>
      </c>
      <c r="BE89" s="1" t="str">
        <f t="shared" si="38"/>
        <v>零头寸，无结算现金</v>
      </c>
      <c r="BF89" s="1" t="str">
        <f t="shared" si="39"/>
        <v>40.000000 MW × 66.224535 × 0.250000 h = 662.245345 EUR</v>
      </c>
      <c r="BG89" s="1" t="str">
        <f t="shared" si="40"/>
        <v>零头寸，无结算现金</v>
      </c>
      <c r="BH89" s="1" t="str">
        <f t="shared" si="41"/>
        <v>24.000000 MW × 2.593715 × 0.250000 h = 15.562289 EUR</v>
      </c>
      <c r="BI89" s="1" t="str">
        <f t="shared" si="42"/>
        <v>零上调激活电量</v>
      </c>
      <c r="BJ89" s="1" t="str">
        <f t="shared" si="43"/>
        <v>零下调激活电量</v>
      </c>
      <c r="BK89" s="1" t="str">
        <f t="shared" si="44"/>
        <v>0.000000 + 662.245345 + 0.000000 + 15.562289 + 0.000000 + 0.000000 = 677.807634 EUR</v>
      </c>
    </row>
    <row r="90" spans="1:63" ht="21" customHeight="1" x14ac:dyDescent="0.45">
      <c r="A90" s="13">
        <f>原始输入与口径!C90</f>
        <v>46235.84375</v>
      </c>
      <c r="B90" s="15">
        <f>IF(ISNUMBER(原始输入与口径!H90),原始输入与口径!H90,"缺失")</f>
        <v>189.7</v>
      </c>
      <c r="C90" s="15">
        <f>IF(ISNUMBER(原始输入与口径!R90),原始输入与口径!R90,"缺失")</f>
        <v>66.224534522516336</v>
      </c>
      <c r="D90" s="15">
        <f>IF(ISNUMBER(原始输入与口径!W90),原始输入与口径!W90,"缺失")</f>
        <v>3.9143940693308936</v>
      </c>
      <c r="E90" s="15">
        <f>IF(ISNUMBER(原始输入与口径!AB90),原始输入与口径!AB90,"缺失")</f>
        <v>2.5937148628818627</v>
      </c>
      <c r="F90" s="15">
        <f>IF(ISNUMBER(原始输入与口径!AG90),原始输入与口径!AG90,"缺失")</f>
        <v>198.84207116040631</v>
      </c>
      <c r="G90" s="15">
        <f>IF(ISNUMBER(原始输入与口径!AJ90),原始输入与口径!AJ90,"缺失")</f>
        <v>0</v>
      </c>
      <c r="H90" s="15" t="str">
        <f t="shared" si="23"/>
        <v>未模拟</v>
      </c>
      <c r="I90" s="16">
        <f>原始输入与口径!CD90</f>
        <v>135.02606405962754</v>
      </c>
      <c r="J90" s="16">
        <f>原始输入与口径!CE90</f>
        <v>135.02606405962754</v>
      </c>
      <c r="K90" s="16">
        <f>原始输入与口径!BZ90</f>
        <v>0</v>
      </c>
      <c r="L90" s="16">
        <f>原始输入与口径!CK90</f>
        <v>40</v>
      </c>
      <c r="M90" s="16">
        <f>原始输入与口径!BT90</f>
        <v>0</v>
      </c>
      <c r="N90" s="16">
        <f>原始输入与口径!BJ90</f>
        <v>24</v>
      </c>
      <c r="O90" s="16">
        <f t="shared" si="24"/>
        <v>0</v>
      </c>
      <c r="P90" s="16">
        <f t="shared" si="25"/>
        <v>0</v>
      </c>
      <c r="Q90" s="17">
        <f t="shared" si="26"/>
        <v>0</v>
      </c>
      <c r="R90" s="17">
        <f t="shared" si="27"/>
        <v>662.24534522516342</v>
      </c>
      <c r="S90" s="17">
        <f t="shared" si="28"/>
        <v>0</v>
      </c>
      <c r="T90" s="17">
        <f t="shared" si="29"/>
        <v>15.562289177291177</v>
      </c>
      <c r="U90" s="17">
        <f t="shared" si="30"/>
        <v>0</v>
      </c>
      <c r="V90" s="17">
        <f t="shared" si="31"/>
        <v>0</v>
      </c>
      <c r="W90" s="17">
        <f t="shared" si="32"/>
        <v>677.8076344024546</v>
      </c>
      <c r="X90" s="12">
        <f>原始输入与口径!CP90</f>
        <v>677.8076344024546</v>
      </c>
      <c r="Y90" s="19">
        <f t="shared" si="33"/>
        <v>0</v>
      </c>
      <c r="Z90" s="12" t="str">
        <f t="shared" si="34"/>
        <v>当日执行</v>
      </c>
      <c r="AA90" s="12">
        <f>IF(原始输入与口径!AW90,1,0)</f>
        <v>1</v>
      </c>
      <c r="AB90" s="12">
        <f>IF(原始输入与口径!AY90,1,0)</f>
        <v>1</v>
      </c>
      <c r="AC90" s="12">
        <f>原始输入与口径!$F$5</f>
        <v>0.25</v>
      </c>
      <c r="AD90" s="18">
        <f>原始输入与口径!CG90</f>
        <v>0.3125</v>
      </c>
      <c r="AE90" s="18">
        <f>原始输入与口径!BQ90</f>
        <v>0.13714285714285715</v>
      </c>
      <c r="AF90" s="18">
        <f t="shared" si="35"/>
        <v>0.13764571428571429</v>
      </c>
      <c r="AG90" s="18">
        <f t="shared" si="36"/>
        <v>0</v>
      </c>
      <c r="AH90" s="12">
        <f>IF(ISNUMBER(原始输入与口径!T90),原始输入与口径!T90,"缺失")</f>
        <v>175</v>
      </c>
      <c r="AI90" s="12">
        <f>IF(ISNUMBER(原始输入与口径!Y90),原始输入与口径!Y90,"缺失")</f>
        <v>175</v>
      </c>
      <c r="AJ90" s="12">
        <f>IF(ISNUMBER(原始输入与口径!AI90),原始输入与口径!AI90,"缺失")</f>
        <v>6.0220000000000002</v>
      </c>
      <c r="AK90" s="12">
        <f>IF(ISNUMBER(原始输入与口径!AL90),原始输入与口径!AL90,"缺失")</f>
        <v>0</v>
      </c>
      <c r="AL90" s="12">
        <f>IF(ISNUMBER(原始输入与口径!O90),原始输入与口径!O90,"缺失")</f>
        <v>131.96799999999999</v>
      </c>
      <c r="AM90" s="12">
        <f>SUMIFS(相位SOC复算!$N$9:$N$929,相位SOC复算!$S$9:$S$929,82)</f>
        <v>0</v>
      </c>
      <c r="AN90" s="12">
        <f>SUMIFS(相位SOC复算!$Q$9:$Q$929,相位SOC复算!$S$9:$S$929,82)</f>
        <v>0</v>
      </c>
      <c r="AO90" s="12">
        <f>SUMIFS(相位SOC复算!$R$9:$R$929,相位SOC复算!$S$9:$S$929,82)</f>
        <v>0</v>
      </c>
      <c r="AP90" s="12">
        <f>相位SOC复算!J199</f>
        <v>135.02606405962757</v>
      </c>
      <c r="AQ90" s="19">
        <f t="shared" si="37"/>
        <v>0</v>
      </c>
      <c r="AR90" s="12">
        <f>IF(ISBLANK(原始输入与口径!M90),"",原始输入与口径!M90)</f>
        <v>5.2473000000000001</v>
      </c>
      <c r="AS90" s="14">
        <f>IF(ISBLANK(原始输入与口径!L90),"",原始输入与口径!L90)</f>
        <v>46234</v>
      </c>
      <c r="AT90" s="13">
        <f>IF(ISBLANK(原始输入与口径!A90),"",原始输入与口径!A90)</f>
        <v>46235.71875</v>
      </c>
      <c r="AU90" s="12" t="str">
        <f>IF(ISBLANK(原始输入与口径!I90),"",原始输入与口径!I90)</f>
        <v>2026-08-01_78</v>
      </c>
      <c r="AV90" s="12">
        <f>IF(ISBLANK(原始输入与口径!J90),"",原始输入与口径!J90)</f>
        <v>15</v>
      </c>
      <c r="AW90" s="12" t="str">
        <f>IF(ISBLANK(原始输入与口径!BB90),"",原始输入与口径!BB90)</f>
        <v>OK</v>
      </c>
      <c r="AX90" s="12">
        <f>原始输入与口径!CI90</f>
        <v>128</v>
      </c>
      <c r="AY90" s="12">
        <f>原始输入与口径!BS90</f>
        <v>175</v>
      </c>
      <c r="AZ90" s="12">
        <f>原始输入与口径!BI90</f>
        <v>175</v>
      </c>
      <c r="BA90" s="12">
        <f>原始输入与口径!CM90</f>
        <v>40</v>
      </c>
      <c r="BB90" s="12">
        <f>原始输入与口径!BV90</f>
        <v>24</v>
      </c>
      <c r="BC90" s="12">
        <f>原始输入与口径!BL90</f>
        <v>24</v>
      </c>
      <c r="BD90" s="14">
        <f>46235</f>
        <v>46235</v>
      </c>
      <c r="BE90" s="1" t="str">
        <f t="shared" si="38"/>
        <v>零头寸，无结算现金</v>
      </c>
      <c r="BF90" s="1" t="str">
        <f t="shared" si="39"/>
        <v>40.000000 MW × 66.224535 × 0.250000 h = 662.245345 EUR</v>
      </c>
      <c r="BG90" s="1" t="str">
        <f t="shared" si="40"/>
        <v>零头寸，无结算现金</v>
      </c>
      <c r="BH90" s="1" t="str">
        <f t="shared" si="41"/>
        <v>24.000000 MW × 2.593715 × 0.250000 h = 15.562289 EUR</v>
      </c>
      <c r="BI90" s="1" t="str">
        <f t="shared" si="42"/>
        <v>零上调激活电量</v>
      </c>
      <c r="BJ90" s="1" t="str">
        <f t="shared" si="43"/>
        <v>零下调激活电量</v>
      </c>
      <c r="BK90" s="1" t="str">
        <f t="shared" si="44"/>
        <v>0.000000 + 662.245345 + 0.000000 + 15.562289 + 0.000000 + 0.000000 = 677.807634 EUR</v>
      </c>
    </row>
    <row r="91" spans="1:63" ht="21" customHeight="1" x14ac:dyDescent="0.45">
      <c r="A91" s="13">
        <f>原始输入与口径!C91</f>
        <v>46235.854166666664</v>
      </c>
      <c r="B91" s="15">
        <f>IF(ISNUMBER(原始输入与口径!H91),原始输入与口径!H91,"缺失")</f>
        <v>208.82</v>
      </c>
      <c r="C91" s="15">
        <f>IF(ISNUMBER(原始输入与口径!R91),原始输入与口径!R91,"缺失")</f>
        <v>66.224534522516336</v>
      </c>
      <c r="D91" s="15">
        <f>IF(ISNUMBER(原始输入与口径!W91),原始输入与口径!W91,"缺失")</f>
        <v>3.9143940693308936</v>
      </c>
      <c r="E91" s="15">
        <f>IF(ISNUMBER(原始输入与口径!AB91),原始输入与口径!AB91,"缺失")</f>
        <v>2.5937148628818627</v>
      </c>
      <c r="F91" s="15">
        <f>IF(ISNUMBER(原始输入与口径!AG91),原始输入与口径!AG91,"缺失")</f>
        <v>168.07005507594383</v>
      </c>
      <c r="G91" s="15">
        <f>IF(ISNUMBER(原始输入与口径!AJ91),原始输入与口径!AJ91,"缺失")</f>
        <v>76.420254225982887</v>
      </c>
      <c r="H91" s="15" t="str">
        <f t="shared" si="23"/>
        <v>未模拟</v>
      </c>
      <c r="I91" s="16">
        <f>原始输入与口径!CD91</f>
        <v>135.02606405962754</v>
      </c>
      <c r="J91" s="16">
        <f>原始输入与口径!CE91</f>
        <v>118.72201437018657</v>
      </c>
      <c r="K91" s="16">
        <f>原始输入与口径!BZ91</f>
        <v>60</v>
      </c>
      <c r="L91" s="16">
        <f>原始输入与口径!CK91</f>
        <v>40</v>
      </c>
      <c r="M91" s="16">
        <f>原始输入与口径!BT91</f>
        <v>0</v>
      </c>
      <c r="N91" s="16">
        <f>原始输入与口径!BJ91</f>
        <v>24</v>
      </c>
      <c r="O91" s="16">
        <f t="shared" si="24"/>
        <v>0</v>
      </c>
      <c r="P91" s="16">
        <f t="shared" si="25"/>
        <v>2.7428571428571432E-4</v>
      </c>
      <c r="Q91" s="17">
        <f t="shared" si="26"/>
        <v>3132.2999999999997</v>
      </c>
      <c r="R91" s="17">
        <f t="shared" si="27"/>
        <v>662.24534522516342</v>
      </c>
      <c r="S91" s="17">
        <f t="shared" si="28"/>
        <v>0</v>
      </c>
      <c r="T91" s="17">
        <f t="shared" si="29"/>
        <v>15.562289177291177</v>
      </c>
      <c r="U91" s="17">
        <f t="shared" si="30"/>
        <v>0</v>
      </c>
      <c r="V91" s="17">
        <f t="shared" si="31"/>
        <v>-2.0960984016269595E-2</v>
      </c>
      <c r="W91" s="17">
        <f t="shared" si="32"/>
        <v>3810.0866734184378</v>
      </c>
      <c r="X91" s="12">
        <f>原始输入与口径!CP91</f>
        <v>3810.0866734184378</v>
      </c>
      <c r="Y91" s="19">
        <f t="shared" si="33"/>
        <v>0</v>
      </c>
      <c r="Z91" s="12" t="str">
        <f t="shared" si="34"/>
        <v>当日执行</v>
      </c>
      <c r="AA91" s="12">
        <f>IF(原始输入与口径!AW91,1,0)</f>
        <v>1</v>
      </c>
      <c r="AB91" s="12">
        <f>IF(原始输入与口径!AY91,1,0)</f>
        <v>1</v>
      </c>
      <c r="AC91" s="12">
        <f>原始输入与口径!$F$5</f>
        <v>0.25</v>
      </c>
      <c r="AD91" s="18">
        <f>原始输入与口径!CG91</f>
        <v>0.3125</v>
      </c>
      <c r="AE91" s="18">
        <f>原始输入与口径!BQ91</f>
        <v>0.13714285714285715</v>
      </c>
      <c r="AF91" s="18">
        <f t="shared" si="35"/>
        <v>2.4365714285714286E-2</v>
      </c>
      <c r="AG91" s="18">
        <f t="shared" si="36"/>
        <v>4.5714285714285716E-5</v>
      </c>
      <c r="AH91" s="12">
        <f>IF(ISNUMBER(原始输入与口径!T91),原始输入与口径!T91,"缺失")</f>
        <v>175</v>
      </c>
      <c r="AI91" s="12">
        <f>IF(ISNUMBER(原始输入与口径!Y91),原始输入与口径!Y91,"缺失")</f>
        <v>175</v>
      </c>
      <c r="AJ91" s="12">
        <f>IF(ISNUMBER(原始输入与口径!AI91),原始输入与口径!AI91,"缺失")</f>
        <v>1.0660000000000001</v>
      </c>
      <c r="AK91" s="12">
        <f>IF(ISNUMBER(原始输入与口径!AL91),原始输入与口径!AL91,"缺失")</f>
        <v>2E-3</v>
      </c>
      <c r="AL91" s="12">
        <f>IF(ISNUMBER(原始输入与口径!O91),原始输入与口径!O91,"缺失")</f>
        <v>131.96799999999999</v>
      </c>
      <c r="AM91" s="12">
        <f>SUMIFS(相位SOC复算!$N$9:$N$929,相位SOC复算!$S$9:$S$929,83)</f>
        <v>4.528902691511387E-2</v>
      </c>
      <c r="AN91" s="12">
        <f>SUMIFS(相位SOC复算!$Q$9:$Q$929,相位SOC复算!$S$9:$S$929,83)</f>
        <v>0</v>
      </c>
      <c r="AO91" s="12">
        <f>SUMIFS(相位SOC复算!$R$9:$R$929,相位SOC复算!$S$9:$S$929,83)</f>
        <v>14.999725714285713</v>
      </c>
      <c r="AP91" s="12">
        <f>相位SOC复算!J202</f>
        <v>118.7220143701866</v>
      </c>
      <c r="AQ91" s="19">
        <f t="shared" si="37"/>
        <v>0</v>
      </c>
      <c r="AR91" s="12">
        <f>IF(ISBLANK(原始输入与口径!M91),"",原始输入与口径!M91)</f>
        <v>5.2473000000000001</v>
      </c>
      <c r="AS91" s="14">
        <f>IF(ISBLANK(原始输入与口径!L91),"",原始输入与口径!L91)</f>
        <v>46234</v>
      </c>
      <c r="AT91" s="13">
        <f>IF(ISBLANK(原始输入与口径!A91),"",原始输入与口径!A91)</f>
        <v>46235.729166666664</v>
      </c>
      <c r="AU91" s="12" t="str">
        <f>IF(ISBLANK(原始输入与口径!I91),"",原始输入与口径!I91)</f>
        <v>2026-08-01_79</v>
      </c>
      <c r="AV91" s="12">
        <f>IF(ISBLANK(原始输入与口径!J91),"",原始输入与口径!J91)</f>
        <v>15</v>
      </c>
      <c r="AW91" s="12" t="str">
        <f>IF(ISBLANK(原始输入与口径!BB91),"",原始输入与口径!BB91)</f>
        <v>OK</v>
      </c>
      <c r="AX91" s="12">
        <f>原始输入与口径!CI91</f>
        <v>128</v>
      </c>
      <c r="AY91" s="12">
        <f>原始输入与口径!BS91</f>
        <v>175</v>
      </c>
      <c r="AZ91" s="12">
        <f>原始输入与口径!BI91</f>
        <v>175</v>
      </c>
      <c r="BA91" s="12">
        <f>原始输入与口径!CM91</f>
        <v>40</v>
      </c>
      <c r="BB91" s="12">
        <f>原始输入与口径!BV91</f>
        <v>24</v>
      </c>
      <c r="BC91" s="12">
        <f>原始输入与口径!BL91</f>
        <v>24</v>
      </c>
      <c r="BD91" s="14">
        <f>46235</f>
        <v>46235</v>
      </c>
      <c r="BE91" s="1" t="str">
        <f t="shared" si="38"/>
        <v>60.000000 MW × 208.820000 × 0.250000 h = 3132.300000 EUR</v>
      </c>
      <c r="BF91" s="1" t="str">
        <f t="shared" si="39"/>
        <v>40.000000 MW × 66.224535 × 0.250000 h = 662.245345 EUR</v>
      </c>
      <c r="BG91" s="1" t="str">
        <f t="shared" si="40"/>
        <v>零头寸，无结算现金</v>
      </c>
      <c r="BH91" s="1" t="str">
        <f t="shared" si="41"/>
        <v>24.000000 MW × 2.593715 × 0.250000 h = 15.562289 EUR</v>
      </c>
      <c r="BI91" s="1" t="str">
        <f t="shared" si="42"/>
        <v>零上调激活电量</v>
      </c>
      <c r="BJ91" s="1" t="str">
        <f t="shared" si="43"/>
        <v>−(0.000274 MWh × 76.420254) = -0.020961 EUR</v>
      </c>
      <c r="BK91" s="1" t="str">
        <f t="shared" si="44"/>
        <v>3132.300000 + 662.245345 + 0.000000 + 15.562289 + 0.000000 + -0.020961 = 3810.086673 EUR</v>
      </c>
    </row>
    <row r="92" spans="1:63" ht="21" customHeight="1" x14ac:dyDescent="0.45">
      <c r="A92" s="13">
        <f>原始输入与口径!C92</f>
        <v>46235.864583333336</v>
      </c>
      <c r="B92" s="15">
        <f>IF(ISNUMBER(原始输入与口径!H92),原始输入与口径!H92,"缺失")</f>
        <v>208.3</v>
      </c>
      <c r="C92" s="15">
        <f>IF(ISNUMBER(原始输入与口径!R92),原始输入与口径!R92,"缺失")</f>
        <v>66.224534522516336</v>
      </c>
      <c r="D92" s="15">
        <f>IF(ISNUMBER(原始输入与口径!W92),原始输入与口径!W92,"缺失")</f>
        <v>3.9143940693308936</v>
      </c>
      <c r="E92" s="15">
        <f>IF(ISNUMBER(原始输入与口径!AB92),原始输入与口径!AB92,"缺失")</f>
        <v>2.5937148628818627</v>
      </c>
      <c r="F92" s="15">
        <f>IF(ISNUMBER(原始输入与口径!AG92),原始输入与口径!AG92,"缺失")</f>
        <v>168.22384845539611</v>
      </c>
      <c r="G92" s="15">
        <f>IF(ISNUMBER(原始输入与口径!AJ92),原始输入与口径!AJ92,"缺失")</f>
        <v>76.420254225982887</v>
      </c>
      <c r="H92" s="15" t="str">
        <f t="shared" si="23"/>
        <v>未模拟</v>
      </c>
      <c r="I92" s="16">
        <f>原始输入与口径!CD92</f>
        <v>118.72201437018657</v>
      </c>
      <c r="J92" s="16">
        <f>原始输入与口径!CE92</f>
        <v>102.42929387329215</v>
      </c>
      <c r="K92" s="16">
        <f>原始输入与口径!BZ92</f>
        <v>60</v>
      </c>
      <c r="L92" s="16">
        <f>原始输入与口径!CK92</f>
        <v>40</v>
      </c>
      <c r="M92" s="16">
        <f>原始输入与口径!BT92</f>
        <v>0</v>
      </c>
      <c r="N92" s="16">
        <f>原始输入与口径!BJ92</f>
        <v>24</v>
      </c>
      <c r="O92" s="16">
        <f t="shared" si="24"/>
        <v>0</v>
      </c>
      <c r="P92" s="16">
        <f t="shared" si="25"/>
        <v>1.0697142857142856E-2</v>
      </c>
      <c r="Q92" s="17">
        <f t="shared" si="26"/>
        <v>3124.5</v>
      </c>
      <c r="R92" s="17">
        <f t="shared" si="27"/>
        <v>662.24534522516342</v>
      </c>
      <c r="S92" s="17">
        <f t="shared" si="28"/>
        <v>0</v>
      </c>
      <c r="T92" s="17">
        <f t="shared" si="29"/>
        <v>15.562289177291177</v>
      </c>
      <c r="U92" s="17">
        <f t="shared" si="30"/>
        <v>0</v>
      </c>
      <c r="V92" s="17">
        <f t="shared" si="31"/>
        <v>-0.81747837663451406</v>
      </c>
      <c r="W92" s="17">
        <f t="shared" si="32"/>
        <v>3801.4901560258204</v>
      </c>
      <c r="X92" s="12">
        <f>原始输入与口径!CP92</f>
        <v>3801.4901560258199</v>
      </c>
      <c r="Y92" s="19">
        <f t="shared" si="33"/>
        <v>0</v>
      </c>
      <c r="Z92" s="12" t="str">
        <f t="shared" si="34"/>
        <v>当日执行</v>
      </c>
      <c r="AA92" s="12">
        <f>IF(原始输入与口径!AW92,1,0)</f>
        <v>1</v>
      </c>
      <c r="AB92" s="12">
        <f>IF(原始输入与口径!AY92,1,0)</f>
        <v>1</v>
      </c>
      <c r="AC92" s="12">
        <f>原始输入与口径!$F$5</f>
        <v>0.25</v>
      </c>
      <c r="AD92" s="18">
        <f>原始输入与口径!CG92</f>
        <v>0.3125</v>
      </c>
      <c r="AE92" s="18">
        <f>原始输入与口径!BQ92</f>
        <v>0.13714285714285715</v>
      </c>
      <c r="AF92" s="18">
        <f t="shared" si="35"/>
        <v>9.5999999999999992E-3</v>
      </c>
      <c r="AG92" s="18">
        <f t="shared" si="36"/>
        <v>1.7828571428571429E-3</v>
      </c>
      <c r="AH92" s="12">
        <f>IF(ISNUMBER(原始输入与口径!T92),原始输入与口径!T92,"缺失")</f>
        <v>175</v>
      </c>
      <c r="AI92" s="12">
        <f>IF(ISNUMBER(原始输入与口径!Y92),原始输入与口径!Y92,"缺失")</f>
        <v>175</v>
      </c>
      <c r="AJ92" s="12">
        <f>IF(ISNUMBER(原始输入与口径!AI92),原始输入与口径!AI92,"缺失")</f>
        <v>0.42</v>
      </c>
      <c r="AK92" s="12">
        <f>IF(ISNUMBER(原始输入与口径!AL92),原始输入与口径!AL92,"缺失")</f>
        <v>7.8E-2</v>
      </c>
      <c r="AL92" s="12">
        <f>IF(ISNUMBER(原始输入与口径!O92),原始输入与口径!O92,"缺失")</f>
        <v>131.96799999999999</v>
      </c>
      <c r="AM92" s="12">
        <f>SUMIFS(相位SOC复算!$N$9:$N$929,相位SOC复算!$S$9:$S$929,84)</f>
        <v>4.5257556935817803E-2</v>
      </c>
      <c r="AN92" s="12">
        <f>SUMIFS(相位SOC复算!$Q$9:$Q$929,相位SOC复算!$S$9:$S$929,84)</f>
        <v>0</v>
      </c>
      <c r="AO92" s="12">
        <f>SUMIFS(相位SOC复算!$R$9:$R$929,相位SOC复算!$S$9:$S$929,84)</f>
        <v>14.989302857142855</v>
      </c>
      <c r="AP92" s="12">
        <f>相位SOC复算!J205</f>
        <v>102.42929387329218</v>
      </c>
      <c r="AQ92" s="19">
        <f t="shared" si="37"/>
        <v>0</v>
      </c>
      <c r="AR92" s="12">
        <f>IF(ISBLANK(原始输入与口径!M92),"",原始输入与口径!M92)</f>
        <v>5.2473000000000001</v>
      </c>
      <c r="AS92" s="14">
        <f>IF(ISBLANK(原始输入与口径!L92),"",原始输入与口径!L92)</f>
        <v>46234</v>
      </c>
      <c r="AT92" s="13">
        <f>IF(ISBLANK(原始输入与口径!A92),"",原始输入与口径!A92)</f>
        <v>46235.739583333336</v>
      </c>
      <c r="AU92" s="12" t="str">
        <f>IF(ISBLANK(原始输入与口径!I92),"",原始输入与口径!I92)</f>
        <v>2026-08-01_80</v>
      </c>
      <c r="AV92" s="12">
        <f>IF(ISBLANK(原始输入与口径!J92),"",原始输入与口径!J92)</f>
        <v>15</v>
      </c>
      <c r="AW92" s="12" t="str">
        <f>IF(ISBLANK(原始输入与口径!BB92),"",原始输入与口径!BB92)</f>
        <v>OK</v>
      </c>
      <c r="AX92" s="12">
        <f>原始输入与口径!CI92</f>
        <v>128</v>
      </c>
      <c r="AY92" s="12">
        <f>原始输入与口径!BS92</f>
        <v>175</v>
      </c>
      <c r="AZ92" s="12">
        <f>原始输入与口径!BI92</f>
        <v>175</v>
      </c>
      <c r="BA92" s="12">
        <f>原始输入与口径!CM92</f>
        <v>40</v>
      </c>
      <c r="BB92" s="12">
        <f>原始输入与口径!BV92</f>
        <v>24</v>
      </c>
      <c r="BC92" s="12">
        <f>原始输入与口径!BL92</f>
        <v>24</v>
      </c>
      <c r="BD92" s="14">
        <f>46235</f>
        <v>46235</v>
      </c>
      <c r="BE92" s="1" t="str">
        <f t="shared" si="38"/>
        <v>60.000000 MW × 208.300000 × 0.250000 h = 3124.500000 EUR</v>
      </c>
      <c r="BF92" s="1" t="str">
        <f t="shared" si="39"/>
        <v>40.000000 MW × 66.224535 × 0.250000 h = 662.245345 EUR</v>
      </c>
      <c r="BG92" s="1" t="str">
        <f t="shared" si="40"/>
        <v>零头寸，无结算现金</v>
      </c>
      <c r="BH92" s="1" t="str">
        <f t="shared" si="41"/>
        <v>24.000000 MW × 2.593715 × 0.250000 h = 15.562289 EUR</v>
      </c>
      <c r="BI92" s="1" t="str">
        <f t="shared" si="42"/>
        <v>零上调激活电量</v>
      </c>
      <c r="BJ92" s="1" t="str">
        <f t="shared" si="43"/>
        <v>−(0.010697 MWh × 76.420254) = -0.817478 EUR</v>
      </c>
      <c r="BK92" s="1" t="str">
        <f t="shared" si="44"/>
        <v>3124.500000 + 662.245345 + 0.000000 + 15.562289 + 0.000000 + -0.817478 = 3801.490156 EUR</v>
      </c>
    </row>
    <row r="93" spans="1:63" ht="21" customHeight="1" x14ac:dyDescent="0.45">
      <c r="A93" s="13">
        <f>原始输入与口径!C93</f>
        <v>46235.875</v>
      </c>
      <c r="B93" s="15">
        <f>IF(ISNUMBER(原始输入与口径!H93),原始输入与口径!H93,"缺失")</f>
        <v>194.29</v>
      </c>
      <c r="C93" s="15">
        <f>IF(ISNUMBER(原始输入与口径!R93),原始输入与口径!R93,"缺失")</f>
        <v>66.224534522516336</v>
      </c>
      <c r="D93" s="15">
        <f>IF(ISNUMBER(原始输入与口径!W93),原始输入与口径!W93,"缺失")</f>
        <v>7.0245650143883518</v>
      </c>
      <c r="E93" s="15">
        <f>IF(ISNUMBER(原始输入与口径!AB93),原始输入与口径!AB93,"缺失")</f>
        <v>2.5937148628818627</v>
      </c>
      <c r="F93" s="15">
        <f>IF(ISNUMBER(原始输入与口径!AG93),原始输入与口径!AG93,"缺失")</f>
        <v>173.20393345148932</v>
      </c>
      <c r="G93" s="15">
        <f>IF(ISNUMBER(原始输入与口径!AJ93),原始输入与口径!AJ93,"缺失")</f>
        <v>0</v>
      </c>
      <c r="H93" s="15" t="str">
        <f t="shared" si="23"/>
        <v>未模拟</v>
      </c>
      <c r="I93" s="16">
        <f>原始输入与口径!CD93</f>
        <v>102.42929387329215</v>
      </c>
      <c r="J93" s="16">
        <f>原始输入与口径!CE93</f>
        <v>95.748838877018841</v>
      </c>
      <c r="K93" s="16">
        <f>原始输入与口径!BZ93</f>
        <v>22.254840100571528</v>
      </c>
      <c r="L93" s="16">
        <f>原始输入与口径!CK93</f>
        <v>40</v>
      </c>
      <c r="M93" s="16">
        <f>原始输入与口径!BT93</f>
        <v>24</v>
      </c>
      <c r="N93" s="16">
        <f>原始输入与口径!BJ93</f>
        <v>24</v>
      </c>
      <c r="O93" s="16">
        <f t="shared" si="24"/>
        <v>0.58230857142857151</v>
      </c>
      <c r="P93" s="16">
        <f t="shared" si="25"/>
        <v>0</v>
      </c>
      <c r="Q93" s="17">
        <f t="shared" si="26"/>
        <v>1080.9732207850104</v>
      </c>
      <c r="R93" s="17">
        <f t="shared" si="27"/>
        <v>662.24534522516342</v>
      </c>
      <c r="S93" s="17">
        <f t="shared" si="28"/>
        <v>42.147390086330113</v>
      </c>
      <c r="T93" s="17">
        <f t="shared" si="29"/>
        <v>15.562289177291177</v>
      </c>
      <c r="U93" s="17">
        <f t="shared" si="30"/>
        <v>100.85813505394611</v>
      </c>
      <c r="V93" s="17">
        <f t="shared" si="31"/>
        <v>0</v>
      </c>
      <c r="W93" s="17">
        <f t="shared" si="32"/>
        <v>1901.7863803277412</v>
      </c>
      <c r="X93" s="12">
        <f>原始输入与口径!CP93</f>
        <v>1901.7863803277412</v>
      </c>
      <c r="Y93" s="19">
        <f t="shared" si="33"/>
        <v>0</v>
      </c>
      <c r="Z93" s="12" t="str">
        <f t="shared" si="34"/>
        <v>当日执行</v>
      </c>
      <c r="AA93" s="12">
        <f>IF(原始输入与口径!AW93,1,0)</f>
        <v>1</v>
      </c>
      <c r="AB93" s="12">
        <f>IF(原始输入与口径!AY93,1,0)</f>
        <v>1</v>
      </c>
      <c r="AC93" s="12">
        <f>原始输入与口径!$F$5</f>
        <v>0.25</v>
      </c>
      <c r="AD93" s="18">
        <f>原始输入与口径!CG93</f>
        <v>0.3125</v>
      </c>
      <c r="AE93" s="18">
        <f>原始输入与口径!BQ93</f>
        <v>0.13714285714285715</v>
      </c>
      <c r="AF93" s="18">
        <f t="shared" si="35"/>
        <v>9.705142857142858E-2</v>
      </c>
      <c r="AG93" s="18">
        <f t="shared" si="36"/>
        <v>0</v>
      </c>
      <c r="AH93" s="12">
        <f>IF(ISNUMBER(原始输入与口径!T93),原始输入与口径!T93,"缺失")</f>
        <v>175</v>
      </c>
      <c r="AI93" s="12">
        <f>IF(ISNUMBER(原始输入与口径!Y93),原始输入与口径!Y93,"缺失")</f>
        <v>175</v>
      </c>
      <c r="AJ93" s="12">
        <f>IF(ISNUMBER(原始输入与口径!AI93),原始输入与口径!AI93,"缺失")</f>
        <v>4.2460000000000004</v>
      </c>
      <c r="AK93" s="12">
        <f>IF(ISNUMBER(原始输入与口径!AL93),原始输入与口径!AL93,"缺失")</f>
        <v>0</v>
      </c>
      <c r="AL93" s="12">
        <f>IF(ISNUMBER(原始输入与口径!O93),原始输入与口径!O93,"缺失")</f>
        <v>131.96799999999999</v>
      </c>
      <c r="AM93" s="12">
        <f>SUMIFS(相位SOC复算!$N$9:$N$929,相位SOC复算!$S$9:$S$929,85)</f>
        <v>1.8556819434092552E-2</v>
      </c>
      <c r="AN93" s="12">
        <f>SUMIFS(相位SOC复算!$Q$9:$Q$929,相位SOC复算!$S$9:$S$929,85)</f>
        <v>0</v>
      </c>
      <c r="AO93" s="12">
        <f>SUMIFS(相位SOC复算!$R$9:$R$929,相位SOC复算!$S$9:$S$929,85)</f>
        <v>6.1460185965714533</v>
      </c>
      <c r="AP93" s="12">
        <f>相位SOC复算!J207</f>
        <v>95.748838877018869</v>
      </c>
      <c r="AQ93" s="19">
        <f t="shared" si="37"/>
        <v>0</v>
      </c>
      <c r="AR93" s="12">
        <f>IF(ISBLANK(原始输入与口径!M93),"",原始输入与口径!M93)</f>
        <v>5.2473000000000001</v>
      </c>
      <c r="AS93" s="14">
        <f>IF(ISBLANK(原始输入与口径!L93),"",原始输入与口径!L93)</f>
        <v>46234</v>
      </c>
      <c r="AT93" s="13">
        <f>IF(ISBLANK(原始输入与口径!A93),"",原始输入与口径!A93)</f>
        <v>46235.75</v>
      </c>
      <c r="AU93" s="12" t="str">
        <f>IF(ISBLANK(原始输入与口径!I93),"",原始输入与口径!I93)</f>
        <v>2026-08-01_81</v>
      </c>
      <c r="AV93" s="12">
        <f>IF(ISBLANK(原始输入与口径!J93),"",原始输入与口径!J93)</f>
        <v>15</v>
      </c>
      <c r="AW93" s="12" t="str">
        <f>IF(ISBLANK(原始输入与口径!BB93),"",原始输入与口径!BB93)</f>
        <v>OK</v>
      </c>
      <c r="AX93" s="12">
        <f>原始输入与口径!CI93</f>
        <v>128</v>
      </c>
      <c r="AY93" s="12">
        <f>原始输入与口径!BS93</f>
        <v>175</v>
      </c>
      <c r="AZ93" s="12">
        <f>原始输入与口径!BI93</f>
        <v>175</v>
      </c>
      <c r="BA93" s="12">
        <f>原始输入与口径!CM93</f>
        <v>40</v>
      </c>
      <c r="BB93" s="12">
        <f>原始输入与口径!BV93</f>
        <v>24</v>
      </c>
      <c r="BC93" s="12">
        <f>原始输入与口径!BL93</f>
        <v>24</v>
      </c>
      <c r="BD93" s="14">
        <f>46235</f>
        <v>46235</v>
      </c>
      <c r="BE93" s="1" t="str">
        <f t="shared" si="38"/>
        <v>22.254840 MW × 194.290000 × 0.250000 h = 1080.973221 EUR</v>
      </c>
      <c r="BF93" s="1" t="str">
        <f t="shared" si="39"/>
        <v>40.000000 MW × 66.224535 × 0.250000 h = 662.245345 EUR</v>
      </c>
      <c r="BG93" s="1" t="str">
        <f t="shared" si="40"/>
        <v>24.000000 MW × 7.024565 × 0.250000 h = 42.147390 EUR</v>
      </c>
      <c r="BH93" s="1" t="str">
        <f t="shared" si="41"/>
        <v>24.000000 MW × 2.593715 × 0.250000 h = 15.562289 EUR</v>
      </c>
      <c r="BI93" s="1" t="str">
        <f t="shared" si="42"/>
        <v>0.582309 MWh × 173.203933 = 100.858135 EUR</v>
      </c>
      <c r="BJ93" s="1" t="str">
        <f t="shared" si="43"/>
        <v>零下调激活电量</v>
      </c>
      <c r="BK93" s="1" t="str">
        <f t="shared" si="44"/>
        <v>1080.973221 + 662.245345 + 42.147390 + 15.562289 + 100.858135 + 0.000000 = 1901.786380 EUR</v>
      </c>
    </row>
    <row r="94" spans="1:63" ht="21" customHeight="1" x14ac:dyDescent="0.45">
      <c r="A94" s="13">
        <f>原始输入与口径!C94</f>
        <v>46235.885416666664</v>
      </c>
      <c r="B94" s="15">
        <f>IF(ISNUMBER(原始输入与口径!H94),原始输入与口径!H94,"缺失")</f>
        <v>201.16</v>
      </c>
      <c r="C94" s="15">
        <f>IF(ISNUMBER(原始输入与口径!R94),原始输入与口径!R94,"缺失")</f>
        <v>66.224534522516336</v>
      </c>
      <c r="D94" s="15">
        <f>IF(ISNUMBER(原始输入与口径!W94),原始输入与口径!W94,"缺失")</f>
        <v>7.0245650143883518</v>
      </c>
      <c r="E94" s="15">
        <f>IF(ISNUMBER(原始输入与口径!AB94),原始输入与口径!AB94,"缺失")</f>
        <v>2.5937148628818627</v>
      </c>
      <c r="F94" s="15">
        <f>IF(ISNUMBER(原始输入与口径!AG94),原始输入与口径!AG94,"缺失")</f>
        <v>191.72717397518724</v>
      </c>
      <c r="G94" s="15">
        <f>IF(ISNUMBER(原始输入与口径!AJ94),原始输入与口径!AJ94,"缺失")</f>
        <v>76.420254225982887</v>
      </c>
      <c r="H94" s="15" t="str">
        <f t="shared" si="23"/>
        <v>未模拟</v>
      </c>
      <c r="I94" s="16">
        <f>原始输入与口径!CD94</f>
        <v>95.748838877018841</v>
      </c>
      <c r="J94" s="16">
        <f>原始输入与口径!CE94</f>
        <v>85.658255026087161</v>
      </c>
      <c r="K94" s="16">
        <f>原始输入与口径!BZ94</f>
        <v>36</v>
      </c>
      <c r="L94" s="16">
        <f>原始输入与口径!CK94</f>
        <v>40</v>
      </c>
      <c r="M94" s="16">
        <f>原始输入与口径!BT94</f>
        <v>24</v>
      </c>
      <c r="N94" s="16">
        <f>原始输入与口径!BJ94</f>
        <v>24</v>
      </c>
      <c r="O94" s="16">
        <f t="shared" si="24"/>
        <v>0.2884114285714286</v>
      </c>
      <c r="P94" s="16">
        <f t="shared" si="25"/>
        <v>5.0742857142857143E-3</v>
      </c>
      <c r="Q94" s="17">
        <f t="shared" si="26"/>
        <v>1810.44</v>
      </c>
      <c r="R94" s="17">
        <f t="shared" si="27"/>
        <v>662.24534522516342</v>
      </c>
      <c r="S94" s="17">
        <f t="shared" si="28"/>
        <v>42.147390086330113</v>
      </c>
      <c r="T94" s="17">
        <f t="shared" si="29"/>
        <v>15.562289177291177</v>
      </c>
      <c r="U94" s="17">
        <f t="shared" si="30"/>
        <v>55.296308142146579</v>
      </c>
      <c r="V94" s="17">
        <f t="shared" si="31"/>
        <v>-0.38777820430098747</v>
      </c>
      <c r="W94" s="17">
        <f t="shared" si="32"/>
        <v>2585.3035544266304</v>
      </c>
      <c r="X94" s="12">
        <f>原始输入与口径!CP94</f>
        <v>2585.3035544266304</v>
      </c>
      <c r="Y94" s="19">
        <f t="shared" si="33"/>
        <v>0</v>
      </c>
      <c r="Z94" s="12" t="str">
        <f t="shared" si="34"/>
        <v>当日执行</v>
      </c>
      <c r="AA94" s="12">
        <f>IF(原始输入与口径!AW94,1,0)</f>
        <v>1</v>
      </c>
      <c r="AB94" s="12">
        <f>IF(原始输入与口径!AY94,1,0)</f>
        <v>1</v>
      </c>
      <c r="AC94" s="12">
        <f>原始输入与口径!$F$5</f>
        <v>0.25</v>
      </c>
      <c r="AD94" s="18">
        <f>原始输入与口径!CG94</f>
        <v>0.3125</v>
      </c>
      <c r="AE94" s="18">
        <f>原始输入与口径!BQ94</f>
        <v>0.13714285714285715</v>
      </c>
      <c r="AF94" s="18">
        <f t="shared" si="35"/>
        <v>4.8068571428571433E-2</v>
      </c>
      <c r="AG94" s="18">
        <f t="shared" si="36"/>
        <v>8.4571428571428569E-4</v>
      </c>
      <c r="AH94" s="12">
        <f>IF(ISNUMBER(原始输入与口径!T94),原始输入与口径!T94,"缺失")</f>
        <v>175</v>
      </c>
      <c r="AI94" s="12">
        <f>IF(ISNUMBER(原始输入与口径!Y94),原始输入与口径!Y94,"缺失")</f>
        <v>175</v>
      </c>
      <c r="AJ94" s="12">
        <f>IF(ISNUMBER(原始输入与口径!AI94),原始输入与口径!AI94,"缺失")</f>
        <v>2.1030000000000002</v>
      </c>
      <c r="AK94" s="12">
        <f>IF(ISNUMBER(原始输入与口径!AL94),原始输入与口径!AL94,"缺失")</f>
        <v>3.6999999999999998E-2</v>
      </c>
      <c r="AL94" s="12">
        <f>IF(ISNUMBER(原始输入与口径!O94),原始输入与口径!O94,"缺失")</f>
        <v>131.96799999999999</v>
      </c>
      <c r="AM94" s="12">
        <f>SUMIFS(相位SOC复算!$N$9:$N$929,相位SOC复算!$S$9:$S$929,86)</f>
        <v>2.8029399585921322E-2</v>
      </c>
      <c r="AN94" s="12">
        <f>SUMIFS(相位SOC复算!$Q$9:$Q$929,相位SOC复算!$S$9:$S$929,86)</f>
        <v>0</v>
      </c>
      <c r="AO94" s="12">
        <f>SUMIFS(相位SOC复算!$R$9:$R$929,相位SOC复算!$S$9:$S$929,86)</f>
        <v>9.2833371428571425</v>
      </c>
      <c r="AP94" s="12">
        <f>相位SOC复算!J210</f>
        <v>85.65825502608719</v>
      </c>
      <c r="AQ94" s="19">
        <f t="shared" si="37"/>
        <v>0</v>
      </c>
      <c r="AR94" s="12">
        <f>IF(ISBLANK(原始输入与口径!M94),"",原始输入与口径!M94)</f>
        <v>5.2473000000000001</v>
      </c>
      <c r="AS94" s="14">
        <f>IF(ISBLANK(原始输入与口径!L94),"",原始输入与口径!L94)</f>
        <v>46234</v>
      </c>
      <c r="AT94" s="13">
        <f>IF(ISBLANK(原始输入与口径!A94),"",原始输入与口径!A94)</f>
        <v>46235.760416666664</v>
      </c>
      <c r="AU94" s="12" t="str">
        <f>IF(ISBLANK(原始输入与口径!I94),"",原始输入与口径!I94)</f>
        <v>2026-08-01_82</v>
      </c>
      <c r="AV94" s="12">
        <f>IF(ISBLANK(原始输入与口径!J94),"",原始输入与口径!J94)</f>
        <v>15</v>
      </c>
      <c r="AW94" s="12" t="str">
        <f>IF(ISBLANK(原始输入与口径!BB94),"",原始输入与口径!BB94)</f>
        <v>OK</v>
      </c>
      <c r="AX94" s="12">
        <f>原始输入与口径!CI94</f>
        <v>128</v>
      </c>
      <c r="AY94" s="12">
        <f>原始输入与口径!BS94</f>
        <v>175</v>
      </c>
      <c r="AZ94" s="12">
        <f>原始输入与口径!BI94</f>
        <v>175</v>
      </c>
      <c r="BA94" s="12">
        <f>原始输入与口径!CM94</f>
        <v>40</v>
      </c>
      <c r="BB94" s="12">
        <f>原始输入与口径!BV94</f>
        <v>24</v>
      </c>
      <c r="BC94" s="12">
        <f>原始输入与口径!BL94</f>
        <v>24</v>
      </c>
      <c r="BD94" s="14">
        <f>46235</f>
        <v>46235</v>
      </c>
      <c r="BE94" s="1" t="str">
        <f t="shared" si="38"/>
        <v>36.000000 MW × 201.160000 × 0.250000 h = 1810.440000 EUR</v>
      </c>
      <c r="BF94" s="1" t="str">
        <f t="shared" si="39"/>
        <v>40.000000 MW × 66.224535 × 0.250000 h = 662.245345 EUR</v>
      </c>
      <c r="BG94" s="1" t="str">
        <f t="shared" si="40"/>
        <v>24.000000 MW × 7.024565 × 0.250000 h = 42.147390 EUR</v>
      </c>
      <c r="BH94" s="1" t="str">
        <f t="shared" si="41"/>
        <v>24.000000 MW × 2.593715 × 0.250000 h = 15.562289 EUR</v>
      </c>
      <c r="BI94" s="1" t="str">
        <f t="shared" si="42"/>
        <v>0.288411 MWh × 191.727174 = 55.296308 EUR</v>
      </c>
      <c r="BJ94" s="1" t="str">
        <f t="shared" si="43"/>
        <v>−(0.005074 MWh × 76.420254) = -0.387778 EUR</v>
      </c>
      <c r="BK94" s="1" t="str">
        <f t="shared" si="44"/>
        <v>1810.440000 + 662.245345 + 42.147390 + 15.562289 + 55.296308 + -0.387778 = 2585.303554 EUR</v>
      </c>
    </row>
    <row r="95" spans="1:63" ht="21" customHeight="1" x14ac:dyDescent="0.45">
      <c r="A95" s="13">
        <f>原始输入与口径!C95</f>
        <v>46235.895833333336</v>
      </c>
      <c r="B95" s="15">
        <f>IF(ISNUMBER(原始输入与口径!H95),原始输入与口径!H95,"缺失")</f>
        <v>199.86</v>
      </c>
      <c r="C95" s="15">
        <f>IF(ISNUMBER(原始输入与口径!R95),原始输入与口径!R95,"缺失")</f>
        <v>66.224534522516336</v>
      </c>
      <c r="D95" s="15">
        <f>IF(ISNUMBER(原始输入与口径!W95),原始输入与口径!W95,"缺失")</f>
        <v>7.0245650143883518</v>
      </c>
      <c r="E95" s="15">
        <f>IF(ISNUMBER(原始输入与口径!AB95),原始输入与口径!AB95,"缺失")</f>
        <v>2.5937148628818627</v>
      </c>
      <c r="F95" s="15">
        <f>IF(ISNUMBER(原始输入与口径!AG95),原始输入与口径!AG95,"缺失")</f>
        <v>199.68803003449395</v>
      </c>
      <c r="G95" s="15">
        <f>IF(ISNUMBER(原始输入与口径!AJ95),原始输入与口径!AJ95,"缺失")</f>
        <v>76.420254225982887</v>
      </c>
      <c r="H95" s="15" t="str">
        <f t="shared" si="23"/>
        <v>未模拟</v>
      </c>
      <c r="I95" s="16">
        <f>原始输入与口径!CD95</f>
        <v>85.658255026087161</v>
      </c>
      <c r="J95" s="16">
        <f>原始输入与口径!CE95</f>
        <v>75.508789187577833</v>
      </c>
      <c r="K95" s="16">
        <f>原始输入与口径!BZ95</f>
        <v>36.000000000000028</v>
      </c>
      <c r="L95" s="16">
        <f>原始输入与口径!CK95</f>
        <v>40</v>
      </c>
      <c r="M95" s="16">
        <f>原始输入与口径!BT95</f>
        <v>24</v>
      </c>
      <c r="N95" s="16">
        <f>原始输入与口径!BJ95</f>
        <v>24</v>
      </c>
      <c r="O95" s="16">
        <f t="shared" si="24"/>
        <v>0.33846857142857145</v>
      </c>
      <c r="P95" s="16">
        <f t="shared" si="25"/>
        <v>9.6000000000000013E-4</v>
      </c>
      <c r="Q95" s="17">
        <f t="shared" si="26"/>
        <v>1798.7400000000016</v>
      </c>
      <c r="R95" s="17">
        <f t="shared" si="27"/>
        <v>662.24534522516342</v>
      </c>
      <c r="S95" s="17">
        <f t="shared" si="28"/>
        <v>42.147390086330113</v>
      </c>
      <c r="T95" s="17">
        <f t="shared" si="29"/>
        <v>15.562289177291177</v>
      </c>
      <c r="U95" s="17">
        <f t="shared" si="30"/>
        <v>67.588122257160833</v>
      </c>
      <c r="V95" s="17">
        <f t="shared" si="31"/>
        <v>-7.3363444056943589E-2</v>
      </c>
      <c r="W95" s="17">
        <f t="shared" si="32"/>
        <v>2586.2097833018902</v>
      </c>
      <c r="X95" s="12">
        <f>原始输入与口径!CP95</f>
        <v>2586.2097833018902</v>
      </c>
      <c r="Y95" s="19">
        <f t="shared" si="33"/>
        <v>0</v>
      </c>
      <c r="Z95" s="12" t="str">
        <f t="shared" si="34"/>
        <v>当日执行</v>
      </c>
      <c r="AA95" s="12">
        <f>IF(原始输入与口径!AW95,1,0)</f>
        <v>1</v>
      </c>
      <c r="AB95" s="12">
        <f>IF(原始输入与口径!AY95,1,0)</f>
        <v>1</v>
      </c>
      <c r="AC95" s="12">
        <f>原始输入与口径!$F$5</f>
        <v>0.25</v>
      </c>
      <c r="AD95" s="18">
        <f>原始输入与口径!CG95</f>
        <v>0.3125</v>
      </c>
      <c r="AE95" s="18">
        <f>原始输入与口径!BQ95</f>
        <v>0.13714285714285715</v>
      </c>
      <c r="AF95" s="18">
        <f t="shared" si="35"/>
        <v>5.6411428571428571E-2</v>
      </c>
      <c r="AG95" s="18">
        <f t="shared" si="36"/>
        <v>1.6000000000000001E-4</v>
      </c>
      <c r="AH95" s="12">
        <f>IF(ISNUMBER(原始输入与口径!T95),原始输入与口径!T95,"缺失")</f>
        <v>175</v>
      </c>
      <c r="AI95" s="12">
        <f>IF(ISNUMBER(原始输入与口径!Y95),原始输入与口径!Y95,"缺失")</f>
        <v>175</v>
      </c>
      <c r="AJ95" s="12">
        <f>IF(ISNUMBER(原始输入与口径!AI95),原始输入与口径!AI95,"缺失")</f>
        <v>2.468</v>
      </c>
      <c r="AK95" s="12">
        <f>IF(ISNUMBER(原始输入与口径!AL95),原始输入与口径!AL95,"缺失")</f>
        <v>7.0000000000000001E-3</v>
      </c>
      <c r="AL95" s="12">
        <f>IF(ISNUMBER(原始输入与口径!O95),原始输入与口径!O95,"缺失")</f>
        <v>131.96799999999999</v>
      </c>
      <c r="AM95" s="12">
        <f>SUMIFS(相位SOC复算!$N$9:$N$929,相位SOC复算!$S$9:$S$929,87)</f>
        <v>2.8192960662525898E-2</v>
      </c>
      <c r="AN95" s="12">
        <f>SUMIFS(相位SOC复算!$Q$9:$Q$929,相位SOC复算!$S$9:$S$929,87)</f>
        <v>0</v>
      </c>
      <c r="AO95" s="12">
        <f>SUMIFS(相位SOC复算!$R$9:$R$929,相位SOC复算!$S$9:$S$929,87)</f>
        <v>9.337508571428577</v>
      </c>
      <c r="AP95" s="12">
        <f>相位SOC复算!J213</f>
        <v>75.508789187577861</v>
      </c>
      <c r="AQ95" s="19">
        <f t="shared" si="37"/>
        <v>0</v>
      </c>
      <c r="AR95" s="12">
        <f>IF(ISBLANK(原始输入与口径!M95),"",原始输入与口径!M95)</f>
        <v>5.2473000000000001</v>
      </c>
      <c r="AS95" s="14">
        <f>IF(ISBLANK(原始输入与口径!L95),"",原始输入与口径!L95)</f>
        <v>46234</v>
      </c>
      <c r="AT95" s="13">
        <f>IF(ISBLANK(原始输入与口径!A95),"",原始输入与口径!A95)</f>
        <v>46235.770833333336</v>
      </c>
      <c r="AU95" s="12" t="str">
        <f>IF(ISBLANK(原始输入与口径!I95),"",原始输入与口径!I95)</f>
        <v>2026-08-01_83</v>
      </c>
      <c r="AV95" s="12">
        <f>IF(ISBLANK(原始输入与口径!J95),"",原始输入与口径!J95)</f>
        <v>15</v>
      </c>
      <c r="AW95" s="12" t="str">
        <f>IF(ISBLANK(原始输入与口径!BB95),"",原始输入与口径!BB95)</f>
        <v>OK</v>
      </c>
      <c r="AX95" s="12">
        <f>原始输入与口径!CI95</f>
        <v>128</v>
      </c>
      <c r="AY95" s="12">
        <f>原始输入与口径!BS95</f>
        <v>175</v>
      </c>
      <c r="AZ95" s="12">
        <f>原始输入与口径!BI95</f>
        <v>175</v>
      </c>
      <c r="BA95" s="12">
        <f>原始输入与口径!CM95</f>
        <v>40</v>
      </c>
      <c r="BB95" s="12">
        <f>原始输入与口径!BV95</f>
        <v>24</v>
      </c>
      <c r="BC95" s="12">
        <f>原始输入与口径!BL95</f>
        <v>24</v>
      </c>
      <c r="BD95" s="14">
        <f>46235</f>
        <v>46235</v>
      </c>
      <c r="BE95" s="1" t="str">
        <f t="shared" si="38"/>
        <v>36.000000 MW × 199.860000 × 0.250000 h = 1798.740000 EUR</v>
      </c>
      <c r="BF95" s="1" t="str">
        <f t="shared" si="39"/>
        <v>40.000000 MW × 66.224535 × 0.250000 h = 662.245345 EUR</v>
      </c>
      <c r="BG95" s="1" t="str">
        <f t="shared" si="40"/>
        <v>24.000000 MW × 7.024565 × 0.250000 h = 42.147390 EUR</v>
      </c>
      <c r="BH95" s="1" t="str">
        <f t="shared" si="41"/>
        <v>24.000000 MW × 2.593715 × 0.250000 h = 15.562289 EUR</v>
      </c>
      <c r="BI95" s="1" t="str">
        <f t="shared" si="42"/>
        <v>0.338469 MWh × 199.688030 = 67.588122 EUR</v>
      </c>
      <c r="BJ95" s="1" t="str">
        <f t="shared" si="43"/>
        <v>−(0.000960 MWh × 76.420254) = -0.073363 EUR</v>
      </c>
      <c r="BK95" s="1" t="str">
        <f t="shared" si="44"/>
        <v>1798.740000 + 662.245345 + 42.147390 + 15.562289 + 67.588122 + -0.073363 = 2586.209783 EUR</v>
      </c>
    </row>
    <row r="96" spans="1:63" ht="21" customHeight="1" x14ac:dyDescent="0.45">
      <c r="A96" s="13">
        <f>原始输入与口径!C96</f>
        <v>46235.90625</v>
      </c>
      <c r="B96" s="15">
        <f>IF(ISNUMBER(原始输入与口径!H96),原始输入与口径!H96,"缺失")</f>
        <v>199.8</v>
      </c>
      <c r="C96" s="15">
        <f>IF(ISNUMBER(原始输入与口径!R96),原始输入与口径!R96,"缺失")</f>
        <v>66.224534522516336</v>
      </c>
      <c r="D96" s="15">
        <f>IF(ISNUMBER(原始输入与口径!W96),原始输入与口径!W96,"缺失")</f>
        <v>7.0245650143883518</v>
      </c>
      <c r="E96" s="15">
        <f>IF(ISNUMBER(原始输入与口径!AB96),原始输入与口径!AB96,"缺失")</f>
        <v>2.5937148628818627</v>
      </c>
      <c r="F96" s="15">
        <f>IF(ISNUMBER(原始输入与口径!AG96),原始输入与口径!AG96,"缺失")</f>
        <v>161.71802641358411</v>
      </c>
      <c r="G96" s="15">
        <f>IF(ISNUMBER(原始输入与口径!AJ96),原始输入与口径!AJ96,"缺失")</f>
        <v>76.420254225982887</v>
      </c>
      <c r="H96" s="15" t="str">
        <f t="shared" si="23"/>
        <v>未模拟</v>
      </c>
      <c r="I96" s="16">
        <f>原始输入与口径!CD96</f>
        <v>75.508789187577833</v>
      </c>
      <c r="J96" s="16">
        <f>原始输入与口径!CE96</f>
        <v>65.718279870807649</v>
      </c>
      <c r="K96" s="16">
        <f>原始输入与口径!BZ96</f>
        <v>36</v>
      </c>
      <c r="L96" s="16">
        <f>原始输入与口径!CK96</f>
        <v>40</v>
      </c>
      <c r="M96" s="16">
        <f>原始输入与口径!BT96</f>
        <v>24</v>
      </c>
      <c r="N96" s="16">
        <f>原始输入与口径!BJ96</f>
        <v>24</v>
      </c>
      <c r="O96" s="16">
        <f t="shared" si="24"/>
        <v>1.7417142857142857E-2</v>
      </c>
      <c r="P96" s="16">
        <f t="shared" si="25"/>
        <v>1.0148571428571429E-2</v>
      </c>
      <c r="Q96" s="17">
        <f t="shared" si="26"/>
        <v>1798.2</v>
      </c>
      <c r="R96" s="17">
        <f t="shared" si="27"/>
        <v>662.24534522516342</v>
      </c>
      <c r="S96" s="17">
        <f t="shared" si="28"/>
        <v>42.147390086330113</v>
      </c>
      <c r="T96" s="17">
        <f t="shared" si="29"/>
        <v>15.562289177291177</v>
      </c>
      <c r="U96" s="17">
        <f t="shared" si="30"/>
        <v>2.8166659686205961</v>
      </c>
      <c r="V96" s="17">
        <f t="shared" si="31"/>
        <v>-0.77555640860197494</v>
      </c>
      <c r="W96" s="17">
        <f t="shared" si="32"/>
        <v>2520.1961340488037</v>
      </c>
      <c r="X96" s="12">
        <f>原始输入与口径!CP96</f>
        <v>2520.1961340488033</v>
      </c>
      <c r="Y96" s="19">
        <f t="shared" si="33"/>
        <v>0</v>
      </c>
      <c r="Z96" s="12" t="str">
        <f t="shared" si="34"/>
        <v>当日执行</v>
      </c>
      <c r="AA96" s="12">
        <f>IF(原始输入与口径!AW96,1,0)</f>
        <v>1</v>
      </c>
      <c r="AB96" s="12">
        <f>IF(原始输入与口径!AY96,1,0)</f>
        <v>1</v>
      </c>
      <c r="AC96" s="12">
        <f>原始输入与口径!$F$5</f>
        <v>0.25</v>
      </c>
      <c r="AD96" s="18">
        <f>原始输入与口径!CG96</f>
        <v>0.3125</v>
      </c>
      <c r="AE96" s="18">
        <f>原始输入与口径!BQ96</f>
        <v>0.13714285714285715</v>
      </c>
      <c r="AF96" s="18">
        <f t="shared" si="35"/>
        <v>2.9028571428571428E-3</v>
      </c>
      <c r="AG96" s="18">
        <f t="shared" si="36"/>
        <v>1.6914285714285714E-3</v>
      </c>
      <c r="AH96" s="12">
        <f>IF(ISNUMBER(原始输入与口径!T96),原始输入与口径!T96,"缺失")</f>
        <v>175</v>
      </c>
      <c r="AI96" s="12">
        <f>IF(ISNUMBER(原始输入与口径!Y96),原始输入与口径!Y96,"缺失")</f>
        <v>175</v>
      </c>
      <c r="AJ96" s="12">
        <f>IF(ISNUMBER(原始输入与口径!AI96),原始输入与口径!AI96,"缺失")</f>
        <v>0.127</v>
      </c>
      <c r="AK96" s="12">
        <f>IF(ISNUMBER(原始输入与口径!AL96),原始输入与口径!AL96,"缺失")</f>
        <v>7.3999999999999996E-2</v>
      </c>
      <c r="AL96" s="12">
        <f>IF(ISNUMBER(原始输入与口径!O96),原始输入与口径!O96,"缺失")</f>
        <v>131.96799999999999</v>
      </c>
      <c r="AM96" s="12">
        <f>SUMIFS(相位SOC复算!$N$9:$N$929,相位SOC复算!$S$9:$S$929,88)</f>
        <v>2.7195859213250521E-2</v>
      </c>
      <c r="AN96" s="12">
        <f>SUMIFS(相位SOC复算!$Q$9:$Q$929,相位SOC复算!$S$9:$S$929,88)</f>
        <v>0</v>
      </c>
      <c r="AO96" s="12">
        <f>SUMIFS(相位SOC复算!$R$9:$R$929,相位SOC复算!$S$9:$S$929,88)</f>
        <v>9.0072685714285718</v>
      </c>
      <c r="AP96" s="12">
        <f>相位SOC复算!J216</f>
        <v>65.718279870807677</v>
      </c>
      <c r="AQ96" s="19">
        <f t="shared" si="37"/>
        <v>0</v>
      </c>
      <c r="AR96" s="12">
        <f>IF(ISBLANK(原始输入与口径!M96),"",原始输入与口径!M96)</f>
        <v>5.2473000000000001</v>
      </c>
      <c r="AS96" s="14">
        <f>IF(ISBLANK(原始输入与口径!L96),"",原始输入与口径!L96)</f>
        <v>46234</v>
      </c>
      <c r="AT96" s="13">
        <f>IF(ISBLANK(原始输入与口径!A96),"",原始输入与口径!A96)</f>
        <v>46235.78125</v>
      </c>
      <c r="AU96" s="12" t="str">
        <f>IF(ISBLANK(原始输入与口径!I96),"",原始输入与口径!I96)</f>
        <v>2026-08-01_84</v>
      </c>
      <c r="AV96" s="12">
        <f>IF(ISBLANK(原始输入与口径!J96),"",原始输入与口径!J96)</f>
        <v>15</v>
      </c>
      <c r="AW96" s="12" t="str">
        <f>IF(ISBLANK(原始输入与口径!BB96),"",原始输入与口径!BB96)</f>
        <v>OK</v>
      </c>
      <c r="AX96" s="12">
        <f>原始输入与口径!CI96</f>
        <v>128</v>
      </c>
      <c r="AY96" s="12">
        <f>原始输入与口径!BS96</f>
        <v>175</v>
      </c>
      <c r="AZ96" s="12">
        <f>原始输入与口径!BI96</f>
        <v>175</v>
      </c>
      <c r="BA96" s="12">
        <f>原始输入与口径!CM96</f>
        <v>40</v>
      </c>
      <c r="BB96" s="12">
        <f>原始输入与口径!BV96</f>
        <v>24</v>
      </c>
      <c r="BC96" s="12">
        <f>原始输入与口径!BL96</f>
        <v>24</v>
      </c>
      <c r="BD96" s="14">
        <f>46235</f>
        <v>46235</v>
      </c>
      <c r="BE96" s="1" t="str">
        <f t="shared" si="38"/>
        <v>36.000000 MW × 199.800000 × 0.250000 h = 1798.200000 EUR</v>
      </c>
      <c r="BF96" s="1" t="str">
        <f t="shared" si="39"/>
        <v>40.000000 MW × 66.224535 × 0.250000 h = 662.245345 EUR</v>
      </c>
      <c r="BG96" s="1" t="str">
        <f t="shared" si="40"/>
        <v>24.000000 MW × 7.024565 × 0.250000 h = 42.147390 EUR</v>
      </c>
      <c r="BH96" s="1" t="str">
        <f t="shared" si="41"/>
        <v>24.000000 MW × 2.593715 × 0.250000 h = 15.562289 EUR</v>
      </c>
      <c r="BI96" s="1" t="str">
        <f t="shared" si="42"/>
        <v>0.017417 MWh × 161.718026 = 2.816666 EUR</v>
      </c>
      <c r="BJ96" s="1" t="str">
        <f t="shared" si="43"/>
        <v>−(0.010149 MWh × 76.420254) = -0.775556 EUR</v>
      </c>
      <c r="BK96" s="1" t="str">
        <f t="shared" si="44"/>
        <v>1798.200000 + 662.245345 + 42.147390 + 15.562289 + 2.816666 + -0.775556 = 2520.196134 EUR</v>
      </c>
    </row>
    <row r="97" spans="1:63" ht="21" customHeight="1" x14ac:dyDescent="0.45">
      <c r="A97" s="13">
        <f>原始输入与口径!C97</f>
        <v>46235.916666666664</v>
      </c>
      <c r="B97" s="15">
        <f>IF(ISNUMBER(原始输入与口径!H97),原始输入与口径!H97,"缺失")</f>
        <v>205.01</v>
      </c>
      <c r="C97" s="15">
        <f>IF(ISNUMBER(原始输入与口径!R97),原始输入与口径!R97,"缺失")</f>
        <v>66.224534522516336</v>
      </c>
      <c r="D97" s="15">
        <f>IF(ISNUMBER(原始输入与口径!W97),原始输入与口径!W97,"缺失")</f>
        <v>3.9143940693308936</v>
      </c>
      <c r="E97" s="15">
        <f>IF(ISNUMBER(原始输入与口径!AB97),原始输入与口径!AB97,"缺失")</f>
        <v>2.5937148628818627</v>
      </c>
      <c r="F97" s="15">
        <f>IF(ISNUMBER(原始输入与口径!AG97),原始输入与口径!AG97,"缺失")</f>
        <v>196.30552855754388</v>
      </c>
      <c r="G97" s="15">
        <f>IF(ISNUMBER(原始输入与口径!AJ97),原始输入与口径!AJ97,"缺失")</f>
        <v>0</v>
      </c>
      <c r="H97" s="15" t="str">
        <f t="shared" si="23"/>
        <v>未模拟</v>
      </c>
      <c r="I97" s="16">
        <f>原始输入与口径!CD97</f>
        <v>65.718279870807649</v>
      </c>
      <c r="J97" s="16">
        <f>原始输入与口径!CE97</f>
        <v>49.413932044720696</v>
      </c>
      <c r="K97" s="16">
        <f>原始输入与口径!BZ97</f>
        <v>60</v>
      </c>
      <c r="L97" s="16">
        <f>原始输入与口径!CK97</f>
        <v>40</v>
      </c>
      <c r="M97" s="16">
        <f>原始输入与口径!BT97</f>
        <v>0</v>
      </c>
      <c r="N97" s="16">
        <f>原始输入与口径!BJ97</f>
        <v>24</v>
      </c>
      <c r="O97" s="16">
        <f t="shared" si="24"/>
        <v>0</v>
      </c>
      <c r="P97" s="16">
        <f t="shared" si="25"/>
        <v>0</v>
      </c>
      <c r="Q97" s="17">
        <f t="shared" si="26"/>
        <v>3075.1499999999996</v>
      </c>
      <c r="R97" s="17">
        <f t="shared" si="27"/>
        <v>662.24534522516342</v>
      </c>
      <c r="S97" s="17">
        <f t="shared" si="28"/>
        <v>0</v>
      </c>
      <c r="T97" s="17">
        <f t="shared" si="29"/>
        <v>15.562289177291177</v>
      </c>
      <c r="U97" s="17">
        <f t="shared" si="30"/>
        <v>0</v>
      </c>
      <c r="V97" s="17">
        <f t="shared" si="31"/>
        <v>0</v>
      </c>
      <c r="W97" s="17">
        <f t="shared" si="32"/>
        <v>3752.9576344024545</v>
      </c>
      <c r="X97" s="12">
        <f>原始输入与口径!CP97</f>
        <v>3752.9576344024545</v>
      </c>
      <c r="Y97" s="19">
        <f t="shared" si="33"/>
        <v>0</v>
      </c>
      <c r="Z97" s="12" t="str">
        <f t="shared" si="34"/>
        <v>当日执行</v>
      </c>
      <c r="AA97" s="12">
        <f>IF(原始输入与口径!AW97,1,0)</f>
        <v>1</v>
      </c>
      <c r="AB97" s="12">
        <f>IF(原始输入与口径!AY97,1,0)</f>
        <v>1</v>
      </c>
      <c r="AC97" s="12">
        <f>原始输入与口径!$F$5</f>
        <v>0.25</v>
      </c>
      <c r="AD97" s="18">
        <f>原始输入与口径!CG97</f>
        <v>0.3125</v>
      </c>
      <c r="AE97" s="18">
        <f>原始输入与口径!BQ97</f>
        <v>0.13714285714285715</v>
      </c>
      <c r="AF97" s="18">
        <f t="shared" si="35"/>
        <v>0.10228571428571427</v>
      </c>
      <c r="AG97" s="18">
        <f t="shared" si="36"/>
        <v>0</v>
      </c>
      <c r="AH97" s="12">
        <f>IF(ISNUMBER(原始输入与口径!T97),原始输入与口径!T97,"缺失")</f>
        <v>175</v>
      </c>
      <c r="AI97" s="12">
        <f>IF(ISNUMBER(原始输入与口径!Y97),原始输入与口径!Y97,"缺失")</f>
        <v>175</v>
      </c>
      <c r="AJ97" s="12">
        <f>IF(ISNUMBER(原始输入与口径!AI97),原始输入与口径!AI97,"缺失")</f>
        <v>4.4749999999999996</v>
      </c>
      <c r="AK97" s="12">
        <f>IF(ISNUMBER(原始输入与口径!AL97),原始输入与口径!AL97,"缺失")</f>
        <v>0</v>
      </c>
      <c r="AL97" s="12">
        <f>IF(ISNUMBER(原始输入与口径!O97),原始输入与口径!O97,"缺失")</f>
        <v>131.96799999999999</v>
      </c>
      <c r="AM97" s="12">
        <f>SUMIFS(相位SOC复算!$N$9:$N$929,相位SOC复算!$S$9:$S$929,89)</f>
        <v>4.5289855072463768E-2</v>
      </c>
      <c r="AN97" s="12">
        <f>SUMIFS(相位SOC复算!$Q$9:$Q$929,相位SOC复算!$S$9:$S$929,89)</f>
        <v>0</v>
      </c>
      <c r="AO97" s="12">
        <f>SUMIFS(相位SOC复算!$R$9:$R$929,相位SOC复算!$S$9:$S$929,89)</f>
        <v>14.999999999999998</v>
      </c>
      <c r="AP97" s="12">
        <f>相位SOC复算!J218</f>
        <v>49.413932044720717</v>
      </c>
      <c r="AQ97" s="19">
        <f t="shared" si="37"/>
        <v>0</v>
      </c>
      <c r="AR97" s="12">
        <f>IF(ISBLANK(原始输入与口径!M97),"",原始输入与口径!M97)</f>
        <v>5.2473000000000001</v>
      </c>
      <c r="AS97" s="14">
        <f>IF(ISBLANK(原始输入与口径!L97),"",原始输入与口径!L97)</f>
        <v>46234</v>
      </c>
      <c r="AT97" s="13">
        <f>IF(ISBLANK(原始输入与口径!A97),"",原始输入与口径!A97)</f>
        <v>46235.791666666664</v>
      </c>
      <c r="AU97" s="12" t="str">
        <f>IF(ISBLANK(原始输入与口径!I97),"",原始输入与口径!I97)</f>
        <v>2026-08-01_85</v>
      </c>
      <c r="AV97" s="12">
        <f>IF(ISBLANK(原始输入与口径!J97),"",原始输入与口径!J97)</f>
        <v>15</v>
      </c>
      <c r="AW97" s="12" t="str">
        <f>IF(ISBLANK(原始输入与口径!BB97),"",原始输入与口径!BB97)</f>
        <v>OK</v>
      </c>
      <c r="AX97" s="12">
        <f>原始输入与口径!CI97</f>
        <v>128</v>
      </c>
      <c r="AY97" s="12">
        <f>原始输入与口径!BS97</f>
        <v>175</v>
      </c>
      <c r="AZ97" s="12">
        <f>原始输入与口径!BI97</f>
        <v>175</v>
      </c>
      <c r="BA97" s="12">
        <f>原始输入与口径!CM97</f>
        <v>40</v>
      </c>
      <c r="BB97" s="12">
        <f>原始输入与口径!BV97</f>
        <v>24</v>
      </c>
      <c r="BC97" s="12">
        <f>原始输入与口径!BL97</f>
        <v>24</v>
      </c>
      <c r="BD97" s="14">
        <f>46235</f>
        <v>46235</v>
      </c>
      <c r="BE97" s="1" t="str">
        <f t="shared" si="38"/>
        <v>60.000000 MW × 205.010000 × 0.250000 h = 3075.150000 EUR</v>
      </c>
      <c r="BF97" s="1" t="str">
        <f t="shared" si="39"/>
        <v>40.000000 MW × 66.224535 × 0.250000 h = 662.245345 EUR</v>
      </c>
      <c r="BG97" s="1" t="str">
        <f t="shared" si="40"/>
        <v>零头寸，无结算现金</v>
      </c>
      <c r="BH97" s="1" t="str">
        <f t="shared" si="41"/>
        <v>24.000000 MW × 2.593715 × 0.250000 h = 15.562289 EUR</v>
      </c>
      <c r="BI97" s="1" t="str">
        <f t="shared" si="42"/>
        <v>零上调激活电量</v>
      </c>
      <c r="BJ97" s="1" t="str">
        <f t="shared" si="43"/>
        <v>零下调激活电量</v>
      </c>
      <c r="BK97" s="1" t="str">
        <f t="shared" si="44"/>
        <v>3075.150000 + 662.245345 + 0.000000 + 15.562289 + 0.000000 + 0.000000 = 3752.957634 EUR</v>
      </c>
    </row>
    <row r="98" spans="1:63" ht="21" customHeight="1" x14ac:dyDescent="0.45">
      <c r="A98" s="13">
        <f>原始输入与口径!C98</f>
        <v>46235.927083333336</v>
      </c>
      <c r="B98" s="15">
        <f>IF(ISNUMBER(原始输入与口径!H98),原始输入与口径!H98,"缺失")</f>
        <v>201.51</v>
      </c>
      <c r="C98" s="15">
        <f>IF(ISNUMBER(原始输入与口径!R98),原始输入与口径!R98,"缺失")</f>
        <v>66.224534522516336</v>
      </c>
      <c r="D98" s="15">
        <f>IF(ISNUMBER(原始输入与口径!W98),原始输入与口径!W98,"缺失")</f>
        <v>3.9143940693308936</v>
      </c>
      <c r="E98" s="15">
        <f>IF(ISNUMBER(原始输入与口径!AB98),原始输入与口径!AB98,"缺失")</f>
        <v>2.5937148628818627</v>
      </c>
      <c r="F98" s="15">
        <f>IF(ISNUMBER(原始输入与口径!AG98),原始输入与口径!AG98,"缺失")</f>
        <v>168.99453052045814</v>
      </c>
      <c r="G98" s="15">
        <f>IF(ISNUMBER(原始输入与口径!AJ98),原始输入与口径!AJ98,"缺失")</f>
        <v>72.405427553217848</v>
      </c>
      <c r="H98" s="15" t="str">
        <f t="shared" si="23"/>
        <v>未模拟</v>
      </c>
      <c r="I98" s="16">
        <f>原始输入与口径!CD98</f>
        <v>49.413932044720696</v>
      </c>
      <c r="J98" s="16">
        <f>原始输入与口径!CE98</f>
        <v>33.196043845962933</v>
      </c>
      <c r="K98" s="16">
        <f>原始输入与口径!BZ98</f>
        <v>60</v>
      </c>
      <c r="L98" s="16">
        <f>原始输入与口径!CK98</f>
        <v>40</v>
      </c>
      <c r="M98" s="16">
        <f>原始输入与口径!BT98</f>
        <v>0</v>
      </c>
      <c r="N98" s="16">
        <f>原始输入与口径!BJ98</f>
        <v>24</v>
      </c>
      <c r="O98" s="16">
        <f t="shared" si="24"/>
        <v>0</v>
      </c>
      <c r="P98" s="16">
        <f t="shared" si="25"/>
        <v>7.9542857142857137E-2</v>
      </c>
      <c r="Q98" s="17">
        <f t="shared" si="26"/>
        <v>3022.6499999999996</v>
      </c>
      <c r="R98" s="17">
        <f t="shared" si="27"/>
        <v>662.24534522516342</v>
      </c>
      <c r="S98" s="17">
        <f t="shared" si="28"/>
        <v>0</v>
      </c>
      <c r="T98" s="17">
        <f t="shared" si="29"/>
        <v>15.562289177291177</v>
      </c>
      <c r="U98" s="17">
        <f t="shared" si="30"/>
        <v>0</v>
      </c>
      <c r="V98" s="17">
        <f t="shared" si="31"/>
        <v>-5.7593345802330989</v>
      </c>
      <c r="W98" s="17">
        <f t="shared" si="32"/>
        <v>3694.6982998222215</v>
      </c>
      <c r="X98" s="12">
        <f>原始输入与口径!CP98</f>
        <v>3694.6982998222211</v>
      </c>
      <c r="Y98" s="19">
        <f t="shared" si="33"/>
        <v>0</v>
      </c>
      <c r="Z98" s="12" t="str">
        <f t="shared" si="34"/>
        <v>当日执行</v>
      </c>
      <c r="AA98" s="12">
        <f>IF(原始输入与口径!AW98,1,0)</f>
        <v>1</v>
      </c>
      <c r="AB98" s="12">
        <f>IF(原始输入与口径!AY98,1,0)</f>
        <v>1</v>
      </c>
      <c r="AC98" s="12">
        <f>原始输入与口径!$F$5</f>
        <v>0.25</v>
      </c>
      <c r="AD98" s="18">
        <f>原始输入与口径!CG98</f>
        <v>0.3125</v>
      </c>
      <c r="AE98" s="18">
        <f>原始输入与口径!BQ98</f>
        <v>0.13714285714285715</v>
      </c>
      <c r="AF98" s="18">
        <f t="shared" si="35"/>
        <v>1.7028571428571428E-2</v>
      </c>
      <c r="AG98" s="18">
        <f t="shared" si="36"/>
        <v>1.3257142857142856E-2</v>
      </c>
      <c r="AH98" s="12">
        <f>IF(ISNUMBER(原始输入与口径!T98),原始输入与口径!T98,"缺失")</f>
        <v>175</v>
      </c>
      <c r="AI98" s="12">
        <f>IF(ISNUMBER(原始输入与口径!Y98),原始输入与口径!Y98,"缺失")</f>
        <v>175</v>
      </c>
      <c r="AJ98" s="12">
        <f>IF(ISNUMBER(原始输入与口径!AI98),原始输入与口径!AI98,"缺失")</f>
        <v>0.745</v>
      </c>
      <c r="AK98" s="12">
        <f>IF(ISNUMBER(原始输入与口径!AL98),原始输入与口径!AL98,"缺失")</f>
        <v>0.57999999999999996</v>
      </c>
      <c r="AL98" s="12">
        <f>IF(ISNUMBER(原始输入与口径!O98),原始输入与口径!O98,"缺失")</f>
        <v>131.96799999999999</v>
      </c>
      <c r="AM98" s="12">
        <f>SUMIFS(相位SOC复算!$N$9:$N$929,相位SOC复算!$S$9:$S$929,90)</f>
        <v>4.5049689440993787E-2</v>
      </c>
      <c r="AN98" s="12">
        <f>SUMIFS(相位SOC复算!$Q$9:$Q$929,相位SOC复算!$S$9:$S$929,90)</f>
        <v>0</v>
      </c>
      <c r="AO98" s="12">
        <f>SUMIFS(相位SOC复算!$R$9:$R$929,相位SOC复算!$S$9:$S$929,90)</f>
        <v>14.920457142857144</v>
      </c>
      <c r="AP98" s="12">
        <f>相位SOC复算!J221</f>
        <v>33.196043845962954</v>
      </c>
      <c r="AQ98" s="19">
        <f t="shared" si="37"/>
        <v>0</v>
      </c>
      <c r="AR98" s="12">
        <f>IF(ISBLANK(原始输入与口径!M98),"",原始输入与口径!M98)</f>
        <v>5.2473000000000001</v>
      </c>
      <c r="AS98" s="14">
        <f>IF(ISBLANK(原始输入与口径!L98),"",原始输入与口径!L98)</f>
        <v>46234</v>
      </c>
      <c r="AT98" s="13">
        <f>IF(ISBLANK(原始输入与口径!A98),"",原始输入与口径!A98)</f>
        <v>46235.802083333336</v>
      </c>
      <c r="AU98" s="12" t="str">
        <f>IF(ISBLANK(原始输入与口径!I98),"",原始输入与口径!I98)</f>
        <v>2026-08-01_86</v>
      </c>
      <c r="AV98" s="12">
        <f>IF(ISBLANK(原始输入与口径!J98),"",原始输入与口径!J98)</f>
        <v>15</v>
      </c>
      <c r="AW98" s="12" t="str">
        <f>IF(ISBLANK(原始输入与口径!BB98),"",原始输入与口径!BB98)</f>
        <v>OK</v>
      </c>
      <c r="AX98" s="12">
        <f>原始输入与口径!CI98</f>
        <v>128</v>
      </c>
      <c r="AY98" s="12">
        <f>原始输入与口径!BS98</f>
        <v>175</v>
      </c>
      <c r="AZ98" s="12">
        <f>原始输入与口径!BI98</f>
        <v>175</v>
      </c>
      <c r="BA98" s="12">
        <f>原始输入与口径!CM98</f>
        <v>40</v>
      </c>
      <c r="BB98" s="12">
        <f>原始输入与口径!BV98</f>
        <v>24</v>
      </c>
      <c r="BC98" s="12">
        <f>原始输入与口径!BL98</f>
        <v>24</v>
      </c>
      <c r="BD98" s="14">
        <f>46235</f>
        <v>46235</v>
      </c>
      <c r="BE98" s="1" t="str">
        <f t="shared" si="38"/>
        <v>60.000000 MW × 201.510000 × 0.250000 h = 3022.650000 EUR</v>
      </c>
      <c r="BF98" s="1" t="str">
        <f t="shared" si="39"/>
        <v>40.000000 MW × 66.224535 × 0.250000 h = 662.245345 EUR</v>
      </c>
      <c r="BG98" s="1" t="str">
        <f t="shared" si="40"/>
        <v>零头寸，无结算现金</v>
      </c>
      <c r="BH98" s="1" t="str">
        <f t="shared" si="41"/>
        <v>24.000000 MW × 2.593715 × 0.250000 h = 15.562289 EUR</v>
      </c>
      <c r="BI98" s="1" t="str">
        <f t="shared" si="42"/>
        <v>零上调激活电量</v>
      </c>
      <c r="BJ98" s="1" t="str">
        <f t="shared" si="43"/>
        <v>−(0.079543 MWh × 72.405428) = -5.759335 EUR</v>
      </c>
      <c r="BK98" s="1" t="str">
        <f t="shared" si="44"/>
        <v>3022.650000 + 662.245345 + 0.000000 + 15.562289 + 0.000000 + -5.759335 = 3694.698300 EUR</v>
      </c>
    </row>
    <row r="99" spans="1:63" ht="21" customHeight="1" x14ac:dyDescent="0.45">
      <c r="A99" s="13">
        <f>原始输入与口径!C99</f>
        <v>46235.9375</v>
      </c>
      <c r="B99" s="15">
        <f>IF(ISNUMBER(原始输入与口径!H99),原始输入与口径!H99,"缺失")</f>
        <v>182.41</v>
      </c>
      <c r="C99" s="15">
        <f>IF(ISNUMBER(原始输入与口径!R99),原始输入与口径!R99,"缺失")</f>
        <v>66.224534522516336</v>
      </c>
      <c r="D99" s="15">
        <f>IF(ISNUMBER(原始输入与口径!W99),原始输入与口径!W99,"缺失")</f>
        <v>3.9143940693308936</v>
      </c>
      <c r="E99" s="15">
        <f>IF(ISNUMBER(原始输入与口径!AB99),原始输入与口径!AB99,"缺失")</f>
        <v>2.5937148628818627</v>
      </c>
      <c r="F99" s="15">
        <f>IF(ISNUMBER(原始输入与口径!AG99),原始输入与口径!AG99,"缺失")</f>
        <v>166.21653040611361</v>
      </c>
      <c r="G99" s="15">
        <f>IF(ISNUMBER(原始输入与口径!AJ99),原始输入与口径!AJ99,"缺失")</f>
        <v>76.919939778552788</v>
      </c>
      <c r="H99" s="15" t="str">
        <f t="shared" si="23"/>
        <v>未模拟</v>
      </c>
      <c r="I99" s="16">
        <f>原始输入与口径!CD99</f>
        <v>33.196043845962933</v>
      </c>
      <c r="J99" s="16">
        <f>原始输入与口径!CE99</f>
        <v>33.289410703105787</v>
      </c>
      <c r="K99" s="16">
        <f>原始输入与口径!BZ99</f>
        <v>0</v>
      </c>
      <c r="L99" s="16">
        <f>原始输入与口径!CK99</f>
        <v>40</v>
      </c>
      <c r="M99" s="16">
        <f>原始输入与口径!BT99</f>
        <v>0</v>
      </c>
      <c r="N99" s="16">
        <f>原始输入与口径!BJ99</f>
        <v>24</v>
      </c>
      <c r="O99" s="16">
        <f t="shared" si="24"/>
        <v>0</v>
      </c>
      <c r="P99" s="16">
        <f t="shared" si="25"/>
        <v>0.10148571428571429</v>
      </c>
      <c r="Q99" s="17">
        <f t="shared" si="26"/>
        <v>0</v>
      </c>
      <c r="R99" s="17">
        <f t="shared" si="27"/>
        <v>662.24534522516342</v>
      </c>
      <c r="S99" s="17">
        <f t="shared" si="28"/>
        <v>0</v>
      </c>
      <c r="T99" s="17">
        <f t="shared" si="29"/>
        <v>15.562289177291177</v>
      </c>
      <c r="U99" s="17">
        <f t="shared" si="30"/>
        <v>0</v>
      </c>
      <c r="V99" s="17">
        <f t="shared" si="31"/>
        <v>-7.806275031240558</v>
      </c>
      <c r="W99" s="17">
        <f t="shared" si="32"/>
        <v>670.00135937121399</v>
      </c>
      <c r="X99" s="12">
        <f>原始输入与口径!CP99</f>
        <v>670.00135937121399</v>
      </c>
      <c r="Y99" s="19">
        <f t="shared" si="33"/>
        <v>0</v>
      </c>
      <c r="Z99" s="12" t="str">
        <f t="shared" si="34"/>
        <v>当日执行</v>
      </c>
      <c r="AA99" s="12">
        <f>IF(原始输入与口径!AW99,1,0)</f>
        <v>1</v>
      </c>
      <c r="AB99" s="12">
        <f>IF(原始输入与口径!AY99,1,0)</f>
        <v>1</v>
      </c>
      <c r="AC99" s="12">
        <f>原始输入与口径!$F$5</f>
        <v>0.25</v>
      </c>
      <c r="AD99" s="18">
        <f>原始输入与口径!CG99</f>
        <v>0.3125</v>
      </c>
      <c r="AE99" s="18">
        <f>原始输入与口径!BQ99</f>
        <v>0.13714285714285715</v>
      </c>
      <c r="AF99" s="18">
        <f t="shared" si="35"/>
        <v>6.582857142857142E-3</v>
      </c>
      <c r="AG99" s="18">
        <f t="shared" si="36"/>
        <v>1.6914285714285715E-2</v>
      </c>
      <c r="AH99" s="12">
        <f>IF(ISNUMBER(原始输入与口径!T99),原始输入与口径!T99,"缺失")</f>
        <v>175</v>
      </c>
      <c r="AI99" s="12">
        <f>IF(ISNUMBER(原始输入与口径!Y99),原始输入与口径!Y99,"缺失")</f>
        <v>175</v>
      </c>
      <c r="AJ99" s="12">
        <f>IF(ISNUMBER(原始输入与口径!AI99),原始输入与口径!AI99,"缺失")</f>
        <v>0.28799999999999998</v>
      </c>
      <c r="AK99" s="12">
        <f>IF(ISNUMBER(原始输入与口径!AL99),原始输入与口径!AL99,"缺失")</f>
        <v>0.74</v>
      </c>
      <c r="AL99" s="12">
        <f>IF(ISNUMBER(原始输入与口径!O99),原始输入与口径!O99,"缺失")</f>
        <v>131.96799999999999</v>
      </c>
      <c r="AM99" s="12">
        <f>SUMIFS(相位SOC复算!$N$9:$N$929,相位SOC复算!$S$9:$S$929,91)</f>
        <v>2.5935238095238099E-4</v>
      </c>
      <c r="AN99" s="12">
        <f>SUMIFS(相位SOC复算!$Q$9:$Q$929,相位SOC复算!$S$9:$S$929,91)</f>
        <v>0.10148571428571429</v>
      </c>
      <c r="AO99" s="12">
        <f>SUMIFS(相位SOC复算!$R$9:$R$929,相位SOC复算!$S$9:$S$929,91)</f>
        <v>0</v>
      </c>
      <c r="AP99" s="12">
        <f>相位SOC复算!J224</f>
        <v>33.289410703105808</v>
      </c>
      <c r="AQ99" s="19">
        <f t="shared" si="37"/>
        <v>0</v>
      </c>
      <c r="AR99" s="12">
        <f>IF(ISBLANK(原始输入与口径!M99),"",原始输入与口径!M99)</f>
        <v>5.2473000000000001</v>
      </c>
      <c r="AS99" s="14">
        <f>IF(ISBLANK(原始输入与口径!L99),"",原始输入与口径!L99)</f>
        <v>46234</v>
      </c>
      <c r="AT99" s="13">
        <f>IF(ISBLANK(原始输入与口径!A99),"",原始输入与口径!A99)</f>
        <v>46235.8125</v>
      </c>
      <c r="AU99" s="12" t="str">
        <f>IF(ISBLANK(原始输入与口径!I99),"",原始输入与口径!I99)</f>
        <v>2026-08-01_87</v>
      </c>
      <c r="AV99" s="12">
        <f>IF(ISBLANK(原始输入与口径!J99),"",原始输入与口径!J99)</f>
        <v>15</v>
      </c>
      <c r="AW99" s="12" t="str">
        <f>IF(ISBLANK(原始输入与口径!BB99),"",原始输入与口径!BB99)</f>
        <v>OK</v>
      </c>
      <c r="AX99" s="12">
        <f>原始输入与口径!CI99</f>
        <v>128</v>
      </c>
      <c r="AY99" s="12">
        <f>原始输入与口径!BS99</f>
        <v>175</v>
      </c>
      <c r="AZ99" s="12">
        <f>原始输入与口径!BI99</f>
        <v>175</v>
      </c>
      <c r="BA99" s="12">
        <f>原始输入与口径!CM99</f>
        <v>40</v>
      </c>
      <c r="BB99" s="12">
        <f>原始输入与口径!BV99</f>
        <v>24</v>
      </c>
      <c r="BC99" s="12">
        <f>原始输入与口径!BL99</f>
        <v>24</v>
      </c>
      <c r="BD99" s="14">
        <f>46235</f>
        <v>46235</v>
      </c>
      <c r="BE99" s="1" t="str">
        <f t="shared" si="38"/>
        <v>零头寸，无结算现金</v>
      </c>
      <c r="BF99" s="1" t="str">
        <f t="shared" si="39"/>
        <v>40.000000 MW × 66.224535 × 0.250000 h = 662.245345 EUR</v>
      </c>
      <c r="BG99" s="1" t="str">
        <f t="shared" si="40"/>
        <v>零头寸，无结算现金</v>
      </c>
      <c r="BH99" s="1" t="str">
        <f t="shared" si="41"/>
        <v>24.000000 MW × 2.593715 × 0.250000 h = 15.562289 EUR</v>
      </c>
      <c r="BI99" s="1" t="str">
        <f t="shared" si="42"/>
        <v>零上调激活电量</v>
      </c>
      <c r="BJ99" s="1" t="str">
        <f t="shared" si="43"/>
        <v>−(0.101486 MWh × 76.919940) = -7.806275 EUR</v>
      </c>
      <c r="BK99" s="1" t="str">
        <f t="shared" si="44"/>
        <v>0.000000 + 662.245345 + 0.000000 + 15.562289 + 0.000000 + -7.806275 = 670.001359 EUR</v>
      </c>
    </row>
    <row r="100" spans="1:63" ht="21" customHeight="1" x14ac:dyDescent="0.45">
      <c r="A100" s="13">
        <f>原始输入与口径!C100</f>
        <v>46235.947916666664</v>
      </c>
      <c r="B100" s="15">
        <f>IF(ISNUMBER(原始输入与口径!H100),原始输入与口径!H100,"缺失")</f>
        <v>173.85</v>
      </c>
      <c r="C100" s="15">
        <f>IF(ISNUMBER(原始输入与口径!R100),原始输入与口径!R100,"缺失")</f>
        <v>66.224534522516336</v>
      </c>
      <c r="D100" s="15">
        <f>IF(ISNUMBER(原始输入与口径!W100),原始输入与口径!W100,"缺失")</f>
        <v>3.9143940693308936</v>
      </c>
      <c r="E100" s="15">
        <f>IF(ISNUMBER(原始输入与口径!AB100),原始输入与口径!AB100,"缺失")</f>
        <v>2.5937148628818627</v>
      </c>
      <c r="F100" s="15">
        <f>IF(ISNUMBER(原始输入与口径!AG100),原始输入与口径!AG100,"缺失")</f>
        <v>164.99228174489738</v>
      </c>
      <c r="G100" s="15">
        <f>IF(ISNUMBER(原始输入与口径!AJ100),原始输入与口径!AJ100,"缺失")</f>
        <v>70.144645817849181</v>
      </c>
      <c r="H100" s="15" t="str">
        <f t="shared" si="23"/>
        <v>未模拟</v>
      </c>
      <c r="I100" s="16">
        <f>原始输入与口径!CD100</f>
        <v>33.289410703105787</v>
      </c>
      <c r="J100" s="16">
        <f>原始输入与口径!CE100</f>
        <v>33.575567503105788</v>
      </c>
      <c r="K100" s="16">
        <f>原始输入与口径!BZ100</f>
        <v>0</v>
      </c>
      <c r="L100" s="16">
        <f>原始输入与口径!CK100</f>
        <v>40</v>
      </c>
      <c r="M100" s="16">
        <f>原始输入与口径!BT100</f>
        <v>0</v>
      </c>
      <c r="N100" s="16">
        <f>原始输入与口径!BJ100</f>
        <v>24</v>
      </c>
      <c r="O100" s="16">
        <f t="shared" si="24"/>
        <v>0</v>
      </c>
      <c r="P100" s="16">
        <f t="shared" si="25"/>
        <v>0.31103999999999998</v>
      </c>
      <c r="Q100" s="17">
        <f t="shared" si="26"/>
        <v>0</v>
      </c>
      <c r="R100" s="17">
        <f t="shared" si="27"/>
        <v>662.24534522516342</v>
      </c>
      <c r="S100" s="17">
        <f t="shared" si="28"/>
        <v>0</v>
      </c>
      <c r="T100" s="17">
        <f t="shared" si="29"/>
        <v>15.562289177291177</v>
      </c>
      <c r="U100" s="17">
        <f t="shared" si="30"/>
        <v>0</v>
      </c>
      <c r="V100" s="17">
        <f t="shared" si="31"/>
        <v>-21.817790635183808</v>
      </c>
      <c r="W100" s="17">
        <f t="shared" si="32"/>
        <v>655.98984376727083</v>
      </c>
      <c r="X100" s="12">
        <f>原始输入与口径!CP100</f>
        <v>655.98984376727083</v>
      </c>
      <c r="Y100" s="19">
        <f t="shared" si="33"/>
        <v>0</v>
      </c>
      <c r="Z100" s="12" t="str">
        <f t="shared" si="34"/>
        <v>当日执行</v>
      </c>
      <c r="AA100" s="12">
        <f>IF(原始输入与口径!AW100,1,0)</f>
        <v>1</v>
      </c>
      <c r="AB100" s="12">
        <f>IF(原始输入与口径!AY100,1,0)</f>
        <v>1</v>
      </c>
      <c r="AC100" s="12">
        <f>原始输入与口径!$F$5</f>
        <v>0.25</v>
      </c>
      <c r="AD100" s="18">
        <f>原始输入与口径!CG100</f>
        <v>0.3125</v>
      </c>
      <c r="AE100" s="18">
        <f>原始输入与口径!BQ100</f>
        <v>0.13714285714285715</v>
      </c>
      <c r="AF100" s="18">
        <f t="shared" si="35"/>
        <v>6.4000000000000003E-3</v>
      </c>
      <c r="AG100" s="18">
        <f t="shared" si="36"/>
        <v>5.1839999999999997E-2</v>
      </c>
      <c r="AH100" s="12">
        <f>IF(ISNUMBER(原始输入与口径!T100),原始输入与口径!T100,"缺失")</f>
        <v>175</v>
      </c>
      <c r="AI100" s="12">
        <f>IF(ISNUMBER(原始输入与口径!Y100),原始输入与口径!Y100,"缺失")</f>
        <v>175</v>
      </c>
      <c r="AJ100" s="12">
        <f>IF(ISNUMBER(原始输入与口径!AI100),原始输入与口径!AI100,"缺失")</f>
        <v>0.28000000000000003</v>
      </c>
      <c r="AK100" s="12">
        <f>IF(ISNUMBER(原始输入与口径!AL100),原始输入与口径!AL100,"缺失")</f>
        <v>2.2679999999999998</v>
      </c>
      <c r="AL100" s="12">
        <f>IF(ISNUMBER(原始输入与口径!O100),原始输入与口径!O100,"缺失")</f>
        <v>131.96799999999999</v>
      </c>
      <c r="AM100" s="12">
        <f>SUMIFS(相位SOC复算!$N$9:$N$929,相位SOC复算!$S$9:$S$929,92)</f>
        <v>7.9487999999999998E-4</v>
      </c>
      <c r="AN100" s="12">
        <f>SUMIFS(相位SOC复算!$Q$9:$Q$929,相位SOC复算!$S$9:$S$929,92)</f>
        <v>0.31103999999999998</v>
      </c>
      <c r="AO100" s="12">
        <f>SUMIFS(相位SOC复算!$R$9:$R$929,相位SOC复算!$S$9:$S$929,92)</f>
        <v>0</v>
      </c>
      <c r="AP100" s="12">
        <f>相位SOC复算!J227</f>
        <v>33.575567503105809</v>
      </c>
      <c r="AQ100" s="19">
        <f t="shared" si="37"/>
        <v>0</v>
      </c>
      <c r="AR100" s="12">
        <f>IF(ISBLANK(原始输入与口径!M100),"",原始输入与口径!M100)</f>
        <v>5.2473000000000001</v>
      </c>
      <c r="AS100" s="14">
        <f>IF(ISBLANK(原始输入与口径!L100),"",原始输入与口径!L100)</f>
        <v>46234</v>
      </c>
      <c r="AT100" s="13">
        <f>IF(ISBLANK(原始输入与口径!A100),"",原始输入与口径!A100)</f>
        <v>46235.822916666664</v>
      </c>
      <c r="AU100" s="12" t="str">
        <f>IF(ISBLANK(原始输入与口径!I100),"",原始输入与口径!I100)</f>
        <v>2026-08-01_88</v>
      </c>
      <c r="AV100" s="12">
        <f>IF(ISBLANK(原始输入与口径!J100),"",原始输入与口径!J100)</f>
        <v>15</v>
      </c>
      <c r="AW100" s="12" t="str">
        <f>IF(ISBLANK(原始输入与口径!BB100),"",原始输入与口径!BB100)</f>
        <v>OK</v>
      </c>
      <c r="AX100" s="12">
        <f>原始输入与口径!CI100</f>
        <v>128</v>
      </c>
      <c r="AY100" s="12">
        <f>原始输入与口径!BS100</f>
        <v>175</v>
      </c>
      <c r="AZ100" s="12">
        <f>原始输入与口径!BI100</f>
        <v>175</v>
      </c>
      <c r="BA100" s="12">
        <f>原始输入与口径!CM100</f>
        <v>40</v>
      </c>
      <c r="BB100" s="12">
        <f>原始输入与口径!BV100</f>
        <v>24</v>
      </c>
      <c r="BC100" s="12">
        <f>原始输入与口径!BL100</f>
        <v>24</v>
      </c>
      <c r="BD100" s="14">
        <f>46235</f>
        <v>46235</v>
      </c>
      <c r="BE100" s="1" t="str">
        <f t="shared" si="38"/>
        <v>零头寸，无结算现金</v>
      </c>
      <c r="BF100" s="1" t="str">
        <f t="shared" si="39"/>
        <v>40.000000 MW × 66.224535 × 0.250000 h = 662.245345 EUR</v>
      </c>
      <c r="BG100" s="1" t="str">
        <f t="shared" si="40"/>
        <v>零头寸，无结算现金</v>
      </c>
      <c r="BH100" s="1" t="str">
        <f t="shared" si="41"/>
        <v>24.000000 MW × 2.593715 × 0.250000 h = 15.562289 EUR</v>
      </c>
      <c r="BI100" s="1" t="str">
        <f t="shared" si="42"/>
        <v>零上调激活电量</v>
      </c>
      <c r="BJ100" s="1" t="str">
        <f t="shared" si="43"/>
        <v>−(0.311040 MWh × 70.144646) = -21.817791 EUR</v>
      </c>
      <c r="BK100" s="1" t="str">
        <f t="shared" si="44"/>
        <v>0.000000 + 662.245345 + 0.000000 + 15.562289 + 0.000000 + -21.817791 = 655.989844 EUR</v>
      </c>
    </row>
    <row r="101" spans="1:63" ht="21" customHeight="1" x14ac:dyDescent="0.45">
      <c r="A101" s="13">
        <f>原始输入与口径!C101</f>
        <v>46235.958333333336</v>
      </c>
      <c r="B101" s="15">
        <f>IF(ISNUMBER(原始输入与口径!H101),原始输入与口径!H101,"缺失")</f>
        <v>190.2</v>
      </c>
      <c r="C101" s="15">
        <f>IF(ISNUMBER(原始输入与口径!R101),原始输入与口径!R101,"缺失")</f>
        <v>66.224534522516336</v>
      </c>
      <c r="D101" s="15">
        <f>IF(ISNUMBER(原始输入与口径!W101),原始输入与口径!W101,"缺失")</f>
        <v>7.1274750824233415</v>
      </c>
      <c r="E101" s="15">
        <f>IF(ISNUMBER(原始输入与口径!AB101),原始输入与口径!AB101,"缺失")</f>
        <v>2.5937148628818627</v>
      </c>
      <c r="F101" s="15">
        <f>IF(ISNUMBER(原始输入与口径!AG101),原始输入与口径!AG101,"缺失")</f>
        <v>168.49751300668916</v>
      </c>
      <c r="G101" s="15">
        <f>IF(ISNUMBER(原始输入与口径!AJ101),原始输入与口径!AJ101,"缺失")</f>
        <v>74.32546261887066</v>
      </c>
      <c r="H101" s="15" t="str">
        <f t="shared" si="23"/>
        <v>未模拟</v>
      </c>
      <c r="I101" s="16">
        <f>原始输入与口径!CD101</f>
        <v>33.575567503105788</v>
      </c>
      <c r="J101" s="16">
        <f>原始输入与口径!CE101</f>
        <v>33.513692462112004</v>
      </c>
      <c r="K101" s="16">
        <f>原始输入与口径!BZ101</f>
        <v>0</v>
      </c>
      <c r="L101" s="16">
        <f>原始输入与口径!CK101</f>
        <v>40</v>
      </c>
      <c r="M101" s="16">
        <f>原始输入与口径!BT101</f>
        <v>24</v>
      </c>
      <c r="N101" s="16">
        <f>原始输入与口径!BJ101</f>
        <v>24</v>
      </c>
      <c r="O101" s="16">
        <f t="shared" si="24"/>
        <v>0.12877714285714284</v>
      </c>
      <c r="P101" s="16">
        <f t="shared" si="25"/>
        <v>8.4891428571428576E-2</v>
      </c>
      <c r="Q101" s="17">
        <f t="shared" si="26"/>
        <v>0</v>
      </c>
      <c r="R101" s="17">
        <f t="shared" si="27"/>
        <v>662.24534522516342</v>
      </c>
      <c r="S101" s="17">
        <f t="shared" si="28"/>
        <v>42.764850494540049</v>
      </c>
      <c r="T101" s="17">
        <f t="shared" si="29"/>
        <v>15.562289177291177</v>
      </c>
      <c r="U101" s="17">
        <f t="shared" si="30"/>
        <v>21.698628303535695</v>
      </c>
      <c r="V101" s="17">
        <f t="shared" si="31"/>
        <v>-6.3095947009482432</v>
      </c>
      <c r="W101" s="17">
        <f t="shared" si="32"/>
        <v>735.9615184995821</v>
      </c>
      <c r="X101" s="12">
        <f>原始输入与口径!CP101</f>
        <v>735.9615184995821</v>
      </c>
      <c r="Y101" s="19">
        <f t="shared" si="33"/>
        <v>0</v>
      </c>
      <c r="Z101" s="12" t="str">
        <f t="shared" si="34"/>
        <v>当日执行</v>
      </c>
      <c r="AA101" s="12">
        <f>IF(原始输入与口径!AW101,1,0)</f>
        <v>1</v>
      </c>
      <c r="AB101" s="12">
        <f>IF(原始输入与口径!AY101,1,0)</f>
        <v>1</v>
      </c>
      <c r="AC101" s="12">
        <f>原始输入与口径!$F$5</f>
        <v>0.25</v>
      </c>
      <c r="AD101" s="18">
        <f>原始输入与口径!CG101</f>
        <v>0.3125</v>
      </c>
      <c r="AE101" s="18">
        <f>原始输入与口径!BQ101</f>
        <v>0.13714285714285715</v>
      </c>
      <c r="AF101" s="18">
        <f t="shared" si="35"/>
        <v>2.1462857142857141E-2</v>
      </c>
      <c r="AG101" s="18">
        <f t="shared" si="36"/>
        <v>1.4148571428571429E-2</v>
      </c>
      <c r="AH101" s="12">
        <f>IF(ISNUMBER(原始输入与口径!T101),原始输入与口径!T101,"缺失")</f>
        <v>175</v>
      </c>
      <c r="AI101" s="12">
        <f>IF(ISNUMBER(原始输入与口径!Y101),原始输入与口径!Y101,"缺失")</f>
        <v>175</v>
      </c>
      <c r="AJ101" s="12">
        <f>IF(ISNUMBER(原始输入与口径!AI101),原始输入与口径!AI101,"缺失")</f>
        <v>0.93899999999999995</v>
      </c>
      <c r="AK101" s="12">
        <f>IF(ISNUMBER(原始输入与口径!AL101),原始输入与口径!AL101,"缺失")</f>
        <v>0.61899999999999999</v>
      </c>
      <c r="AL101" s="12">
        <f>IF(ISNUMBER(原始输入与口径!O101),原始输入与口径!O101,"缺失")</f>
        <v>131.96799999999999</v>
      </c>
      <c r="AM101" s="12">
        <f>SUMIFS(相位SOC复算!$N$9:$N$929,相位SOC复算!$S$9:$S$929,93)</f>
        <v>6.0576463768115935E-4</v>
      </c>
      <c r="AN101" s="12">
        <f>SUMIFS(相位SOC复算!$Q$9:$Q$929,相位SOC复算!$S$9:$S$929,93)</f>
        <v>8.4891428571428576E-2</v>
      </c>
      <c r="AO101" s="12">
        <f>SUMIFS(相位SOC复算!$R$9:$R$929,相位SOC复算!$S$9:$S$929,93)</f>
        <v>0.12877714285714284</v>
      </c>
      <c r="AP101" s="12">
        <f>相位SOC复算!J230</f>
        <v>33.513692462112026</v>
      </c>
      <c r="AQ101" s="19">
        <f t="shared" si="37"/>
        <v>0</v>
      </c>
      <c r="AR101" s="12">
        <f>IF(ISBLANK(原始输入与口径!M101),"",原始输入与口径!M101)</f>
        <v>5.2473000000000001</v>
      </c>
      <c r="AS101" s="14">
        <f>IF(ISBLANK(原始输入与口径!L101),"",原始输入与口径!L101)</f>
        <v>46234</v>
      </c>
      <c r="AT101" s="13">
        <f>IF(ISBLANK(原始输入与口径!A101),"",原始输入与口径!A101)</f>
        <v>46235.833333333336</v>
      </c>
      <c r="AU101" s="12" t="str">
        <f>IF(ISBLANK(原始输入与口径!I101),"",原始输入与口径!I101)</f>
        <v>2026-08-01_89</v>
      </c>
      <c r="AV101" s="12">
        <f>IF(ISBLANK(原始输入与口径!J101),"",原始输入与口径!J101)</f>
        <v>15</v>
      </c>
      <c r="AW101" s="12" t="str">
        <f>IF(ISBLANK(原始输入与口径!BB101),"",原始输入与口径!BB101)</f>
        <v>OK</v>
      </c>
      <c r="AX101" s="12">
        <f>原始输入与口径!CI101</f>
        <v>128</v>
      </c>
      <c r="AY101" s="12">
        <f>原始输入与口径!BS101</f>
        <v>175</v>
      </c>
      <c r="AZ101" s="12">
        <f>原始输入与口径!BI101</f>
        <v>175</v>
      </c>
      <c r="BA101" s="12">
        <f>原始输入与口径!CM101</f>
        <v>40</v>
      </c>
      <c r="BB101" s="12">
        <f>原始输入与口径!BV101</f>
        <v>24</v>
      </c>
      <c r="BC101" s="12">
        <f>原始输入与口径!BL101</f>
        <v>24</v>
      </c>
      <c r="BD101" s="14">
        <f>46235</f>
        <v>46235</v>
      </c>
      <c r="BE101" s="1" t="str">
        <f t="shared" si="38"/>
        <v>零头寸，无结算现金</v>
      </c>
      <c r="BF101" s="1" t="str">
        <f t="shared" si="39"/>
        <v>40.000000 MW × 66.224535 × 0.250000 h = 662.245345 EUR</v>
      </c>
      <c r="BG101" s="1" t="str">
        <f t="shared" si="40"/>
        <v>24.000000 MW × 7.127475 × 0.250000 h = 42.764850 EUR</v>
      </c>
      <c r="BH101" s="1" t="str">
        <f t="shared" si="41"/>
        <v>24.000000 MW × 2.593715 × 0.250000 h = 15.562289 EUR</v>
      </c>
      <c r="BI101" s="1" t="str">
        <f t="shared" si="42"/>
        <v>0.128777 MWh × 168.497513 = 21.698628 EUR</v>
      </c>
      <c r="BJ101" s="1" t="str">
        <f t="shared" si="43"/>
        <v>−(0.084891 MWh × 74.325463) = -6.309595 EUR</v>
      </c>
      <c r="BK101" s="1" t="str">
        <f t="shared" si="44"/>
        <v>0.000000 + 662.245345 + 42.764850 + 15.562289 + 21.698628 + -6.309595 = 735.961518 EUR</v>
      </c>
    </row>
    <row r="102" spans="1:63" ht="21" customHeight="1" x14ac:dyDescent="0.45">
      <c r="A102" s="13">
        <f>原始输入与口径!C102</f>
        <v>46235.96875</v>
      </c>
      <c r="B102" s="15">
        <f>IF(ISNUMBER(原始输入与口径!H102),原始输入与口径!H102,"缺失")</f>
        <v>179.69</v>
      </c>
      <c r="C102" s="15">
        <f>IF(ISNUMBER(原始输入与口径!R102),原始输入与口径!R102,"缺失")</f>
        <v>66.224534522516336</v>
      </c>
      <c r="D102" s="15">
        <f>IF(ISNUMBER(原始输入与口径!W102),原始输入与口径!W102,"缺失")</f>
        <v>7.1274750824233415</v>
      </c>
      <c r="E102" s="15">
        <f>IF(ISNUMBER(原始输入与口径!AB102),原始输入与口径!AB102,"缺失")</f>
        <v>2.5937148628818627</v>
      </c>
      <c r="F102" s="15">
        <f>IF(ISNUMBER(原始输入与口径!AG102),原始输入与口径!AG102,"缺失")</f>
        <v>206.42520915518455</v>
      </c>
      <c r="G102" s="15">
        <f>IF(ISNUMBER(原始输入与口径!AJ102),原始输入与口径!AJ102,"缺失")</f>
        <v>0</v>
      </c>
      <c r="H102" s="15" t="str">
        <f t="shared" si="23"/>
        <v>未模拟</v>
      </c>
      <c r="I102" s="16">
        <f>原始输入与口径!CD102</f>
        <v>33.513692462112004</v>
      </c>
      <c r="J102" s="16">
        <f>原始输入与口径!CE102</f>
        <v>32.845568238509522</v>
      </c>
      <c r="K102" s="16">
        <f>原始输入与口径!BZ102</f>
        <v>0</v>
      </c>
      <c r="L102" s="16">
        <f>原始输入与口径!CK102</f>
        <v>40</v>
      </c>
      <c r="M102" s="16">
        <f>原始输入与口径!BT102</f>
        <v>24</v>
      </c>
      <c r="N102" s="16">
        <f>原始输入与口径!BJ102</f>
        <v>24</v>
      </c>
      <c r="O102" s="16">
        <f t="shared" si="24"/>
        <v>0.61467428571428573</v>
      </c>
      <c r="P102" s="16">
        <f t="shared" si="25"/>
        <v>0</v>
      </c>
      <c r="Q102" s="17">
        <f t="shared" si="26"/>
        <v>0</v>
      </c>
      <c r="R102" s="17">
        <f t="shared" si="27"/>
        <v>662.24534522516342</v>
      </c>
      <c r="S102" s="17">
        <f t="shared" si="28"/>
        <v>42.764850494540049</v>
      </c>
      <c r="T102" s="17">
        <f t="shared" si="29"/>
        <v>15.562289177291177</v>
      </c>
      <c r="U102" s="17">
        <f t="shared" si="30"/>
        <v>126.88426799088509</v>
      </c>
      <c r="V102" s="17">
        <f t="shared" si="31"/>
        <v>0</v>
      </c>
      <c r="W102" s="17">
        <f t="shared" si="32"/>
        <v>847.4567528878797</v>
      </c>
      <c r="X102" s="12">
        <f>原始输入与口径!CP102</f>
        <v>847.4567528878797</v>
      </c>
      <c r="Y102" s="19">
        <f t="shared" si="33"/>
        <v>0</v>
      </c>
      <c r="Z102" s="12" t="str">
        <f t="shared" si="34"/>
        <v>当日执行</v>
      </c>
      <c r="AA102" s="12">
        <f>IF(原始输入与口径!AW102,1,0)</f>
        <v>1</v>
      </c>
      <c r="AB102" s="12">
        <f>IF(原始输入与口径!AY102,1,0)</f>
        <v>1</v>
      </c>
      <c r="AC102" s="12">
        <f>原始输入与口径!$F$5</f>
        <v>0.25</v>
      </c>
      <c r="AD102" s="18">
        <f>原始输入与口径!CG102</f>
        <v>0.3125</v>
      </c>
      <c r="AE102" s="18">
        <f>原始输入与口径!BQ102</f>
        <v>0.13714285714285715</v>
      </c>
      <c r="AF102" s="18">
        <f t="shared" si="35"/>
        <v>0.10244571428571429</v>
      </c>
      <c r="AG102" s="18">
        <f t="shared" si="36"/>
        <v>0</v>
      </c>
      <c r="AH102" s="12">
        <f>IF(ISNUMBER(原始输入与口径!T102),原始输入与口径!T102,"缺失")</f>
        <v>175</v>
      </c>
      <c r="AI102" s="12">
        <f>IF(ISNUMBER(原始输入与口径!Y102),原始输入与口径!Y102,"缺失")</f>
        <v>175</v>
      </c>
      <c r="AJ102" s="12">
        <f>IF(ISNUMBER(原始输入与口径!AI102),原始输入与口径!AI102,"缺失")</f>
        <v>4.4820000000000002</v>
      </c>
      <c r="AK102" s="12">
        <f>IF(ISNUMBER(原始输入与口径!AL102),原始输入与口径!AL102,"缺失")</f>
        <v>0</v>
      </c>
      <c r="AL102" s="12">
        <f>IF(ISNUMBER(原始输入与口径!O102),原始输入与口径!O102,"缺失")</f>
        <v>131.96799999999999</v>
      </c>
      <c r="AM102" s="12">
        <f>SUMIFS(相位SOC复算!$N$9:$N$929,相位SOC复算!$S$9:$S$929,94)</f>
        <v>1.8559006211180124E-3</v>
      </c>
      <c r="AN102" s="12">
        <f>SUMIFS(相位SOC复算!$Q$9:$Q$929,相位SOC复算!$S$9:$S$929,94)</f>
        <v>0</v>
      </c>
      <c r="AO102" s="12">
        <f>SUMIFS(相位SOC复算!$R$9:$R$929,相位SOC复算!$S$9:$S$929,94)</f>
        <v>0.61467428571428573</v>
      </c>
      <c r="AP102" s="12">
        <f>相位SOC复算!J232</f>
        <v>32.845568238509543</v>
      </c>
      <c r="AQ102" s="19">
        <f t="shared" si="37"/>
        <v>0</v>
      </c>
      <c r="AR102" s="12">
        <f>IF(ISBLANK(原始输入与口径!M102),"",原始输入与口径!M102)</f>
        <v>5.2473000000000001</v>
      </c>
      <c r="AS102" s="14">
        <f>IF(ISBLANK(原始输入与口径!L102),"",原始输入与口径!L102)</f>
        <v>46234</v>
      </c>
      <c r="AT102" s="13">
        <f>IF(ISBLANK(原始输入与口径!A102),"",原始输入与口径!A102)</f>
        <v>46235.84375</v>
      </c>
      <c r="AU102" s="12" t="str">
        <f>IF(ISBLANK(原始输入与口径!I102),"",原始输入与口径!I102)</f>
        <v>2026-08-01_90</v>
      </c>
      <c r="AV102" s="12">
        <f>IF(ISBLANK(原始输入与口径!J102),"",原始输入与口径!J102)</f>
        <v>15</v>
      </c>
      <c r="AW102" s="12" t="str">
        <f>IF(ISBLANK(原始输入与口径!BB102),"",原始输入与口径!BB102)</f>
        <v>OK</v>
      </c>
      <c r="AX102" s="12">
        <f>原始输入与口径!CI102</f>
        <v>128</v>
      </c>
      <c r="AY102" s="12">
        <f>原始输入与口径!BS102</f>
        <v>175</v>
      </c>
      <c r="AZ102" s="12">
        <f>原始输入与口径!BI102</f>
        <v>175</v>
      </c>
      <c r="BA102" s="12">
        <f>原始输入与口径!CM102</f>
        <v>40</v>
      </c>
      <c r="BB102" s="12">
        <f>原始输入与口径!BV102</f>
        <v>24</v>
      </c>
      <c r="BC102" s="12">
        <f>原始输入与口径!BL102</f>
        <v>24</v>
      </c>
      <c r="BD102" s="14">
        <f>46235</f>
        <v>46235</v>
      </c>
      <c r="BE102" s="1" t="str">
        <f t="shared" si="38"/>
        <v>零头寸，无结算现金</v>
      </c>
      <c r="BF102" s="1" t="str">
        <f t="shared" si="39"/>
        <v>40.000000 MW × 66.224535 × 0.250000 h = 662.245345 EUR</v>
      </c>
      <c r="BG102" s="1" t="str">
        <f t="shared" si="40"/>
        <v>24.000000 MW × 7.127475 × 0.250000 h = 42.764850 EUR</v>
      </c>
      <c r="BH102" s="1" t="str">
        <f t="shared" si="41"/>
        <v>24.000000 MW × 2.593715 × 0.250000 h = 15.562289 EUR</v>
      </c>
      <c r="BI102" s="1" t="str">
        <f t="shared" si="42"/>
        <v>0.614674 MWh × 206.425209 = 126.884268 EUR</v>
      </c>
      <c r="BJ102" s="1" t="str">
        <f t="shared" si="43"/>
        <v>零下调激活电量</v>
      </c>
      <c r="BK102" s="1" t="str">
        <f t="shared" si="44"/>
        <v>0.000000 + 662.245345 + 42.764850 + 15.562289 + 126.884268 + 0.000000 = 847.456753 EUR</v>
      </c>
    </row>
    <row r="103" spans="1:63" ht="21" customHeight="1" x14ac:dyDescent="0.45">
      <c r="A103" s="13">
        <f>原始输入与口径!C103</f>
        <v>46235.979166666664</v>
      </c>
      <c r="B103" s="15">
        <f>IF(ISNUMBER(原始输入与口径!H103),原始输入与口径!H103,"缺失")</f>
        <v>175.2</v>
      </c>
      <c r="C103" s="15">
        <f>IF(ISNUMBER(原始输入与口径!R103),原始输入与口径!R103,"缺失")</f>
        <v>66.224534522516336</v>
      </c>
      <c r="D103" s="15">
        <f>IF(ISNUMBER(原始输入与口径!W103),原始输入与口径!W103,"缺失")</f>
        <v>7.1274750824233415</v>
      </c>
      <c r="E103" s="15">
        <f>IF(ISNUMBER(原始输入与口径!AB103),原始输入与口径!AB103,"缺失")</f>
        <v>2.5937148628818627</v>
      </c>
      <c r="F103" s="15">
        <f>IF(ISNUMBER(原始输入与口径!AG103),原始输入与口径!AG103,"缺失")</f>
        <v>211.47980866350315</v>
      </c>
      <c r="G103" s="15">
        <f>IF(ISNUMBER(原始输入与口径!AJ103),原始输入与口径!AJ103,"缺失")</f>
        <v>0</v>
      </c>
      <c r="H103" s="15" t="str">
        <f t="shared" si="23"/>
        <v>未模拟</v>
      </c>
      <c r="I103" s="16">
        <f>原始输入与口径!CD103</f>
        <v>32.845568238509522</v>
      </c>
      <c r="J103" s="16">
        <f>原始输入与口径!CE103</f>
        <v>32.04238811428592</v>
      </c>
      <c r="K103" s="16">
        <f>原始输入与口径!BZ103</f>
        <v>0</v>
      </c>
      <c r="L103" s="16">
        <f>原始输入与口径!CK103</f>
        <v>40</v>
      </c>
      <c r="M103" s="16">
        <f>原始输入与口径!BT103</f>
        <v>24</v>
      </c>
      <c r="N103" s="16">
        <f>原始输入与口径!BJ103</f>
        <v>24</v>
      </c>
      <c r="O103" s="16">
        <f t="shared" si="24"/>
        <v>0.7389257142857143</v>
      </c>
      <c r="P103" s="16">
        <f t="shared" si="25"/>
        <v>0</v>
      </c>
      <c r="Q103" s="17">
        <f t="shared" si="26"/>
        <v>0</v>
      </c>
      <c r="R103" s="17">
        <f t="shared" si="27"/>
        <v>662.24534522516342</v>
      </c>
      <c r="S103" s="17">
        <f t="shared" si="28"/>
        <v>42.764850494540049</v>
      </c>
      <c r="T103" s="17">
        <f t="shared" si="29"/>
        <v>15.562289177291177</v>
      </c>
      <c r="U103" s="17">
        <f t="shared" si="30"/>
        <v>156.26786867368526</v>
      </c>
      <c r="V103" s="17">
        <f t="shared" si="31"/>
        <v>0</v>
      </c>
      <c r="W103" s="17">
        <f t="shared" si="32"/>
        <v>876.84035357067989</v>
      </c>
      <c r="X103" s="12">
        <f>原始输入与口径!CP103</f>
        <v>876.84035357067989</v>
      </c>
      <c r="Y103" s="19">
        <f t="shared" si="33"/>
        <v>0</v>
      </c>
      <c r="Z103" s="12" t="str">
        <f t="shared" si="34"/>
        <v>当日执行</v>
      </c>
      <c r="AA103" s="12">
        <f>IF(原始输入与口径!AW103,1,0)</f>
        <v>1</v>
      </c>
      <c r="AB103" s="12">
        <f>IF(原始输入与口径!AY103,1,0)</f>
        <v>1</v>
      </c>
      <c r="AC103" s="12">
        <f>原始输入与口径!$F$5</f>
        <v>0.25</v>
      </c>
      <c r="AD103" s="18">
        <f>原始输入与口径!CG103</f>
        <v>0.3125</v>
      </c>
      <c r="AE103" s="18">
        <f>原始输入与口径!BQ103</f>
        <v>0.13714285714285715</v>
      </c>
      <c r="AF103" s="18">
        <f t="shared" si="35"/>
        <v>0.12315428571428572</v>
      </c>
      <c r="AG103" s="18">
        <f t="shared" si="36"/>
        <v>0</v>
      </c>
      <c r="AH103" s="12">
        <f>IF(ISNUMBER(原始输入与口径!T103),原始输入与口径!T103,"缺失")</f>
        <v>175</v>
      </c>
      <c r="AI103" s="12">
        <f>IF(ISNUMBER(原始输入与口径!Y103),原始输入与口径!Y103,"缺失")</f>
        <v>175</v>
      </c>
      <c r="AJ103" s="12">
        <f>IF(ISNUMBER(原始输入与口径!AI103),原始输入与口径!AI103,"缺失")</f>
        <v>5.3879999999999999</v>
      </c>
      <c r="AK103" s="12">
        <f>IF(ISNUMBER(原始输入与口径!AL103),原始输入与口径!AL103,"缺失")</f>
        <v>0</v>
      </c>
      <c r="AL103" s="12">
        <f>IF(ISNUMBER(原始输入与口径!O103),原始输入与口径!O103,"缺失")</f>
        <v>131.96799999999999</v>
      </c>
      <c r="AM103" s="12">
        <f>SUMIFS(相位SOC复算!$N$9:$N$929,相位SOC复算!$S$9:$S$929,95)</f>
        <v>2.2310559006211176E-3</v>
      </c>
      <c r="AN103" s="12">
        <f>SUMIFS(相位SOC复算!$Q$9:$Q$929,相位SOC复算!$S$9:$S$929,95)</f>
        <v>0</v>
      </c>
      <c r="AO103" s="12">
        <f>SUMIFS(相位SOC复算!$R$9:$R$929,相位SOC复算!$S$9:$S$929,95)</f>
        <v>0.7389257142857143</v>
      </c>
      <c r="AP103" s="12">
        <f>相位SOC复算!J234</f>
        <v>32.042388114285941</v>
      </c>
      <c r="AQ103" s="19">
        <f t="shared" si="37"/>
        <v>0</v>
      </c>
      <c r="AR103" s="12">
        <f>IF(ISBLANK(原始输入与口径!M103),"",原始输入与口径!M103)</f>
        <v>5.2473000000000001</v>
      </c>
      <c r="AS103" s="14">
        <f>IF(ISBLANK(原始输入与口径!L103),"",原始输入与口径!L103)</f>
        <v>46234</v>
      </c>
      <c r="AT103" s="13">
        <f>IF(ISBLANK(原始输入与口径!A103),"",原始输入与口径!A103)</f>
        <v>46235.854166666664</v>
      </c>
      <c r="AU103" s="12" t="str">
        <f>IF(ISBLANK(原始输入与口径!I103),"",原始输入与口径!I103)</f>
        <v>2026-08-01_91</v>
      </c>
      <c r="AV103" s="12">
        <f>IF(ISBLANK(原始输入与口径!J103),"",原始输入与口径!J103)</f>
        <v>15</v>
      </c>
      <c r="AW103" s="12" t="str">
        <f>IF(ISBLANK(原始输入与口径!BB103),"",原始输入与口径!BB103)</f>
        <v>OK</v>
      </c>
      <c r="AX103" s="12">
        <f>原始输入与口径!CI103</f>
        <v>128</v>
      </c>
      <c r="AY103" s="12">
        <f>原始输入与口径!BS103</f>
        <v>175</v>
      </c>
      <c r="AZ103" s="12">
        <f>原始输入与口径!BI103</f>
        <v>175</v>
      </c>
      <c r="BA103" s="12">
        <f>原始输入与口径!CM103</f>
        <v>40</v>
      </c>
      <c r="BB103" s="12">
        <f>原始输入与口径!BV103</f>
        <v>24</v>
      </c>
      <c r="BC103" s="12">
        <f>原始输入与口径!BL103</f>
        <v>24</v>
      </c>
      <c r="BD103" s="14">
        <f>46235</f>
        <v>46235</v>
      </c>
      <c r="BE103" s="1" t="str">
        <f t="shared" si="38"/>
        <v>零头寸，无结算现金</v>
      </c>
      <c r="BF103" s="1" t="str">
        <f t="shared" si="39"/>
        <v>40.000000 MW × 66.224535 × 0.250000 h = 662.245345 EUR</v>
      </c>
      <c r="BG103" s="1" t="str">
        <f t="shared" si="40"/>
        <v>24.000000 MW × 7.127475 × 0.250000 h = 42.764850 EUR</v>
      </c>
      <c r="BH103" s="1" t="str">
        <f t="shared" si="41"/>
        <v>24.000000 MW × 2.593715 × 0.250000 h = 15.562289 EUR</v>
      </c>
      <c r="BI103" s="1" t="str">
        <f t="shared" si="42"/>
        <v>0.738926 MWh × 211.479809 = 156.267869 EUR</v>
      </c>
      <c r="BJ103" s="1" t="str">
        <f t="shared" si="43"/>
        <v>零下调激活电量</v>
      </c>
      <c r="BK103" s="1" t="str">
        <f t="shared" si="44"/>
        <v>0.000000 + 662.245345 + 42.764850 + 15.562289 + 156.267869 + 0.000000 = 876.840354 EUR</v>
      </c>
    </row>
    <row r="104" spans="1:63" ht="21" customHeight="1" x14ac:dyDescent="0.45">
      <c r="A104" s="13">
        <f>原始输入与口径!C104</f>
        <v>46235.989583333336</v>
      </c>
      <c r="B104" s="15">
        <f>IF(ISNUMBER(原始输入与口径!H104),原始输入与口径!H104,"缺失")</f>
        <v>169.1</v>
      </c>
      <c r="C104" s="15">
        <f>IF(ISNUMBER(原始输入与口径!R104),原始输入与口径!R104,"缺失")</f>
        <v>66.224534522516336</v>
      </c>
      <c r="D104" s="15">
        <f>IF(ISNUMBER(原始输入与口径!W104),原始输入与口径!W104,"缺失")</f>
        <v>7.1274750824233415</v>
      </c>
      <c r="E104" s="15">
        <f>IF(ISNUMBER(原始输入与口径!AB104),原始输入与口径!AB104,"缺失")</f>
        <v>2.5937148628818627</v>
      </c>
      <c r="F104" s="15">
        <f>IF(ISNUMBER(原始输入与口径!AG104),原始输入与口径!AG104,"缺失")</f>
        <v>198.77746650658435</v>
      </c>
      <c r="G104" s="15">
        <f>IF(ISNUMBER(原始输入与口径!AJ104),原始输入与口径!AJ104,"缺失")</f>
        <v>77.182551026242066</v>
      </c>
      <c r="H104" s="15" t="str">
        <f t="shared" si="23"/>
        <v>未模拟</v>
      </c>
      <c r="I104" s="16">
        <f>原始输入与口径!CD104</f>
        <v>32.04238811428592</v>
      </c>
      <c r="J104" s="16">
        <f>原始输入与口径!CE104</f>
        <v>31.739130434782815</v>
      </c>
      <c r="K104" s="16">
        <f>原始输入与口径!BZ104</f>
        <v>0</v>
      </c>
      <c r="L104" s="16">
        <f>原始输入与口径!CK104</f>
        <v>40</v>
      </c>
      <c r="M104" s="16">
        <f>原始输入与口径!BT104</f>
        <v>24</v>
      </c>
      <c r="N104" s="16">
        <f>原始输入与口径!BJ104</f>
        <v>24</v>
      </c>
      <c r="O104" s="16">
        <f t="shared" si="24"/>
        <v>0.29362285714285719</v>
      </c>
      <c r="P104" s="16">
        <f t="shared" si="25"/>
        <v>1.728E-2</v>
      </c>
      <c r="Q104" s="17">
        <f t="shared" si="26"/>
        <v>0</v>
      </c>
      <c r="R104" s="17">
        <f t="shared" si="27"/>
        <v>662.24534522516342</v>
      </c>
      <c r="S104" s="17">
        <f t="shared" si="28"/>
        <v>42.764850494540049</v>
      </c>
      <c r="T104" s="17">
        <f t="shared" si="29"/>
        <v>15.562289177291177</v>
      </c>
      <c r="U104" s="17">
        <f t="shared" si="30"/>
        <v>58.365607651281891</v>
      </c>
      <c r="V104" s="17">
        <f t="shared" si="31"/>
        <v>-1.333714481733463</v>
      </c>
      <c r="W104" s="17">
        <f t="shared" si="32"/>
        <v>777.60437806654306</v>
      </c>
      <c r="X104" s="12">
        <f>原始输入与口径!CP104</f>
        <v>777.60437806654306</v>
      </c>
      <c r="Y104" s="19">
        <f t="shared" si="33"/>
        <v>0</v>
      </c>
      <c r="Z104" s="12" t="str">
        <f t="shared" si="34"/>
        <v>当日执行</v>
      </c>
      <c r="AA104" s="12">
        <f>IF(原始输入与口径!AW104,1,0)</f>
        <v>1</v>
      </c>
      <c r="AB104" s="12">
        <f>IF(原始输入与口径!AY104,1,0)</f>
        <v>1</v>
      </c>
      <c r="AC104" s="12">
        <f>原始输入与口径!$F$5</f>
        <v>0.25</v>
      </c>
      <c r="AD104" s="18">
        <f>原始输入与口径!CG104</f>
        <v>0.3125</v>
      </c>
      <c r="AE104" s="18">
        <f>原始输入与口径!BQ104</f>
        <v>0.13714285714285715</v>
      </c>
      <c r="AF104" s="18">
        <f t="shared" si="35"/>
        <v>4.893714285714286E-2</v>
      </c>
      <c r="AG104" s="18">
        <f t="shared" si="36"/>
        <v>2.8800000000000002E-3</v>
      </c>
      <c r="AH104" s="12">
        <f>IF(ISNUMBER(原始输入与口径!T104),原始输入与口径!T104,"缺失")</f>
        <v>175</v>
      </c>
      <c r="AI104" s="12">
        <f>IF(ISNUMBER(原始输入与口径!Y104),原始输入与口径!Y104,"缺失")</f>
        <v>175</v>
      </c>
      <c r="AJ104" s="12">
        <f>IF(ISNUMBER(原始输入与口径!AI104),原始输入与口径!AI104,"缺失")</f>
        <v>2.141</v>
      </c>
      <c r="AK104" s="12">
        <f>IF(ISNUMBER(原始输入与口径!AL104),原始输入与口径!AL104,"缺失")</f>
        <v>0.126</v>
      </c>
      <c r="AL104" s="12">
        <f>IF(ISNUMBER(原始输入与口径!O104),原始输入与口径!O104,"缺失")</f>
        <v>131.96799999999999</v>
      </c>
      <c r="AM104" s="12">
        <f>SUMIFS(相位SOC复算!$N$9:$N$929,相位SOC复算!$S$9:$S$929,96)</f>
        <v>9.3070244306418218E-4</v>
      </c>
      <c r="AN104" s="12">
        <f>SUMIFS(相位SOC复算!$Q$9:$Q$929,相位SOC复算!$S$9:$S$929,96)</f>
        <v>1.728E-2</v>
      </c>
      <c r="AO104" s="12">
        <f>SUMIFS(相位SOC复算!$R$9:$R$929,相位SOC复算!$S$9:$S$929,96)</f>
        <v>0.29362285714285719</v>
      </c>
      <c r="AP104" s="12">
        <f>相位SOC复算!J237</f>
        <v>31.739130434782837</v>
      </c>
      <c r="AQ104" s="19">
        <f t="shared" si="37"/>
        <v>0</v>
      </c>
      <c r="AR104" s="12">
        <f>IF(ISBLANK(原始输入与口径!M104),"",原始输入与口径!M104)</f>
        <v>5.2473000000000001</v>
      </c>
      <c r="AS104" s="14">
        <f>IF(ISBLANK(原始输入与口径!L104),"",原始输入与口径!L104)</f>
        <v>46234</v>
      </c>
      <c r="AT104" s="13">
        <f>IF(ISBLANK(原始输入与口径!A104),"",原始输入与口径!A104)</f>
        <v>46235.864583333336</v>
      </c>
      <c r="AU104" s="12" t="str">
        <f>IF(ISBLANK(原始输入与口径!I104),"",原始输入与口径!I104)</f>
        <v>2026-08-01_92</v>
      </c>
      <c r="AV104" s="12">
        <f>IF(ISBLANK(原始输入与口径!J104),"",原始输入与口径!J104)</f>
        <v>15</v>
      </c>
      <c r="AW104" s="12" t="str">
        <f>IF(ISBLANK(原始输入与口径!BB104),"",原始输入与口径!BB104)</f>
        <v>OK</v>
      </c>
      <c r="AX104" s="12">
        <f>原始输入与口径!CI104</f>
        <v>128</v>
      </c>
      <c r="AY104" s="12">
        <f>原始输入与口径!BS104</f>
        <v>175</v>
      </c>
      <c r="AZ104" s="12">
        <f>原始输入与口径!BI104</f>
        <v>175</v>
      </c>
      <c r="BA104" s="12">
        <f>原始输入与口径!CM104</f>
        <v>40</v>
      </c>
      <c r="BB104" s="12">
        <f>原始输入与口径!BV104</f>
        <v>24</v>
      </c>
      <c r="BC104" s="12">
        <f>原始输入与口径!BL104</f>
        <v>24</v>
      </c>
      <c r="BD104" s="14">
        <f>46235</f>
        <v>46235</v>
      </c>
      <c r="BE104" s="1" t="str">
        <f t="shared" si="38"/>
        <v>零头寸，无结算现金</v>
      </c>
      <c r="BF104" s="1" t="str">
        <f t="shared" si="39"/>
        <v>40.000000 MW × 66.224535 × 0.250000 h = 662.245345 EUR</v>
      </c>
      <c r="BG104" s="1" t="str">
        <f t="shared" si="40"/>
        <v>24.000000 MW × 7.127475 × 0.250000 h = 42.764850 EUR</v>
      </c>
      <c r="BH104" s="1" t="str">
        <f t="shared" si="41"/>
        <v>24.000000 MW × 2.593715 × 0.250000 h = 15.562289 EUR</v>
      </c>
      <c r="BI104" s="1" t="str">
        <f t="shared" si="42"/>
        <v>0.293623 MWh × 198.777467 = 58.365608 EUR</v>
      </c>
      <c r="BJ104" s="1" t="str">
        <f t="shared" si="43"/>
        <v>−(0.017280 MWh × 77.182551) = -1.333714 EUR</v>
      </c>
      <c r="BK104" s="1" t="str">
        <f t="shared" si="44"/>
        <v>0.000000 + 662.245345 + 42.764850 + 15.562289 + 58.365608 + -1.333714 = 777.604378 EUR</v>
      </c>
    </row>
    <row r="105" spans="1:63" ht="21" customHeight="1" x14ac:dyDescent="0.45">
      <c r="A105" s="13">
        <f>原始输入与口径!C105</f>
        <v>46236</v>
      </c>
      <c r="B105" s="15">
        <f>IF(ISNUMBER(原始输入与口径!H105),原始输入与口径!H105,"缺失")</f>
        <v>172.11</v>
      </c>
      <c r="C105" s="15">
        <f>IF(ISNUMBER(原始输入与口径!R105),原始输入与口径!R105,"缺失")</f>
        <v>66.224534522516336</v>
      </c>
      <c r="D105" s="15">
        <f>IF(ISNUMBER(原始输入与口径!W105),原始输入与口径!W105,"缺失")</f>
        <v>7.1274750824233415</v>
      </c>
      <c r="E105" s="15">
        <f>IF(ISNUMBER(原始输入与口径!AB105),原始输入与口径!AB105,"缺失")</f>
        <v>2.7061536409200921</v>
      </c>
      <c r="F105" s="15">
        <f>IF(ISNUMBER(原始输入与口径!AG105),原始输入与口径!AG105,"缺失")</f>
        <v>184.11030434699751</v>
      </c>
      <c r="G105" s="15">
        <f>IF(ISNUMBER(原始输入与口径!AJ105),原始输入与口径!AJ105,"缺失")</f>
        <v>77.182551026242066</v>
      </c>
      <c r="H105" s="15" t="str">
        <f t="shared" si="23"/>
        <v>未模拟</v>
      </c>
      <c r="I105" s="16">
        <f>原始输入与口径!CD105</f>
        <v>31.739130434782815</v>
      </c>
      <c r="J105" s="16">
        <f>原始输入与口径!CE105</f>
        <v>35.728106323454419</v>
      </c>
      <c r="K105" s="16">
        <f>原始输入与口径!BZ105</f>
        <v>-18.458027330911214</v>
      </c>
      <c r="L105" s="16">
        <f>原始输入与口径!CK105</f>
        <v>40</v>
      </c>
      <c r="M105" s="16">
        <f>原始输入与口径!BT105</f>
        <v>24</v>
      </c>
      <c r="N105" s="16">
        <f>原始输入与口径!BJ105</f>
        <v>24</v>
      </c>
      <c r="O105" s="16">
        <f t="shared" si="24"/>
        <v>0.31392000000000003</v>
      </c>
      <c r="P105" s="16">
        <f t="shared" si="25"/>
        <v>4.8411428571428571E-2</v>
      </c>
      <c r="Q105" s="17">
        <f t="shared" si="26"/>
        <v>-794.20277098078236</v>
      </c>
      <c r="R105" s="17">
        <f t="shared" si="27"/>
        <v>662.24534522516342</v>
      </c>
      <c r="S105" s="17">
        <f t="shared" si="28"/>
        <v>42.764850494540049</v>
      </c>
      <c r="T105" s="17">
        <f t="shared" si="29"/>
        <v>16.236921845520552</v>
      </c>
      <c r="U105" s="17">
        <f t="shared" si="30"/>
        <v>57.795906740609468</v>
      </c>
      <c r="V105" s="17">
        <f t="shared" si="31"/>
        <v>-3.7365175559675587</v>
      </c>
      <c r="W105" s="17">
        <f t="shared" si="32"/>
        <v>-18.896264230916437</v>
      </c>
      <c r="X105" s="12">
        <f>原始输入与口径!CP105</f>
        <v>-18.896264230916433</v>
      </c>
      <c r="Y105" s="19">
        <f t="shared" si="33"/>
        <v>0</v>
      </c>
      <c r="Z105" s="12" t="str">
        <f t="shared" ref="Z105:Z136" si="45">"次日冻结计划复原"</f>
        <v>次日冻结计划复原</v>
      </c>
      <c r="AA105" s="12">
        <f>IF(原始输入与口径!AW105,1,0)</f>
        <v>1</v>
      </c>
      <c r="AB105" s="12">
        <f>IF(原始输入与口径!AY105,1,0)</f>
        <v>1</v>
      </c>
      <c r="AC105" s="12">
        <f>原始输入与口径!$F$5</f>
        <v>0.25</v>
      </c>
      <c r="AD105" s="18">
        <f>原始输入与口径!CG105</f>
        <v>0.3125</v>
      </c>
      <c r="AE105" s="18">
        <f>原始输入与口径!BQ105</f>
        <v>0.13714285714285715</v>
      </c>
      <c r="AF105" s="18">
        <f t="shared" si="35"/>
        <v>5.2320000000000005E-2</v>
      </c>
      <c r="AG105" s="18">
        <f t="shared" si="36"/>
        <v>8.0685714285714284E-3</v>
      </c>
      <c r="AH105" s="12">
        <f>IF(ISNUMBER(原始输入与口径!T105),原始输入与口径!T105,"缺失")</f>
        <v>175</v>
      </c>
      <c r="AI105" s="12">
        <f>IF(ISNUMBER(原始输入与口径!Y105),原始输入与口径!Y105,"缺失")</f>
        <v>175</v>
      </c>
      <c r="AJ105" s="12">
        <f>IF(ISNUMBER(原始输入与口径!AI105),原始输入与口径!AI105,"缺失")</f>
        <v>2.2890000000000001</v>
      </c>
      <c r="AK105" s="12">
        <f>IF(ISNUMBER(原始输入与口径!AL105),原始输入与口径!AL105,"缺失")</f>
        <v>0.35299999999999998</v>
      </c>
      <c r="AL105" s="12">
        <f>IF(ISNUMBER(原始输入与口径!O105),原始输入与口径!O105,"缺失")</f>
        <v>131.96799999999999</v>
      </c>
      <c r="AM105" s="12">
        <f>SUMIFS(相位SOC复算!$N$9:$N$929,相位SOC复算!$S$9:$S$929,97)</f>
        <v>1.1518224102056879E-2</v>
      </c>
      <c r="AN105" s="12">
        <f>SUMIFS(相位SOC复算!$Q$9:$Q$929,相位SOC复算!$S$9:$S$929,97)</f>
        <v>4.4214872638109135</v>
      </c>
      <c r="AO105" s="12">
        <f>SUMIFS(相位SOC复算!$R$9:$R$929,相位SOC复算!$S$9:$S$929,97)</f>
        <v>7.2489002511681319E-2</v>
      </c>
      <c r="AP105" s="12">
        <f>相位SOC复算!J240</f>
        <v>35.72810632345444</v>
      </c>
      <c r="AQ105" s="19">
        <f t="shared" si="37"/>
        <v>0</v>
      </c>
      <c r="AR105" s="12">
        <f>IF(ISBLANK(原始输入与口径!M105),"",原始输入与口径!M105)</f>
        <v>5.2473000000000001</v>
      </c>
      <c r="AS105" s="14">
        <f>IF(ISBLANK(原始输入与口径!L105),"",原始输入与口径!L105)</f>
        <v>46234</v>
      </c>
      <c r="AT105" s="13">
        <f>IF(ISBLANK(原始输入与口径!A105),"",原始输入与口径!A105)</f>
        <v>46235.875</v>
      </c>
      <c r="AU105" s="12" t="str">
        <f>IF(ISBLANK(原始输入与口径!I105),"",原始输入与口径!I105)</f>
        <v>2026-08-01_93</v>
      </c>
      <c r="AV105" s="12">
        <f>IF(ISBLANK(原始输入与口径!J105),"",原始输入与口径!J105)</f>
        <v>15</v>
      </c>
      <c r="AW105" s="12" t="str">
        <f>IF(ISBLANK(原始输入与口径!BB105),"",原始输入与口径!BB105)</f>
        <v>OK</v>
      </c>
      <c r="AX105" s="12">
        <f>原始输入与口径!CI105</f>
        <v>128</v>
      </c>
      <c r="AY105" s="12">
        <f>原始输入与口径!BS105</f>
        <v>175</v>
      </c>
      <c r="AZ105" s="12">
        <f>原始输入与口径!BI105</f>
        <v>175</v>
      </c>
      <c r="BA105" s="12">
        <f>原始输入与口径!CM105</f>
        <v>40</v>
      </c>
      <c r="BB105" s="12">
        <f>原始输入与口径!BV105</f>
        <v>24</v>
      </c>
      <c r="BC105" s="12">
        <f>原始输入与口径!BL105</f>
        <v>24</v>
      </c>
      <c r="BD105" s="14">
        <f>46235</f>
        <v>46235</v>
      </c>
      <c r="BE105" s="1" t="str">
        <f t="shared" si="38"/>
        <v>-18.458027 MW × 172.110000 × 0.250000 h = -794.202771 EUR</v>
      </c>
      <c r="BF105" s="1" t="str">
        <f t="shared" si="39"/>
        <v>40.000000 MW × 66.224535 × 0.250000 h = 662.245345 EUR</v>
      </c>
      <c r="BG105" s="1" t="str">
        <f t="shared" si="40"/>
        <v>24.000000 MW × 7.127475 × 0.250000 h = 42.764850 EUR</v>
      </c>
      <c r="BH105" s="1" t="str">
        <f t="shared" si="41"/>
        <v>24.000000 MW × 2.706154 × 0.250000 h = 16.236922 EUR</v>
      </c>
      <c r="BI105" s="1" t="str">
        <f t="shared" si="42"/>
        <v>0.313920 MWh × 184.110304 = 57.795907 EUR</v>
      </c>
      <c r="BJ105" s="1" t="str">
        <f t="shared" si="43"/>
        <v>−(0.048411 MWh × 77.182551) = -3.736518 EUR</v>
      </c>
      <c r="BK105" s="1" t="str">
        <f t="shared" si="44"/>
        <v>-794.202771 + 662.245345 + 42.764850 + 16.236922 + 57.795907 + -3.736518 = -18.896264 EUR</v>
      </c>
    </row>
    <row r="106" spans="1:63" ht="21" customHeight="1" x14ac:dyDescent="0.45">
      <c r="A106" s="13">
        <f>原始输入与口径!C106</f>
        <v>46236.010416666664</v>
      </c>
      <c r="B106" s="15">
        <f>IF(ISNUMBER(原始输入与口径!H106),原始输入与口径!H106,"缺失")</f>
        <v>171.94</v>
      </c>
      <c r="C106" s="15">
        <f>IF(ISNUMBER(原始输入与口径!R106),原始输入与口径!R106,"缺失")</f>
        <v>66.224534522516336</v>
      </c>
      <c r="D106" s="15">
        <f>IF(ISNUMBER(原始输入与口径!W106),原始输入与口径!W106,"缺失")</f>
        <v>7.1274750824233415</v>
      </c>
      <c r="E106" s="15">
        <f>IF(ISNUMBER(原始输入与口径!AB106),原始输入与口径!AB106,"缺失")</f>
        <v>2.7061536409200921</v>
      </c>
      <c r="F106" s="15">
        <f>IF(ISNUMBER(原始输入与口径!AG106),原始输入与口径!AG106,"缺失")</f>
        <v>0</v>
      </c>
      <c r="G106" s="15">
        <f>IF(ISNUMBER(原始输入与口径!AJ106),原始输入与口径!AJ106,"缺失")</f>
        <v>70.316734320507692</v>
      </c>
      <c r="H106" s="15" t="str">
        <f t="shared" si="23"/>
        <v>未模拟</v>
      </c>
      <c r="I106" s="16">
        <f>原始输入与口径!CD106</f>
        <v>35.728106323454419</v>
      </c>
      <c r="J106" s="16">
        <f>原始输入与口径!CE106</f>
        <v>36.436685066311561</v>
      </c>
      <c r="K106" s="16">
        <f>原始输入与口径!BZ106</f>
        <v>0</v>
      </c>
      <c r="L106" s="16">
        <f>原始输入与口径!CK106</f>
        <v>40</v>
      </c>
      <c r="M106" s="16">
        <f>原始输入与口径!BT106</f>
        <v>24</v>
      </c>
      <c r="N106" s="16">
        <f>原始输入与口径!BJ106</f>
        <v>24</v>
      </c>
      <c r="O106" s="16">
        <f t="shared" si="24"/>
        <v>0</v>
      </c>
      <c r="P106" s="16">
        <f t="shared" si="25"/>
        <v>0.77019428571428561</v>
      </c>
      <c r="Q106" s="17">
        <f t="shared" si="26"/>
        <v>0</v>
      </c>
      <c r="R106" s="17">
        <f t="shared" si="27"/>
        <v>662.24534522516342</v>
      </c>
      <c r="S106" s="17">
        <f t="shared" si="28"/>
        <v>42.764850494540049</v>
      </c>
      <c r="T106" s="17">
        <f t="shared" si="29"/>
        <v>16.236921845520552</v>
      </c>
      <c r="U106" s="17">
        <f t="shared" si="30"/>
        <v>0</v>
      </c>
      <c r="V106" s="17">
        <f t="shared" si="31"/>
        <v>-54.157546963744615</v>
      </c>
      <c r="W106" s="17">
        <f t="shared" si="32"/>
        <v>667.08957060147941</v>
      </c>
      <c r="X106" s="12">
        <f>原始输入与口径!CP106</f>
        <v>667.08957060147941</v>
      </c>
      <c r="Y106" s="19">
        <f t="shared" si="33"/>
        <v>0</v>
      </c>
      <c r="Z106" s="12" t="str">
        <f t="shared" si="45"/>
        <v>次日冻结计划复原</v>
      </c>
      <c r="AA106" s="12">
        <f>IF(原始输入与口径!AW106,1,0)</f>
        <v>1</v>
      </c>
      <c r="AB106" s="12">
        <f>IF(原始输入与口径!AY106,1,0)</f>
        <v>1</v>
      </c>
      <c r="AC106" s="12">
        <f>原始输入与口径!$F$5</f>
        <v>0.25</v>
      </c>
      <c r="AD106" s="18">
        <f>原始输入与口径!CG106</f>
        <v>0.3125</v>
      </c>
      <c r="AE106" s="18">
        <f>原始输入与口径!BQ106</f>
        <v>0.13714285714285715</v>
      </c>
      <c r="AF106" s="18">
        <f t="shared" si="35"/>
        <v>0</v>
      </c>
      <c r="AG106" s="18">
        <f t="shared" si="36"/>
        <v>0.12836571428571428</v>
      </c>
      <c r="AH106" s="12">
        <f>IF(ISNUMBER(原始输入与口径!T106),原始输入与口径!T106,"缺失")</f>
        <v>175</v>
      </c>
      <c r="AI106" s="12">
        <f>IF(ISNUMBER(原始输入与口径!Y106),原始输入与口径!Y106,"缺失")</f>
        <v>175</v>
      </c>
      <c r="AJ106" s="12">
        <f>IF(ISNUMBER(原始输入与口径!AI106),原始输入与口径!AI106,"缺失")</f>
        <v>0</v>
      </c>
      <c r="AK106" s="12">
        <f>IF(ISNUMBER(原始输入与口径!AL106),原始输入与口径!AL106,"缺失")</f>
        <v>5.6159999999999997</v>
      </c>
      <c r="AL106" s="12">
        <f>IF(ISNUMBER(原始输入与口径!O106),原始输入与口径!O106,"缺失")</f>
        <v>131.96799999999999</v>
      </c>
      <c r="AM106" s="12">
        <f>SUMIFS(相位SOC复算!$N$9:$N$929,相位SOC复算!$S$9:$S$929,98)</f>
        <v>1.9682742857142855E-3</v>
      </c>
      <c r="AN106" s="12">
        <f>SUMIFS(相位SOC复算!$Q$9:$Q$929,相位SOC复算!$S$9:$S$929,98)</f>
        <v>0.77019428571428561</v>
      </c>
      <c r="AO106" s="12">
        <f>SUMIFS(相位SOC复算!$R$9:$R$929,相位SOC复算!$S$9:$S$929,98)</f>
        <v>0</v>
      </c>
      <c r="AP106" s="12">
        <f>相位SOC复算!J242</f>
        <v>36.436685066311583</v>
      </c>
      <c r="AQ106" s="19">
        <f t="shared" si="37"/>
        <v>0</v>
      </c>
      <c r="AR106" s="12">
        <f>IF(ISBLANK(原始输入与口径!M106),"",原始输入与口径!M106)</f>
        <v>5.2473000000000001</v>
      </c>
      <c r="AS106" s="14">
        <f>IF(ISBLANK(原始输入与口径!L106),"",原始输入与口径!L106)</f>
        <v>46234</v>
      </c>
      <c r="AT106" s="13">
        <f>IF(ISBLANK(原始输入与口径!A106),"",原始输入与口径!A106)</f>
        <v>46235.885416666664</v>
      </c>
      <c r="AU106" s="12" t="str">
        <f>IF(ISBLANK(原始输入与口径!I106),"",原始输入与口径!I106)</f>
        <v>2026-08-01_94</v>
      </c>
      <c r="AV106" s="12">
        <f>IF(ISBLANK(原始输入与口径!J106),"",原始输入与口径!J106)</f>
        <v>15</v>
      </c>
      <c r="AW106" s="12" t="str">
        <f>IF(ISBLANK(原始输入与口径!BB106),"",原始输入与口径!BB106)</f>
        <v>OK</v>
      </c>
      <c r="AX106" s="12">
        <f>原始输入与口径!CI106</f>
        <v>128</v>
      </c>
      <c r="AY106" s="12">
        <f>原始输入与口径!BS106</f>
        <v>175</v>
      </c>
      <c r="AZ106" s="12">
        <f>原始输入与口径!BI106</f>
        <v>175</v>
      </c>
      <c r="BA106" s="12">
        <f>原始输入与口径!CM106</f>
        <v>40</v>
      </c>
      <c r="BB106" s="12">
        <f>原始输入与口径!BV106</f>
        <v>24</v>
      </c>
      <c r="BC106" s="12">
        <f>原始输入与口径!BL106</f>
        <v>24</v>
      </c>
      <c r="BD106" s="14">
        <f>46235</f>
        <v>46235</v>
      </c>
      <c r="BE106" s="1" t="str">
        <f t="shared" si="38"/>
        <v>零头寸，无结算现金</v>
      </c>
      <c r="BF106" s="1" t="str">
        <f t="shared" si="39"/>
        <v>40.000000 MW × 66.224535 × 0.250000 h = 662.245345 EUR</v>
      </c>
      <c r="BG106" s="1" t="str">
        <f t="shared" si="40"/>
        <v>24.000000 MW × 7.127475 × 0.250000 h = 42.764850 EUR</v>
      </c>
      <c r="BH106" s="1" t="str">
        <f t="shared" si="41"/>
        <v>24.000000 MW × 2.706154 × 0.250000 h = 16.236922 EUR</v>
      </c>
      <c r="BI106" s="1" t="str">
        <f t="shared" si="42"/>
        <v>零上调激活电量</v>
      </c>
      <c r="BJ106" s="1" t="str">
        <f t="shared" si="43"/>
        <v>−(0.770194 MWh × 70.316734) = -54.157547 EUR</v>
      </c>
      <c r="BK106" s="1" t="str">
        <f t="shared" si="44"/>
        <v>0.000000 + 662.245345 + 42.764850 + 16.236922 + 0.000000 + -54.157547 = 667.089571 EUR</v>
      </c>
    </row>
    <row r="107" spans="1:63" ht="21" customHeight="1" x14ac:dyDescent="0.45">
      <c r="A107" s="13">
        <f>原始输入与口径!C107</f>
        <v>46236.020833333336</v>
      </c>
      <c r="B107" s="15">
        <f>IF(ISNUMBER(原始输入与口径!H107),原始输入与口径!H107,"缺失")</f>
        <v>171.23</v>
      </c>
      <c r="C107" s="15">
        <f>IF(ISNUMBER(原始输入与口径!R107),原始输入与口径!R107,"缺失")</f>
        <v>66.224534522516336</v>
      </c>
      <c r="D107" s="15">
        <f>IF(ISNUMBER(原始输入与口径!W107),原始输入与口径!W107,"缺失")</f>
        <v>7.1274750824233415</v>
      </c>
      <c r="E107" s="15">
        <f>IF(ISNUMBER(原始输入与口径!AB107),原始输入与口径!AB107,"缺失")</f>
        <v>2.7061536409200921</v>
      </c>
      <c r="F107" s="15">
        <f>IF(ISNUMBER(原始输入与口径!AG107),原始输入与口径!AG107,"缺失")</f>
        <v>176.42482800678445</v>
      </c>
      <c r="G107" s="15">
        <f>IF(ISNUMBER(原始输入与口径!AJ107),原始输入与口径!AJ107,"缺失")</f>
        <v>70.125588397842705</v>
      </c>
      <c r="H107" s="15" t="str">
        <f t="shared" si="23"/>
        <v>未模拟</v>
      </c>
      <c r="I107" s="16">
        <f>原始输入与口径!CD107</f>
        <v>36.436685066311561</v>
      </c>
      <c r="J107" s="16">
        <f>原始输入与口径!CE107</f>
        <v>36.463172956994789</v>
      </c>
      <c r="K107" s="16">
        <f>原始输入与口径!BZ107</f>
        <v>0</v>
      </c>
      <c r="L107" s="16">
        <f>原始输入与口径!CK107</f>
        <v>40</v>
      </c>
      <c r="M107" s="16">
        <f>原始输入与口径!BT107</f>
        <v>24</v>
      </c>
      <c r="N107" s="16">
        <f>原始输入与口径!BJ107</f>
        <v>24</v>
      </c>
      <c r="O107" s="16">
        <f t="shared" si="24"/>
        <v>0.11945142857142857</v>
      </c>
      <c r="P107" s="16">
        <f t="shared" si="25"/>
        <v>0.16992000000000002</v>
      </c>
      <c r="Q107" s="17">
        <f t="shared" si="26"/>
        <v>0</v>
      </c>
      <c r="R107" s="17">
        <f t="shared" si="27"/>
        <v>662.24534522516342</v>
      </c>
      <c r="S107" s="17">
        <f t="shared" si="28"/>
        <v>42.764850494540049</v>
      </c>
      <c r="T107" s="17">
        <f t="shared" si="29"/>
        <v>16.236921845520552</v>
      </c>
      <c r="U107" s="17">
        <f t="shared" si="30"/>
        <v>21.074197740878983</v>
      </c>
      <c r="V107" s="17">
        <f t="shared" si="31"/>
        <v>-11.915739980561433</v>
      </c>
      <c r="W107" s="17">
        <f t="shared" si="32"/>
        <v>730.40557532554158</v>
      </c>
      <c r="X107" s="12">
        <f>原始输入与口径!CP107</f>
        <v>730.40557532554158</v>
      </c>
      <c r="Y107" s="19">
        <f t="shared" si="33"/>
        <v>0</v>
      </c>
      <c r="Z107" s="12" t="str">
        <f t="shared" si="45"/>
        <v>次日冻结计划复原</v>
      </c>
      <c r="AA107" s="12">
        <f>IF(原始输入与口径!AW107,1,0)</f>
        <v>1</v>
      </c>
      <c r="AB107" s="12">
        <f>IF(原始输入与口径!AY107,1,0)</f>
        <v>1</v>
      </c>
      <c r="AC107" s="12">
        <f>原始输入与口径!$F$5</f>
        <v>0.25</v>
      </c>
      <c r="AD107" s="18">
        <f>原始输入与口径!CG107</f>
        <v>0.3125</v>
      </c>
      <c r="AE107" s="18">
        <f>原始输入与口径!BQ107</f>
        <v>0.13714285714285715</v>
      </c>
      <c r="AF107" s="18">
        <f t="shared" si="35"/>
        <v>1.9908571428571428E-2</v>
      </c>
      <c r="AG107" s="18">
        <f t="shared" si="36"/>
        <v>2.8320000000000001E-2</v>
      </c>
      <c r="AH107" s="12">
        <f>IF(ISNUMBER(原始输入与口径!T107),原始输入与口径!T107,"缺失")</f>
        <v>175</v>
      </c>
      <c r="AI107" s="12">
        <f>IF(ISNUMBER(原始输入与口径!Y107),原始输入与口径!Y107,"缺失")</f>
        <v>175</v>
      </c>
      <c r="AJ107" s="12">
        <f>IF(ISNUMBER(原始输入与口径!AI107),原始输入与口径!AI107,"缺失")</f>
        <v>0.871</v>
      </c>
      <c r="AK107" s="12">
        <f>IF(ISNUMBER(原始输入与口径!AL107),原始输入与口径!AL107,"缺失")</f>
        <v>1.2390000000000001</v>
      </c>
      <c r="AL107" s="12">
        <f>IF(ISNUMBER(原始输入与口径!O107),原始输入与口径!O107,"缺失")</f>
        <v>131.96799999999999</v>
      </c>
      <c r="AM107" s="12">
        <f>SUMIFS(相位SOC复算!$N$9:$N$929,相位SOC复算!$S$9:$S$929,99)</f>
        <v>7.949025258799172E-4</v>
      </c>
      <c r="AN107" s="12">
        <f>SUMIFS(相位SOC复算!$Q$9:$Q$929,相位SOC复算!$S$9:$S$929,99)</f>
        <v>0.16992000000000002</v>
      </c>
      <c r="AO107" s="12">
        <f>SUMIFS(相位SOC复算!$R$9:$R$929,相位SOC复算!$S$9:$S$929,99)</f>
        <v>0.11945142857142857</v>
      </c>
      <c r="AP107" s="12">
        <f>相位SOC复算!J245</f>
        <v>36.463172956994811</v>
      </c>
      <c r="AQ107" s="19">
        <f t="shared" si="37"/>
        <v>0</v>
      </c>
      <c r="AR107" s="12">
        <f>IF(ISBLANK(原始输入与口径!M107),"",原始输入与口径!M107)</f>
        <v>5.2473000000000001</v>
      </c>
      <c r="AS107" s="14">
        <f>IF(ISBLANK(原始输入与口径!L107),"",原始输入与口径!L107)</f>
        <v>46234</v>
      </c>
      <c r="AT107" s="13">
        <f>IF(ISBLANK(原始输入与口径!A107),"",原始输入与口径!A107)</f>
        <v>46235.895833333336</v>
      </c>
      <c r="AU107" s="12" t="str">
        <f>IF(ISBLANK(原始输入与口径!I107),"",原始输入与口径!I107)</f>
        <v>2026-08-01_95</v>
      </c>
      <c r="AV107" s="12">
        <f>IF(ISBLANK(原始输入与口径!J107),"",原始输入与口径!J107)</f>
        <v>15</v>
      </c>
      <c r="AW107" s="12" t="str">
        <f>IF(ISBLANK(原始输入与口径!BB107),"",原始输入与口径!BB107)</f>
        <v>OK</v>
      </c>
      <c r="AX107" s="12">
        <f>原始输入与口径!CI107</f>
        <v>128</v>
      </c>
      <c r="AY107" s="12">
        <f>原始输入与口径!BS107</f>
        <v>175</v>
      </c>
      <c r="AZ107" s="12">
        <f>原始输入与口径!BI107</f>
        <v>175</v>
      </c>
      <c r="BA107" s="12">
        <f>原始输入与口径!CM107</f>
        <v>40</v>
      </c>
      <c r="BB107" s="12">
        <f>原始输入与口径!BV107</f>
        <v>24</v>
      </c>
      <c r="BC107" s="12">
        <f>原始输入与口径!BL107</f>
        <v>24</v>
      </c>
      <c r="BD107" s="14">
        <f>46235</f>
        <v>46235</v>
      </c>
      <c r="BE107" s="1" t="str">
        <f t="shared" si="38"/>
        <v>零头寸，无结算现金</v>
      </c>
      <c r="BF107" s="1" t="str">
        <f t="shared" si="39"/>
        <v>40.000000 MW × 66.224535 × 0.250000 h = 662.245345 EUR</v>
      </c>
      <c r="BG107" s="1" t="str">
        <f t="shared" si="40"/>
        <v>24.000000 MW × 7.127475 × 0.250000 h = 42.764850 EUR</v>
      </c>
      <c r="BH107" s="1" t="str">
        <f t="shared" si="41"/>
        <v>24.000000 MW × 2.706154 × 0.250000 h = 16.236922 EUR</v>
      </c>
      <c r="BI107" s="1" t="str">
        <f t="shared" si="42"/>
        <v>0.119451 MWh × 176.424828 = 21.074198 EUR</v>
      </c>
      <c r="BJ107" s="1" t="str">
        <f t="shared" si="43"/>
        <v>−(0.169920 MWh × 70.125588) = -11.915740 EUR</v>
      </c>
      <c r="BK107" s="1" t="str">
        <f t="shared" si="44"/>
        <v>0.000000 + 662.245345 + 42.764850 + 16.236922 + 21.074198 + -11.915740 = 730.405575 EUR</v>
      </c>
    </row>
    <row r="108" spans="1:63" ht="21" customHeight="1" x14ac:dyDescent="0.45">
      <c r="A108" s="13">
        <f>原始输入与口径!C108</f>
        <v>46236.03125</v>
      </c>
      <c r="B108" s="15">
        <f>IF(ISNUMBER(原始输入与口径!H108),原始输入与口径!H108,"缺失")</f>
        <v>164.72</v>
      </c>
      <c r="C108" s="15">
        <f>IF(ISNUMBER(原始输入与口径!R108),原始输入与口径!R108,"缺失")</f>
        <v>66.224534522516336</v>
      </c>
      <c r="D108" s="15">
        <f>IF(ISNUMBER(原始输入与口径!W108),原始输入与口径!W108,"缺失")</f>
        <v>7.1274750824233415</v>
      </c>
      <c r="E108" s="15">
        <f>IF(ISNUMBER(原始输入与口径!AB108),原始输入与口径!AB108,"缺失")</f>
        <v>2.7061536409200921</v>
      </c>
      <c r="F108" s="15">
        <f>IF(ISNUMBER(原始输入与口径!AG108),原始输入与口径!AG108,"缺失")</f>
        <v>157.46479141653802</v>
      </c>
      <c r="G108" s="15">
        <f>IF(ISNUMBER(原始输入与口径!AJ108),原始输入与口径!AJ108,"缺失")</f>
        <v>76.98549730337507</v>
      </c>
      <c r="H108" s="15" t="str">
        <f t="shared" si="23"/>
        <v>未模拟</v>
      </c>
      <c r="I108" s="16">
        <f>原始输入与口径!CD108</f>
        <v>36.463172956994789</v>
      </c>
      <c r="J108" s="16">
        <f>原始输入与口径!CE108</f>
        <v>36.568693056373668</v>
      </c>
      <c r="K108" s="16">
        <f>原始输入与口径!BZ108</f>
        <v>0</v>
      </c>
      <c r="L108" s="16">
        <f>原始输入与口径!CK108</f>
        <v>40</v>
      </c>
      <c r="M108" s="16">
        <f>原始输入与口径!BT108</f>
        <v>24</v>
      </c>
      <c r="N108" s="16">
        <f>原始输入与口径!BJ108</f>
        <v>24</v>
      </c>
      <c r="O108" s="16">
        <f t="shared" si="24"/>
        <v>2.0159999999999997E-2</v>
      </c>
      <c r="P108" s="16">
        <f t="shared" si="25"/>
        <v>0.1385142857142857</v>
      </c>
      <c r="Q108" s="17">
        <f t="shared" si="26"/>
        <v>0</v>
      </c>
      <c r="R108" s="17">
        <f t="shared" si="27"/>
        <v>662.24534522516342</v>
      </c>
      <c r="S108" s="17">
        <f t="shared" si="28"/>
        <v>42.764850494540049</v>
      </c>
      <c r="T108" s="17">
        <f t="shared" si="29"/>
        <v>16.236921845520552</v>
      </c>
      <c r="U108" s="17">
        <f t="shared" si="30"/>
        <v>3.1744901949574063</v>
      </c>
      <c r="V108" s="17">
        <f t="shared" si="31"/>
        <v>-10.663591169336065</v>
      </c>
      <c r="W108" s="17">
        <f t="shared" si="32"/>
        <v>713.75801659084539</v>
      </c>
      <c r="X108" s="12">
        <f>原始输入与口径!CP108</f>
        <v>713.75801659084539</v>
      </c>
      <c r="Y108" s="19">
        <f t="shared" si="33"/>
        <v>0</v>
      </c>
      <c r="Z108" s="12" t="str">
        <f t="shared" si="45"/>
        <v>次日冻结计划复原</v>
      </c>
      <c r="AA108" s="12">
        <f>IF(原始输入与口径!AW108,1,0)</f>
        <v>1</v>
      </c>
      <c r="AB108" s="12">
        <f>IF(原始输入与口径!AY108,1,0)</f>
        <v>1</v>
      </c>
      <c r="AC108" s="12">
        <f>原始输入与口径!$F$5</f>
        <v>0.25</v>
      </c>
      <c r="AD108" s="18">
        <f>原始输入与口径!CG108</f>
        <v>0.3125</v>
      </c>
      <c r="AE108" s="18">
        <f>原始输入与口径!BQ108</f>
        <v>0.13714285714285715</v>
      </c>
      <c r="AF108" s="18">
        <f t="shared" si="35"/>
        <v>3.3599999999999997E-3</v>
      </c>
      <c r="AG108" s="18">
        <f t="shared" si="36"/>
        <v>2.3085714285714286E-2</v>
      </c>
      <c r="AH108" s="12">
        <f>IF(ISNUMBER(原始输入与口径!T108),原始输入与口径!T108,"缺失")</f>
        <v>175</v>
      </c>
      <c r="AI108" s="12">
        <f>IF(ISNUMBER(原始输入与口径!Y108),原始输入与口径!Y108,"缺失")</f>
        <v>175</v>
      </c>
      <c r="AJ108" s="12">
        <f>IF(ISNUMBER(原始输入与口径!AI108),原始输入与口径!AI108,"缺失")</f>
        <v>0.14699999999999999</v>
      </c>
      <c r="AK108" s="12">
        <f>IF(ISNUMBER(原始输入与口径!AL108),原始输入与口径!AL108,"缺失")</f>
        <v>1.01</v>
      </c>
      <c r="AL108" s="12">
        <f>IF(ISNUMBER(原始输入与口径!O108),原始输入与口径!O108,"缺失")</f>
        <v>131.96799999999999</v>
      </c>
      <c r="AM108" s="12">
        <f>SUMIFS(相位SOC复算!$N$9:$N$929,相位SOC复算!$S$9:$S$929,100)</f>
        <v>4.1485051759834366E-4</v>
      </c>
      <c r="AN108" s="12">
        <f>SUMIFS(相位SOC复算!$Q$9:$Q$929,相位SOC复算!$S$9:$S$929,100)</f>
        <v>0.1385142857142857</v>
      </c>
      <c r="AO108" s="12">
        <f>SUMIFS(相位SOC复算!$R$9:$R$929,相位SOC复算!$S$9:$S$929,100)</f>
        <v>2.0159999999999997E-2</v>
      </c>
      <c r="AP108" s="12">
        <f>相位SOC复算!J248</f>
        <v>36.568693056373689</v>
      </c>
      <c r="AQ108" s="19">
        <f t="shared" si="37"/>
        <v>0</v>
      </c>
      <c r="AR108" s="12">
        <f>IF(ISBLANK(原始输入与口径!M108),"",原始输入与口径!M108)</f>
        <v>5.2473000000000001</v>
      </c>
      <c r="AS108" s="14">
        <f>IF(ISBLANK(原始输入与口径!L108),"",原始输入与口径!L108)</f>
        <v>46234</v>
      </c>
      <c r="AT108" s="13">
        <f>IF(ISBLANK(原始输入与口径!A108),"",原始输入与口径!A108)</f>
        <v>46235.90625</v>
      </c>
      <c r="AU108" s="12" t="str">
        <f>IF(ISBLANK(原始输入与口径!I108),"",原始输入与口径!I108)</f>
        <v>2026-08-01_96</v>
      </c>
      <c r="AV108" s="12">
        <f>IF(ISBLANK(原始输入与口径!J108),"",原始输入与口径!J108)</f>
        <v>15</v>
      </c>
      <c r="AW108" s="12" t="str">
        <f>IF(ISBLANK(原始输入与口径!BB108),"",原始输入与口径!BB108)</f>
        <v>OK</v>
      </c>
      <c r="AX108" s="12">
        <f>原始输入与口径!CI108</f>
        <v>128</v>
      </c>
      <c r="AY108" s="12">
        <f>原始输入与口径!BS108</f>
        <v>175</v>
      </c>
      <c r="AZ108" s="12">
        <f>原始输入与口径!BI108</f>
        <v>175</v>
      </c>
      <c r="BA108" s="12">
        <f>原始输入与口径!CM108</f>
        <v>40</v>
      </c>
      <c r="BB108" s="12">
        <f>原始输入与口径!BV108</f>
        <v>24</v>
      </c>
      <c r="BC108" s="12">
        <f>原始输入与口径!BL108</f>
        <v>24</v>
      </c>
      <c r="BD108" s="14">
        <f>46235</f>
        <v>46235</v>
      </c>
      <c r="BE108" s="1" t="str">
        <f t="shared" si="38"/>
        <v>零头寸，无结算现金</v>
      </c>
      <c r="BF108" s="1" t="str">
        <f t="shared" si="39"/>
        <v>40.000000 MW × 66.224535 × 0.250000 h = 662.245345 EUR</v>
      </c>
      <c r="BG108" s="1" t="str">
        <f t="shared" si="40"/>
        <v>24.000000 MW × 7.127475 × 0.250000 h = 42.764850 EUR</v>
      </c>
      <c r="BH108" s="1" t="str">
        <f t="shared" si="41"/>
        <v>24.000000 MW × 2.706154 × 0.250000 h = 16.236922 EUR</v>
      </c>
      <c r="BI108" s="1" t="str">
        <f t="shared" si="42"/>
        <v>0.020160 MWh × 157.464791 = 3.174490 EUR</v>
      </c>
      <c r="BJ108" s="1" t="str">
        <f t="shared" si="43"/>
        <v>−(0.138514 MWh × 76.985497) = -10.663591 EUR</v>
      </c>
      <c r="BK108" s="1" t="str">
        <f t="shared" si="44"/>
        <v>0.000000 + 662.245345 + 42.764850 + 16.236922 + 3.174490 + -10.663591 = 713.758017 EUR</v>
      </c>
    </row>
    <row r="109" spans="1:63" ht="21" customHeight="1" x14ac:dyDescent="0.45">
      <c r="A109" s="13">
        <f>原始输入与口径!C109</f>
        <v>46236.041666666664</v>
      </c>
      <c r="B109" s="15">
        <f>IF(ISNUMBER(原始输入与口径!H109),原始输入与口径!H109,"缺失")</f>
        <v>189.01</v>
      </c>
      <c r="C109" s="15">
        <f>IF(ISNUMBER(原始输入与口径!R109),原始输入与口径!R109,"缺失")</f>
        <v>66.224534522516336</v>
      </c>
      <c r="D109" s="15">
        <f>IF(ISNUMBER(原始输入与口径!W109),原始输入与口径!W109,"缺失")</f>
        <v>7.1274750824233415</v>
      </c>
      <c r="E109" s="15">
        <f>IF(ISNUMBER(原始输入与口径!AB109),原始输入与口径!AB109,"缺失")</f>
        <v>2.7061536409200921</v>
      </c>
      <c r="F109" s="15">
        <f>IF(ISNUMBER(原始输入与口径!AG109),原始输入与口径!AG109,"缺失")</f>
        <v>0</v>
      </c>
      <c r="G109" s="15">
        <f>IF(ISNUMBER(原始输入与口径!AJ109),原始输入与口径!AJ109,"缺失")</f>
        <v>76.829988756122191</v>
      </c>
      <c r="H109" s="15" t="str">
        <f t="shared" si="23"/>
        <v>未模拟</v>
      </c>
      <c r="I109" s="16">
        <f>原始输入与口径!CD109</f>
        <v>36.568693056373668</v>
      </c>
      <c r="J109" s="16">
        <f>原始输入与口径!CE109</f>
        <v>31.739130434782588</v>
      </c>
      <c r="K109" s="16">
        <f>原始输入与口径!BZ109</f>
        <v>21.150137638703697</v>
      </c>
      <c r="L109" s="16">
        <f>原始输入与口径!CK109</f>
        <v>40</v>
      </c>
      <c r="M109" s="16">
        <f>原始输入与口径!BT109</f>
        <v>24</v>
      </c>
      <c r="N109" s="16">
        <f>原始输入与口径!BJ109</f>
        <v>24</v>
      </c>
      <c r="O109" s="16">
        <f t="shared" si="24"/>
        <v>0</v>
      </c>
      <c r="P109" s="16">
        <f t="shared" si="25"/>
        <v>0.8600228571428572</v>
      </c>
      <c r="Q109" s="17">
        <f t="shared" si="26"/>
        <v>999.39687877284643</v>
      </c>
      <c r="R109" s="17">
        <f t="shared" si="27"/>
        <v>662.24534522516342</v>
      </c>
      <c r="S109" s="17">
        <f t="shared" si="28"/>
        <v>42.764850494540049</v>
      </c>
      <c r="T109" s="17">
        <f t="shared" si="29"/>
        <v>16.236921845520552</v>
      </c>
      <c r="U109" s="17">
        <f t="shared" si="30"/>
        <v>0</v>
      </c>
      <c r="V109" s="17">
        <f t="shared" si="31"/>
        <v>-66.075546444293806</v>
      </c>
      <c r="W109" s="17">
        <f t="shared" si="32"/>
        <v>1654.5684498937765</v>
      </c>
      <c r="X109" s="12">
        <f>原始输入与口径!CP109</f>
        <v>1654.5684498937767</v>
      </c>
      <c r="Y109" s="19">
        <f t="shared" si="33"/>
        <v>0</v>
      </c>
      <c r="Z109" s="12" t="str">
        <f t="shared" si="45"/>
        <v>次日冻结计划复原</v>
      </c>
      <c r="AA109" s="12">
        <f>IF(原始输入与口径!AW109,1,0)</f>
        <v>1</v>
      </c>
      <c r="AB109" s="12">
        <f>IF(原始输入与口径!AY109,1,0)</f>
        <v>1</v>
      </c>
      <c r="AC109" s="12">
        <f>原始输入与口径!$F$5</f>
        <v>0.25</v>
      </c>
      <c r="AD109" s="18">
        <f>原始输入与口径!CG109</f>
        <v>0.3125</v>
      </c>
      <c r="AE109" s="18">
        <f>原始输入与口径!BQ109</f>
        <v>0.13714285714285715</v>
      </c>
      <c r="AF109" s="18">
        <f t="shared" si="35"/>
        <v>0</v>
      </c>
      <c r="AG109" s="18">
        <f t="shared" si="36"/>
        <v>0.14333714285714286</v>
      </c>
      <c r="AH109" s="12">
        <f>IF(ISNUMBER(原始输入与口径!T109),原始输入与口径!T109,"缺失")</f>
        <v>175</v>
      </c>
      <c r="AI109" s="12">
        <f>IF(ISNUMBER(原始输入与口径!Y109),原始输入与口径!Y109,"缺失")</f>
        <v>175</v>
      </c>
      <c r="AJ109" s="12">
        <f>IF(ISNUMBER(原始输入与口径!AI109),原始输入与口径!AI109,"缺失")</f>
        <v>0</v>
      </c>
      <c r="AK109" s="12">
        <f>IF(ISNUMBER(原始输入与口径!AL109),原始输入与口径!AL109,"缺失")</f>
        <v>6.2709999999999999</v>
      </c>
      <c r="AL109" s="12">
        <f>IF(ISNUMBER(原始输入与口径!O109),原始输入与口径!O109,"缺失")</f>
        <v>128</v>
      </c>
      <c r="AM109" s="12">
        <f>SUMIFS(相位SOC复算!$N$9:$N$929,相位SOC复算!$S$9:$S$929,101)</f>
        <v>1.39374126129363E-2</v>
      </c>
      <c r="AN109" s="12">
        <f>SUMIFS(相位SOC复算!$Q$9:$Q$929,相位SOC复算!$S$9:$S$929,101)</f>
        <v>0.10212278210108067</v>
      </c>
      <c r="AO109" s="12">
        <f>SUMIFS(相位SOC复算!$R$9:$R$929,相位SOC复算!$S$9:$S$929,101)</f>
        <v>4.5296343346341477</v>
      </c>
      <c r="AP109" s="12">
        <f>相位SOC复算!J250</f>
        <v>31.739130434782606</v>
      </c>
      <c r="AQ109" s="19">
        <f t="shared" si="37"/>
        <v>0</v>
      </c>
      <c r="AR109" s="12">
        <f>IF(ISBLANK(原始输入与口径!M109),"",原始输入与口径!M109)</f>
        <v>5.2473000000000001</v>
      </c>
      <c r="AS109" s="14">
        <f>IF(ISBLANK(原始输入与口径!L109),"",原始输入与口径!L109)</f>
        <v>46234</v>
      </c>
      <c r="AT109" s="13">
        <f>IF(ISBLANK(原始输入与口径!A109),"",原始输入与口径!A109)</f>
        <v>46235.916666666664</v>
      </c>
      <c r="AU109" s="12" t="str">
        <f>IF(ISBLANK(原始输入与口径!I109),"",原始输入与口径!I109)</f>
        <v>2026-08-02_1</v>
      </c>
      <c r="AV109" s="12">
        <f>IF(ISBLANK(原始输入与口径!J109),"",原始输入与口径!J109)</f>
        <v>15</v>
      </c>
      <c r="AW109" s="12" t="str">
        <f>IF(ISBLANK(原始输入与口径!BB109),"",原始输入与口径!BB109)</f>
        <v>OK</v>
      </c>
      <c r="AX109" s="12">
        <f>原始输入与口径!CI109</f>
        <v>128</v>
      </c>
      <c r="AY109" s="12">
        <f>原始输入与口径!BS109</f>
        <v>175</v>
      </c>
      <c r="AZ109" s="12">
        <f>原始输入与口径!BI109</f>
        <v>175</v>
      </c>
      <c r="BA109" s="12">
        <f>原始输入与口径!CM109</f>
        <v>40</v>
      </c>
      <c r="BB109" s="12">
        <f>原始输入与口径!BV109</f>
        <v>24</v>
      </c>
      <c r="BC109" s="12">
        <f>原始输入与口径!BL109</f>
        <v>24</v>
      </c>
      <c r="BD109" s="14">
        <f>46235</f>
        <v>46235</v>
      </c>
      <c r="BE109" s="1" t="str">
        <f t="shared" si="38"/>
        <v>21.150138 MW × 189.010000 × 0.250000 h = 999.396879 EUR</v>
      </c>
      <c r="BF109" s="1" t="str">
        <f t="shared" si="39"/>
        <v>40.000000 MW × 66.224535 × 0.250000 h = 662.245345 EUR</v>
      </c>
      <c r="BG109" s="1" t="str">
        <f t="shared" si="40"/>
        <v>24.000000 MW × 7.127475 × 0.250000 h = 42.764850 EUR</v>
      </c>
      <c r="BH109" s="1" t="str">
        <f t="shared" si="41"/>
        <v>24.000000 MW × 2.706154 × 0.250000 h = 16.236922 EUR</v>
      </c>
      <c r="BI109" s="1" t="str">
        <f t="shared" si="42"/>
        <v>零上调激活电量</v>
      </c>
      <c r="BJ109" s="1" t="str">
        <f t="shared" si="43"/>
        <v>−(0.860023 MWh × 76.829989) = -66.075546 EUR</v>
      </c>
      <c r="BK109" s="1" t="str">
        <f t="shared" si="44"/>
        <v>999.396879 + 662.245345 + 42.764850 + 16.236922 + 0.000000 + -66.075546 = 1654.568450 EUR</v>
      </c>
    </row>
    <row r="110" spans="1:63" ht="21" customHeight="1" x14ac:dyDescent="0.45">
      <c r="A110" s="13">
        <f>原始输入与口径!C110</f>
        <v>46236.052083333336</v>
      </c>
      <c r="B110" s="15">
        <f>IF(ISNUMBER(原始输入与口径!H110),原始输入与口径!H110,"缺失")</f>
        <v>171.26</v>
      </c>
      <c r="C110" s="15">
        <f>IF(ISNUMBER(原始输入与口径!R110),原始输入与口径!R110,"缺失")</f>
        <v>66.224534522516336</v>
      </c>
      <c r="D110" s="15">
        <f>IF(ISNUMBER(原始输入与口径!W110),原始输入与口径!W110,"缺失")</f>
        <v>7.1274750824233415</v>
      </c>
      <c r="E110" s="15">
        <f>IF(ISNUMBER(原始输入与口径!AB110),原始输入与口径!AB110,"缺失")</f>
        <v>2.7061536409200921</v>
      </c>
      <c r="F110" s="15">
        <f>IF(ISNUMBER(原始输入与口径!AG110),原始输入与口径!AG110,"缺失")</f>
        <v>152.45936005183617</v>
      </c>
      <c r="G110" s="15">
        <f>IF(ISNUMBER(原始输入与口径!AJ110),原始输入与口径!AJ110,"缺失")</f>
        <v>77.033712575991458</v>
      </c>
      <c r="H110" s="15" t="str">
        <f t="shared" si="23"/>
        <v>未模拟</v>
      </c>
      <c r="I110" s="16">
        <f>原始输入与口径!CD110</f>
        <v>31.739130434782588</v>
      </c>
      <c r="J110" s="16">
        <f>原始输入与口径!CE110</f>
        <v>31.891706275776375</v>
      </c>
      <c r="K110" s="16">
        <f>原始输入与口径!BZ110</f>
        <v>0</v>
      </c>
      <c r="L110" s="16">
        <f>原始输入与口径!CK110</f>
        <v>40</v>
      </c>
      <c r="M110" s="16">
        <f>原始输入与口径!BT110</f>
        <v>24</v>
      </c>
      <c r="N110" s="16">
        <f>原始输入与口径!BJ110</f>
        <v>24</v>
      </c>
      <c r="O110" s="16">
        <f t="shared" si="24"/>
        <v>5.4857142857142865E-4</v>
      </c>
      <c r="P110" s="16">
        <f t="shared" si="25"/>
        <v>0.16649142857142857</v>
      </c>
      <c r="Q110" s="17">
        <f t="shared" si="26"/>
        <v>0</v>
      </c>
      <c r="R110" s="17">
        <f t="shared" si="27"/>
        <v>662.24534522516342</v>
      </c>
      <c r="S110" s="17">
        <f t="shared" si="28"/>
        <v>42.764850494540049</v>
      </c>
      <c r="T110" s="17">
        <f t="shared" si="29"/>
        <v>16.236921845520552</v>
      </c>
      <c r="U110" s="17">
        <f t="shared" si="30"/>
        <v>8.3634848942721565E-2</v>
      </c>
      <c r="V110" s="17">
        <f t="shared" si="31"/>
        <v>-12.825452854937641</v>
      </c>
      <c r="W110" s="17">
        <f t="shared" si="32"/>
        <v>708.505299559229</v>
      </c>
      <c r="X110" s="12">
        <f>原始输入与口径!CP110</f>
        <v>708.50529955922912</v>
      </c>
      <c r="Y110" s="19">
        <f t="shared" si="33"/>
        <v>0</v>
      </c>
      <c r="Z110" s="12" t="str">
        <f t="shared" si="45"/>
        <v>次日冻结计划复原</v>
      </c>
      <c r="AA110" s="12">
        <f>IF(原始输入与口径!AW110,1,0)</f>
        <v>1</v>
      </c>
      <c r="AB110" s="12">
        <f>IF(原始输入与口径!AY110,1,0)</f>
        <v>1</v>
      </c>
      <c r="AC110" s="12">
        <f>原始输入与口径!$F$5</f>
        <v>0.25</v>
      </c>
      <c r="AD110" s="18">
        <f>原始输入与口径!CG110</f>
        <v>0.3125</v>
      </c>
      <c r="AE110" s="18">
        <f>原始输入与口径!BQ110</f>
        <v>0.13714285714285715</v>
      </c>
      <c r="AF110" s="18">
        <f t="shared" si="35"/>
        <v>9.1428571428571432E-5</v>
      </c>
      <c r="AG110" s="18">
        <f t="shared" si="36"/>
        <v>2.7748571428571428E-2</v>
      </c>
      <c r="AH110" s="12">
        <f>IF(ISNUMBER(原始输入与口径!T110),原始输入与口径!T110,"缺失")</f>
        <v>175</v>
      </c>
      <c r="AI110" s="12">
        <f>IF(ISNUMBER(原始输入与口径!Y110),原始输入与口径!Y110,"缺失")</f>
        <v>175</v>
      </c>
      <c r="AJ110" s="12">
        <f>IF(ISNUMBER(原始输入与口径!AI110),原始输入与口径!AI110,"缺失")</f>
        <v>4.0000000000000001E-3</v>
      </c>
      <c r="AK110" s="12">
        <f>IF(ISNUMBER(原始输入与口径!AL110),原始输入与口径!AL110,"缺失")</f>
        <v>1.214</v>
      </c>
      <c r="AL110" s="12">
        <f>IF(ISNUMBER(原始输入与口径!O110),原始输入与口径!O110,"缺失")</f>
        <v>128</v>
      </c>
      <c r="AM110" s="12">
        <f>SUMIFS(相位SOC复算!$N$9:$N$929,相位SOC复算!$S$9:$S$929,102)</f>
        <v>4.2713440993788818E-4</v>
      </c>
      <c r="AN110" s="12">
        <f>SUMIFS(相位SOC复算!$Q$9:$Q$929,相位SOC复算!$S$9:$S$929,102)</f>
        <v>0.16649142857142857</v>
      </c>
      <c r="AO110" s="12">
        <f>SUMIFS(相位SOC复算!$R$9:$R$929,相位SOC复算!$S$9:$S$929,102)</f>
        <v>5.4857142857142865E-4</v>
      </c>
      <c r="AP110" s="12">
        <f>相位SOC复算!J253</f>
        <v>31.891706275776393</v>
      </c>
      <c r="AQ110" s="19">
        <f t="shared" si="37"/>
        <v>0</v>
      </c>
      <c r="AR110" s="12">
        <f>IF(ISBLANK(原始输入与口径!M110),"",原始输入与口径!M110)</f>
        <v>5.2473000000000001</v>
      </c>
      <c r="AS110" s="14">
        <f>IF(ISBLANK(原始输入与口径!L110),"",原始输入与口径!L110)</f>
        <v>46234</v>
      </c>
      <c r="AT110" s="13">
        <f>IF(ISBLANK(原始输入与口径!A110),"",原始输入与口径!A110)</f>
        <v>46235.927083333336</v>
      </c>
      <c r="AU110" s="12" t="str">
        <f>IF(ISBLANK(原始输入与口径!I110),"",原始输入与口径!I110)</f>
        <v>2026-08-02_2</v>
      </c>
      <c r="AV110" s="12">
        <f>IF(ISBLANK(原始输入与口径!J110),"",原始输入与口径!J110)</f>
        <v>15</v>
      </c>
      <c r="AW110" s="12" t="str">
        <f>IF(ISBLANK(原始输入与口径!BB110),"",原始输入与口径!BB110)</f>
        <v>OK</v>
      </c>
      <c r="AX110" s="12">
        <f>原始输入与口径!CI110</f>
        <v>128</v>
      </c>
      <c r="AY110" s="12">
        <f>原始输入与口径!BS110</f>
        <v>175</v>
      </c>
      <c r="AZ110" s="12">
        <f>原始输入与口径!BI110</f>
        <v>175</v>
      </c>
      <c r="BA110" s="12">
        <f>原始输入与口径!CM110</f>
        <v>40</v>
      </c>
      <c r="BB110" s="12">
        <f>原始输入与口径!BV110</f>
        <v>24</v>
      </c>
      <c r="BC110" s="12">
        <f>原始输入与口径!BL110</f>
        <v>24</v>
      </c>
      <c r="BD110" s="14">
        <f>46235</f>
        <v>46235</v>
      </c>
      <c r="BE110" s="1" t="str">
        <f t="shared" si="38"/>
        <v>零头寸，无结算现金</v>
      </c>
      <c r="BF110" s="1" t="str">
        <f t="shared" si="39"/>
        <v>40.000000 MW × 66.224535 × 0.250000 h = 662.245345 EUR</v>
      </c>
      <c r="BG110" s="1" t="str">
        <f t="shared" si="40"/>
        <v>24.000000 MW × 7.127475 × 0.250000 h = 42.764850 EUR</v>
      </c>
      <c r="BH110" s="1" t="str">
        <f t="shared" si="41"/>
        <v>24.000000 MW × 2.706154 × 0.250000 h = 16.236922 EUR</v>
      </c>
      <c r="BI110" s="1" t="str">
        <f t="shared" si="42"/>
        <v>0.000549 MWh × 152.459360 = 0.083635 EUR</v>
      </c>
      <c r="BJ110" s="1" t="str">
        <f t="shared" si="43"/>
        <v>−(0.166491 MWh × 77.033713) = -12.825453 EUR</v>
      </c>
      <c r="BK110" s="1" t="str">
        <f t="shared" si="44"/>
        <v>0.000000 + 662.245345 + 42.764850 + 16.236922 + 0.083635 + -12.825453 = 708.505300 EUR</v>
      </c>
    </row>
    <row r="111" spans="1:63" ht="21" customHeight="1" x14ac:dyDescent="0.45">
      <c r="A111" s="13">
        <f>原始输入与口径!C111</f>
        <v>46236.0625</v>
      </c>
      <c r="B111" s="15">
        <f>IF(ISNUMBER(原始输入与口径!H111),原始输入与口径!H111,"缺失")</f>
        <v>161.1</v>
      </c>
      <c r="C111" s="15">
        <f>IF(ISNUMBER(原始输入与口径!R111),原始输入与口径!R111,"缺失")</f>
        <v>66.224534522516336</v>
      </c>
      <c r="D111" s="15">
        <f>IF(ISNUMBER(原始输入与口径!W111),原始输入与口径!W111,"缺失")</f>
        <v>7.1274750824233415</v>
      </c>
      <c r="E111" s="15">
        <f>IF(ISNUMBER(原始输入与口径!AB111),原始输入与口径!AB111,"缺失")</f>
        <v>2.7061536409200921</v>
      </c>
      <c r="F111" s="15">
        <f>IF(ISNUMBER(原始输入与口径!AG111),原始输入与口径!AG111,"缺失")</f>
        <v>152.45936005183617</v>
      </c>
      <c r="G111" s="15">
        <f>IF(ISNUMBER(原始输入与口径!AJ111),原始输入与口径!AJ111,"缺失")</f>
        <v>77.182551026242066</v>
      </c>
      <c r="H111" s="15" t="str">
        <f t="shared" si="23"/>
        <v>未模拟</v>
      </c>
      <c r="I111" s="16">
        <f>原始输入与口径!CD111</f>
        <v>31.891706275776375</v>
      </c>
      <c r="J111" s="16">
        <f>原始输入与口径!CE111</f>
        <v>32.058692372670784</v>
      </c>
      <c r="K111" s="16">
        <f>原始输入与口径!BZ111</f>
        <v>0</v>
      </c>
      <c r="L111" s="16">
        <f>原始输入与口径!CK111</f>
        <v>40</v>
      </c>
      <c r="M111" s="16">
        <f>原始输入与口径!BT111</f>
        <v>24</v>
      </c>
      <c r="N111" s="16">
        <f>原始输入与口径!BJ111</f>
        <v>24</v>
      </c>
      <c r="O111" s="16">
        <f t="shared" si="24"/>
        <v>1.2479999999999998E-2</v>
      </c>
      <c r="P111" s="16">
        <f t="shared" si="25"/>
        <v>0.19625142857142858</v>
      </c>
      <c r="Q111" s="17">
        <f t="shared" si="26"/>
        <v>0</v>
      </c>
      <c r="R111" s="17">
        <f t="shared" si="27"/>
        <v>662.24534522516342</v>
      </c>
      <c r="S111" s="17">
        <f t="shared" si="28"/>
        <v>42.764850494540049</v>
      </c>
      <c r="T111" s="17">
        <f t="shared" si="29"/>
        <v>16.236921845520552</v>
      </c>
      <c r="U111" s="17">
        <f t="shared" si="30"/>
        <v>1.9026928134469152</v>
      </c>
      <c r="V111" s="17">
        <f t="shared" si="31"/>
        <v>-15.147185899687186</v>
      </c>
      <c r="W111" s="17">
        <f t="shared" si="32"/>
        <v>708.00262447898376</v>
      </c>
      <c r="X111" s="12">
        <f>原始输入与口径!CP111</f>
        <v>708.00262447898376</v>
      </c>
      <c r="Y111" s="19">
        <f t="shared" si="33"/>
        <v>0</v>
      </c>
      <c r="Z111" s="12" t="str">
        <f t="shared" si="45"/>
        <v>次日冻结计划复原</v>
      </c>
      <c r="AA111" s="12">
        <f>IF(原始输入与口径!AW111,1,0)</f>
        <v>1</v>
      </c>
      <c r="AB111" s="12">
        <f>IF(原始输入与口径!AY111,1,0)</f>
        <v>1</v>
      </c>
      <c r="AC111" s="12">
        <f>原始输入与口径!$F$5</f>
        <v>0.25</v>
      </c>
      <c r="AD111" s="18">
        <f>原始输入与口径!CG111</f>
        <v>0.3125</v>
      </c>
      <c r="AE111" s="18">
        <f>原始输入与口径!BQ111</f>
        <v>0.13714285714285715</v>
      </c>
      <c r="AF111" s="18">
        <f t="shared" si="35"/>
        <v>2.0799999999999998E-3</v>
      </c>
      <c r="AG111" s="18">
        <f t="shared" si="36"/>
        <v>3.2708571428571427E-2</v>
      </c>
      <c r="AH111" s="12">
        <f>IF(ISNUMBER(原始输入与口径!T111),原始输入与口径!T111,"缺失")</f>
        <v>175</v>
      </c>
      <c r="AI111" s="12">
        <f>IF(ISNUMBER(原始输入与口径!Y111),原始输入与口径!Y111,"缺失")</f>
        <v>175</v>
      </c>
      <c r="AJ111" s="12">
        <f>IF(ISNUMBER(原始输入与口径!AI111),原始输入与口径!AI111,"缺失")</f>
        <v>9.0999999999999998E-2</v>
      </c>
      <c r="AK111" s="12">
        <f>IF(ISNUMBER(原始输入与口径!AL111),原始输入与口径!AL111,"缺失")</f>
        <v>1.431</v>
      </c>
      <c r="AL111" s="12">
        <f>IF(ISNUMBER(原始输入与口径!O111),原始输入与口径!O111,"缺失")</f>
        <v>128</v>
      </c>
      <c r="AM111" s="12">
        <f>SUMIFS(相位SOC复算!$N$9:$N$929,相位SOC复算!$S$9:$S$929,103)</f>
        <v>5.3921258799171843E-4</v>
      </c>
      <c r="AN111" s="12">
        <f>SUMIFS(相位SOC复算!$Q$9:$Q$929,相位SOC复算!$S$9:$S$929,103)</f>
        <v>0.19625142857142858</v>
      </c>
      <c r="AO111" s="12">
        <f>SUMIFS(相位SOC复算!$R$9:$R$929,相位SOC复算!$S$9:$S$929,103)</f>
        <v>1.2479999999999998E-2</v>
      </c>
      <c r="AP111" s="12">
        <f>相位SOC复算!J256</f>
        <v>32.058692372670805</v>
      </c>
      <c r="AQ111" s="19">
        <f t="shared" si="37"/>
        <v>0</v>
      </c>
      <c r="AR111" s="12">
        <f>IF(ISBLANK(原始输入与口径!M111),"",原始输入与口径!M111)</f>
        <v>5.2473000000000001</v>
      </c>
      <c r="AS111" s="14">
        <f>IF(ISBLANK(原始输入与口径!L111),"",原始输入与口径!L111)</f>
        <v>46234</v>
      </c>
      <c r="AT111" s="13">
        <f>IF(ISBLANK(原始输入与口径!A111),"",原始输入与口径!A111)</f>
        <v>46235.9375</v>
      </c>
      <c r="AU111" s="12" t="str">
        <f>IF(ISBLANK(原始输入与口径!I111),"",原始输入与口径!I111)</f>
        <v>2026-08-02_3</v>
      </c>
      <c r="AV111" s="12">
        <f>IF(ISBLANK(原始输入与口径!J111),"",原始输入与口径!J111)</f>
        <v>15</v>
      </c>
      <c r="AW111" s="12" t="str">
        <f>IF(ISBLANK(原始输入与口径!BB111),"",原始输入与口径!BB111)</f>
        <v>OK</v>
      </c>
      <c r="AX111" s="12">
        <f>原始输入与口径!CI111</f>
        <v>128</v>
      </c>
      <c r="AY111" s="12">
        <f>原始输入与口径!BS111</f>
        <v>175</v>
      </c>
      <c r="AZ111" s="12">
        <f>原始输入与口径!BI111</f>
        <v>175</v>
      </c>
      <c r="BA111" s="12">
        <f>原始输入与口径!CM111</f>
        <v>40</v>
      </c>
      <c r="BB111" s="12">
        <f>原始输入与口径!BV111</f>
        <v>24</v>
      </c>
      <c r="BC111" s="12">
        <f>原始输入与口径!BL111</f>
        <v>24</v>
      </c>
      <c r="BD111" s="14">
        <f>46235</f>
        <v>46235</v>
      </c>
      <c r="BE111" s="1" t="str">
        <f t="shared" si="38"/>
        <v>零头寸，无结算现金</v>
      </c>
      <c r="BF111" s="1" t="str">
        <f t="shared" si="39"/>
        <v>40.000000 MW × 66.224535 × 0.250000 h = 662.245345 EUR</v>
      </c>
      <c r="BG111" s="1" t="str">
        <f t="shared" si="40"/>
        <v>24.000000 MW × 7.127475 × 0.250000 h = 42.764850 EUR</v>
      </c>
      <c r="BH111" s="1" t="str">
        <f t="shared" si="41"/>
        <v>24.000000 MW × 2.706154 × 0.250000 h = 16.236922 EUR</v>
      </c>
      <c r="BI111" s="1" t="str">
        <f t="shared" si="42"/>
        <v>0.012480 MWh × 152.459360 = 1.902693 EUR</v>
      </c>
      <c r="BJ111" s="1" t="str">
        <f t="shared" si="43"/>
        <v>−(0.196251 MWh × 77.182551) = -15.147186 EUR</v>
      </c>
      <c r="BK111" s="1" t="str">
        <f t="shared" si="44"/>
        <v>0.000000 + 662.245345 + 42.764850 + 16.236922 + 1.902693 + -15.147186 = 708.002624 EUR</v>
      </c>
    </row>
    <row r="112" spans="1:63" ht="21" customHeight="1" x14ac:dyDescent="0.45">
      <c r="A112" s="13">
        <f>原始输入与口径!C112</f>
        <v>46236.072916666664</v>
      </c>
      <c r="B112" s="15">
        <f>IF(ISNUMBER(原始输入与口径!H112),原始输入与口径!H112,"缺失")</f>
        <v>160.43</v>
      </c>
      <c r="C112" s="15">
        <f>IF(ISNUMBER(原始输入与口径!R112),原始输入与口径!R112,"缺失")</f>
        <v>66.224534522516336</v>
      </c>
      <c r="D112" s="15">
        <f>IF(ISNUMBER(原始输入与口径!W112),原始输入与口径!W112,"缺失")</f>
        <v>7.1274750824233415</v>
      </c>
      <c r="E112" s="15">
        <f>IF(ISNUMBER(原始输入与口径!AB112),原始输入与口径!AB112,"缺失")</f>
        <v>2.7061536409200921</v>
      </c>
      <c r="F112" s="15">
        <f>IF(ISNUMBER(原始输入与口径!AG112),原始输入与口径!AG112,"缺失")</f>
        <v>165.0061936615021</v>
      </c>
      <c r="G112" s="15">
        <f>IF(ISNUMBER(原始输入与口径!AJ112),原始输入与口径!AJ112,"缺失")</f>
        <v>77.182551026242066</v>
      </c>
      <c r="H112" s="15" t="str">
        <f t="shared" si="23"/>
        <v>未模拟</v>
      </c>
      <c r="I112" s="16">
        <f>原始输入与口径!CD112</f>
        <v>32.058692372670784</v>
      </c>
      <c r="J112" s="16">
        <f>原始输入与口径!CE112</f>
        <v>32.085839503105568</v>
      </c>
      <c r="K112" s="16">
        <f>原始输入与口径!BZ112</f>
        <v>0</v>
      </c>
      <c r="L112" s="16">
        <f>原始输入与口径!CK112</f>
        <v>40</v>
      </c>
      <c r="M112" s="16">
        <f>原始输入与口径!BT112</f>
        <v>24</v>
      </c>
      <c r="N112" s="16">
        <f>原始输入与口径!BJ112</f>
        <v>24</v>
      </c>
      <c r="O112" s="16">
        <f t="shared" si="24"/>
        <v>2.784E-2</v>
      </c>
      <c r="P112" s="16">
        <f t="shared" si="25"/>
        <v>6.2399999999999997E-2</v>
      </c>
      <c r="Q112" s="17">
        <f t="shared" si="26"/>
        <v>0</v>
      </c>
      <c r="R112" s="17">
        <f t="shared" si="27"/>
        <v>662.24534522516342</v>
      </c>
      <c r="S112" s="17">
        <f t="shared" si="28"/>
        <v>42.764850494540049</v>
      </c>
      <c r="T112" s="17">
        <f t="shared" si="29"/>
        <v>16.236921845520552</v>
      </c>
      <c r="U112" s="17">
        <f t="shared" si="30"/>
        <v>4.5937724315362187</v>
      </c>
      <c r="V112" s="17">
        <f t="shared" si="31"/>
        <v>-4.8161911840375051</v>
      </c>
      <c r="W112" s="17">
        <f t="shared" si="32"/>
        <v>721.0246988127227</v>
      </c>
      <c r="X112" s="12">
        <f>原始输入与口径!CP112</f>
        <v>721.0246988127227</v>
      </c>
      <c r="Y112" s="19">
        <f t="shared" si="33"/>
        <v>0</v>
      </c>
      <c r="Z112" s="12" t="str">
        <f t="shared" si="45"/>
        <v>次日冻结计划复原</v>
      </c>
      <c r="AA112" s="12">
        <f>IF(原始输入与口径!AW112,1,0)</f>
        <v>1</v>
      </c>
      <c r="AB112" s="12">
        <f>IF(原始输入与口径!AY112,1,0)</f>
        <v>1</v>
      </c>
      <c r="AC112" s="12">
        <f>原始输入与口径!$F$5</f>
        <v>0.25</v>
      </c>
      <c r="AD112" s="18">
        <f>原始输入与口径!CG112</f>
        <v>0.3125</v>
      </c>
      <c r="AE112" s="18">
        <f>原始输入与口径!BQ112</f>
        <v>0.13714285714285715</v>
      </c>
      <c r="AF112" s="18">
        <f t="shared" si="35"/>
        <v>4.64E-3</v>
      </c>
      <c r="AG112" s="18">
        <f t="shared" si="36"/>
        <v>1.04E-2</v>
      </c>
      <c r="AH112" s="12">
        <f>IF(ISNUMBER(原始输入与口径!T112),原始输入与口径!T112,"缺失")</f>
        <v>175</v>
      </c>
      <c r="AI112" s="12">
        <f>IF(ISNUMBER(原始输入与口径!Y112),原始输入与口径!Y112,"缺失")</f>
        <v>175</v>
      </c>
      <c r="AJ112" s="12">
        <f>IF(ISNUMBER(原始输入与口径!AI112),原始输入与口径!AI112,"缺失")</f>
        <v>0.20300000000000001</v>
      </c>
      <c r="AK112" s="12">
        <f>IF(ISNUMBER(原始输入与口径!AL112),原始输入与口径!AL112,"缺失")</f>
        <v>0.45500000000000002</v>
      </c>
      <c r="AL112" s="12">
        <f>IF(ISNUMBER(原始输入与口径!O112),原始输入与口径!O112,"缺失")</f>
        <v>128</v>
      </c>
      <c r="AM112" s="12">
        <f>SUMIFS(相位SOC复算!$N$9:$N$929,相位SOC复算!$S$9:$S$929,104)</f>
        <v>2.4352463768115943E-4</v>
      </c>
      <c r="AN112" s="12">
        <f>SUMIFS(相位SOC复算!$Q$9:$Q$929,相位SOC复算!$S$9:$S$929,104)</f>
        <v>6.2399999999999997E-2</v>
      </c>
      <c r="AO112" s="12">
        <f>SUMIFS(相位SOC复算!$R$9:$R$929,相位SOC复算!$S$9:$S$929,104)</f>
        <v>2.784E-2</v>
      </c>
      <c r="AP112" s="12">
        <f>相位SOC复算!J259</f>
        <v>32.085839503105589</v>
      </c>
      <c r="AQ112" s="19">
        <f t="shared" si="37"/>
        <v>0</v>
      </c>
      <c r="AR112" s="12">
        <f>IF(ISBLANK(原始输入与口径!M112),"",原始输入与口径!M112)</f>
        <v>5.2473000000000001</v>
      </c>
      <c r="AS112" s="14">
        <f>IF(ISBLANK(原始输入与口径!L112),"",原始输入与口径!L112)</f>
        <v>46234</v>
      </c>
      <c r="AT112" s="13">
        <f>IF(ISBLANK(原始输入与口径!A112),"",原始输入与口径!A112)</f>
        <v>46235.947916666664</v>
      </c>
      <c r="AU112" s="12" t="str">
        <f>IF(ISBLANK(原始输入与口径!I112),"",原始输入与口径!I112)</f>
        <v>2026-08-02_4</v>
      </c>
      <c r="AV112" s="12">
        <f>IF(ISBLANK(原始输入与口径!J112),"",原始输入与口径!J112)</f>
        <v>15</v>
      </c>
      <c r="AW112" s="12" t="str">
        <f>IF(ISBLANK(原始输入与口径!BB112),"",原始输入与口径!BB112)</f>
        <v>OK</v>
      </c>
      <c r="AX112" s="12">
        <f>原始输入与口径!CI112</f>
        <v>128</v>
      </c>
      <c r="AY112" s="12">
        <f>原始输入与口径!BS112</f>
        <v>175</v>
      </c>
      <c r="AZ112" s="12">
        <f>原始输入与口径!BI112</f>
        <v>175</v>
      </c>
      <c r="BA112" s="12">
        <f>原始输入与口径!CM112</f>
        <v>40</v>
      </c>
      <c r="BB112" s="12">
        <f>原始输入与口径!BV112</f>
        <v>24</v>
      </c>
      <c r="BC112" s="12">
        <f>原始输入与口径!BL112</f>
        <v>24</v>
      </c>
      <c r="BD112" s="14">
        <f>46235</f>
        <v>46235</v>
      </c>
      <c r="BE112" s="1" t="str">
        <f t="shared" si="38"/>
        <v>零头寸，无结算现金</v>
      </c>
      <c r="BF112" s="1" t="str">
        <f t="shared" si="39"/>
        <v>40.000000 MW × 66.224535 × 0.250000 h = 662.245345 EUR</v>
      </c>
      <c r="BG112" s="1" t="str">
        <f t="shared" si="40"/>
        <v>24.000000 MW × 7.127475 × 0.250000 h = 42.764850 EUR</v>
      </c>
      <c r="BH112" s="1" t="str">
        <f t="shared" si="41"/>
        <v>24.000000 MW × 2.706154 × 0.250000 h = 16.236922 EUR</v>
      </c>
      <c r="BI112" s="1" t="str">
        <f t="shared" si="42"/>
        <v>0.027840 MWh × 165.006194 = 4.593772 EUR</v>
      </c>
      <c r="BJ112" s="1" t="str">
        <f t="shared" si="43"/>
        <v>−(0.062400 MWh × 77.182551) = -4.816191 EUR</v>
      </c>
      <c r="BK112" s="1" t="str">
        <f t="shared" si="44"/>
        <v>0.000000 + 662.245345 + 42.764850 + 16.236922 + 4.593772 + -4.816191 = 721.024699 EUR</v>
      </c>
    </row>
    <row r="113" spans="1:63" ht="21" customHeight="1" x14ac:dyDescent="0.45">
      <c r="A113" s="13">
        <f>原始输入与口径!C113</f>
        <v>46236.083333333336</v>
      </c>
      <c r="B113" s="15">
        <f>IF(ISNUMBER(原始输入与口径!H113),原始输入与口径!H113,"缺失")</f>
        <v>160.86000000000001</v>
      </c>
      <c r="C113" s="15">
        <f>IF(ISNUMBER(原始输入与口径!R113),原始输入与口径!R113,"缺失")</f>
        <v>66.224534522516336</v>
      </c>
      <c r="D113" s="15">
        <f>IF(ISNUMBER(原始输入与口径!W113),原始输入与口径!W113,"缺失")</f>
        <v>7.1274750824233415</v>
      </c>
      <c r="E113" s="15">
        <f>IF(ISNUMBER(原始输入与口径!AB113),原始输入与口径!AB113,"缺失")</f>
        <v>2.7061536409200921</v>
      </c>
      <c r="F113" s="15">
        <f>IF(ISNUMBER(原始输入与口径!AG113),原始输入与口径!AG113,"缺失")</f>
        <v>178.91715739523184</v>
      </c>
      <c r="G113" s="15">
        <f>IF(ISNUMBER(原始输入与口径!AJ113),原始输入与口径!AJ113,"缺失")</f>
        <v>0</v>
      </c>
      <c r="H113" s="15" t="str">
        <f t="shared" si="23"/>
        <v>未模拟</v>
      </c>
      <c r="I113" s="16">
        <f>原始输入与口径!CD113</f>
        <v>32.085839503105568</v>
      </c>
      <c r="J113" s="16">
        <f>原始输入与口径!CE113</f>
        <v>31.801362415478895</v>
      </c>
      <c r="K113" s="16">
        <f>原始输入与口径!BZ113</f>
        <v>-0.18024801592258491</v>
      </c>
      <c r="L113" s="16">
        <f>原始输入与口径!CK113</f>
        <v>40</v>
      </c>
      <c r="M113" s="16">
        <f>原始输入与口径!BT113</f>
        <v>24</v>
      </c>
      <c r="N113" s="16">
        <f>原始输入与口径!BJ113</f>
        <v>24</v>
      </c>
      <c r="O113" s="16">
        <f t="shared" si="24"/>
        <v>0.3002057142857143</v>
      </c>
      <c r="P113" s="16">
        <f t="shared" si="25"/>
        <v>0</v>
      </c>
      <c r="Q113" s="17">
        <f t="shared" si="26"/>
        <v>-7.2486739603267525</v>
      </c>
      <c r="R113" s="17">
        <f t="shared" si="27"/>
        <v>662.24534522516342</v>
      </c>
      <c r="S113" s="17">
        <f t="shared" si="28"/>
        <v>42.764850494540049</v>
      </c>
      <c r="T113" s="17">
        <f t="shared" si="29"/>
        <v>16.236921845520552</v>
      </c>
      <c r="U113" s="17">
        <f t="shared" si="30"/>
        <v>53.711953033805145</v>
      </c>
      <c r="V113" s="17">
        <f t="shared" si="31"/>
        <v>0</v>
      </c>
      <c r="W113" s="17">
        <f t="shared" si="32"/>
        <v>767.71039663870238</v>
      </c>
      <c r="X113" s="12">
        <f>原始输入与口径!CP113</f>
        <v>767.71039663870238</v>
      </c>
      <c r="Y113" s="19">
        <f t="shared" si="33"/>
        <v>0</v>
      </c>
      <c r="Z113" s="12" t="str">
        <f t="shared" si="45"/>
        <v>次日冻结计划复原</v>
      </c>
      <c r="AA113" s="12">
        <f>IF(原始输入与口径!AW113,1,0)</f>
        <v>1</v>
      </c>
      <c r="AB113" s="12">
        <f>IF(原始输入与口径!AY113,1,0)</f>
        <v>1</v>
      </c>
      <c r="AC113" s="12">
        <f>原始输入与口径!$F$5</f>
        <v>0.25</v>
      </c>
      <c r="AD113" s="18">
        <f>原始输入与口径!CG113</f>
        <v>0.3125</v>
      </c>
      <c r="AE113" s="18">
        <f>原始输入与口径!BQ113</f>
        <v>0.13714285714285715</v>
      </c>
      <c r="AF113" s="18">
        <f t="shared" si="35"/>
        <v>5.0034285714285719E-2</v>
      </c>
      <c r="AG113" s="18">
        <f t="shared" si="36"/>
        <v>0</v>
      </c>
      <c r="AH113" s="12">
        <f>IF(ISNUMBER(原始输入与口径!T113),原始输入与口径!T113,"缺失")</f>
        <v>175</v>
      </c>
      <c r="AI113" s="12">
        <f>IF(ISNUMBER(原始输入与口径!Y113),原始输入与口径!Y113,"缺失")</f>
        <v>175</v>
      </c>
      <c r="AJ113" s="12">
        <f>IF(ISNUMBER(原始输入与口径!AI113),原始输入与口径!AI113,"缺失")</f>
        <v>2.1890000000000001</v>
      </c>
      <c r="AK113" s="12">
        <f>IF(ISNUMBER(原始输入与口径!AL113),原始输入与口径!AL113,"缺失")</f>
        <v>0</v>
      </c>
      <c r="AL113" s="12">
        <f>IF(ISNUMBER(原始输入与口径!O113),原始输入与口径!O113,"缺失")</f>
        <v>128</v>
      </c>
      <c r="AM113" s="12">
        <f>SUMIFS(相位SOC复算!$N$9:$N$929,相位SOC复算!$S$9:$S$929,105)</f>
        <v>1.009007299489253E-3</v>
      </c>
      <c r="AN113" s="12">
        <f>SUMIFS(相位SOC复算!$Q$9:$Q$929,相位SOC复算!$S$9:$S$929,105)</f>
        <v>4.2807358798620292E-2</v>
      </c>
      <c r="AO113" s="12">
        <f>SUMIFS(相位SOC复算!$R$9:$R$929,相位SOC复算!$S$9:$S$929,105)</f>
        <v>0.29795106910368835</v>
      </c>
      <c r="AP113" s="12">
        <f>相位SOC复算!J261</f>
        <v>31.801362415478916</v>
      </c>
      <c r="AQ113" s="19">
        <f t="shared" si="37"/>
        <v>0</v>
      </c>
      <c r="AR113" s="12">
        <f>IF(ISBLANK(原始输入与口径!M113),"",原始输入与口径!M113)</f>
        <v>5.2473000000000001</v>
      </c>
      <c r="AS113" s="14">
        <f>IF(ISBLANK(原始输入与口径!L113),"",原始输入与口径!L113)</f>
        <v>46234</v>
      </c>
      <c r="AT113" s="13">
        <f>IF(ISBLANK(原始输入与口径!A113),"",原始输入与口径!A113)</f>
        <v>46235.958333333336</v>
      </c>
      <c r="AU113" s="12" t="str">
        <f>IF(ISBLANK(原始输入与口径!I113),"",原始输入与口径!I113)</f>
        <v>2026-08-02_5</v>
      </c>
      <c r="AV113" s="12">
        <f>IF(ISBLANK(原始输入与口径!J113),"",原始输入与口径!J113)</f>
        <v>15</v>
      </c>
      <c r="AW113" s="12" t="str">
        <f>IF(ISBLANK(原始输入与口径!BB113),"",原始输入与口径!BB113)</f>
        <v>OK</v>
      </c>
      <c r="AX113" s="12">
        <f>原始输入与口径!CI113</f>
        <v>128</v>
      </c>
      <c r="AY113" s="12">
        <f>原始输入与口径!BS113</f>
        <v>175</v>
      </c>
      <c r="AZ113" s="12">
        <f>原始输入与口径!BI113</f>
        <v>175</v>
      </c>
      <c r="BA113" s="12">
        <f>原始输入与口径!CM113</f>
        <v>40</v>
      </c>
      <c r="BB113" s="12">
        <f>原始输入与口径!BV113</f>
        <v>24</v>
      </c>
      <c r="BC113" s="12">
        <f>原始输入与口径!BL113</f>
        <v>24</v>
      </c>
      <c r="BD113" s="14">
        <f>46235</f>
        <v>46235</v>
      </c>
      <c r="BE113" s="1" t="str">
        <f t="shared" si="38"/>
        <v>-0.180248 MW × 160.860000 × 0.250000 h = -7.248674 EUR</v>
      </c>
      <c r="BF113" s="1" t="str">
        <f t="shared" si="39"/>
        <v>40.000000 MW × 66.224535 × 0.250000 h = 662.245345 EUR</v>
      </c>
      <c r="BG113" s="1" t="str">
        <f t="shared" si="40"/>
        <v>24.000000 MW × 7.127475 × 0.250000 h = 42.764850 EUR</v>
      </c>
      <c r="BH113" s="1" t="str">
        <f t="shared" si="41"/>
        <v>24.000000 MW × 2.706154 × 0.250000 h = 16.236922 EUR</v>
      </c>
      <c r="BI113" s="1" t="str">
        <f t="shared" si="42"/>
        <v>0.300206 MWh × 178.917157 = 53.711953 EUR</v>
      </c>
      <c r="BJ113" s="1" t="str">
        <f t="shared" si="43"/>
        <v>零下调激活电量</v>
      </c>
      <c r="BK113" s="1" t="str">
        <f t="shared" si="44"/>
        <v>-7.248674 + 662.245345 + 42.764850 + 16.236922 + 53.711953 + 0.000000 = 767.710397 EUR</v>
      </c>
    </row>
    <row r="114" spans="1:63" ht="21" customHeight="1" x14ac:dyDescent="0.45">
      <c r="A114" s="13">
        <f>原始输入与口径!C114</f>
        <v>46236.09375</v>
      </c>
      <c r="B114" s="15">
        <f>IF(ISNUMBER(原始输入与口径!H114),原始输入与口径!H114,"缺失")</f>
        <v>156.81</v>
      </c>
      <c r="C114" s="15">
        <f>IF(ISNUMBER(原始输入与口径!R114),原始输入与口径!R114,"缺失")</f>
        <v>66.224534522516336</v>
      </c>
      <c r="D114" s="15">
        <f>IF(ISNUMBER(原始输入与口径!W114),原始输入与口径!W114,"缺失")</f>
        <v>7.1274750824233415</v>
      </c>
      <c r="E114" s="15">
        <f>IF(ISNUMBER(原始输入与口径!AB114),原始输入与口径!AB114,"缺失")</f>
        <v>2.7061536409200921</v>
      </c>
      <c r="F114" s="15">
        <f>IF(ISNUMBER(原始输入与口径!AG114),原始输入与口径!AG114,"缺失")</f>
        <v>171.41329826768052</v>
      </c>
      <c r="G114" s="15">
        <f>IF(ISNUMBER(原始输入与口径!AJ114),原始输入与口径!AJ114,"缺失")</f>
        <v>76.94566729556152</v>
      </c>
      <c r="H114" s="15" t="str">
        <f t="shared" si="23"/>
        <v>未模拟</v>
      </c>
      <c r="I114" s="16">
        <f>原始输入与口径!CD114</f>
        <v>31.801362415478895</v>
      </c>
      <c r="J114" s="16">
        <f>原始输入与口径!CE114</f>
        <v>33.275638351632061</v>
      </c>
      <c r="K114" s="16">
        <f>原始输入与口径!BZ114</f>
        <v>-7.370332307693503</v>
      </c>
      <c r="L114" s="16">
        <f>原始输入与口径!CK114</f>
        <v>40</v>
      </c>
      <c r="M114" s="16">
        <f>原始输入与口径!BT114</f>
        <v>24</v>
      </c>
      <c r="N114" s="16">
        <f>原始输入与口径!BJ114</f>
        <v>24</v>
      </c>
      <c r="O114" s="16">
        <f t="shared" si="24"/>
        <v>0.37714285714285717</v>
      </c>
      <c r="P114" s="16">
        <f t="shared" si="25"/>
        <v>0.18445714285714285</v>
      </c>
      <c r="Q114" s="17">
        <f t="shared" si="26"/>
        <v>-288.93545229235457</v>
      </c>
      <c r="R114" s="17">
        <f t="shared" si="27"/>
        <v>662.24534522516342</v>
      </c>
      <c r="S114" s="17">
        <f t="shared" si="28"/>
        <v>42.764850494540049</v>
      </c>
      <c r="T114" s="17">
        <f t="shared" si="29"/>
        <v>16.236921845520552</v>
      </c>
      <c r="U114" s="17">
        <f t="shared" si="30"/>
        <v>64.647301060953794</v>
      </c>
      <c r="V114" s="17">
        <f t="shared" si="31"/>
        <v>-14.193177944575575</v>
      </c>
      <c r="W114" s="17">
        <f t="shared" si="32"/>
        <v>482.76578838924769</v>
      </c>
      <c r="X114" s="12">
        <f>原始输入与口径!CP114</f>
        <v>482.76578838924769</v>
      </c>
      <c r="Y114" s="19">
        <f t="shared" si="33"/>
        <v>0</v>
      </c>
      <c r="Z114" s="12" t="str">
        <f t="shared" si="45"/>
        <v>次日冻结计划复原</v>
      </c>
      <c r="AA114" s="12">
        <f>IF(原始输入与口径!AW114,1,0)</f>
        <v>1</v>
      </c>
      <c r="AB114" s="12">
        <f>IF(原始输入与口径!AY114,1,0)</f>
        <v>1</v>
      </c>
      <c r="AC114" s="12">
        <f>原始输入与口径!$F$5</f>
        <v>0.25</v>
      </c>
      <c r="AD114" s="18">
        <f>原始输入与口径!CG114</f>
        <v>0.3125</v>
      </c>
      <c r="AE114" s="18">
        <f>原始输入与口径!BQ114</f>
        <v>0.13714285714285715</v>
      </c>
      <c r="AF114" s="18">
        <f t="shared" si="35"/>
        <v>6.2857142857142861E-2</v>
      </c>
      <c r="AG114" s="18">
        <f t="shared" si="36"/>
        <v>3.0742857142857141E-2</v>
      </c>
      <c r="AH114" s="12">
        <f>IF(ISNUMBER(原始输入与口径!T114),原始输入与口径!T114,"缺失")</f>
        <v>175</v>
      </c>
      <c r="AI114" s="12">
        <f>IF(ISNUMBER(原始输入与口径!Y114),原始输入与口径!Y114,"缺失")</f>
        <v>175</v>
      </c>
      <c r="AJ114" s="12">
        <f>IF(ISNUMBER(原始输入与口径!AI114),原始输入与口径!AI114,"缺失")</f>
        <v>2.75</v>
      </c>
      <c r="AK114" s="12">
        <f>IF(ISNUMBER(原始输入与口径!AL114),原始输入与口径!AL114,"缺失")</f>
        <v>1.345</v>
      </c>
      <c r="AL114" s="12">
        <f>IF(ISNUMBER(原始输入与口径!O114),原始输入与口径!O114,"缺失")</f>
        <v>128</v>
      </c>
      <c r="AM114" s="12">
        <f>SUMIFS(相位SOC复算!$N$9:$N$929,相位SOC复算!$S$9:$S$929,106)</f>
        <v>5.6732504835808476E-3</v>
      </c>
      <c r="AN114" s="12">
        <f>SUMIFS(相位SOC复算!$Q$9:$Q$929,相位SOC复算!$S$9:$S$929,106)</f>
        <v>1.9112207120881919</v>
      </c>
      <c r="AO114" s="12">
        <f>SUMIFS(相位SOC复算!$R$9:$R$929,相位SOC复算!$S$9:$S$929,106)</f>
        <v>0.26132334945053071</v>
      </c>
      <c r="AP114" s="12">
        <f>相位SOC复算!J264</f>
        <v>33.275638351632082</v>
      </c>
      <c r="AQ114" s="19">
        <f t="shared" si="37"/>
        <v>0</v>
      </c>
      <c r="AR114" s="12">
        <f>IF(ISBLANK(原始输入与口径!M114),"",原始输入与口径!M114)</f>
        <v>5.2473000000000001</v>
      </c>
      <c r="AS114" s="14">
        <f>IF(ISBLANK(原始输入与口径!L114),"",原始输入与口径!L114)</f>
        <v>46234</v>
      </c>
      <c r="AT114" s="13">
        <f>IF(ISBLANK(原始输入与口径!A114),"",原始输入与口径!A114)</f>
        <v>46235.96875</v>
      </c>
      <c r="AU114" s="12" t="str">
        <f>IF(ISBLANK(原始输入与口径!I114),"",原始输入与口径!I114)</f>
        <v>2026-08-02_6</v>
      </c>
      <c r="AV114" s="12">
        <f>IF(ISBLANK(原始输入与口径!J114),"",原始输入与口径!J114)</f>
        <v>15</v>
      </c>
      <c r="AW114" s="12" t="str">
        <f>IF(ISBLANK(原始输入与口径!BB114),"",原始输入与口径!BB114)</f>
        <v>OK</v>
      </c>
      <c r="AX114" s="12">
        <f>原始输入与口径!CI114</f>
        <v>128</v>
      </c>
      <c r="AY114" s="12">
        <f>原始输入与口径!BS114</f>
        <v>175</v>
      </c>
      <c r="AZ114" s="12">
        <f>原始输入与口径!BI114</f>
        <v>175</v>
      </c>
      <c r="BA114" s="12">
        <f>原始输入与口径!CM114</f>
        <v>40</v>
      </c>
      <c r="BB114" s="12">
        <f>原始输入与口径!BV114</f>
        <v>24</v>
      </c>
      <c r="BC114" s="12">
        <f>原始输入与口径!BL114</f>
        <v>24</v>
      </c>
      <c r="BD114" s="14">
        <f>46235</f>
        <v>46235</v>
      </c>
      <c r="BE114" s="1" t="str">
        <f t="shared" si="38"/>
        <v>-7.370332 MW × 156.810000 × 0.250000 h = -288.935452 EUR</v>
      </c>
      <c r="BF114" s="1" t="str">
        <f t="shared" si="39"/>
        <v>40.000000 MW × 66.224535 × 0.250000 h = 662.245345 EUR</v>
      </c>
      <c r="BG114" s="1" t="str">
        <f t="shared" si="40"/>
        <v>24.000000 MW × 7.127475 × 0.250000 h = 42.764850 EUR</v>
      </c>
      <c r="BH114" s="1" t="str">
        <f t="shared" si="41"/>
        <v>24.000000 MW × 2.706154 × 0.250000 h = 16.236922 EUR</v>
      </c>
      <c r="BI114" s="1" t="str">
        <f t="shared" si="42"/>
        <v>0.377143 MWh × 171.413298 = 64.647301 EUR</v>
      </c>
      <c r="BJ114" s="1" t="str">
        <f t="shared" si="43"/>
        <v>−(0.184457 MWh × 76.945667) = -14.193178 EUR</v>
      </c>
      <c r="BK114" s="1" t="str">
        <f t="shared" si="44"/>
        <v>-288.935452 + 662.245345 + 42.764850 + 16.236922 + 64.647301 + -14.193178 = 482.765788 EUR</v>
      </c>
    </row>
    <row r="115" spans="1:63" ht="21" customHeight="1" x14ac:dyDescent="0.45">
      <c r="A115" s="13">
        <f>原始输入与口径!C115</f>
        <v>46236.104166666664</v>
      </c>
      <c r="B115" s="15">
        <f>IF(ISNUMBER(原始输入与口径!H115),原始输入与口径!H115,"缺失")</f>
        <v>162.01</v>
      </c>
      <c r="C115" s="15">
        <f>IF(ISNUMBER(原始输入与口径!R115),原始输入与口径!R115,"缺失")</f>
        <v>66.224534522516336</v>
      </c>
      <c r="D115" s="15">
        <f>IF(ISNUMBER(原始输入与口径!W115),原始输入与口径!W115,"缺失")</f>
        <v>7.1274750824233415</v>
      </c>
      <c r="E115" s="15">
        <f>IF(ISNUMBER(原始输入与口径!AB115),原始输入与口径!AB115,"缺失")</f>
        <v>2.7061536409200921</v>
      </c>
      <c r="F115" s="15">
        <f>IF(ISNUMBER(原始输入与口径!AG115),原始输入与口径!AG115,"缺失")</f>
        <v>171.25702742362736</v>
      </c>
      <c r="G115" s="15">
        <f>IF(ISNUMBER(原始输入与口径!AJ115),原始输入与口径!AJ115,"缺失")</f>
        <v>77.182551026242066</v>
      </c>
      <c r="H115" s="15" t="str">
        <f t="shared" si="23"/>
        <v>未模拟</v>
      </c>
      <c r="I115" s="16">
        <f>原始输入与口径!CD115</f>
        <v>33.275638351632061</v>
      </c>
      <c r="J115" s="16">
        <f>原始输入与口径!CE115</f>
        <v>32.653186992625848</v>
      </c>
      <c r="K115" s="16">
        <f>原始输入与口径!BZ115</f>
        <v>0</v>
      </c>
      <c r="L115" s="16">
        <f>原始输入与口径!CK115</f>
        <v>40</v>
      </c>
      <c r="M115" s="16">
        <f>原始输入与口径!BT115</f>
        <v>24</v>
      </c>
      <c r="N115" s="16">
        <f>原始输入与口径!BJ115</f>
        <v>24</v>
      </c>
      <c r="O115" s="16">
        <f t="shared" si="24"/>
        <v>0.57462857142857149</v>
      </c>
      <c r="P115" s="16">
        <f t="shared" si="25"/>
        <v>2.3314285714285715E-3</v>
      </c>
      <c r="Q115" s="17">
        <f t="shared" si="26"/>
        <v>0</v>
      </c>
      <c r="R115" s="17">
        <f t="shared" si="27"/>
        <v>662.24534522516342</v>
      </c>
      <c r="S115" s="17">
        <f t="shared" si="28"/>
        <v>42.764850494540049</v>
      </c>
      <c r="T115" s="17">
        <f t="shared" si="29"/>
        <v>16.236921845520552</v>
      </c>
      <c r="U115" s="17">
        <f t="shared" si="30"/>
        <v>98.409181015542686</v>
      </c>
      <c r="V115" s="17">
        <f t="shared" si="31"/>
        <v>-0.17994560467832438</v>
      </c>
      <c r="W115" s="17">
        <f t="shared" si="32"/>
        <v>819.47635297608838</v>
      </c>
      <c r="X115" s="12">
        <f>原始输入与口径!CP115</f>
        <v>819.47635297608838</v>
      </c>
      <c r="Y115" s="19">
        <f t="shared" si="33"/>
        <v>0</v>
      </c>
      <c r="Z115" s="12" t="str">
        <f t="shared" si="45"/>
        <v>次日冻结计划复原</v>
      </c>
      <c r="AA115" s="12">
        <f>IF(原始输入与口径!AW115,1,0)</f>
        <v>1</v>
      </c>
      <c r="AB115" s="12">
        <f>IF(原始输入与口径!AY115,1,0)</f>
        <v>1</v>
      </c>
      <c r="AC115" s="12">
        <f>原始输入与口径!$F$5</f>
        <v>0.25</v>
      </c>
      <c r="AD115" s="18">
        <f>原始输入与口径!CG115</f>
        <v>0.3125</v>
      </c>
      <c r="AE115" s="18">
        <f>原始输入与口径!BQ115</f>
        <v>0.13714285714285715</v>
      </c>
      <c r="AF115" s="18">
        <f t="shared" si="35"/>
        <v>9.5771428571428577E-2</v>
      </c>
      <c r="AG115" s="18">
        <f t="shared" si="36"/>
        <v>3.8857142857142861E-4</v>
      </c>
      <c r="AH115" s="12">
        <f>IF(ISNUMBER(原始输入与口径!T115),原始输入与口径!T115,"缺失")</f>
        <v>175</v>
      </c>
      <c r="AI115" s="12">
        <f>IF(ISNUMBER(原始输入与口径!Y115),原始输入与口径!Y115,"缺失")</f>
        <v>175</v>
      </c>
      <c r="AJ115" s="12">
        <f>IF(ISNUMBER(原始输入与口径!AI115),原始输入与口径!AI115,"缺失")</f>
        <v>4.1900000000000004</v>
      </c>
      <c r="AK115" s="12">
        <f>IF(ISNUMBER(原始输入与口径!AL115),原始输入与口径!AL115,"缺失")</f>
        <v>1.7000000000000001E-2</v>
      </c>
      <c r="AL115" s="12">
        <f>IF(ISNUMBER(原始输入与口径!O115),原始输入与口径!O115,"缺失")</f>
        <v>128</v>
      </c>
      <c r="AM115" s="12">
        <f>SUMIFS(相位SOC复算!$N$9:$N$929,相位SOC复算!$S$9:$S$929,107)</f>
        <v>1.7409477432712215E-3</v>
      </c>
      <c r="AN115" s="12">
        <f>SUMIFS(相位SOC复算!$Q$9:$Q$929,相位SOC复算!$S$9:$S$929,107)</f>
        <v>2.3314285714285715E-3</v>
      </c>
      <c r="AO115" s="12">
        <f>SUMIFS(相位SOC复算!$R$9:$R$929,相位SOC复算!$S$9:$S$929,107)</f>
        <v>0.57462857142857149</v>
      </c>
      <c r="AP115" s="12">
        <f>相位SOC复算!J267</f>
        <v>32.653186992625869</v>
      </c>
      <c r="AQ115" s="19">
        <f t="shared" si="37"/>
        <v>0</v>
      </c>
      <c r="AR115" s="12">
        <f>IF(ISBLANK(原始输入与口径!M115),"",原始输入与口径!M115)</f>
        <v>5.2473000000000001</v>
      </c>
      <c r="AS115" s="14">
        <f>IF(ISBLANK(原始输入与口径!L115),"",原始输入与口径!L115)</f>
        <v>46234</v>
      </c>
      <c r="AT115" s="13">
        <f>IF(ISBLANK(原始输入与口径!A115),"",原始输入与口径!A115)</f>
        <v>46235.979166666664</v>
      </c>
      <c r="AU115" s="12" t="str">
        <f>IF(ISBLANK(原始输入与口径!I115),"",原始输入与口径!I115)</f>
        <v>2026-08-02_7</v>
      </c>
      <c r="AV115" s="12">
        <f>IF(ISBLANK(原始输入与口径!J115),"",原始输入与口径!J115)</f>
        <v>15</v>
      </c>
      <c r="AW115" s="12" t="str">
        <f>IF(ISBLANK(原始输入与口径!BB115),"",原始输入与口径!BB115)</f>
        <v>OK</v>
      </c>
      <c r="AX115" s="12">
        <f>原始输入与口径!CI115</f>
        <v>128</v>
      </c>
      <c r="AY115" s="12">
        <f>原始输入与口径!BS115</f>
        <v>175</v>
      </c>
      <c r="AZ115" s="12">
        <f>原始输入与口径!BI115</f>
        <v>175</v>
      </c>
      <c r="BA115" s="12">
        <f>原始输入与口径!CM115</f>
        <v>40</v>
      </c>
      <c r="BB115" s="12">
        <f>原始输入与口径!BV115</f>
        <v>24</v>
      </c>
      <c r="BC115" s="12">
        <f>原始输入与口径!BL115</f>
        <v>24</v>
      </c>
      <c r="BD115" s="14">
        <f>46235</f>
        <v>46235</v>
      </c>
      <c r="BE115" s="1" t="str">
        <f t="shared" si="38"/>
        <v>零头寸，无结算现金</v>
      </c>
      <c r="BF115" s="1" t="str">
        <f t="shared" si="39"/>
        <v>40.000000 MW × 66.224535 × 0.250000 h = 662.245345 EUR</v>
      </c>
      <c r="BG115" s="1" t="str">
        <f t="shared" si="40"/>
        <v>24.000000 MW × 7.127475 × 0.250000 h = 42.764850 EUR</v>
      </c>
      <c r="BH115" s="1" t="str">
        <f t="shared" si="41"/>
        <v>24.000000 MW × 2.706154 × 0.250000 h = 16.236922 EUR</v>
      </c>
      <c r="BI115" s="1" t="str">
        <f t="shared" si="42"/>
        <v>0.574629 MWh × 171.257027 = 98.409181 EUR</v>
      </c>
      <c r="BJ115" s="1" t="str">
        <f t="shared" si="43"/>
        <v>−(0.002331 MWh × 77.182551) = -0.179946 EUR</v>
      </c>
      <c r="BK115" s="1" t="str">
        <f t="shared" si="44"/>
        <v>0.000000 + 662.245345 + 42.764850 + 16.236922 + 98.409181 + -0.179946 = 819.476353 EUR</v>
      </c>
    </row>
    <row r="116" spans="1:63" ht="21" customHeight="1" x14ac:dyDescent="0.45">
      <c r="A116" s="13">
        <f>原始输入与口径!C116</f>
        <v>46236.114583333336</v>
      </c>
      <c r="B116" s="15">
        <f>IF(ISNUMBER(原始输入与口径!H116),原始输入与口径!H116,"缺失")</f>
        <v>160.5</v>
      </c>
      <c r="C116" s="15">
        <f>IF(ISNUMBER(原始输入与口径!R116),原始输入与口径!R116,"缺失")</f>
        <v>66.224534522516336</v>
      </c>
      <c r="D116" s="15">
        <f>IF(ISNUMBER(原始输入与口径!W116),原始输入与口径!W116,"缺失")</f>
        <v>7.1274750824233415</v>
      </c>
      <c r="E116" s="15">
        <f>IF(ISNUMBER(原始输入与口径!AB116),原始输入与口径!AB116,"缺失")</f>
        <v>2.7061536409200921</v>
      </c>
      <c r="F116" s="15">
        <f>IF(ISNUMBER(原始输入与口径!AG116),原始输入与口径!AG116,"缺失")</f>
        <v>161.23339622281935</v>
      </c>
      <c r="G116" s="15">
        <f>IF(ISNUMBER(原始输入与口径!AJ116),原始输入与口径!AJ116,"缺失")</f>
        <v>0</v>
      </c>
      <c r="H116" s="15" t="str">
        <f t="shared" si="23"/>
        <v>未模拟</v>
      </c>
      <c r="I116" s="16">
        <f>原始输入与口径!CD116</f>
        <v>32.653186992625848</v>
      </c>
      <c r="J116" s="16">
        <f>原始输入与口径!CE116</f>
        <v>32.604143514364978</v>
      </c>
      <c r="K116" s="16">
        <f>原始输入与口径!BZ116</f>
        <v>0</v>
      </c>
      <c r="L116" s="16">
        <f>原始输入与口径!CK116</f>
        <v>40</v>
      </c>
      <c r="M116" s="16">
        <f>原始输入与口径!BT116</f>
        <v>24</v>
      </c>
      <c r="N116" s="16">
        <f>原始输入与口径!BJ116</f>
        <v>24</v>
      </c>
      <c r="O116" s="16">
        <f t="shared" si="24"/>
        <v>4.5120000000000007E-2</v>
      </c>
      <c r="P116" s="16">
        <f t="shared" si="25"/>
        <v>0</v>
      </c>
      <c r="Q116" s="17">
        <f t="shared" si="26"/>
        <v>0</v>
      </c>
      <c r="R116" s="17">
        <f t="shared" si="27"/>
        <v>662.24534522516342</v>
      </c>
      <c r="S116" s="17">
        <f t="shared" si="28"/>
        <v>42.764850494540049</v>
      </c>
      <c r="T116" s="17">
        <f t="shared" si="29"/>
        <v>16.236921845520552</v>
      </c>
      <c r="U116" s="17">
        <f t="shared" si="30"/>
        <v>7.2748508375736103</v>
      </c>
      <c r="V116" s="17">
        <f t="shared" si="31"/>
        <v>0</v>
      </c>
      <c r="W116" s="17">
        <f t="shared" si="32"/>
        <v>728.5219684027976</v>
      </c>
      <c r="X116" s="12">
        <f>原始输入与口径!CP116</f>
        <v>728.5219684027976</v>
      </c>
      <c r="Y116" s="19">
        <f t="shared" si="33"/>
        <v>0</v>
      </c>
      <c r="Z116" s="12" t="str">
        <f t="shared" si="45"/>
        <v>次日冻结计划复原</v>
      </c>
      <c r="AA116" s="12">
        <f>IF(原始输入与口径!AW116,1,0)</f>
        <v>1</v>
      </c>
      <c r="AB116" s="12">
        <f>IF(原始输入与口径!AY116,1,0)</f>
        <v>1</v>
      </c>
      <c r="AC116" s="12">
        <f>原始输入与口径!$F$5</f>
        <v>0.25</v>
      </c>
      <c r="AD116" s="18">
        <f>原始输入与口径!CG116</f>
        <v>0.3125</v>
      </c>
      <c r="AE116" s="18">
        <f>原始输入与口径!BQ116</f>
        <v>0.13714285714285715</v>
      </c>
      <c r="AF116" s="18">
        <f t="shared" si="35"/>
        <v>7.5200000000000006E-3</v>
      </c>
      <c r="AG116" s="18">
        <f t="shared" si="36"/>
        <v>0</v>
      </c>
      <c r="AH116" s="12">
        <f>IF(ISNUMBER(原始输入与口径!T116),原始输入与口径!T116,"缺失")</f>
        <v>175</v>
      </c>
      <c r="AI116" s="12">
        <f>IF(ISNUMBER(原始输入与口径!Y116),原始输入与口径!Y116,"缺失")</f>
        <v>175</v>
      </c>
      <c r="AJ116" s="12">
        <f>IF(ISNUMBER(原始输入与口径!AI116),原始输入与口径!AI116,"缺失")</f>
        <v>0.32900000000000001</v>
      </c>
      <c r="AK116" s="12">
        <f>IF(ISNUMBER(原始输入与口径!AL116),原始输入与口径!AL116,"缺失")</f>
        <v>0</v>
      </c>
      <c r="AL116" s="12">
        <f>IF(ISNUMBER(原始输入与口径!O116),原始输入与口径!O116,"缺失")</f>
        <v>128</v>
      </c>
      <c r="AM116" s="12">
        <f>SUMIFS(相位SOC复算!$N$9:$N$929,相位SOC复算!$S$9:$S$929,108)</f>
        <v>1.3623188405797101E-4</v>
      </c>
      <c r="AN116" s="12">
        <f>SUMIFS(相位SOC复算!$Q$9:$Q$929,相位SOC复算!$S$9:$S$929,108)</f>
        <v>0</v>
      </c>
      <c r="AO116" s="12">
        <f>SUMIFS(相位SOC复算!$R$9:$R$929,相位SOC复算!$S$9:$S$929,108)</f>
        <v>4.5120000000000007E-2</v>
      </c>
      <c r="AP116" s="12">
        <f>相位SOC复算!J269</f>
        <v>32.604143514364999</v>
      </c>
      <c r="AQ116" s="19">
        <f t="shared" si="37"/>
        <v>0</v>
      </c>
      <c r="AR116" s="12">
        <f>IF(ISBLANK(原始输入与口径!M116),"",原始输入与口径!M116)</f>
        <v>5.2473000000000001</v>
      </c>
      <c r="AS116" s="14">
        <f>IF(ISBLANK(原始输入与口径!L116),"",原始输入与口径!L116)</f>
        <v>46234</v>
      </c>
      <c r="AT116" s="13">
        <f>IF(ISBLANK(原始输入与口径!A116),"",原始输入与口径!A116)</f>
        <v>46235.989583333336</v>
      </c>
      <c r="AU116" s="12" t="str">
        <f>IF(ISBLANK(原始输入与口径!I116),"",原始输入与口径!I116)</f>
        <v>2026-08-02_8</v>
      </c>
      <c r="AV116" s="12">
        <f>IF(ISBLANK(原始输入与口径!J116),"",原始输入与口径!J116)</f>
        <v>15</v>
      </c>
      <c r="AW116" s="12" t="str">
        <f>IF(ISBLANK(原始输入与口径!BB116),"",原始输入与口径!BB116)</f>
        <v>OK</v>
      </c>
      <c r="AX116" s="12">
        <f>原始输入与口径!CI116</f>
        <v>128</v>
      </c>
      <c r="AY116" s="12">
        <f>原始输入与口径!BS116</f>
        <v>175</v>
      </c>
      <c r="AZ116" s="12">
        <f>原始输入与口径!BI116</f>
        <v>175</v>
      </c>
      <c r="BA116" s="12">
        <f>原始输入与口径!CM116</f>
        <v>40</v>
      </c>
      <c r="BB116" s="12">
        <f>原始输入与口径!BV116</f>
        <v>24</v>
      </c>
      <c r="BC116" s="12">
        <f>原始输入与口径!BL116</f>
        <v>24</v>
      </c>
      <c r="BD116" s="14">
        <f>46235</f>
        <v>46235</v>
      </c>
      <c r="BE116" s="1" t="str">
        <f t="shared" si="38"/>
        <v>零头寸，无结算现金</v>
      </c>
      <c r="BF116" s="1" t="str">
        <f t="shared" si="39"/>
        <v>40.000000 MW × 66.224535 × 0.250000 h = 662.245345 EUR</v>
      </c>
      <c r="BG116" s="1" t="str">
        <f t="shared" si="40"/>
        <v>24.000000 MW × 7.127475 × 0.250000 h = 42.764850 EUR</v>
      </c>
      <c r="BH116" s="1" t="str">
        <f t="shared" si="41"/>
        <v>24.000000 MW × 2.706154 × 0.250000 h = 16.236922 EUR</v>
      </c>
      <c r="BI116" s="1" t="str">
        <f t="shared" si="42"/>
        <v>0.045120 MWh × 161.233396 = 7.274851 EUR</v>
      </c>
      <c r="BJ116" s="1" t="str">
        <f t="shared" si="43"/>
        <v>零下调激活电量</v>
      </c>
      <c r="BK116" s="1" t="str">
        <f t="shared" si="44"/>
        <v>0.000000 + 662.245345 + 42.764850 + 16.236922 + 7.274851 + 0.000000 = 728.521968 EUR</v>
      </c>
    </row>
    <row r="117" spans="1:63" ht="21" customHeight="1" x14ac:dyDescent="0.45">
      <c r="A117" s="13">
        <f>原始输入与口径!C117</f>
        <v>46236.125</v>
      </c>
      <c r="B117" s="15">
        <f>IF(ISNUMBER(原始输入与口径!H117),原始输入与口径!H117,"缺失")</f>
        <v>159.1</v>
      </c>
      <c r="C117" s="15">
        <f>IF(ISNUMBER(原始输入与口径!R117),原始输入与口径!R117,"缺失")</f>
        <v>66.224534522516336</v>
      </c>
      <c r="D117" s="15">
        <f>IF(ISNUMBER(原始输入与口径!W117),原始输入与口径!W117,"缺失")</f>
        <v>7.1274750824233415</v>
      </c>
      <c r="E117" s="15">
        <f>IF(ISNUMBER(原始输入与口径!AB117),原始输入与口径!AB117,"缺失")</f>
        <v>4.2097840794313264</v>
      </c>
      <c r="F117" s="15">
        <f>IF(ISNUMBER(原始输入与口径!AG117),原始输入与口径!AG117,"缺失")</f>
        <v>168.15162083357154</v>
      </c>
      <c r="G117" s="15">
        <f>IF(ISNUMBER(原始输入与口径!AJ117),原始输入与口径!AJ117,"缺失")</f>
        <v>0</v>
      </c>
      <c r="H117" s="15" t="str">
        <f t="shared" si="23"/>
        <v>未模拟</v>
      </c>
      <c r="I117" s="16">
        <f>原始输入与口径!CD117</f>
        <v>32.604143514364978</v>
      </c>
      <c r="J117" s="16">
        <f>原始输入与口径!CE117</f>
        <v>32.445534818712801</v>
      </c>
      <c r="K117" s="16">
        <f>原始输入与口径!BZ117</f>
        <v>0</v>
      </c>
      <c r="L117" s="16">
        <f>原始输入与口径!CK117</f>
        <v>40</v>
      </c>
      <c r="M117" s="16">
        <f>原始输入与口径!BT117</f>
        <v>24</v>
      </c>
      <c r="N117" s="16">
        <f>原始输入与口径!BJ117</f>
        <v>24</v>
      </c>
      <c r="O117" s="16">
        <f t="shared" si="24"/>
        <v>0.14591999999999999</v>
      </c>
      <c r="P117" s="16">
        <f t="shared" si="25"/>
        <v>0</v>
      </c>
      <c r="Q117" s="17">
        <f t="shared" si="26"/>
        <v>0</v>
      </c>
      <c r="R117" s="17">
        <f t="shared" si="27"/>
        <v>662.24534522516342</v>
      </c>
      <c r="S117" s="17">
        <f t="shared" si="28"/>
        <v>42.764850494540049</v>
      </c>
      <c r="T117" s="17">
        <f t="shared" si="29"/>
        <v>25.258704476587958</v>
      </c>
      <c r="U117" s="17">
        <f t="shared" si="30"/>
        <v>24.536684512034757</v>
      </c>
      <c r="V117" s="17">
        <f t="shared" si="31"/>
        <v>0</v>
      </c>
      <c r="W117" s="17">
        <f t="shared" si="32"/>
        <v>754.80558470832614</v>
      </c>
      <c r="X117" s="12">
        <f>原始输入与口径!CP117</f>
        <v>754.80558470832614</v>
      </c>
      <c r="Y117" s="19">
        <f t="shared" si="33"/>
        <v>0</v>
      </c>
      <c r="Z117" s="12" t="str">
        <f t="shared" si="45"/>
        <v>次日冻结计划复原</v>
      </c>
      <c r="AA117" s="12">
        <f>IF(原始输入与口径!AW117,1,0)</f>
        <v>1</v>
      </c>
      <c r="AB117" s="12">
        <f>IF(原始输入与口径!AY117,1,0)</f>
        <v>1</v>
      </c>
      <c r="AC117" s="12">
        <f>原始输入与口径!$F$5</f>
        <v>0.25</v>
      </c>
      <c r="AD117" s="18">
        <f>原始输入与口径!CG117</f>
        <v>0.3125</v>
      </c>
      <c r="AE117" s="18">
        <f>原始输入与口径!BQ117</f>
        <v>0.13714285714285715</v>
      </c>
      <c r="AF117" s="18">
        <f t="shared" si="35"/>
        <v>2.4320000000000001E-2</v>
      </c>
      <c r="AG117" s="18">
        <f t="shared" si="36"/>
        <v>0</v>
      </c>
      <c r="AH117" s="12">
        <f>IF(ISNUMBER(原始输入与口径!T117),原始输入与口径!T117,"缺失")</f>
        <v>175</v>
      </c>
      <c r="AI117" s="12">
        <f>IF(ISNUMBER(原始输入与口径!Y117),原始输入与口径!Y117,"缺失")</f>
        <v>175</v>
      </c>
      <c r="AJ117" s="12">
        <f>IF(ISNUMBER(原始输入与口径!AI117),原始输入与口径!AI117,"缺失")</f>
        <v>1.0640000000000001</v>
      </c>
      <c r="AK117" s="12">
        <f>IF(ISNUMBER(原始输入与口径!AL117),原始输入与口径!AL117,"缺失")</f>
        <v>0</v>
      </c>
      <c r="AL117" s="12">
        <f>IF(ISNUMBER(原始输入与口径!O117),原始输入与口径!O117,"缺失")</f>
        <v>128</v>
      </c>
      <c r="AM117" s="12">
        <f>SUMIFS(相位SOC复算!$N$9:$N$929,相位SOC复算!$S$9:$S$929,109)</f>
        <v>4.4057971014492753E-4</v>
      </c>
      <c r="AN117" s="12">
        <f>SUMIFS(相位SOC复算!$Q$9:$Q$929,相位SOC复算!$S$9:$S$929,109)</f>
        <v>0</v>
      </c>
      <c r="AO117" s="12">
        <f>SUMIFS(相位SOC复算!$R$9:$R$929,相位SOC复算!$S$9:$S$929,109)</f>
        <v>0.14591999999999999</v>
      </c>
      <c r="AP117" s="12">
        <f>相位SOC复算!J271</f>
        <v>32.445534818712822</v>
      </c>
      <c r="AQ117" s="19">
        <f t="shared" si="37"/>
        <v>0</v>
      </c>
      <c r="AR117" s="12">
        <f>IF(ISBLANK(原始输入与口径!M117),"",原始输入与口径!M117)</f>
        <v>5.2473000000000001</v>
      </c>
      <c r="AS117" s="14">
        <f>IF(ISBLANK(原始输入与口径!L117),"",原始输入与口径!L117)</f>
        <v>46234</v>
      </c>
      <c r="AT117" s="13">
        <f>IF(ISBLANK(原始输入与口径!A117),"",原始输入与口径!A117)</f>
        <v>46236</v>
      </c>
      <c r="AU117" s="12" t="str">
        <f>IF(ISBLANK(原始输入与口径!I117),"",原始输入与口径!I117)</f>
        <v>2026-08-02_9</v>
      </c>
      <c r="AV117" s="12">
        <f>IF(ISBLANK(原始输入与口径!J117),"",原始输入与口径!J117)</f>
        <v>15</v>
      </c>
      <c r="AW117" s="12" t="str">
        <f>IF(ISBLANK(原始输入与口径!BB117),"",原始输入与口径!BB117)</f>
        <v>OK</v>
      </c>
      <c r="AX117" s="12">
        <f>原始输入与口径!CI117</f>
        <v>128</v>
      </c>
      <c r="AY117" s="12">
        <f>原始输入与口径!BS117</f>
        <v>175</v>
      </c>
      <c r="AZ117" s="12">
        <f>原始输入与口径!BI117</f>
        <v>175</v>
      </c>
      <c r="BA117" s="12">
        <f>原始输入与口径!CM117</f>
        <v>40</v>
      </c>
      <c r="BB117" s="12">
        <f>原始输入与口径!BV117</f>
        <v>24</v>
      </c>
      <c r="BC117" s="12">
        <f>原始输入与口径!BL117</f>
        <v>24</v>
      </c>
      <c r="BD117" s="14">
        <f>46235</f>
        <v>46235</v>
      </c>
      <c r="BE117" s="1" t="str">
        <f t="shared" si="38"/>
        <v>零头寸，无结算现金</v>
      </c>
      <c r="BF117" s="1" t="str">
        <f t="shared" si="39"/>
        <v>40.000000 MW × 66.224535 × 0.250000 h = 662.245345 EUR</v>
      </c>
      <c r="BG117" s="1" t="str">
        <f t="shared" si="40"/>
        <v>24.000000 MW × 7.127475 × 0.250000 h = 42.764850 EUR</v>
      </c>
      <c r="BH117" s="1" t="str">
        <f t="shared" si="41"/>
        <v>24.000000 MW × 4.209784 × 0.250000 h = 25.258704 EUR</v>
      </c>
      <c r="BI117" s="1" t="str">
        <f t="shared" si="42"/>
        <v>0.145920 MWh × 168.151621 = 24.536685 EUR</v>
      </c>
      <c r="BJ117" s="1" t="str">
        <f t="shared" si="43"/>
        <v>零下调激活电量</v>
      </c>
      <c r="BK117" s="1" t="str">
        <f t="shared" si="44"/>
        <v>0.000000 + 662.245345 + 42.764850 + 25.258704 + 24.536685 + 0.000000 = 754.805585 EUR</v>
      </c>
    </row>
    <row r="118" spans="1:63" ht="21" customHeight="1" x14ac:dyDescent="0.45">
      <c r="A118" s="13">
        <f>原始输入与口径!C118</f>
        <v>46236.135416666664</v>
      </c>
      <c r="B118" s="15">
        <f>IF(ISNUMBER(原始输入与口径!H118),原始输入与口径!H118,"缺失")</f>
        <v>156.86000000000001</v>
      </c>
      <c r="C118" s="15">
        <f>IF(ISNUMBER(原始输入与口径!R118),原始输入与口径!R118,"缺失")</f>
        <v>66.224534522516336</v>
      </c>
      <c r="D118" s="15">
        <f>IF(ISNUMBER(原始输入与口径!W118),原始输入与口径!W118,"缺失")</f>
        <v>7.1274750824233415</v>
      </c>
      <c r="E118" s="15">
        <f>IF(ISNUMBER(原始输入与口径!AB118),原始输入与口径!AB118,"缺失")</f>
        <v>4.2097840794313264</v>
      </c>
      <c r="F118" s="15">
        <f>IF(ISNUMBER(原始输入与口径!AG118),原始输入与口径!AG118,"缺失")</f>
        <v>176.55403731442837</v>
      </c>
      <c r="G118" s="15">
        <f>IF(ISNUMBER(原始输入与口径!AJ118),原始输入与口径!AJ118,"缺失")</f>
        <v>0</v>
      </c>
      <c r="H118" s="15" t="str">
        <f t="shared" si="23"/>
        <v>未模拟</v>
      </c>
      <c r="I118" s="16">
        <f>原始输入与口径!CD118</f>
        <v>32.445534818712801</v>
      </c>
      <c r="J118" s="16">
        <f>原始输入与口径!CE118</f>
        <v>32.647448874363008</v>
      </c>
      <c r="K118" s="16">
        <f>原始输入与口径!BZ118</f>
        <v>-4.5587853311510811</v>
      </c>
      <c r="L118" s="16">
        <f>原始输入与口径!CK118</f>
        <v>40</v>
      </c>
      <c r="M118" s="16">
        <f>原始输入与口径!BT118</f>
        <v>24</v>
      </c>
      <c r="N118" s="16">
        <f>原始输入与口径!BJ118</f>
        <v>24</v>
      </c>
      <c r="O118" s="16">
        <f t="shared" si="24"/>
        <v>0.80228571428571427</v>
      </c>
      <c r="P118" s="16">
        <f t="shared" si="25"/>
        <v>0</v>
      </c>
      <c r="Q118" s="17">
        <f t="shared" si="26"/>
        <v>-178.77276676108966</v>
      </c>
      <c r="R118" s="17">
        <f t="shared" si="27"/>
        <v>662.24534522516342</v>
      </c>
      <c r="S118" s="17">
        <f t="shared" si="28"/>
        <v>42.764850494540049</v>
      </c>
      <c r="T118" s="17">
        <f t="shared" si="29"/>
        <v>25.258704476587958</v>
      </c>
      <c r="U118" s="17">
        <f t="shared" si="30"/>
        <v>141.64678193683281</v>
      </c>
      <c r="V118" s="17">
        <f t="shared" si="31"/>
        <v>0</v>
      </c>
      <c r="W118" s="17">
        <f t="shared" si="32"/>
        <v>693.14291537203451</v>
      </c>
      <c r="X118" s="12">
        <f>原始输入与口径!CP118</f>
        <v>693.14291537203462</v>
      </c>
      <c r="Y118" s="19">
        <f t="shared" si="33"/>
        <v>0</v>
      </c>
      <c r="Z118" s="12" t="str">
        <f t="shared" si="45"/>
        <v>次日冻结计划复原</v>
      </c>
      <c r="AA118" s="12">
        <f>IF(原始输入与口径!AW118,1,0)</f>
        <v>1</v>
      </c>
      <c r="AB118" s="12">
        <f>IF(原始输入与口径!AY118,1,0)</f>
        <v>1</v>
      </c>
      <c r="AC118" s="12">
        <f>原始输入与口径!$F$5</f>
        <v>0.25</v>
      </c>
      <c r="AD118" s="18">
        <f>原始输入与口径!CG118</f>
        <v>0.3125</v>
      </c>
      <c r="AE118" s="18">
        <f>原始输入与口径!BQ118</f>
        <v>0.13714285714285715</v>
      </c>
      <c r="AF118" s="18">
        <f t="shared" si="35"/>
        <v>0.1337142857142857</v>
      </c>
      <c r="AG118" s="18">
        <f t="shared" si="36"/>
        <v>0</v>
      </c>
      <c r="AH118" s="12">
        <f>IF(ISNUMBER(原始输入与口径!T118),原始输入与口径!T118,"缺失")</f>
        <v>175</v>
      </c>
      <c r="AI118" s="12">
        <f>IF(ISNUMBER(原始输入与口径!Y118),原始输入与口径!Y118,"缺失")</f>
        <v>175</v>
      </c>
      <c r="AJ118" s="12">
        <f>IF(ISNUMBER(原始输入与口径!AI118),原始输入与口径!AI118,"缺失")</f>
        <v>5.85</v>
      </c>
      <c r="AK118" s="12">
        <f>IF(ISNUMBER(原始输入与口径!AL118),原始输入与口径!AL118,"缺失")</f>
        <v>0</v>
      </c>
      <c r="AL118" s="12">
        <f>IF(ISNUMBER(原始输入与口径!O118),原始输入与口径!O118,"缺失")</f>
        <v>128</v>
      </c>
      <c r="AM118" s="12">
        <f>SUMIFS(相位SOC复算!$N$9:$N$929,相位SOC复算!$S$9:$S$929,110)</f>
        <v>4.4853411764184956E-3</v>
      </c>
      <c r="AN118" s="12">
        <f>SUMIFS(相位SOC复算!$Q$9:$Q$929,相位SOC复算!$S$9:$S$929,110)</f>
        <v>0.9873026517178628</v>
      </c>
      <c r="AO118" s="12">
        <f>SUMIFS(相位SOC复算!$R$9:$R$929,相位SOC复算!$S$9:$S$929,110)</f>
        <v>0.64989203321580657</v>
      </c>
      <c r="AP118" s="12">
        <f>相位SOC复算!J273</f>
        <v>32.647448874363029</v>
      </c>
      <c r="AQ118" s="19">
        <f t="shared" si="37"/>
        <v>0</v>
      </c>
      <c r="AR118" s="12">
        <f>IF(ISBLANK(原始输入与口径!M118),"",原始输入与口径!M118)</f>
        <v>5.2473000000000001</v>
      </c>
      <c r="AS118" s="14">
        <f>IF(ISBLANK(原始输入与口径!L118),"",原始输入与口径!L118)</f>
        <v>46234</v>
      </c>
      <c r="AT118" s="13">
        <f>IF(ISBLANK(原始输入与口径!A118),"",原始输入与口径!A118)</f>
        <v>46236.010416666664</v>
      </c>
      <c r="AU118" s="12" t="str">
        <f>IF(ISBLANK(原始输入与口径!I118),"",原始输入与口径!I118)</f>
        <v>2026-08-02_10</v>
      </c>
      <c r="AV118" s="12">
        <f>IF(ISBLANK(原始输入与口径!J118),"",原始输入与口径!J118)</f>
        <v>15</v>
      </c>
      <c r="AW118" s="12" t="str">
        <f>IF(ISBLANK(原始输入与口径!BB118),"",原始输入与口径!BB118)</f>
        <v>OK</v>
      </c>
      <c r="AX118" s="12">
        <f>原始输入与口径!CI118</f>
        <v>128</v>
      </c>
      <c r="AY118" s="12">
        <f>原始输入与口径!BS118</f>
        <v>175</v>
      </c>
      <c r="AZ118" s="12">
        <f>原始输入与口径!BI118</f>
        <v>175</v>
      </c>
      <c r="BA118" s="12">
        <f>原始输入与口径!CM118</f>
        <v>40</v>
      </c>
      <c r="BB118" s="12">
        <f>原始输入与口径!BV118</f>
        <v>24</v>
      </c>
      <c r="BC118" s="12">
        <f>原始输入与口径!BL118</f>
        <v>24</v>
      </c>
      <c r="BD118" s="14">
        <f>46235</f>
        <v>46235</v>
      </c>
      <c r="BE118" s="1" t="str">
        <f t="shared" si="38"/>
        <v>-4.558785 MW × 156.860000 × 0.250000 h = -178.772767 EUR</v>
      </c>
      <c r="BF118" s="1" t="str">
        <f t="shared" si="39"/>
        <v>40.000000 MW × 66.224535 × 0.250000 h = 662.245345 EUR</v>
      </c>
      <c r="BG118" s="1" t="str">
        <f t="shared" si="40"/>
        <v>24.000000 MW × 7.127475 × 0.250000 h = 42.764850 EUR</v>
      </c>
      <c r="BH118" s="1" t="str">
        <f t="shared" si="41"/>
        <v>24.000000 MW × 4.209784 × 0.250000 h = 25.258704 EUR</v>
      </c>
      <c r="BI118" s="1" t="str">
        <f t="shared" si="42"/>
        <v>0.802286 MWh × 176.554037 = 141.646782 EUR</v>
      </c>
      <c r="BJ118" s="1" t="str">
        <f t="shared" si="43"/>
        <v>零下调激活电量</v>
      </c>
      <c r="BK118" s="1" t="str">
        <f t="shared" si="44"/>
        <v>-178.772767 + 662.245345 + 42.764850 + 25.258704 + 141.646782 + 0.000000 = 693.142915 EUR</v>
      </c>
    </row>
    <row r="119" spans="1:63" ht="21" customHeight="1" x14ac:dyDescent="0.45">
      <c r="A119" s="13">
        <f>原始输入与口径!C119</f>
        <v>46236.145833333336</v>
      </c>
      <c r="B119" s="15">
        <f>IF(ISNUMBER(原始输入与口径!H119),原始输入与口径!H119,"缺失")</f>
        <v>157.31</v>
      </c>
      <c r="C119" s="15">
        <f>IF(ISNUMBER(原始输入与口径!R119),原始输入与口径!R119,"缺失")</f>
        <v>66.224534522516336</v>
      </c>
      <c r="D119" s="15">
        <f>IF(ISNUMBER(原始输入与口径!W119),原始输入与口径!W119,"缺失")</f>
        <v>7.1274750824233415</v>
      </c>
      <c r="E119" s="15">
        <f>IF(ISNUMBER(原始输入与口径!AB119),原始输入与口径!AB119,"缺失")</f>
        <v>4.2097840794313264</v>
      </c>
      <c r="F119" s="15">
        <f>IF(ISNUMBER(原始输入与口径!AG119),原始输入与口径!AG119,"缺失")</f>
        <v>173.58984620662056</v>
      </c>
      <c r="G119" s="15">
        <f>IF(ISNUMBER(原始输入与口径!AJ119),原始输入与口径!AJ119,"缺失")</f>
        <v>0</v>
      </c>
      <c r="H119" s="15" t="str">
        <f t="shared" si="23"/>
        <v>未模拟</v>
      </c>
      <c r="I119" s="16">
        <f>原始输入与口径!CD119</f>
        <v>32.647448874363008</v>
      </c>
      <c r="J119" s="16">
        <f>原始输入与口径!CE119</f>
        <v>32.413073445217691</v>
      </c>
      <c r="K119" s="16">
        <f>原始输入与口径!BZ119</f>
        <v>-3.5010837156643779</v>
      </c>
      <c r="L119" s="16">
        <f>原始输入与口径!CK119</f>
        <v>40</v>
      </c>
      <c r="M119" s="16">
        <f>原始输入与口径!BT119</f>
        <v>24</v>
      </c>
      <c r="N119" s="16">
        <f>原始输入与口径!BJ119</f>
        <v>24</v>
      </c>
      <c r="O119" s="16">
        <f t="shared" si="24"/>
        <v>0.97837714285714283</v>
      </c>
      <c r="P119" s="16">
        <f t="shared" si="25"/>
        <v>0</v>
      </c>
      <c r="Q119" s="17">
        <f t="shared" si="26"/>
        <v>-137.68886982779082</v>
      </c>
      <c r="R119" s="17">
        <f t="shared" si="27"/>
        <v>662.24534522516342</v>
      </c>
      <c r="S119" s="17">
        <f t="shared" si="28"/>
        <v>42.764850494540049</v>
      </c>
      <c r="T119" s="17">
        <f t="shared" si="29"/>
        <v>25.258704476587958</v>
      </c>
      <c r="U119" s="17">
        <f t="shared" si="30"/>
        <v>169.83633776064426</v>
      </c>
      <c r="V119" s="17">
        <f t="shared" si="31"/>
        <v>0</v>
      </c>
      <c r="W119" s="17">
        <f t="shared" si="32"/>
        <v>762.41636812914487</v>
      </c>
      <c r="X119" s="12">
        <f>原始输入与口径!CP119</f>
        <v>762.41636812914487</v>
      </c>
      <c r="Y119" s="19">
        <f t="shared" si="33"/>
        <v>0</v>
      </c>
      <c r="Z119" s="12" t="str">
        <f t="shared" si="45"/>
        <v>次日冻结计划复原</v>
      </c>
      <c r="AA119" s="12">
        <f>IF(原始输入与口径!AW119,1,0)</f>
        <v>1</v>
      </c>
      <c r="AB119" s="12">
        <f>IF(原始输入与口径!AY119,1,0)</f>
        <v>1</v>
      </c>
      <c r="AC119" s="12">
        <f>原始输入与口径!$F$5</f>
        <v>0.25</v>
      </c>
      <c r="AD119" s="18">
        <f>原始输入与口径!CG119</f>
        <v>0.3125</v>
      </c>
      <c r="AE119" s="18">
        <f>原始输入与口径!BQ119</f>
        <v>0.13714285714285715</v>
      </c>
      <c r="AF119" s="18">
        <f t="shared" si="35"/>
        <v>0.16306285714285715</v>
      </c>
      <c r="AG119" s="18">
        <f t="shared" si="36"/>
        <v>0</v>
      </c>
      <c r="AH119" s="12">
        <f>IF(ISNUMBER(原始输入与口径!T119),原始输入与口径!T119,"缺失")</f>
        <v>175</v>
      </c>
      <c r="AI119" s="12">
        <f>IF(ISNUMBER(原始输入与口径!Y119),原始输入与口径!Y119,"缺失")</f>
        <v>175</v>
      </c>
      <c r="AJ119" s="12">
        <f>IF(ISNUMBER(原始输入与口径!AI119),原始输入与口径!AI119,"缺失")</f>
        <v>7.1340000000000003</v>
      </c>
      <c r="AK119" s="12">
        <f>IF(ISNUMBER(原始输入与口径!AL119),原始输入与口径!AL119,"缺失")</f>
        <v>0</v>
      </c>
      <c r="AL119" s="12">
        <f>IF(ISNUMBER(原始输入与口径!O119),原始输入与口径!O119,"缺失")</f>
        <v>128</v>
      </c>
      <c r="AM119" s="12">
        <f>SUMIFS(相位SOC复算!$N$9:$N$929,相位SOC复算!$S$9:$S$929,111)</f>
        <v>4.39517069448765E-3</v>
      </c>
      <c r="AN119" s="12">
        <f>SUMIFS(相位SOC复算!$Q$9:$Q$929,相位SOC复算!$S$9:$S$929,111)</f>
        <v>0.73254675047295348</v>
      </c>
      <c r="AO119" s="12">
        <f>SUMIFS(相位SOC复算!$R$9:$R$929,相位SOC复算!$S$9:$S$929,111)</f>
        <v>0.83565296441400183</v>
      </c>
      <c r="AP119" s="12">
        <f>相位SOC复算!J275</f>
        <v>32.413073445217705</v>
      </c>
      <c r="AQ119" s="19">
        <f t="shared" si="37"/>
        <v>0</v>
      </c>
      <c r="AR119" s="12">
        <f>IF(ISBLANK(原始输入与口径!M119),"",原始输入与口径!M119)</f>
        <v>5.2473000000000001</v>
      </c>
      <c r="AS119" s="14">
        <f>IF(ISBLANK(原始输入与口径!L119),"",原始输入与口径!L119)</f>
        <v>46234</v>
      </c>
      <c r="AT119" s="13">
        <f>IF(ISBLANK(原始输入与口径!A119),"",原始输入与口径!A119)</f>
        <v>46236.020833333336</v>
      </c>
      <c r="AU119" s="12" t="str">
        <f>IF(ISBLANK(原始输入与口径!I119),"",原始输入与口径!I119)</f>
        <v>2026-08-02_11</v>
      </c>
      <c r="AV119" s="12">
        <f>IF(ISBLANK(原始输入与口径!J119),"",原始输入与口径!J119)</f>
        <v>15</v>
      </c>
      <c r="AW119" s="12" t="str">
        <f>IF(ISBLANK(原始输入与口径!BB119),"",原始输入与口径!BB119)</f>
        <v>OK</v>
      </c>
      <c r="AX119" s="12">
        <f>原始输入与口径!CI119</f>
        <v>128</v>
      </c>
      <c r="AY119" s="12">
        <f>原始输入与口径!BS119</f>
        <v>175</v>
      </c>
      <c r="AZ119" s="12">
        <f>原始输入与口径!BI119</f>
        <v>175</v>
      </c>
      <c r="BA119" s="12">
        <f>原始输入与口径!CM119</f>
        <v>40</v>
      </c>
      <c r="BB119" s="12">
        <f>原始输入与口径!BV119</f>
        <v>24</v>
      </c>
      <c r="BC119" s="12">
        <f>原始输入与口径!BL119</f>
        <v>24</v>
      </c>
      <c r="BD119" s="14">
        <f>46235</f>
        <v>46235</v>
      </c>
      <c r="BE119" s="1" t="str">
        <f t="shared" si="38"/>
        <v>-3.501084 MW × 157.310000 × 0.250000 h = -137.688870 EUR</v>
      </c>
      <c r="BF119" s="1" t="str">
        <f t="shared" si="39"/>
        <v>40.000000 MW × 66.224535 × 0.250000 h = 662.245345 EUR</v>
      </c>
      <c r="BG119" s="1" t="str">
        <f t="shared" si="40"/>
        <v>24.000000 MW × 7.127475 × 0.250000 h = 42.764850 EUR</v>
      </c>
      <c r="BH119" s="1" t="str">
        <f t="shared" si="41"/>
        <v>24.000000 MW × 4.209784 × 0.250000 h = 25.258704 EUR</v>
      </c>
      <c r="BI119" s="1" t="str">
        <f t="shared" si="42"/>
        <v>0.978377 MWh × 173.589846 = 169.836338 EUR</v>
      </c>
      <c r="BJ119" s="1" t="str">
        <f t="shared" si="43"/>
        <v>零下调激活电量</v>
      </c>
      <c r="BK119" s="1" t="str">
        <f t="shared" si="44"/>
        <v>-137.688870 + 662.245345 + 42.764850 + 25.258704 + 169.836338 + 0.000000 = 762.416368 EUR</v>
      </c>
    </row>
    <row r="120" spans="1:63" ht="21" customHeight="1" x14ac:dyDescent="0.45">
      <c r="A120" s="13">
        <f>原始输入与口径!C120</f>
        <v>46236.15625</v>
      </c>
      <c r="B120" s="15">
        <f>IF(ISNUMBER(原始输入与口径!H120),原始输入与口径!H120,"缺失")</f>
        <v>154.80000000000001</v>
      </c>
      <c r="C120" s="15">
        <f>IF(ISNUMBER(原始输入与口径!R120),原始输入与口径!R120,"缺失")</f>
        <v>66.224534522516336</v>
      </c>
      <c r="D120" s="15">
        <f>IF(ISNUMBER(原始输入与口径!W120),原始输入与口径!W120,"缺失")</f>
        <v>7.1274750824233415</v>
      </c>
      <c r="E120" s="15">
        <f>IF(ISNUMBER(原始输入与口径!AB120),原始输入与口径!AB120,"缺失")</f>
        <v>4.2097840794313264</v>
      </c>
      <c r="F120" s="15">
        <f>IF(ISNUMBER(原始输入与口径!AG120),原始输入与口径!AG120,"缺失")</f>
        <v>185.35837478322185</v>
      </c>
      <c r="G120" s="15">
        <f>IF(ISNUMBER(原始输入与口径!AJ120),原始输入与口径!AJ120,"缺失")</f>
        <v>0</v>
      </c>
      <c r="H120" s="15" t="str">
        <f t="shared" si="23"/>
        <v>未模拟</v>
      </c>
      <c r="I120" s="16">
        <f>原始输入与口径!CD120</f>
        <v>32.413073445217691</v>
      </c>
      <c r="J120" s="16">
        <f>原始输入与口径!CE120</f>
        <v>34.15850931677015</v>
      </c>
      <c r="K120" s="16">
        <f>原始输入与口径!BZ120</f>
        <v>-13.978311196078922</v>
      </c>
      <c r="L120" s="16">
        <f>原始输入与口径!CK120</f>
        <v>40</v>
      </c>
      <c r="M120" s="16">
        <f>原始输入与口径!BT120</f>
        <v>24</v>
      </c>
      <c r="N120" s="16">
        <f>原始输入与口径!BJ120</f>
        <v>24</v>
      </c>
      <c r="O120" s="16">
        <f t="shared" si="24"/>
        <v>1.4848457142857141</v>
      </c>
      <c r="P120" s="16">
        <f t="shared" si="25"/>
        <v>0</v>
      </c>
      <c r="Q120" s="17">
        <f t="shared" si="26"/>
        <v>-540.96064328825435</v>
      </c>
      <c r="R120" s="17">
        <f t="shared" si="27"/>
        <v>662.24534522516342</v>
      </c>
      <c r="S120" s="17">
        <f t="shared" si="28"/>
        <v>42.764850494540049</v>
      </c>
      <c r="T120" s="17">
        <f t="shared" si="29"/>
        <v>25.258704476587958</v>
      </c>
      <c r="U120" s="17">
        <f t="shared" si="30"/>
        <v>275.22858840383213</v>
      </c>
      <c r="V120" s="17">
        <f t="shared" si="31"/>
        <v>0</v>
      </c>
      <c r="W120" s="17">
        <f t="shared" si="32"/>
        <v>464.53684531186923</v>
      </c>
      <c r="X120" s="12">
        <f>原始输入与口径!CP120</f>
        <v>464.53684531186923</v>
      </c>
      <c r="Y120" s="19">
        <f t="shared" si="33"/>
        <v>0</v>
      </c>
      <c r="Z120" s="12" t="str">
        <f t="shared" si="45"/>
        <v>次日冻结计划复原</v>
      </c>
      <c r="AA120" s="12">
        <f>IF(原始输入与口径!AW120,1,0)</f>
        <v>1</v>
      </c>
      <c r="AB120" s="12">
        <f>IF(原始输入与口径!AY120,1,0)</f>
        <v>1</v>
      </c>
      <c r="AC120" s="12">
        <f>原始输入与口径!$F$5</f>
        <v>0.25</v>
      </c>
      <c r="AD120" s="18">
        <f>原始输入与口径!CG120</f>
        <v>0.3125</v>
      </c>
      <c r="AE120" s="18">
        <f>原始输入与口径!BQ120</f>
        <v>0.13714285714285715</v>
      </c>
      <c r="AF120" s="18">
        <f t="shared" si="35"/>
        <v>0.2474742857142857</v>
      </c>
      <c r="AG120" s="18">
        <f t="shared" si="36"/>
        <v>0</v>
      </c>
      <c r="AH120" s="12">
        <f>IF(ISNUMBER(原始输入与口径!T120),原始输入与口径!T120,"缺失")</f>
        <v>175</v>
      </c>
      <c r="AI120" s="12">
        <f>IF(ISNUMBER(原始输入与口径!Y120),原始输入与口径!Y120,"缺失")</f>
        <v>175</v>
      </c>
      <c r="AJ120" s="12">
        <f>IF(ISNUMBER(原始输入与口径!AI120),原始输入与口径!AI120,"缺失")</f>
        <v>10.827</v>
      </c>
      <c r="AK120" s="12">
        <f>IF(ISNUMBER(原始输入与口径!AL120),原始输入与口径!AL120,"缺失")</f>
        <v>0</v>
      </c>
      <c r="AL120" s="12">
        <f>IF(ISNUMBER(原始输入与口径!O120),原始输入与口径!O120,"缺失")</f>
        <v>128</v>
      </c>
      <c r="AM120" s="12">
        <f>SUMIFS(相位SOC复算!$N$9:$N$929,相位SOC复算!$S$9:$S$929,112)</f>
        <v>8.5925608122852538E-3</v>
      </c>
      <c r="AN120" s="12">
        <f>SUMIFS(相位SOC复算!$Q$9:$Q$929,相位SOC复算!$S$9:$S$929,112)</f>
        <v>2.6297596543343218</v>
      </c>
      <c r="AO120" s="12">
        <f>SUMIFS(相位SOC复算!$R$9:$R$929,相位SOC复算!$S$9:$S$929,112)</f>
        <v>0.62002756960030581</v>
      </c>
      <c r="AP120" s="12">
        <f>相位SOC复算!J277</f>
        <v>34.158509316770164</v>
      </c>
      <c r="AQ120" s="19">
        <f t="shared" si="37"/>
        <v>0</v>
      </c>
      <c r="AR120" s="12">
        <f>IF(ISBLANK(原始输入与口径!M120),"",原始输入与口径!M120)</f>
        <v>5.2473000000000001</v>
      </c>
      <c r="AS120" s="14">
        <f>IF(ISBLANK(原始输入与口径!L120),"",原始输入与口径!L120)</f>
        <v>46234</v>
      </c>
      <c r="AT120" s="13">
        <f>IF(ISBLANK(原始输入与口径!A120),"",原始输入与口径!A120)</f>
        <v>46236.03125</v>
      </c>
      <c r="AU120" s="12" t="str">
        <f>IF(ISBLANK(原始输入与口径!I120),"",原始输入与口径!I120)</f>
        <v>2026-08-02_12</v>
      </c>
      <c r="AV120" s="12">
        <f>IF(ISBLANK(原始输入与口径!J120),"",原始输入与口径!J120)</f>
        <v>15</v>
      </c>
      <c r="AW120" s="12" t="str">
        <f>IF(ISBLANK(原始输入与口径!BB120),"",原始输入与口径!BB120)</f>
        <v>OK</v>
      </c>
      <c r="AX120" s="12">
        <f>原始输入与口径!CI120</f>
        <v>128</v>
      </c>
      <c r="AY120" s="12">
        <f>原始输入与口径!BS120</f>
        <v>175</v>
      </c>
      <c r="AZ120" s="12">
        <f>原始输入与口径!BI120</f>
        <v>175</v>
      </c>
      <c r="BA120" s="12">
        <f>原始输入与口径!CM120</f>
        <v>40</v>
      </c>
      <c r="BB120" s="12">
        <f>原始输入与口径!BV120</f>
        <v>24</v>
      </c>
      <c r="BC120" s="12">
        <f>原始输入与口径!BL120</f>
        <v>24</v>
      </c>
      <c r="BD120" s="14">
        <f>46235</f>
        <v>46235</v>
      </c>
      <c r="BE120" s="1" t="str">
        <f t="shared" si="38"/>
        <v>-13.978311 MW × 154.800000 × 0.250000 h = -540.960643 EUR</v>
      </c>
      <c r="BF120" s="1" t="str">
        <f t="shared" si="39"/>
        <v>40.000000 MW × 66.224535 × 0.250000 h = 662.245345 EUR</v>
      </c>
      <c r="BG120" s="1" t="str">
        <f t="shared" si="40"/>
        <v>24.000000 MW × 7.127475 × 0.250000 h = 42.764850 EUR</v>
      </c>
      <c r="BH120" s="1" t="str">
        <f t="shared" si="41"/>
        <v>24.000000 MW × 4.209784 × 0.250000 h = 25.258704 EUR</v>
      </c>
      <c r="BI120" s="1" t="str">
        <f t="shared" si="42"/>
        <v>1.484846 MWh × 185.358375 = 275.228588 EUR</v>
      </c>
      <c r="BJ120" s="1" t="str">
        <f t="shared" si="43"/>
        <v>零下调激活电量</v>
      </c>
      <c r="BK120" s="1" t="str">
        <f t="shared" si="44"/>
        <v>-540.960643 + 662.245345 + 42.764850 + 25.258704 + 275.228588 + 0.000000 = 464.536845 EUR</v>
      </c>
    </row>
    <row r="121" spans="1:63" ht="21" customHeight="1" x14ac:dyDescent="0.45">
      <c r="A121" s="13">
        <f>原始输入与口径!C121</f>
        <v>46236.166666666664</v>
      </c>
      <c r="B121" s="15">
        <f>IF(ISNUMBER(原始输入与口径!H121),原始输入与口径!H121,"缺失")</f>
        <v>157.47999999999999</v>
      </c>
      <c r="C121" s="15">
        <f>IF(ISNUMBER(原始输入与口径!R121),原始输入与口径!R121,"缺失")</f>
        <v>66.224534522516336</v>
      </c>
      <c r="D121" s="15">
        <f>IF(ISNUMBER(原始输入与口径!W121),原始输入与口径!W121,"缺失")</f>
        <v>7.1274750824233415</v>
      </c>
      <c r="E121" s="15">
        <f>IF(ISNUMBER(原始输入与口径!AB121),原始输入与口径!AB121,"缺失")</f>
        <v>5.0768966897261452</v>
      </c>
      <c r="F121" s="15">
        <f>IF(ISNUMBER(原始输入与口径!AG121),原始输入与口径!AG121,"缺失")</f>
        <v>217.78781468564785</v>
      </c>
      <c r="G121" s="15">
        <f>IF(ISNUMBER(原始输入与口径!AJ121),原始输入与口径!AJ121,"缺失")</f>
        <v>0</v>
      </c>
      <c r="H121" s="15" t="str">
        <f t="shared" si="23"/>
        <v>未模拟</v>
      </c>
      <c r="I121" s="16">
        <f>原始输入与口径!CD121</f>
        <v>34.15850931677015</v>
      </c>
      <c r="J121" s="16">
        <f>原始输入与口径!CE121</f>
        <v>31.739130434782574</v>
      </c>
      <c r="K121" s="16">
        <f>原始输入与口径!BZ121</f>
        <v>0</v>
      </c>
      <c r="L121" s="16">
        <f>原始输入与口径!CK121</f>
        <v>40</v>
      </c>
      <c r="M121" s="16">
        <f>原始输入与口径!BT121</f>
        <v>24</v>
      </c>
      <c r="N121" s="16">
        <f>原始输入与口径!BJ121</f>
        <v>24</v>
      </c>
      <c r="O121" s="16">
        <f t="shared" si="24"/>
        <v>2.2258285714285715</v>
      </c>
      <c r="P121" s="16">
        <f t="shared" si="25"/>
        <v>0</v>
      </c>
      <c r="Q121" s="17">
        <f t="shared" si="26"/>
        <v>0</v>
      </c>
      <c r="R121" s="17">
        <f t="shared" si="27"/>
        <v>662.24534522516342</v>
      </c>
      <c r="S121" s="17">
        <f t="shared" si="28"/>
        <v>42.764850494540049</v>
      </c>
      <c r="T121" s="17">
        <f t="shared" si="29"/>
        <v>30.461380138356873</v>
      </c>
      <c r="U121" s="17">
        <f t="shared" si="30"/>
        <v>484.75834043630601</v>
      </c>
      <c r="V121" s="17">
        <f t="shared" si="31"/>
        <v>0</v>
      </c>
      <c r="W121" s="17">
        <f t="shared" si="32"/>
        <v>1220.2299162943664</v>
      </c>
      <c r="X121" s="12">
        <f>原始输入与口径!CP121</f>
        <v>1220.2299162943664</v>
      </c>
      <c r="Y121" s="19">
        <f t="shared" si="33"/>
        <v>0</v>
      </c>
      <c r="Z121" s="12" t="str">
        <f t="shared" si="45"/>
        <v>次日冻结计划复原</v>
      </c>
      <c r="AA121" s="12">
        <f>IF(原始输入与口径!AW121,1,0)</f>
        <v>1</v>
      </c>
      <c r="AB121" s="12">
        <f>IF(原始输入与口径!AY121,1,0)</f>
        <v>1</v>
      </c>
      <c r="AC121" s="12">
        <f>原始输入与口径!$F$5</f>
        <v>0.25</v>
      </c>
      <c r="AD121" s="18">
        <f>原始输入与口径!CG121</f>
        <v>0.3125</v>
      </c>
      <c r="AE121" s="18">
        <f>原始输入与口径!BQ121</f>
        <v>0.13714285714285715</v>
      </c>
      <c r="AF121" s="18">
        <f t="shared" si="35"/>
        <v>0.37097142857142856</v>
      </c>
      <c r="AG121" s="18">
        <f t="shared" si="36"/>
        <v>0</v>
      </c>
      <c r="AH121" s="12">
        <f>IF(ISNUMBER(原始输入与口径!T121),原始输入与口径!T121,"缺失")</f>
        <v>175</v>
      </c>
      <c r="AI121" s="12">
        <f>IF(ISNUMBER(原始输入与口径!Y121),原始输入与口径!Y121,"缺失")</f>
        <v>175</v>
      </c>
      <c r="AJ121" s="12">
        <f>IF(ISNUMBER(原始输入与口径!AI121),原始输入与口径!AI121,"缺失")</f>
        <v>16.23</v>
      </c>
      <c r="AK121" s="12">
        <f>IF(ISNUMBER(原始输入与口径!AL121),原始输入与口径!AL121,"缺失")</f>
        <v>0</v>
      </c>
      <c r="AL121" s="12">
        <f>IF(ISNUMBER(原始输入与口径!O121),原始输入与口径!O121,"缺失")</f>
        <v>128</v>
      </c>
      <c r="AM121" s="12">
        <f>SUMIFS(相位SOC复算!$N$9:$N$929,相位SOC复算!$S$9:$S$929,113)</f>
        <v>6.7204968944099379E-3</v>
      </c>
      <c r="AN121" s="12">
        <f>SUMIFS(相位SOC复算!$Q$9:$Q$929,相位SOC复算!$S$9:$S$929,113)</f>
        <v>0</v>
      </c>
      <c r="AO121" s="12">
        <f>SUMIFS(相位SOC复算!$R$9:$R$929,相位SOC复算!$S$9:$S$929,113)</f>
        <v>2.2258285714285715</v>
      </c>
      <c r="AP121" s="12">
        <f>相位SOC复算!J279</f>
        <v>31.739130434782588</v>
      </c>
      <c r="AQ121" s="19">
        <f t="shared" si="37"/>
        <v>0</v>
      </c>
      <c r="AR121" s="12">
        <f>IF(ISBLANK(原始输入与口径!M121),"",原始输入与口径!M121)</f>
        <v>5.2473000000000001</v>
      </c>
      <c r="AS121" s="14">
        <f>IF(ISBLANK(原始输入与口径!L121),"",原始输入与口径!L121)</f>
        <v>46234</v>
      </c>
      <c r="AT121" s="13">
        <f>IF(ISBLANK(原始输入与口径!A121),"",原始输入与口径!A121)</f>
        <v>46236.041666666664</v>
      </c>
      <c r="AU121" s="12" t="str">
        <f>IF(ISBLANK(原始输入与口径!I121),"",原始输入与口径!I121)</f>
        <v>2026-08-02_13</v>
      </c>
      <c r="AV121" s="12">
        <f>IF(ISBLANK(原始输入与口径!J121),"",原始输入与口径!J121)</f>
        <v>15</v>
      </c>
      <c r="AW121" s="12" t="str">
        <f>IF(ISBLANK(原始输入与口径!BB121),"",原始输入与口径!BB121)</f>
        <v>OK</v>
      </c>
      <c r="AX121" s="12">
        <f>原始输入与口径!CI121</f>
        <v>128</v>
      </c>
      <c r="AY121" s="12">
        <f>原始输入与口径!BS121</f>
        <v>175</v>
      </c>
      <c r="AZ121" s="12">
        <f>原始输入与口径!BI121</f>
        <v>175</v>
      </c>
      <c r="BA121" s="12">
        <f>原始输入与口径!CM121</f>
        <v>40</v>
      </c>
      <c r="BB121" s="12">
        <f>原始输入与口径!BV121</f>
        <v>24</v>
      </c>
      <c r="BC121" s="12">
        <f>原始输入与口径!BL121</f>
        <v>24</v>
      </c>
      <c r="BD121" s="14">
        <f>46235</f>
        <v>46235</v>
      </c>
      <c r="BE121" s="1" t="str">
        <f t="shared" si="38"/>
        <v>零头寸，无结算现金</v>
      </c>
      <c r="BF121" s="1" t="str">
        <f t="shared" si="39"/>
        <v>40.000000 MW × 66.224535 × 0.250000 h = 662.245345 EUR</v>
      </c>
      <c r="BG121" s="1" t="str">
        <f t="shared" si="40"/>
        <v>24.000000 MW × 7.127475 × 0.250000 h = 42.764850 EUR</v>
      </c>
      <c r="BH121" s="1" t="str">
        <f t="shared" si="41"/>
        <v>24.000000 MW × 5.076897 × 0.250000 h = 30.461380 EUR</v>
      </c>
      <c r="BI121" s="1" t="str">
        <f t="shared" si="42"/>
        <v>2.225829 MWh × 217.787815 = 484.758340 EUR</v>
      </c>
      <c r="BJ121" s="1" t="str">
        <f t="shared" si="43"/>
        <v>零下调激活电量</v>
      </c>
      <c r="BK121" s="1" t="str">
        <f t="shared" si="44"/>
        <v>0.000000 + 662.245345 + 42.764850 + 30.461380 + 484.758340 + 0.000000 = 1220.229916 EUR</v>
      </c>
    </row>
    <row r="122" spans="1:63" ht="21" customHeight="1" x14ac:dyDescent="0.45">
      <c r="A122" s="13">
        <f>原始输入与口径!C122</f>
        <v>46236.177083333336</v>
      </c>
      <c r="B122" s="15">
        <f>IF(ISNUMBER(原始输入与口径!H122),原始输入与口径!H122,"缺失")</f>
        <v>154.01</v>
      </c>
      <c r="C122" s="15">
        <f>IF(ISNUMBER(原始输入与口径!R122),原始输入与口径!R122,"缺失")</f>
        <v>66.224534522516336</v>
      </c>
      <c r="D122" s="15">
        <f>IF(ISNUMBER(原始输入与口径!W122),原始输入与口径!W122,"缺失")</f>
        <v>7.1274750824233415</v>
      </c>
      <c r="E122" s="15">
        <f>IF(ISNUMBER(原始输入与口径!AB122),原始输入与口径!AB122,"缺失")</f>
        <v>5.0768966897261452</v>
      </c>
      <c r="F122" s="15">
        <f>IF(ISNUMBER(原始输入与口径!AG122),原始输入与口径!AG122,"缺失")</f>
        <v>211.27665656623407</v>
      </c>
      <c r="G122" s="15">
        <f>IF(ISNUMBER(原始输入与口径!AJ122),原始输入与口径!AJ122,"缺失")</f>
        <v>0</v>
      </c>
      <c r="H122" s="15" t="str">
        <f t="shared" si="23"/>
        <v>未模拟</v>
      </c>
      <c r="I122" s="16">
        <f>原始输入与口径!CD122</f>
        <v>31.739130434782574</v>
      </c>
      <c r="J122" s="16">
        <f>原始输入与口径!CE122</f>
        <v>35.069677634782572</v>
      </c>
      <c r="K122" s="16">
        <f>原始输入与口径!BZ122</f>
        <v>-24</v>
      </c>
      <c r="L122" s="16">
        <f>原始输入与口径!CK122</f>
        <v>40</v>
      </c>
      <c r="M122" s="16">
        <f>原始输入与口径!BT122</f>
        <v>24</v>
      </c>
      <c r="N122" s="16">
        <f>原始输入与口径!BJ122</f>
        <v>24</v>
      </c>
      <c r="O122" s="16">
        <f t="shared" si="24"/>
        <v>2.3798400000000002</v>
      </c>
      <c r="P122" s="16">
        <f t="shared" si="25"/>
        <v>0</v>
      </c>
      <c r="Q122" s="17">
        <f t="shared" si="26"/>
        <v>-924.06</v>
      </c>
      <c r="R122" s="17">
        <f t="shared" si="27"/>
        <v>662.24534522516342</v>
      </c>
      <c r="S122" s="17">
        <f t="shared" si="28"/>
        <v>42.764850494540049</v>
      </c>
      <c r="T122" s="17">
        <f t="shared" si="29"/>
        <v>30.461380138356873</v>
      </c>
      <c r="U122" s="17">
        <f t="shared" si="30"/>
        <v>502.8046383625865</v>
      </c>
      <c r="V122" s="17">
        <f t="shared" si="31"/>
        <v>0</v>
      </c>
      <c r="W122" s="17">
        <f t="shared" si="32"/>
        <v>314.21621422064686</v>
      </c>
      <c r="X122" s="12">
        <f>原始输入与口径!CP122</f>
        <v>314.21621422064692</v>
      </c>
      <c r="Y122" s="19">
        <f t="shared" si="33"/>
        <v>0</v>
      </c>
      <c r="Z122" s="12" t="str">
        <f t="shared" si="45"/>
        <v>次日冻结计划复原</v>
      </c>
      <c r="AA122" s="12">
        <f>IF(原始输入与口径!AW122,1,0)</f>
        <v>1</v>
      </c>
      <c r="AB122" s="12">
        <f>IF(原始输入与口径!AY122,1,0)</f>
        <v>1</v>
      </c>
      <c r="AC122" s="12">
        <f>原始输入与口径!$F$5</f>
        <v>0.25</v>
      </c>
      <c r="AD122" s="18">
        <f>原始输入与口径!CG122</f>
        <v>0.3125</v>
      </c>
      <c r="AE122" s="18">
        <f>原始输入与口径!BQ122</f>
        <v>0.13714285714285715</v>
      </c>
      <c r="AF122" s="18">
        <f t="shared" si="35"/>
        <v>0.39664000000000005</v>
      </c>
      <c r="AG122" s="18">
        <f t="shared" si="36"/>
        <v>0</v>
      </c>
      <c r="AH122" s="12">
        <f>IF(ISNUMBER(原始输入与口径!T122),原始输入与口径!T122,"缺失")</f>
        <v>175</v>
      </c>
      <c r="AI122" s="12">
        <f>IF(ISNUMBER(原始输入与口径!Y122),原始输入与口径!Y122,"缺失")</f>
        <v>175</v>
      </c>
      <c r="AJ122" s="12">
        <f>IF(ISNUMBER(原始输入与口径!AI122),原始输入与口径!AI122,"缺失")</f>
        <v>17.353000000000002</v>
      </c>
      <c r="AK122" s="12">
        <f>IF(ISNUMBER(原始输入与口径!AL122),原始输入与口径!AL122,"缺失")</f>
        <v>0</v>
      </c>
      <c r="AL122" s="12">
        <f>IF(ISNUMBER(原始输入与口径!O122),原始输入与口径!O122,"缺失")</f>
        <v>128</v>
      </c>
      <c r="AM122" s="12">
        <f>SUMIFS(相位SOC复算!$N$9:$N$929,相位SOC复算!$S$9:$S$929,114)</f>
        <v>9.2515199999999992E-3</v>
      </c>
      <c r="AN122" s="12">
        <f>SUMIFS(相位SOC复算!$Q$9:$Q$929,相位SOC复算!$S$9:$S$929,114)</f>
        <v>3.6201599999999994</v>
      </c>
      <c r="AO122" s="12">
        <f>SUMIFS(相位SOC复算!$R$9:$R$929,相位SOC复算!$S$9:$S$929,114)</f>
        <v>0</v>
      </c>
      <c r="AP122" s="12">
        <f>相位SOC复算!J281</f>
        <v>35.069677634782586</v>
      </c>
      <c r="AQ122" s="19">
        <f t="shared" si="37"/>
        <v>0</v>
      </c>
      <c r="AR122" s="12">
        <f>IF(ISBLANK(原始输入与口径!M122),"",原始输入与口径!M122)</f>
        <v>5.2473000000000001</v>
      </c>
      <c r="AS122" s="14">
        <f>IF(ISBLANK(原始输入与口径!L122),"",原始输入与口径!L122)</f>
        <v>46234</v>
      </c>
      <c r="AT122" s="13">
        <f>IF(ISBLANK(原始输入与口径!A122),"",原始输入与口径!A122)</f>
        <v>46236.052083333336</v>
      </c>
      <c r="AU122" s="12" t="str">
        <f>IF(ISBLANK(原始输入与口径!I122),"",原始输入与口径!I122)</f>
        <v>2026-08-02_14</v>
      </c>
      <c r="AV122" s="12">
        <f>IF(ISBLANK(原始输入与口径!J122),"",原始输入与口径!J122)</f>
        <v>15</v>
      </c>
      <c r="AW122" s="12" t="str">
        <f>IF(ISBLANK(原始输入与口径!BB122),"",原始输入与口径!BB122)</f>
        <v>OK</v>
      </c>
      <c r="AX122" s="12">
        <f>原始输入与口径!CI122</f>
        <v>128</v>
      </c>
      <c r="AY122" s="12">
        <f>原始输入与口径!BS122</f>
        <v>175</v>
      </c>
      <c r="AZ122" s="12">
        <f>原始输入与口径!BI122</f>
        <v>175</v>
      </c>
      <c r="BA122" s="12">
        <f>原始输入与口径!CM122</f>
        <v>40</v>
      </c>
      <c r="BB122" s="12">
        <f>原始输入与口径!BV122</f>
        <v>24</v>
      </c>
      <c r="BC122" s="12">
        <f>原始输入与口径!BL122</f>
        <v>24</v>
      </c>
      <c r="BD122" s="14">
        <f>46235</f>
        <v>46235</v>
      </c>
      <c r="BE122" s="1" t="str">
        <f t="shared" si="38"/>
        <v>-24.000000 MW × 154.010000 × 0.250000 h = -924.060000 EUR</v>
      </c>
      <c r="BF122" s="1" t="str">
        <f t="shared" si="39"/>
        <v>40.000000 MW × 66.224535 × 0.250000 h = 662.245345 EUR</v>
      </c>
      <c r="BG122" s="1" t="str">
        <f t="shared" si="40"/>
        <v>24.000000 MW × 7.127475 × 0.250000 h = 42.764850 EUR</v>
      </c>
      <c r="BH122" s="1" t="str">
        <f t="shared" si="41"/>
        <v>24.000000 MW × 5.076897 × 0.250000 h = 30.461380 EUR</v>
      </c>
      <c r="BI122" s="1" t="str">
        <f t="shared" si="42"/>
        <v>2.379840 MWh × 211.276657 = 502.804638 EUR</v>
      </c>
      <c r="BJ122" s="1" t="str">
        <f t="shared" si="43"/>
        <v>零下调激活电量</v>
      </c>
      <c r="BK122" s="1" t="str">
        <f t="shared" si="44"/>
        <v>-924.060000 + 662.245345 + 42.764850 + 30.461380 + 502.804638 + 0.000000 = 314.216214 EUR</v>
      </c>
    </row>
    <row r="123" spans="1:63" ht="21" customHeight="1" x14ac:dyDescent="0.45">
      <c r="A123" s="13">
        <f>原始输入与口径!C123</f>
        <v>46236.1875</v>
      </c>
      <c r="B123" s="15">
        <f>IF(ISNUMBER(原始输入与口径!H123),原始输入与口径!H123,"缺失")</f>
        <v>154.82</v>
      </c>
      <c r="C123" s="15">
        <f>IF(ISNUMBER(原始输入与口径!R123),原始输入与口径!R123,"缺失")</f>
        <v>66.224534522516336</v>
      </c>
      <c r="D123" s="15">
        <f>IF(ISNUMBER(原始输入与口径!W123),原始输入与口径!W123,"缺失")</f>
        <v>7.1274750824233415</v>
      </c>
      <c r="E123" s="15">
        <f>IF(ISNUMBER(原始输入与口径!AB123),原始输入与口径!AB123,"缺失")</f>
        <v>5.0768966897261452</v>
      </c>
      <c r="F123" s="15">
        <f>IF(ISNUMBER(原始输入与口径!AG123),原始输入与口径!AG123,"缺失")</f>
        <v>223.7628875802794</v>
      </c>
      <c r="G123" s="15">
        <f>IF(ISNUMBER(原始输入与口径!AJ123),原始输入与口径!AJ123,"缺失")</f>
        <v>0</v>
      </c>
      <c r="H123" s="15" t="str">
        <f t="shared" si="23"/>
        <v>未模拟</v>
      </c>
      <c r="I123" s="16">
        <f>原始输入与口径!CD123</f>
        <v>35.069677634782572</v>
      </c>
      <c r="J123" s="16">
        <f>原始输入与口径!CE123</f>
        <v>37.69258319503102</v>
      </c>
      <c r="K123" s="16">
        <f>原始输入与口径!BZ123</f>
        <v>-22.87377133671642</v>
      </c>
      <c r="L123" s="16">
        <f>原始输入与口径!CK123</f>
        <v>40</v>
      </c>
      <c r="M123" s="16">
        <f>原始输入与口径!BT123</f>
        <v>24</v>
      </c>
      <c r="N123" s="16">
        <f>原始输入与口径!BJ123</f>
        <v>24</v>
      </c>
      <c r="O123" s="16">
        <f t="shared" si="24"/>
        <v>2.8432457142857142</v>
      </c>
      <c r="P123" s="16">
        <f t="shared" si="25"/>
        <v>0</v>
      </c>
      <c r="Q123" s="17">
        <f t="shared" si="26"/>
        <v>-885.32931958760901</v>
      </c>
      <c r="R123" s="17">
        <f t="shared" si="27"/>
        <v>662.24534522516342</v>
      </c>
      <c r="S123" s="17">
        <f t="shared" si="28"/>
        <v>42.764850494540049</v>
      </c>
      <c r="T123" s="17">
        <f t="shared" si="29"/>
        <v>30.461380138356873</v>
      </c>
      <c r="U123" s="17">
        <f t="shared" si="30"/>
        <v>636.21287112882544</v>
      </c>
      <c r="V123" s="17">
        <f t="shared" si="31"/>
        <v>0</v>
      </c>
      <c r="W123" s="17">
        <f t="shared" si="32"/>
        <v>486.35512739927674</v>
      </c>
      <c r="X123" s="12">
        <f>原始输入与口径!CP123</f>
        <v>486.3551273992768</v>
      </c>
      <c r="Y123" s="19">
        <f t="shared" si="33"/>
        <v>0</v>
      </c>
      <c r="Z123" s="12" t="str">
        <f t="shared" si="45"/>
        <v>次日冻结计划复原</v>
      </c>
      <c r="AA123" s="12">
        <f>IF(原始输入与口径!AW123,1,0)</f>
        <v>1</v>
      </c>
      <c r="AB123" s="12">
        <f>IF(原始输入与口径!AY123,1,0)</f>
        <v>1</v>
      </c>
      <c r="AC123" s="12">
        <f>原始输入与口径!$F$5</f>
        <v>0.25</v>
      </c>
      <c r="AD123" s="18">
        <f>原始输入与口径!CG123</f>
        <v>0.3125</v>
      </c>
      <c r="AE123" s="18">
        <f>原始输入与口径!BQ123</f>
        <v>0.13714285714285715</v>
      </c>
      <c r="AF123" s="18">
        <f t="shared" si="35"/>
        <v>0.47387428571428569</v>
      </c>
      <c r="AG123" s="18">
        <f t="shared" si="36"/>
        <v>0</v>
      </c>
      <c r="AH123" s="12">
        <f>IF(ISNUMBER(原始输入与口径!T123),原始输入与口径!T123,"缺失")</f>
        <v>175</v>
      </c>
      <c r="AI123" s="12">
        <f>IF(ISNUMBER(原始输入与口径!Y123),原始输入与口径!Y123,"缺失")</f>
        <v>175</v>
      </c>
      <c r="AJ123" s="12">
        <f>IF(ISNUMBER(原始输入与口径!AI123),原始输入与口径!AI123,"缺失")</f>
        <v>20.731999999999999</v>
      </c>
      <c r="AK123" s="12">
        <f>IF(ISNUMBER(原始输入与口径!AL123),原始输入与口径!AL123,"缺失")</f>
        <v>0</v>
      </c>
      <c r="AL123" s="12">
        <f>IF(ISNUMBER(原始输入与口径!O123),原始输入与口径!O123,"缺失")</f>
        <v>128</v>
      </c>
      <c r="AM123" s="12">
        <f>SUMIFS(相位SOC复算!$N$9:$N$929,相位SOC复算!$S$9:$S$929,115)</f>
        <v>8.0915414163973479E-3</v>
      </c>
      <c r="AN123" s="12">
        <f>SUMIFS(相位SOC复算!$Q$9:$Q$929,相位SOC复算!$S$9:$S$929,115)</f>
        <v>3.0086198207345061</v>
      </c>
      <c r="AO123" s="12">
        <f>SUMIFS(相位SOC复算!$R$9:$R$929,相位SOC复算!$S$9:$S$929,115)</f>
        <v>0.13342270084111535</v>
      </c>
      <c r="AP123" s="12">
        <f>相位SOC复算!J283</f>
        <v>37.692583195031034</v>
      </c>
      <c r="AQ123" s="19">
        <f t="shared" si="37"/>
        <v>0</v>
      </c>
      <c r="AR123" s="12">
        <f>IF(ISBLANK(原始输入与口径!M123),"",原始输入与口径!M123)</f>
        <v>5.2473000000000001</v>
      </c>
      <c r="AS123" s="14">
        <f>IF(ISBLANK(原始输入与口径!L123),"",原始输入与口径!L123)</f>
        <v>46234</v>
      </c>
      <c r="AT123" s="13">
        <f>IF(ISBLANK(原始输入与口径!A123),"",原始输入与口径!A123)</f>
        <v>46236.0625</v>
      </c>
      <c r="AU123" s="12" t="str">
        <f>IF(ISBLANK(原始输入与口径!I123),"",原始输入与口径!I123)</f>
        <v>2026-08-02_15</v>
      </c>
      <c r="AV123" s="12">
        <f>IF(ISBLANK(原始输入与口径!J123),"",原始输入与口径!J123)</f>
        <v>15</v>
      </c>
      <c r="AW123" s="12" t="str">
        <f>IF(ISBLANK(原始输入与口径!BB123),"",原始输入与口径!BB123)</f>
        <v>OK</v>
      </c>
      <c r="AX123" s="12">
        <f>原始输入与口径!CI123</f>
        <v>128</v>
      </c>
      <c r="AY123" s="12">
        <f>原始输入与口径!BS123</f>
        <v>175</v>
      </c>
      <c r="AZ123" s="12">
        <f>原始输入与口径!BI123</f>
        <v>175</v>
      </c>
      <c r="BA123" s="12">
        <f>原始输入与口径!CM123</f>
        <v>40</v>
      </c>
      <c r="BB123" s="12">
        <f>原始输入与口径!BV123</f>
        <v>24</v>
      </c>
      <c r="BC123" s="12">
        <f>原始输入与口径!BL123</f>
        <v>24</v>
      </c>
      <c r="BD123" s="14">
        <f>46235</f>
        <v>46235</v>
      </c>
      <c r="BE123" s="1" t="str">
        <f t="shared" si="38"/>
        <v>-22.873771 MW × 154.820000 × 0.250000 h = -885.329320 EUR</v>
      </c>
      <c r="BF123" s="1" t="str">
        <f t="shared" si="39"/>
        <v>40.000000 MW × 66.224535 × 0.250000 h = 662.245345 EUR</v>
      </c>
      <c r="BG123" s="1" t="str">
        <f t="shared" si="40"/>
        <v>24.000000 MW × 7.127475 × 0.250000 h = 42.764850 EUR</v>
      </c>
      <c r="BH123" s="1" t="str">
        <f t="shared" si="41"/>
        <v>24.000000 MW × 5.076897 × 0.250000 h = 30.461380 EUR</v>
      </c>
      <c r="BI123" s="1" t="str">
        <f t="shared" si="42"/>
        <v>2.843246 MWh × 223.762888 = 636.212871 EUR</v>
      </c>
      <c r="BJ123" s="1" t="str">
        <f t="shared" si="43"/>
        <v>零下调激活电量</v>
      </c>
      <c r="BK123" s="1" t="str">
        <f t="shared" si="44"/>
        <v>-885.329320 + 662.245345 + 42.764850 + 30.461380 + 636.212871 + 0.000000 = 486.355127 EUR</v>
      </c>
    </row>
    <row r="124" spans="1:63" ht="21" customHeight="1" x14ac:dyDescent="0.45">
      <c r="A124" s="13">
        <f>原始输入与口径!C124</f>
        <v>46236.197916666664</v>
      </c>
      <c r="B124" s="15">
        <f>IF(ISNUMBER(原始输入与口径!H124),原始输入与口径!H124,"缺失")</f>
        <v>154.78</v>
      </c>
      <c r="C124" s="15">
        <f>IF(ISNUMBER(原始输入与口径!R124),原始输入与口径!R124,"缺失")</f>
        <v>66.224534522516336</v>
      </c>
      <c r="D124" s="15">
        <f>IF(ISNUMBER(原始输入与口径!W124),原始输入与口径!W124,"缺失")</f>
        <v>7.1274750824233415</v>
      </c>
      <c r="E124" s="15">
        <f>IF(ISNUMBER(原始输入与口径!AB124),原始输入与口径!AB124,"缺失")</f>
        <v>5.0768966897261452</v>
      </c>
      <c r="F124" s="15">
        <f>IF(ISNUMBER(原始输入与口径!AG124),原始输入与口径!AG124,"缺失")</f>
        <v>190.96849808472928</v>
      </c>
      <c r="G124" s="15">
        <f>IF(ISNUMBER(原始输入与口径!AJ124),原始输入与口径!AJ124,"缺失")</f>
        <v>0</v>
      </c>
      <c r="H124" s="15" t="str">
        <f t="shared" si="23"/>
        <v>未模拟</v>
      </c>
      <c r="I124" s="16">
        <f>原始输入与口径!CD124</f>
        <v>37.69258319503102</v>
      </c>
      <c r="J124" s="16">
        <f>原始输入与口径!CE124</f>
        <v>35.589527294409905</v>
      </c>
      <c r="K124" s="16">
        <f>原始输入与口径!BZ124</f>
        <v>0</v>
      </c>
      <c r="L124" s="16">
        <f>原始输入与口径!CK124</f>
        <v>40</v>
      </c>
      <c r="M124" s="16">
        <f>原始输入与口径!BT124</f>
        <v>24</v>
      </c>
      <c r="N124" s="16">
        <f>原始输入与口径!BJ124</f>
        <v>24</v>
      </c>
      <c r="O124" s="16">
        <f t="shared" si="24"/>
        <v>1.9348114285714286</v>
      </c>
      <c r="P124" s="16">
        <f t="shared" si="25"/>
        <v>0</v>
      </c>
      <c r="Q124" s="17">
        <f t="shared" si="26"/>
        <v>0</v>
      </c>
      <c r="R124" s="17">
        <f t="shared" si="27"/>
        <v>662.24534522516342</v>
      </c>
      <c r="S124" s="17">
        <f t="shared" si="28"/>
        <v>42.764850494540049</v>
      </c>
      <c r="T124" s="17">
        <f t="shared" si="29"/>
        <v>30.461380138356873</v>
      </c>
      <c r="U124" s="17">
        <f t="shared" si="30"/>
        <v>369.48803259145518</v>
      </c>
      <c r="V124" s="17">
        <f t="shared" si="31"/>
        <v>0</v>
      </c>
      <c r="W124" s="17">
        <f t="shared" si="32"/>
        <v>1104.9596084495156</v>
      </c>
      <c r="X124" s="12">
        <f>原始输入与口径!CP124</f>
        <v>1104.9596084495156</v>
      </c>
      <c r="Y124" s="19">
        <f t="shared" si="33"/>
        <v>0</v>
      </c>
      <c r="Z124" s="12" t="str">
        <f t="shared" si="45"/>
        <v>次日冻结计划复原</v>
      </c>
      <c r="AA124" s="12">
        <f>IF(原始输入与口径!AW124,1,0)</f>
        <v>1</v>
      </c>
      <c r="AB124" s="12">
        <f>IF(原始输入与口径!AY124,1,0)</f>
        <v>1</v>
      </c>
      <c r="AC124" s="12">
        <f>原始输入与口径!$F$5</f>
        <v>0.25</v>
      </c>
      <c r="AD124" s="18">
        <f>原始输入与口径!CG124</f>
        <v>0.3125</v>
      </c>
      <c r="AE124" s="18">
        <f>原始输入与口径!BQ124</f>
        <v>0.13714285714285715</v>
      </c>
      <c r="AF124" s="18">
        <f t="shared" si="35"/>
        <v>0.32246857142857144</v>
      </c>
      <c r="AG124" s="18">
        <f t="shared" si="36"/>
        <v>0</v>
      </c>
      <c r="AH124" s="12">
        <f>IF(ISNUMBER(原始输入与口径!T124),原始输入与口径!T124,"缺失")</f>
        <v>175</v>
      </c>
      <c r="AI124" s="12">
        <f>IF(ISNUMBER(原始输入与口径!Y124),原始输入与口径!Y124,"缺失")</f>
        <v>175</v>
      </c>
      <c r="AJ124" s="12">
        <f>IF(ISNUMBER(原始输入与口径!AI124),原始输入与口径!AI124,"缺失")</f>
        <v>14.108000000000001</v>
      </c>
      <c r="AK124" s="12">
        <f>IF(ISNUMBER(原始输入与口径!AL124),原始输入与口径!AL124,"缺失")</f>
        <v>0</v>
      </c>
      <c r="AL124" s="12">
        <f>IF(ISNUMBER(原始输入与口径!O124),原始输入与口径!O124,"缺失")</f>
        <v>128</v>
      </c>
      <c r="AM124" s="12">
        <f>SUMIFS(相位SOC复算!$N$9:$N$929,相位SOC复算!$S$9:$S$929,116)</f>
        <v>5.8418219461697724E-3</v>
      </c>
      <c r="AN124" s="12">
        <f>SUMIFS(相位SOC复算!$Q$9:$Q$929,相位SOC复算!$S$9:$S$929,116)</f>
        <v>0</v>
      </c>
      <c r="AO124" s="12">
        <f>SUMIFS(相位SOC复算!$R$9:$R$929,相位SOC复算!$S$9:$S$929,116)</f>
        <v>1.9348114285714286</v>
      </c>
      <c r="AP124" s="12">
        <f>相位SOC复算!J285</f>
        <v>35.589527294409919</v>
      </c>
      <c r="AQ124" s="19">
        <f t="shared" si="37"/>
        <v>0</v>
      </c>
      <c r="AR124" s="12">
        <f>IF(ISBLANK(原始输入与口径!M124),"",原始输入与口径!M124)</f>
        <v>5.2473000000000001</v>
      </c>
      <c r="AS124" s="14">
        <f>IF(ISBLANK(原始输入与口径!L124),"",原始输入与口径!L124)</f>
        <v>46234</v>
      </c>
      <c r="AT124" s="13">
        <f>IF(ISBLANK(原始输入与口径!A124),"",原始输入与口径!A124)</f>
        <v>46236.072916666664</v>
      </c>
      <c r="AU124" s="12" t="str">
        <f>IF(ISBLANK(原始输入与口径!I124),"",原始输入与口径!I124)</f>
        <v>2026-08-02_16</v>
      </c>
      <c r="AV124" s="12">
        <f>IF(ISBLANK(原始输入与口径!J124),"",原始输入与口径!J124)</f>
        <v>15</v>
      </c>
      <c r="AW124" s="12" t="str">
        <f>IF(ISBLANK(原始输入与口径!BB124),"",原始输入与口径!BB124)</f>
        <v>OK</v>
      </c>
      <c r="AX124" s="12">
        <f>原始输入与口径!CI124</f>
        <v>128</v>
      </c>
      <c r="AY124" s="12">
        <f>原始输入与口径!BS124</f>
        <v>175</v>
      </c>
      <c r="AZ124" s="12">
        <f>原始输入与口径!BI124</f>
        <v>175</v>
      </c>
      <c r="BA124" s="12">
        <f>原始输入与口径!CM124</f>
        <v>40</v>
      </c>
      <c r="BB124" s="12">
        <f>原始输入与口径!BV124</f>
        <v>24</v>
      </c>
      <c r="BC124" s="12">
        <f>原始输入与口径!BL124</f>
        <v>24</v>
      </c>
      <c r="BD124" s="14">
        <f>46235</f>
        <v>46235</v>
      </c>
      <c r="BE124" s="1" t="str">
        <f t="shared" si="38"/>
        <v>零头寸，无结算现金</v>
      </c>
      <c r="BF124" s="1" t="str">
        <f t="shared" si="39"/>
        <v>40.000000 MW × 66.224535 × 0.250000 h = 662.245345 EUR</v>
      </c>
      <c r="BG124" s="1" t="str">
        <f t="shared" si="40"/>
        <v>24.000000 MW × 7.127475 × 0.250000 h = 42.764850 EUR</v>
      </c>
      <c r="BH124" s="1" t="str">
        <f t="shared" si="41"/>
        <v>24.000000 MW × 5.076897 × 0.250000 h = 30.461380 EUR</v>
      </c>
      <c r="BI124" s="1" t="str">
        <f t="shared" si="42"/>
        <v>1.934811 MWh × 190.968498 = 369.488033 EUR</v>
      </c>
      <c r="BJ124" s="1" t="str">
        <f t="shared" si="43"/>
        <v>零下调激活电量</v>
      </c>
      <c r="BK124" s="1" t="str">
        <f t="shared" si="44"/>
        <v>0.000000 + 662.245345 + 42.764850 + 30.461380 + 369.488033 + 0.000000 = 1104.959608 EUR</v>
      </c>
    </row>
    <row r="125" spans="1:63" ht="21" customHeight="1" x14ac:dyDescent="0.45">
      <c r="A125" s="13">
        <f>原始输入与口径!C125</f>
        <v>46236.208333333336</v>
      </c>
      <c r="B125" s="15">
        <f>IF(ISNUMBER(原始输入与口径!H125),原始输入与口径!H125,"缺失")</f>
        <v>157.47</v>
      </c>
      <c r="C125" s="15">
        <f>IF(ISNUMBER(原始输入与口径!R125),原始输入与口径!R125,"缺失")</f>
        <v>66.224534522516336</v>
      </c>
      <c r="D125" s="15">
        <f>IF(ISNUMBER(原始输入与口径!W125),原始输入与口径!W125,"缺失")</f>
        <v>7.1274750824233415</v>
      </c>
      <c r="E125" s="15">
        <f>IF(ISNUMBER(原始输入与口径!AB125),原始输入与口径!AB125,"缺失")</f>
        <v>5.0730852057248494</v>
      </c>
      <c r="F125" s="15">
        <f>IF(ISNUMBER(原始输入与口径!AG125),原始输入与口径!AG125,"缺失")</f>
        <v>188.99853257865951</v>
      </c>
      <c r="G125" s="15">
        <f>IF(ISNUMBER(原始输入与口径!AJ125),原始输入与口径!AJ125,"缺失")</f>
        <v>0</v>
      </c>
      <c r="H125" s="15" t="str">
        <f t="shared" si="23"/>
        <v>未模拟</v>
      </c>
      <c r="I125" s="16">
        <f>原始输入与口径!CD125</f>
        <v>35.589527294409905</v>
      </c>
      <c r="J125" s="16">
        <f>原始输入与口径!CE125</f>
        <v>34.505204313043443</v>
      </c>
      <c r="K125" s="16">
        <f>原始输入与口径!BZ125</f>
        <v>0</v>
      </c>
      <c r="L125" s="16">
        <f>原始输入与口径!CK125</f>
        <v>40</v>
      </c>
      <c r="M125" s="16">
        <f>原始输入与口径!BT125</f>
        <v>24</v>
      </c>
      <c r="N125" s="16">
        <f>原始输入与口径!BJ125</f>
        <v>24</v>
      </c>
      <c r="O125" s="16">
        <f t="shared" si="24"/>
        <v>0.99757714285714294</v>
      </c>
      <c r="P125" s="16">
        <f t="shared" si="25"/>
        <v>0</v>
      </c>
      <c r="Q125" s="17">
        <f t="shared" si="26"/>
        <v>0</v>
      </c>
      <c r="R125" s="17">
        <f t="shared" si="27"/>
        <v>662.24534522516342</v>
      </c>
      <c r="S125" s="17">
        <f t="shared" si="28"/>
        <v>42.764850494540049</v>
      </c>
      <c r="T125" s="17">
        <f t="shared" si="29"/>
        <v>30.438511234349097</v>
      </c>
      <c r="U125" s="17">
        <f t="shared" si="30"/>
        <v>188.5406161340118</v>
      </c>
      <c r="V125" s="17">
        <f t="shared" si="31"/>
        <v>0</v>
      </c>
      <c r="W125" s="17">
        <f t="shared" si="32"/>
        <v>923.98932308806434</v>
      </c>
      <c r="X125" s="12">
        <f>原始输入与口径!CP125</f>
        <v>923.98932308806434</v>
      </c>
      <c r="Y125" s="19">
        <f t="shared" si="33"/>
        <v>0</v>
      </c>
      <c r="Z125" s="12" t="str">
        <f t="shared" si="45"/>
        <v>次日冻结计划复原</v>
      </c>
      <c r="AA125" s="12">
        <f>IF(原始输入与口径!AW125,1,0)</f>
        <v>1</v>
      </c>
      <c r="AB125" s="12">
        <f>IF(原始输入与口径!AY125,1,0)</f>
        <v>1</v>
      </c>
      <c r="AC125" s="12">
        <f>原始输入与口径!$F$5</f>
        <v>0.25</v>
      </c>
      <c r="AD125" s="18">
        <f>原始输入与口径!CG125</f>
        <v>0.3125</v>
      </c>
      <c r="AE125" s="18">
        <f>原始输入与口径!BQ125</f>
        <v>0.13714285714285715</v>
      </c>
      <c r="AF125" s="18">
        <f t="shared" si="35"/>
        <v>0.16626285714285716</v>
      </c>
      <c r="AG125" s="18">
        <f t="shared" si="36"/>
        <v>0</v>
      </c>
      <c r="AH125" s="12">
        <f>IF(ISNUMBER(原始输入与口径!T125),原始输入与口径!T125,"缺失")</f>
        <v>175</v>
      </c>
      <c r="AI125" s="12">
        <f>IF(ISNUMBER(原始输入与口径!Y125),原始输入与口径!Y125,"缺失")</f>
        <v>175</v>
      </c>
      <c r="AJ125" s="12">
        <f>IF(ISNUMBER(原始输入与口径!AI125),原始输入与口径!AI125,"缺失")</f>
        <v>7.274</v>
      </c>
      <c r="AK125" s="12">
        <f>IF(ISNUMBER(原始输入与口径!AL125),原始输入与口径!AL125,"缺失")</f>
        <v>0</v>
      </c>
      <c r="AL125" s="12">
        <f>IF(ISNUMBER(原始输入与口径!O125),原始输入与口径!O125,"缺失")</f>
        <v>128</v>
      </c>
      <c r="AM125" s="12">
        <f>SUMIFS(相位SOC复算!$N$9:$N$929,相位SOC复算!$S$9:$S$929,117)</f>
        <v>3.0120082815734989E-3</v>
      </c>
      <c r="AN125" s="12">
        <f>SUMIFS(相位SOC复算!$Q$9:$Q$929,相位SOC复算!$S$9:$S$929,117)</f>
        <v>0</v>
      </c>
      <c r="AO125" s="12">
        <f>SUMIFS(相位SOC复算!$R$9:$R$929,相位SOC复算!$S$9:$S$929,117)</f>
        <v>0.99757714285714294</v>
      </c>
      <c r="AP125" s="12">
        <f>相位SOC复算!J287</f>
        <v>34.505204313043457</v>
      </c>
      <c r="AQ125" s="19">
        <f t="shared" si="37"/>
        <v>0</v>
      </c>
      <c r="AR125" s="12">
        <f>IF(ISBLANK(原始输入与口径!M125),"",原始输入与口径!M125)</f>
        <v>5.2473000000000001</v>
      </c>
      <c r="AS125" s="14">
        <f>IF(ISBLANK(原始输入与口径!L125),"",原始输入与口径!L125)</f>
        <v>46234</v>
      </c>
      <c r="AT125" s="13">
        <f>IF(ISBLANK(原始输入与口径!A125),"",原始输入与口径!A125)</f>
        <v>46236.083333333336</v>
      </c>
      <c r="AU125" s="12" t="str">
        <f>IF(ISBLANK(原始输入与口径!I125),"",原始输入与口径!I125)</f>
        <v>2026-08-02_17</v>
      </c>
      <c r="AV125" s="12">
        <f>IF(ISBLANK(原始输入与口径!J125),"",原始输入与口径!J125)</f>
        <v>15</v>
      </c>
      <c r="AW125" s="12" t="str">
        <f>IF(ISBLANK(原始输入与口径!BB125),"",原始输入与口径!BB125)</f>
        <v>OK</v>
      </c>
      <c r="AX125" s="12">
        <f>原始输入与口径!CI125</f>
        <v>128</v>
      </c>
      <c r="AY125" s="12">
        <f>原始输入与口径!BS125</f>
        <v>175</v>
      </c>
      <c r="AZ125" s="12">
        <f>原始输入与口径!BI125</f>
        <v>175</v>
      </c>
      <c r="BA125" s="12">
        <f>原始输入与口径!CM125</f>
        <v>40</v>
      </c>
      <c r="BB125" s="12">
        <f>原始输入与口径!BV125</f>
        <v>24</v>
      </c>
      <c r="BC125" s="12">
        <f>原始输入与口径!BL125</f>
        <v>24</v>
      </c>
      <c r="BD125" s="14">
        <f>46235</f>
        <v>46235</v>
      </c>
      <c r="BE125" s="1" t="str">
        <f t="shared" si="38"/>
        <v>零头寸，无结算现金</v>
      </c>
      <c r="BF125" s="1" t="str">
        <f t="shared" si="39"/>
        <v>40.000000 MW × 66.224535 × 0.250000 h = 662.245345 EUR</v>
      </c>
      <c r="BG125" s="1" t="str">
        <f t="shared" si="40"/>
        <v>24.000000 MW × 7.127475 × 0.250000 h = 42.764850 EUR</v>
      </c>
      <c r="BH125" s="1" t="str">
        <f t="shared" si="41"/>
        <v>24.000000 MW × 5.073085 × 0.250000 h = 30.438511 EUR</v>
      </c>
      <c r="BI125" s="1" t="str">
        <f t="shared" si="42"/>
        <v>0.997577 MWh × 188.998533 = 188.540616 EUR</v>
      </c>
      <c r="BJ125" s="1" t="str">
        <f t="shared" si="43"/>
        <v>零下调激活电量</v>
      </c>
      <c r="BK125" s="1" t="str">
        <f t="shared" si="44"/>
        <v>0.000000 + 662.245345 + 42.764850 + 30.438511 + 188.540616 + 0.000000 = 923.989323 EUR</v>
      </c>
    </row>
    <row r="126" spans="1:63" ht="21" customHeight="1" x14ac:dyDescent="0.45">
      <c r="A126" s="13">
        <f>原始输入与口径!C126</f>
        <v>46236.21875</v>
      </c>
      <c r="B126" s="15">
        <f>IF(ISNUMBER(原始输入与口径!H126),原始输入与口径!H126,"缺失")</f>
        <v>153.84</v>
      </c>
      <c r="C126" s="15">
        <f>IF(ISNUMBER(原始输入与口径!R126),原始输入与口径!R126,"缺失")</f>
        <v>66.224534522516336</v>
      </c>
      <c r="D126" s="15">
        <f>IF(ISNUMBER(原始输入与口径!W126),原始输入与口径!W126,"缺失")</f>
        <v>7.1274750824233415</v>
      </c>
      <c r="E126" s="15">
        <f>IF(ISNUMBER(原始输入与口径!AB126),原始输入与口径!AB126,"缺失")</f>
        <v>5.0730852057248494</v>
      </c>
      <c r="F126" s="15">
        <f>IF(ISNUMBER(原始输入与口径!AG126),原始输入与口径!AG126,"缺失")</f>
        <v>179.4326606064071</v>
      </c>
      <c r="G126" s="15">
        <f>IF(ISNUMBER(原始输入与口径!AJ126),原始输入与口径!AJ126,"缺失")</f>
        <v>0</v>
      </c>
      <c r="H126" s="15" t="str">
        <f t="shared" si="23"/>
        <v>未模拟</v>
      </c>
      <c r="I126" s="16">
        <f>原始输入与口径!CD126</f>
        <v>34.505204313043443</v>
      </c>
      <c r="J126" s="16">
        <f>原始输入与口径!CE126</f>
        <v>33.670868909316738</v>
      </c>
      <c r="K126" s="16">
        <f>原始输入与口径!BZ126</f>
        <v>0</v>
      </c>
      <c r="L126" s="16">
        <f>原始输入与口径!CK126</f>
        <v>40</v>
      </c>
      <c r="M126" s="16">
        <f>原始输入与口径!BT126</f>
        <v>24</v>
      </c>
      <c r="N126" s="16">
        <f>原始输入与口径!BJ126</f>
        <v>24</v>
      </c>
      <c r="O126" s="16">
        <f t="shared" si="24"/>
        <v>0.76758857142857151</v>
      </c>
      <c r="P126" s="16">
        <f t="shared" si="25"/>
        <v>0</v>
      </c>
      <c r="Q126" s="17">
        <f t="shared" si="26"/>
        <v>0</v>
      </c>
      <c r="R126" s="17">
        <f t="shared" si="27"/>
        <v>662.24534522516342</v>
      </c>
      <c r="S126" s="17">
        <f t="shared" si="28"/>
        <v>42.764850494540049</v>
      </c>
      <c r="T126" s="17">
        <f t="shared" si="29"/>
        <v>30.438511234349097</v>
      </c>
      <c r="U126" s="17">
        <f t="shared" si="30"/>
        <v>137.73045962249975</v>
      </c>
      <c r="V126" s="17">
        <f t="shared" si="31"/>
        <v>0</v>
      </c>
      <c r="W126" s="17">
        <f t="shared" si="32"/>
        <v>873.17916657655235</v>
      </c>
      <c r="X126" s="12">
        <f>原始输入与口径!CP126</f>
        <v>873.17916657655235</v>
      </c>
      <c r="Y126" s="19">
        <f t="shared" si="33"/>
        <v>0</v>
      </c>
      <c r="Z126" s="12" t="str">
        <f t="shared" si="45"/>
        <v>次日冻结计划复原</v>
      </c>
      <c r="AA126" s="12">
        <f>IF(原始输入与口径!AW126,1,0)</f>
        <v>1</v>
      </c>
      <c r="AB126" s="12">
        <f>IF(原始输入与口径!AY126,1,0)</f>
        <v>1</v>
      </c>
      <c r="AC126" s="12">
        <f>原始输入与口径!$F$5</f>
        <v>0.25</v>
      </c>
      <c r="AD126" s="18">
        <f>原始输入与口径!CG126</f>
        <v>0.3125</v>
      </c>
      <c r="AE126" s="18">
        <f>原始输入与口径!BQ126</f>
        <v>0.13714285714285715</v>
      </c>
      <c r="AF126" s="18">
        <f t="shared" si="35"/>
        <v>0.12793142857142858</v>
      </c>
      <c r="AG126" s="18">
        <f t="shared" si="36"/>
        <v>0</v>
      </c>
      <c r="AH126" s="12">
        <f>IF(ISNUMBER(原始输入与口径!T126),原始输入与口径!T126,"缺失")</f>
        <v>175</v>
      </c>
      <c r="AI126" s="12">
        <f>IF(ISNUMBER(原始输入与口径!Y126),原始输入与口径!Y126,"缺失")</f>
        <v>175</v>
      </c>
      <c r="AJ126" s="12">
        <f>IF(ISNUMBER(原始输入与口径!AI126),原始输入与口径!AI126,"缺失")</f>
        <v>5.5970000000000004</v>
      </c>
      <c r="AK126" s="12">
        <f>IF(ISNUMBER(原始输入与口径!AL126),原始输入与口径!AL126,"缺失")</f>
        <v>0</v>
      </c>
      <c r="AL126" s="12">
        <f>IF(ISNUMBER(原始输入与口径!O126),原始输入与口径!O126,"缺失")</f>
        <v>128</v>
      </c>
      <c r="AM126" s="12">
        <f>SUMIFS(相位SOC复算!$N$9:$N$929,相位SOC复算!$S$9:$S$929,118)</f>
        <v>2.3175983436853004E-3</v>
      </c>
      <c r="AN126" s="12">
        <f>SUMIFS(相位SOC复算!$Q$9:$Q$929,相位SOC复算!$S$9:$S$929,118)</f>
        <v>0</v>
      </c>
      <c r="AO126" s="12">
        <f>SUMIFS(相位SOC复算!$R$9:$R$929,相位SOC复算!$S$9:$S$929,118)</f>
        <v>0.76758857142857151</v>
      </c>
      <c r="AP126" s="12">
        <f>相位SOC复算!J289</f>
        <v>33.670868909316752</v>
      </c>
      <c r="AQ126" s="19">
        <f t="shared" si="37"/>
        <v>0</v>
      </c>
      <c r="AR126" s="12">
        <f>IF(ISBLANK(原始输入与口径!M126),"",原始输入与口径!M126)</f>
        <v>5.2473000000000001</v>
      </c>
      <c r="AS126" s="14">
        <f>IF(ISBLANK(原始输入与口径!L126),"",原始输入与口径!L126)</f>
        <v>46234</v>
      </c>
      <c r="AT126" s="13">
        <f>IF(ISBLANK(原始输入与口径!A126),"",原始输入与口径!A126)</f>
        <v>46236.09375</v>
      </c>
      <c r="AU126" s="12" t="str">
        <f>IF(ISBLANK(原始输入与口径!I126),"",原始输入与口径!I126)</f>
        <v>2026-08-02_18</v>
      </c>
      <c r="AV126" s="12">
        <f>IF(ISBLANK(原始输入与口径!J126),"",原始输入与口径!J126)</f>
        <v>15</v>
      </c>
      <c r="AW126" s="12" t="str">
        <f>IF(ISBLANK(原始输入与口径!BB126),"",原始输入与口径!BB126)</f>
        <v>OK</v>
      </c>
      <c r="AX126" s="12">
        <f>原始输入与口径!CI126</f>
        <v>128</v>
      </c>
      <c r="AY126" s="12">
        <f>原始输入与口径!BS126</f>
        <v>175</v>
      </c>
      <c r="AZ126" s="12">
        <f>原始输入与口径!BI126</f>
        <v>175</v>
      </c>
      <c r="BA126" s="12">
        <f>原始输入与口径!CM126</f>
        <v>40</v>
      </c>
      <c r="BB126" s="12">
        <f>原始输入与口径!BV126</f>
        <v>24</v>
      </c>
      <c r="BC126" s="12">
        <f>原始输入与口径!BL126</f>
        <v>24</v>
      </c>
      <c r="BD126" s="14">
        <f>46235</f>
        <v>46235</v>
      </c>
      <c r="BE126" s="1" t="str">
        <f t="shared" si="38"/>
        <v>零头寸，无结算现金</v>
      </c>
      <c r="BF126" s="1" t="str">
        <f t="shared" si="39"/>
        <v>40.000000 MW × 66.224535 × 0.250000 h = 662.245345 EUR</v>
      </c>
      <c r="BG126" s="1" t="str">
        <f t="shared" si="40"/>
        <v>24.000000 MW × 7.127475 × 0.250000 h = 42.764850 EUR</v>
      </c>
      <c r="BH126" s="1" t="str">
        <f t="shared" si="41"/>
        <v>24.000000 MW × 5.073085 × 0.250000 h = 30.438511 EUR</v>
      </c>
      <c r="BI126" s="1" t="str">
        <f t="shared" si="42"/>
        <v>0.767589 MWh × 179.432661 = 137.730460 EUR</v>
      </c>
      <c r="BJ126" s="1" t="str">
        <f t="shared" si="43"/>
        <v>零下调激活电量</v>
      </c>
      <c r="BK126" s="1" t="str">
        <f t="shared" si="44"/>
        <v>0.000000 + 662.245345 + 42.764850 + 30.438511 + 137.730460 + 0.000000 = 873.179167 EUR</v>
      </c>
    </row>
    <row r="127" spans="1:63" ht="21" customHeight="1" x14ac:dyDescent="0.45">
      <c r="A127" s="13">
        <f>原始输入与口径!C127</f>
        <v>46236.229166666664</v>
      </c>
      <c r="B127" s="15">
        <f>IF(ISNUMBER(原始输入与口径!H127),原始输入与口径!H127,"缺失")</f>
        <v>154.19</v>
      </c>
      <c r="C127" s="15">
        <f>IF(ISNUMBER(原始输入与口径!R127),原始输入与口径!R127,"缺失")</f>
        <v>66.224534522516336</v>
      </c>
      <c r="D127" s="15">
        <f>IF(ISNUMBER(原始输入与口径!W127),原始输入与口径!W127,"缺失")</f>
        <v>7.1274750824233415</v>
      </c>
      <c r="E127" s="15">
        <f>IF(ISNUMBER(原始输入与口径!AB127),原始输入与口径!AB127,"缺失")</f>
        <v>5.0730852057248494</v>
      </c>
      <c r="F127" s="15">
        <f>IF(ISNUMBER(原始输入与口径!AG127),原始输入与口径!AG127,"缺失")</f>
        <v>174.57816400815656</v>
      </c>
      <c r="G127" s="15">
        <f>IF(ISNUMBER(原始输入与口径!AJ127),原始输入与口径!AJ127,"缺失")</f>
        <v>0</v>
      </c>
      <c r="H127" s="15" t="str">
        <f t="shared" si="23"/>
        <v>未模拟</v>
      </c>
      <c r="I127" s="16">
        <f>原始输入与口径!CD127</f>
        <v>33.670868909316738</v>
      </c>
      <c r="J127" s="16">
        <f>原始输入与口径!CE127</f>
        <v>33.196980710558975</v>
      </c>
      <c r="K127" s="16">
        <f>原始输入与口径!BZ127</f>
        <v>0</v>
      </c>
      <c r="L127" s="16">
        <f>原始输入与口径!CK127</f>
        <v>40</v>
      </c>
      <c r="M127" s="16">
        <f>原始输入与口径!BT127</f>
        <v>24</v>
      </c>
      <c r="N127" s="16">
        <f>原始输入与口径!BJ127</f>
        <v>24</v>
      </c>
      <c r="O127" s="16">
        <f t="shared" si="24"/>
        <v>0.43597714285714284</v>
      </c>
      <c r="P127" s="16">
        <f t="shared" si="25"/>
        <v>0</v>
      </c>
      <c r="Q127" s="17">
        <f t="shared" si="26"/>
        <v>0</v>
      </c>
      <c r="R127" s="17">
        <f t="shared" si="27"/>
        <v>662.24534522516342</v>
      </c>
      <c r="S127" s="17">
        <f t="shared" si="28"/>
        <v>42.764850494540049</v>
      </c>
      <c r="T127" s="17">
        <f t="shared" si="29"/>
        <v>30.438511234349097</v>
      </c>
      <c r="U127" s="17">
        <f t="shared" si="30"/>
        <v>76.112089149521793</v>
      </c>
      <c r="V127" s="17">
        <f t="shared" si="31"/>
        <v>0</v>
      </c>
      <c r="W127" s="17">
        <f t="shared" si="32"/>
        <v>811.56079610357438</v>
      </c>
      <c r="X127" s="12">
        <f>原始输入与口径!CP127</f>
        <v>811.56079610357438</v>
      </c>
      <c r="Y127" s="19">
        <f t="shared" si="33"/>
        <v>0</v>
      </c>
      <c r="Z127" s="12" t="str">
        <f t="shared" si="45"/>
        <v>次日冻结计划复原</v>
      </c>
      <c r="AA127" s="12">
        <f>IF(原始输入与口径!AW127,1,0)</f>
        <v>1</v>
      </c>
      <c r="AB127" s="12">
        <f>IF(原始输入与口径!AY127,1,0)</f>
        <v>1</v>
      </c>
      <c r="AC127" s="12">
        <f>原始输入与口径!$F$5</f>
        <v>0.25</v>
      </c>
      <c r="AD127" s="18">
        <f>原始输入与口径!CG127</f>
        <v>0.3125</v>
      </c>
      <c r="AE127" s="18">
        <f>原始输入与口径!BQ127</f>
        <v>0.13714285714285715</v>
      </c>
      <c r="AF127" s="18">
        <f t="shared" si="35"/>
        <v>7.266285714285714E-2</v>
      </c>
      <c r="AG127" s="18">
        <f t="shared" si="36"/>
        <v>0</v>
      </c>
      <c r="AH127" s="12">
        <f>IF(ISNUMBER(原始输入与口径!T127),原始输入与口径!T127,"缺失")</f>
        <v>175</v>
      </c>
      <c r="AI127" s="12">
        <f>IF(ISNUMBER(原始输入与口径!Y127),原始输入与口径!Y127,"缺失")</f>
        <v>175</v>
      </c>
      <c r="AJ127" s="12">
        <f>IF(ISNUMBER(原始输入与口径!AI127),原始输入与口径!AI127,"缺失")</f>
        <v>3.1789999999999998</v>
      </c>
      <c r="AK127" s="12">
        <f>IF(ISNUMBER(原始输入与口径!AL127),原始输入与口径!AL127,"缺失")</f>
        <v>0</v>
      </c>
      <c r="AL127" s="12">
        <f>IF(ISNUMBER(原始输入与口径!O127),原始输入与口径!O127,"缺失")</f>
        <v>128</v>
      </c>
      <c r="AM127" s="12">
        <f>SUMIFS(相位SOC复算!$N$9:$N$929,相位SOC复算!$S$9:$S$929,119)</f>
        <v>1.3163561076604555E-3</v>
      </c>
      <c r="AN127" s="12">
        <f>SUMIFS(相位SOC复算!$Q$9:$Q$929,相位SOC复算!$S$9:$S$929,119)</f>
        <v>0</v>
      </c>
      <c r="AO127" s="12">
        <f>SUMIFS(相位SOC复算!$R$9:$R$929,相位SOC复算!$S$9:$S$929,119)</f>
        <v>0.43597714285714284</v>
      </c>
      <c r="AP127" s="12">
        <f>相位SOC复算!J291</f>
        <v>33.196980710558989</v>
      </c>
      <c r="AQ127" s="19">
        <f t="shared" si="37"/>
        <v>0</v>
      </c>
      <c r="AR127" s="12">
        <f>IF(ISBLANK(原始输入与口径!M127),"",原始输入与口径!M127)</f>
        <v>5.2473000000000001</v>
      </c>
      <c r="AS127" s="14">
        <f>IF(ISBLANK(原始输入与口径!L127),"",原始输入与口径!L127)</f>
        <v>46234</v>
      </c>
      <c r="AT127" s="13">
        <f>IF(ISBLANK(原始输入与口径!A127),"",原始输入与口径!A127)</f>
        <v>46236.104166666664</v>
      </c>
      <c r="AU127" s="12" t="str">
        <f>IF(ISBLANK(原始输入与口径!I127),"",原始输入与口径!I127)</f>
        <v>2026-08-02_19</v>
      </c>
      <c r="AV127" s="12">
        <f>IF(ISBLANK(原始输入与口径!J127),"",原始输入与口径!J127)</f>
        <v>15</v>
      </c>
      <c r="AW127" s="12" t="str">
        <f>IF(ISBLANK(原始输入与口径!BB127),"",原始输入与口径!BB127)</f>
        <v>OK</v>
      </c>
      <c r="AX127" s="12">
        <f>原始输入与口径!CI127</f>
        <v>128</v>
      </c>
      <c r="AY127" s="12">
        <f>原始输入与口径!BS127</f>
        <v>175</v>
      </c>
      <c r="AZ127" s="12">
        <f>原始输入与口径!BI127</f>
        <v>175</v>
      </c>
      <c r="BA127" s="12">
        <f>原始输入与口径!CM127</f>
        <v>40</v>
      </c>
      <c r="BB127" s="12">
        <f>原始输入与口径!BV127</f>
        <v>24</v>
      </c>
      <c r="BC127" s="12">
        <f>原始输入与口径!BL127</f>
        <v>24</v>
      </c>
      <c r="BD127" s="14">
        <f>46235</f>
        <v>46235</v>
      </c>
      <c r="BE127" s="1" t="str">
        <f t="shared" si="38"/>
        <v>零头寸，无结算现金</v>
      </c>
      <c r="BF127" s="1" t="str">
        <f t="shared" si="39"/>
        <v>40.000000 MW × 66.224535 × 0.250000 h = 662.245345 EUR</v>
      </c>
      <c r="BG127" s="1" t="str">
        <f t="shared" si="40"/>
        <v>24.000000 MW × 7.127475 × 0.250000 h = 42.764850 EUR</v>
      </c>
      <c r="BH127" s="1" t="str">
        <f t="shared" si="41"/>
        <v>24.000000 MW × 5.073085 × 0.250000 h = 30.438511 EUR</v>
      </c>
      <c r="BI127" s="1" t="str">
        <f t="shared" si="42"/>
        <v>0.435977 MWh × 174.578164 = 76.112089 EUR</v>
      </c>
      <c r="BJ127" s="1" t="str">
        <f t="shared" si="43"/>
        <v>零下调激活电量</v>
      </c>
      <c r="BK127" s="1" t="str">
        <f t="shared" si="44"/>
        <v>0.000000 + 662.245345 + 42.764850 + 30.438511 + 76.112089 + 0.000000 = 811.560796 EUR</v>
      </c>
    </row>
    <row r="128" spans="1:63" ht="21" customHeight="1" x14ac:dyDescent="0.45">
      <c r="A128" s="13">
        <f>原始输入与口径!C128</f>
        <v>46236.239583333336</v>
      </c>
      <c r="B128" s="15">
        <f>IF(ISNUMBER(原始输入与口径!H128),原始输入与口径!H128,"缺失")</f>
        <v>153.26</v>
      </c>
      <c r="C128" s="15">
        <f>IF(ISNUMBER(原始输入与口径!R128),原始输入与口径!R128,"缺失")</f>
        <v>66.224534522516336</v>
      </c>
      <c r="D128" s="15">
        <f>IF(ISNUMBER(原始输入与口径!W128),原始输入与口径!W128,"缺失")</f>
        <v>7.1274750824233415</v>
      </c>
      <c r="E128" s="15">
        <f>IF(ISNUMBER(原始输入与口径!AB128),原始输入与口径!AB128,"缺失")</f>
        <v>5.0730852057248494</v>
      </c>
      <c r="F128" s="15">
        <f>IF(ISNUMBER(原始输入与口径!AG128),原始输入与口径!AG128,"缺失")</f>
        <v>169.63790901987687</v>
      </c>
      <c r="G128" s="15">
        <f>IF(ISNUMBER(原始输入与口径!AJ128),原始输入与口径!AJ128,"缺失")</f>
        <v>77.182551026242066</v>
      </c>
      <c r="H128" s="15" t="str">
        <f t="shared" si="23"/>
        <v>未模拟</v>
      </c>
      <c r="I128" s="16">
        <f>原始输入与口径!CD128</f>
        <v>33.196980710558975</v>
      </c>
      <c r="J128" s="16">
        <f>原始输入与口径!CE128</f>
        <v>33.028351284472024</v>
      </c>
      <c r="K128" s="16">
        <f>原始输入与口径!BZ128</f>
        <v>0</v>
      </c>
      <c r="L128" s="16">
        <f>原始输入与口径!CK128</f>
        <v>40</v>
      </c>
      <c r="M128" s="16">
        <f>原始输入与口径!BT128</f>
        <v>24</v>
      </c>
      <c r="N128" s="16">
        <f>原始输入与口径!BJ128</f>
        <v>24</v>
      </c>
      <c r="O128" s="16">
        <f t="shared" si="24"/>
        <v>0.15908571428571427</v>
      </c>
      <c r="P128" s="16">
        <f t="shared" si="25"/>
        <v>4.6628571428571431E-3</v>
      </c>
      <c r="Q128" s="17">
        <f t="shared" si="26"/>
        <v>0</v>
      </c>
      <c r="R128" s="17">
        <f t="shared" si="27"/>
        <v>662.24534522516342</v>
      </c>
      <c r="S128" s="17">
        <f t="shared" si="28"/>
        <v>42.764850494540049</v>
      </c>
      <c r="T128" s="17">
        <f t="shared" si="29"/>
        <v>30.438511234349097</v>
      </c>
      <c r="U128" s="17">
        <f t="shared" si="30"/>
        <v>26.986967926362123</v>
      </c>
      <c r="V128" s="17">
        <f t="shared" si="31"/>
        <v>-0.35989120935664876</v>
      </c>
      <c r="W128" s="17">
        <f t="shared" si="32"/>
        <v>762.07578367105805</v>
      </c>
      <c r="X128" s="12">
        <f>原始输入与口径!CP128</f>
        <v>762.07578367105805</v>
      </c>
      <c r="Y128" s="19">
        <f t="shared" si="33"/>
        <v>0</v>
      </c>
      <c r="Z128" s="12" t="str">
        <f t="shared" si="45"/>
        <v>次日冻结计划复原</v>
      </c>
      <c r="AA128" s="12">
        <f>IF(原始输入与口径!AW128,1,0)</f>
        <v>1</v>
      </c>
      <c r="AB128" s="12">
        <f>IF(原始输入与口径!AY128,1,0)</f>
        <v>1</v>
      </c>
      <c r="AC128" s="12">
        <f>原始输入与口径!$F$5</f>
        <v>0.25</v>
      </c>
      <c r="AD128" s="18">
        <f>原始输入与口径!CG128</f>
        <v>0.3125</v>
      </c>
      <c r="AE128" s="18">
        <f>原始输入与口径!BQ128</f>
        <v>0.13714285714285715</v>
      </c>
      <c r="AF128" s="18">
        <f t="shared" si="35"/>
        <v>2.6514285714285712E-2</v>
      </c>
      <c r="AG128" s="18">
        <f t="shared" si="36"/>
        <v>7.7714285714285721E-4</v>
      </c>
      <c r="AH128" s="12">
        <f>IF(ISNUMBER(原始输入与口径!T128),原始输入与口径!T128,"缺失")</f>
        <v>175</v>
      </c>
      <c r="AI128" s="12">
        <f>IF(ISNUMBER(原始输入与口径!Y128),原始输入与口径!Y128,"缺失")</f>
        <v>175</v>
      </c>
      <c r="AJ128" s="12">
        <f>IF(ISNUMBER(原始输入与口径!AI128),原始输入与口径!AI128,"缺失")</f>
        <v>1.1599999999999999</v>
      </c>
      <c r="AK128" s="12">
        <f>IF(ISNUMBER(原始输入与口径!AL128),原始输入与口径!AL128,"缺失")</f>
        <v>3.4000000000000002E-2</v>
      </c>
      <c r="AL128" s="12">
        <f>IF(ISNUMBER(原始输入与口径!O128),原始输入与口径!O128,"缺失")</f>
        <v>128</v>
      </c>
      <c r="AM128" s="12">
        <f>SUMIFS(相位SOC复算!$N$9:$N$929,相位SOC复算!$S$9:$S$929,120)</f>
        <v>4.9224745341614894E-4</v>
      </c>
      <c r="AN128" s="12">
        <f>SUMIFS(相位SOC复算!$Q$9:$Q$929,相位SOC复算!$S$9:$S$929,120)</f>
        <v>4.6628571428571431E-3</v>
      </c>
      <c r="AO128" s="12">
        <f>SUMIFS(相位SOC复算!$R$9:$R$929,相位SOC复算!$S$9:$S$929,120)</f>
        <v>0.15908571428571427</v>
      </c>
      <c r="AP128" s="12">
        <f>相位SOC复算!J294</f>
        <v>33.028351284472038</v>
      </c>
      <c r="AQ128" s="19">
        <f t="shared" si="37"/>
        <v>0</v>
      </c>
      <c r="AR128" s="12">
        <f>IF(ISBLANK(原始输入与口径!M128),"",原始输入与口径!M128)</f>
        <v>5.2473000000000001</v>
      </c>
      <c r="AS128" s="14">
        <f>IF(ISBLANK(原始输入与口径!L128),"",原始输入与口径!L128)</f>
        <v>46234</v>
      </c>
      <c r="AT128" s="13">
        <f>IF(ISBLANK(原始输入与口径!A128),"",原始输入与口径!A128)</f>
        <v>46236.114583333336</v>
      </c>
      <c r="AU128" s="12" t="str">
        <f>IF(ISBLANK(原始输入与口径!I128),"",原始输入与口径!I128)</f>
        <v>2026-08-02_20</v>
      </c>
      <c r="AV128" s="12">
        <f>IF(ISBLANK(原始输入与口径!J128),"",原始输入与口径!J128)</f>
        <v>15</v>
      </c>
      <c r="AW128" s="12" t="str">
        <f>IF(ISBLANK(原始输入与口径!BB128),"",原始输入与口径!BB128)</f>
        <v>OK</v>
      </c>
      <c r="AX128" s="12">
        <f>原始输入与口径!CI128</f>
        <v>128</v>
      </c>
      <c r="AY128" s="12">
        <f>原始输入与口径!BS128</f>
        <v>175</v>
      </c>
      <c r="AZ128" s="12">
        <f>原始输入与口径!BI128</f>
        <v>175</v>
      </c>
      <c r="BA128" s="12">
        <f>原始输入与口径!CM128</f>
        <v>40</v>
      </c>
      <c r="BB128" s="12">
        <f>原始输入与口径!BV128</f>
        <v>24</v>
      </c>
      <c r="BC128" s="12">
        <f>原始输入与口径!BL128</f>
        <v>24</v>
      </c>
      <c r="BD128" s="14">
        <f>46235</f>
        <v>46235</v>
      </c>
      <c r="BE128" s="1" t="str">
        <f t="shared" si="38"/>
        <v>零头寸，无结算现金</v>
      </c>
      <c r="BF128" s="1" t="str">
        <f t="shared" si="39"/>
        <v>40.000000 MW × 66.224535 × 0.250000 h = 662.245345 EUR</v>
      </c>
      <c r="BG128" s="1" t="str">
        <f t="shared" si="40"/>
        <v>24.000000 MW × 7.127475 × 0.250000 h = 42.764850 EUR</v>
      </c>
      <c r="BH128" s="1" t="str">
        <f t="shared" si="41"/>
        <v>24.000000 MW × 5.073085 × 0.250000 h = 30.438511 EUR</v>
      </c>
      <c r="BI128" s="1" t="str">
        <f t="shared" si="42"/>
        <v>0.159086 MWh × 169.637909 = 26.986968 EUR</v>
      </c>
      <c r="BJ128" s="1" t="str">
        <f t="shared" si="43"/>
        <v>−(0.004663 MWh × 77.182551) = -0.359891 EUR</v>
      </c>
      <c r="BK128" s="1" t="str">
        <f t="shared" si="44"/>
        <v>0.000000 + 662.245345 + 42.764850 + 30.438511 + 26.986968 + -0.359891 = 762.075784 EUR</v>
      </c>
    </row>
    <row r="129" spans="1:63" ht="21" customHeight="1" x14ac:dyDescent="0.45">
      <c r="A129" s="13">
        <f>原始输入与口径!C129</f>
        <v>46236.25</v>
      </c>
      <c r="B129" s="15">
        <f>IF(ISNUMBER(原始输入与口径!H129),原始输入与口径!H129,"缺失")</f>
        <v>160.44</v>
      </c>
      <c r="C129" s="15">
        <f>IF(ISNUMBER(原始输入与口径!R129),原始输入与口径!R129,"缺失")</f>
        <v>66.224534522516336</v>
      </c>
      <c r="D129" s="15">
        <f>IF(ISNUMBER(原始输入与口径!W129),原始输入与口径!W129,"缺失")</f>
        <v>7.0626798544013116</v>
      </c>
      <c r="E129" s="15">
        <f>IF(ISNUMBER(原始输入与口径!AB129),原始输入与口径!AB129,"缺失")</f>
        <v>2.8376498389648011</v>
      </c>
      <c r="F129" s="15">
        <f>IF(ISNUMBER(原始输入与口径!AG129),原始输入与口径!AG129,"缺失")</f>
        <v>171.11314390257846</v>
      </c>
      <c r="G129" s="15">
        <f>IF(ISNUMBER(原始输入与口径!AJ129),原始输入与口径!AJ129,"缺失")</f>
        <v>77.182551026242066</v>
      </c>
      <c r="H129" s="15" t="str">
        <f t="shared" si="23"/>
        <v>未模拟</v>
      </c>
      <c r="I129" s="16">
        <f>原始输入与口径!CD129</f>
        <v>33.028351284472024</v>
      </c>
      <c r="J129" s="16">
        <f>原始输入与口径!CE129</f>
        <v>32.683902091925439</v>
      </c>
      <c r="K129" s="16">
        <f>原始输入与口径!BZ129</f>
        <v>0</v>
      </c>
      <c r="L129" s="16">
        <f>原始输入与口径!CK129</f>
        <v>40</v>
      </c>
      <c r="M129" s="16">
        <f>原始输入与口径!BT129</f>
        <v>24</v>
      </c>
      <c r="N129" s="16">
        <f>原始输入与口径!BJ129</f>
        <v>24</v>
      </c>
      <c r="O129" s="16">
        <f t="shared" si="24"/>
        <v>0.3226971428571429</v>
      </c>
      <c r="P129" s="16">
        <f t="shared" si="25"/>
        <v>6.8571428571428577E-3</v>
      </c>
      <c r="Q129" s="17">
        <f t="shared" si="26"/>
        <v>0</v>
      </c>
      <c r="R129" s="17">
        <f t="shared" si="27"/>
        <v>662.24534522516342</v>
      </c>
      <c r="S129" s="17">
        <f t="shared" si="28"/>
        <v>42.376079126407873</v>
      </c>
      <c r="T129" s="17">
        <f t="shared" si="29"/>
        <v>17.025899033788807</v>
      </c>
      <c r="U129" s="17">
        <f t="shared" si="30"/>
        <v>55.217722642665208</v>
      </c>
      <c r="V129" s="17">
        <f t="shared" si="31"/>
        <v>-0.52925177846565996</v>
      </c>
      <c r="W129" s="17">
        <f t="shared" si="32"/>
        <v>776.33579424955963</v>
      </c>
      <c r="X129" s="12">
        <f>原始输入与口径!CP129</f>
        <v>776.33579424955963</v>
      </c>
      <c r="Y129" s="19">
        <f t="shared" si="33"/>
        <v>0</v>
      </c>
      <c r="Z129" s="12" t="str">
        <f t="shared" si="45"/>
        <v>次日冻结计划复原</v>
      </c>
      <c r="AA129" s="12">
        <f>IF(原始输入与口径!AW129,1,0)</f>
        <v>1</v>
      </c>
      <c r="AB129" s="12">
        <f>IF(原始输入与口径!AY129,1,0)</f>
        <v>1</v>
      </c>
      <c r="AC129" s="12">
        <f>原始输入与口径!$F$5</f>
        <v>0.25</v>
      </c>
      <c r="AD129" s="18">
        <f>原始输入与口径!CG129</f>
        <v>0.3125</v>
      </c>
      <c r="AE129" s="18">
        <f>原始输入与口径!BQ129</f>
        <v>0.13714285714285715</v>
      </c>
      <c r="AF129" s="18">
        <f t="shared" si="35"/>
        <v>5.3782857142857146E-2</v>
      </c>
      <c r="AG129" s="18">
        <f t="shared" si="36"/>
        <v>1.1428571428571429E-3</v>
      </c>
      <c r="AH129" s="12">
        <f>IF(ISNUMBER(原始输入与口径!T129),原始输入与口径!T129,"缺失")</f>
        <v>175</v>
      </c>
      <c r="AI129" s="12">
        <f>IF(ISNUMBER(原始输入与口径!Y129),原始输入与口径!Y129,"缺失")</f>
        <v>175</v>
      </c>
      <c r="AJ129" s="12">
        <f>IF(ISNUMBER(原始输入与口径!AI129),原始输入与口径!AI129,"缺失")</f>
        <v>2.3530000000000002</v>
      </c>
      <c r="AK129" s="12">
        <f>IF(ISNUMBER(原始输入与口径!AL129),原始输入与口径!AL129,"缺失")</f>
        <v>0.05</v>
      </c>
      <c r="AL129" s="12">
        <f>IF(ISNUMBER(原始输入与口径!O129),原始输入与口径!O129,"缺失")</f>
        <v>128</v>
      </c>
      <c r="AM129" s="12">
        <f>SUMIFS(相位SOC复算!$N$9:$N$929,相位SOC复算!$S$9:$S$929,121)</f>
        <v>9.918509316770188E-4</v>
      </c>
      <c r="AN129" s="12">
        <f>SUMIFS(相位SOC复算!$Q$9:$Q$929,相位SOC复算!$S$9:$S$929,121)</f>
        <v>6.8571428571428577E-3</v>
      </c>
      <c r="AO129" s="12">
        <f>SUMIFS(相位SOC复算!$R$9:$R$929,相位SOC复算!$S$9:$S$929,121)</f>
        <v>0.3226971428571429</v>
      </c>
      <c r="AP129" s="12">
        <f>相位SOC复算!J297</f>
        <v>32.683902091925454</v>
      </c>
      <c r="AQ129" s="19">
        <f t="shared" si="37"/>
        <v>0</v>
      </c>
      <c r="AR129" s="12">
        <f>IF(ISBLANK(原始输入与口径!M129),"",原始输入与口径!M129)</f>
        <v>5.2473000000000001</v>
      </c>
      <c r="AS129" s="14">
        <f>IF(ISBLANK(原始输入与口径!L129),"",原始输入与口径!L129)</f>
        <v>46234</v>
      </c>
      <c r="AT129" s="13">
        <f>IF(ISBLANK(原始输入与口径!A129),"",原始输入与口径!A129)</f>
        <v>46236.125</v>
      </c>
      <c r="AU129" s="12" t="str">
        <f>IF(ISBLANK(原始输入与口径!I129),"",原始输入与口径!I129)</f>
        <v>2026-08-02_21</v>
      </c>
      <c r="AV129" s="12">
        <f>IF(ISBLANK(原始输入与口径!J129),"",原始输入与口径!J129)</f>
        <v>15</v>
      </c>
      <c r="AW129" s="12" t="str">
        <f>IF(ISBLANK(原始输入与口径!BB129),"",原始输入与口径!BB129)</f>
        <v>OK</v>
      </c>
      <c r="AX129" s="12">
        <f>原始输入与口径!CI129</f>
        <v>128</v>
      </c>
      <c r="AY129" s="12">
        <f>原始输入与口径!BS129</f>
        <v>175</v>
      </c>
      <c r="AZ129" s="12">
        <f>原始输入与口径!BI129</f>
        <v>175</v>
      </c>
      <c r="BA129" s="12">
        <f>原始输入与口径!CM129</f>
        <v>40</v>
      </c>
      <c r="BB129" s="12">
        <f>原始输入与口径!BV129</f>
        <v>24</v>
      </c>
      <c r="BC129" s="12">
        <f>原始输入与口径!BL129</f>
        <v>24</v>
      </c>
      <c r="BD129" s="14">
        <f>46235</f>
        <v>46235</v>
      </c>
      <c r="BE129" s="1" t="str">
        <f t="shared" si="38"/>
        <v>零头寸，无结算现金</v>
      </c>
      <c r="BF129" s="1" t="str">
        <f t="shared" si="39"/>
        <v>40.000000 MW × 66.224535 × 0.250000 h = 662.245345 EUR</v>
      </c>
      <c r="BG129" s="1" t="str">
        <f t="shared" si="40"/>
        <v>24.000000 MW × 7.062680 × 0.250000 h = 42.376079 EUR</v>
      </c>
      <c r="BH129" s="1" t="str">
        <f t="shared" si="41"/>
        <v>24.000000 MW × 2.837650 × 0.250000 h = 17.025899 EUR</v>
      </c>
      <c r="BI129" s="1" t="str">
        <f t="shared" si="42"/>
        <v>0.322697 MWh × 171.113144 = 55.217723 EUR</v>
      </c>
      <c r="BJ129" s="1" t="str">
        <f t="shared" si="43"/>
        <v>−(0.006857 MWh × 77.182551) = -0.529252 EUR</v>
      </c>
      <c r="BK129" s="1" t="str">
        <f t="shared" si="44"/>
        <v>0.000000 + 662.245345 + 42.376079 + 17.025899 + 55.217723 + -0.529252 = 776.335794 EUR</v>
      </c>
    </row>
    <row r="130" spans="1:63" ht="21" customHeight="1" x14ac:dyDescent="0.45">
      <c r="A130" s="13">
        <f>原始输入与口径!C130</f>
        <v>46236.260416666664</v>
      </c>
      <c r="B130" s="15">
        <f>IF(ISNUMBER(原始输入与口径!H130),原始输入与口径!H130,"缺失")</f>
        <v>163.34</v>
      </c>
      <c r="C130" s="15">
        <f>IF(ISNUMBER(原始输入与口径!R130),原始输入与口径!R130,"缺失")</f>
        <v>66.224534522516336</v>
      </c>
      <c r="D130" s="15">
        <f>IF(ISNUMBER(原始输入与口径!W130),原始输入与口径!W130,"缺失")</f>
        <v>7.0626798544013116</v>
      </c>
      <c r="E130" s="15">
        <f>IF(ISNUMBER(原始输入与口径!AB130),原始输入与口径!AB130,"缺失")</f>
        <v>2.8376498389648011</v>
      </c>
      <c r="F130" s="15">
        <f>IF(ISNUMBER(原始输入与口径!AG130),原始输入与口径!AG130,"缺失")</f>
        <v>171.09866026337355</v>
      </c>
      <c r="G130" s="15">
        <f>IF(ISNUMBER(原始输入与口径!AJ130),原始输入与口径!AJ130,"缺失")</f>
        <v>0</v>
      </c>
      <c r="H130" s="15" t="str">
        <f t="shared" si="23"/>
        <v>未模拟</v>
      </c>
      <c r="I130" s="16">
        <f>原始输入与口径!CD130</f>
        <v>32.683902091925439</v>
      </c>
      <c r="J130" s="16">
        <f>原始输入与口径!CE130</f>
        <v>32.258461098136621</v>
      </c>
      <c r="K130" s="16">
        <f>原始输入与口径!BZ130</f>
        <v>0</v>
      </c>
      <c r="L130" s="16">
        <f>原始输入与口径!CK130</f>
        <v>40</v>
      </c>
      <c r="M130" s="16">
        <f>原始输入与口径!BT130</f>
        <v>24</v>
      </c>
      <c r="N130" s="16">
        <f>原始输入与口径!BJ130</f>
        <v>24</v>
      </c>
      <c r="O130" s="16">
        <f t="shared" si="24"/>
        <v>0.3914057142857143</v>
      </c>
      <c r="P130" s="16">
        <f t="shared" si="25"/>
        <v>0</v>
      </c>
      <c r="Q130" s="17">
        <f t="shared" si="26"/>
        <v>0</v>
      </c>
      <c r="R130" s="17">
        <f t="shared" si="27"/>
        <v>662.24534522516342</v>
      </c>
      <c r="S130" s="17">
        <f t="shared" si="28"/>
        <v>42.376079126407873</v>
      </c>
      <c r="T130" s="17">
        <f t="shared" si="29"/>
        <v>17.025899033788807</v>
      </c>
      <c r="U130" s="17">
        <f t="shared" si="30"/>
        <v>66.968993333714479</v>
      </c>
      <c r="V130" s="17">
        <f t="shared" si="31"/>
        <v>0</v>
      </c>
      <c r="W130" s="17">
        <f t="shared" si="32"/>
        <v>788.61631671907458</v>
      </c>
      <c r="X130" s="12">
        <f>原始输入与口径!CP130</f>
        <v>788.61631671907458</v>
      </c>
      <c r="Y130" s="19">
        <f t="shared" si="33"/>
        <v>0</v>
      </c>
      <c r="Z130" s="12" t="str">
        <f t="shared" si="45"/>
        <v>次日冻结计划复原</v>
      </c>
      <c r="AA130" s="12">
        <f>IF(原始输入与口径!AW130,1,0)</f>
        <v>1</v>
      </c>
      <c r="AB130" s="12">
        <f>IF(原始输入与口径!AY130,1,0)</f>
        <v>1</v>
      </c>
      <c r="AC130" s="12">
        <f>原始输入与口径!$F$5</f>
        <v>0.25</v>
      </c>
      <c r="AD130" s="18">
        <f>原始输入与口径!CG130</f>
        <v>0.3125</v>
      </c>
      <c r="AE130" s="18">
        <f>原始输入与口径!BQ130</f>
        <v>0.13714285714285715</v>
      </c>
      <c r="AF130" s="18">
        <f t="shared" si="35"/>
        <v>6.5234285714285717E-2</v>
      </c>
      <c r="AG130" s="18">
        <f t="shared" si="36"/>
        <v>0</v>
      </c>
      <c r="AH130" s="12">
        <f>IF(ISNUMBER(原始输入与口径!T130),原始输入与口径!T130,"缺失")</f>
        <v>175</v>
      </c>
      <c r="AI130" s="12">
        <f>IF(ISNUMBER(原始输入与口径!Y130),原始输入与口径!Y130,"缺失")</f>
        <v>175</v>
      </c>
      <c r="AJ130" s="12">
        <f>IF(ISNUMBER(原始输入与口径!AI130),原始输入与口径!AI130,"缺失")</f>
        <v>2.8540000000000001</v>
      </c>
      <c r="AK130" s="12">
        <f>IF(ISNUMBER(原始输入与口径!AL130),原始输入与口径!AL130,"缺失")</f>
        <v>0</v>
      </c>
      <c r="AL130" s="12">
        <f>IF(ISNUMBER(原始输入与口径!O130),原始输入与口径!O130,"缺失")</f>
        <v>128</v>
      </c>
      <c r="AM130" s="12">
        <f>SUMIFS(相位SOC复算!$N$9:$N$929,相位SOC复算!$S$9:$S$929,122)</f>
        <v>1.1817805383022774E-3</v>
      </c>
      <c r="AN130" s="12">
        <f>SUMIFS(相位SOC复算!$Q$9:$Q$929,相位SOC复算!$S$9:$S$929,122)</f>
        <v>0</v>
      </c>
      <c r="AO130" s="12">
        <f>SUMIFS(相位SOC复算!$R$9:$R$929,相位SOC复算!$S$9:$S$929,122)</f>
        <v>0.3914057142857143</v>
      </c>
      <c r="AP130" s="12">
        <f>相位SOC复算!J299</f>
        <v>32.258461098136635</v>
      </c>
      <c r="AQ130" s="19">
        <f t="shared" si="37"/>
        <v>0</v>
      </c>
      <c r="AR130" s="12">
        <f>IF(ISBLANK(原始输入与口径!M130),"",原始输入与口径!M130)</f>
        <v>5.2473000000000001</v>
      </c>
      <c r="AS130" s="14">
        <f>IF(ISBLANK(原始输入与口径!L130),"",原始输入与口径!L130)</f>
        <v>46234</v>
      </c>
      <c r="AT130" s="13">
        <f>IF(ISBLANK(原始输入与口径!A130),"",原始输入与口径!A130)</f>
        <v>46236.135416666664</v>
      </c>
      <c r="AU130" s="12" t="str">
        <f>IF(ISBLANK(原始输入与口径!I130),"",原始输入与口径!I130)</f>
        <v>2026-08-02_22</v>
      </c>
      <c r="AV130" s="12">
        <f>IF(ISBLANK(原始输入与口径!J130),"",原始输入与口径!J130)</f>
        <v>15</v>
      </c>
      <c r="AW130" s="12" t="str">
        <f>IF(ISBLANK(原始输入与口径!BB130),"",原始输入与口径!BB130)</f>
        <v>OK</v>
      </c>
      <c r="AX130" s="12">
        <f>原始输入与口径!CI130</f>
        <v>128</v>
      </c>
      <c r="AY130" s="12">
        <f>原始输入与口径!BS130</f>
        <v>175</v>
      </c>
      <c r="AZ130" s="12">
        <f>原始输入与口径!BI130</f>
        <v>175</v>
      </c>
      <c r="BA130" s="12">
        <f>原始输入与口径!CM130</f>
        <v>40</v>
      </c>
      <c r="BB130" s="12">
        <f>原始输入与口径!BV130</f>
        <v>24</v>
      </c>
      <c r="BC130" s="12">
        <f>原始输入与口径!BL130</f>
        <v>24</v>
      </c>
      <c r="BD130" s="14">
        <f>46235</f>
        <v>46235</v>
      </c>
      <c r="BE130" s="1" t="str">
        <f t="shared" si="38"/>
        <v>零头寸，无结算现金</v>
      </c>
      <c r="BF130" s="1" t="str">
        <f t="shared" si="39"/>
        <v>40.000000 MW × 66.224535 × 0.250000 h = 662.245345 EUR</v>
      </c>
      <c r="BG130" s="1" t="str">
        <f t="shared" si="40"/>
        <v>24.000000 MW × 7.062680 × 0.250000 h = 42.376079 EUR</v>
      </c>
      <c r="BH130" s="1" t="str">
        <f t="shared" si="41"/>
        <v>24.000000 MW × 2.837650 × 0.250000 h = 17.025899 EUR</v>
      </c>
      <c r="BI130" s="1" t="str">
        <f t="shared" si="42"/>
        <v>0.391406 MWh × 171.098660 = 66.968993 EUR</v>
      </c>
      <c r="BJ130" s="1" t="str">
        <f t="shared" si="43"/>
        <v>零下调激活电量</v>
      </c>
      <c r="BK130" s="1" t="str">
        <f t="shared" si="44"/>
        <v>0.000000 + 662.245345 + 42.376079 + 17.025899 + 66.968993 + 0.000000 = 788.616317 EUR</v>
      </c>
    </row>
    <row r="131" spans="1:63" ht="21" customHeight="1" x14ac:dyDescent="0.45">
      <c r="A131" s="13">
        <f>原始输入与口径!C131</f>
        <v>46236.270833333336</v>
      </c>
      <c r="B131" s="15">
        <f>IF(ISNUMBER(原始输入与口径!H131),原始输入与口径!H131,"缺失")</f>
        <v>161.41</v>
      </c>
      <c r="C131" s="15">
        <f>IF(ISNUMBER(原始输入与口径!R131),原始输入与口径!R131,"缺失")</f>
        <v>66.224534522516336</v>
      </c>
      <c r="D131" s="15">
        <f>IF(ISNUMBER(原始输入与口径!W131),原始输入与口径!W131,"缺失")</f>
        <v>7.0626798544013116</v>
      </c>
      <c r="E131" s="15">
        <f>IF(ISNUMBER(原始输入与口径!AB131),原始输入与口径!AB131,"缺失")</f>
        <v>2.8376498389648011</v>
      </c>
      <c r="F131" s="15">
        <f>IF(ISNUMBER(原始输入与口径!AG131),原始输入与口径!AG131,"缺失")</f>
        <v>179.47096602062012</v>
      </c>
      <c r="G131" s="15">
        <f>IF(ISNUMBER(原始输入与口径!AJ131),原始输入与口径!AJ131,"缺失")</f>
        <v>77.182551026242066</v>
      </c>
      <c r="H131" s="15" t="str">
        <f t="shared" si="23"/>
        <v>未模拟</v>
      </c>
      <c r="I131" s="16">
        <f>原始输入与口径!CD131</f>
        <v>32.258461098136621</v>
      </c>
      <c r="J131" s="16">
        <f>原始输入与口径!CE131</f>
        <v>31.739130434782581</v>
      </c>
      <c r="K131" s="16">
        <f>原始输入与口径!BZ131</f>
        <v>0</v>
      </c>
      <c r="L131" s="16">
        <f>原始输入与口径!CK131</f>
        <v>40</v>
      </c>
      <c r="M131" s="16">
        <f>原始输入与口径!BT131</f>
        <v>24</v>
      </c>
      <c r="N131" s="16">
        <f>原始输入与口径!BJ131</f>
        <v>24</v>
      </c>
      <c r="O131" s="16">
        <f t="shared" si="24"/>
        <v>0.47917714285714291</v>
      </c>
      <c r="P131" s="16">
        <f t="shared" si="25"/>
        <v>1.6457142857142855E-3</v>
      </c>
      <c r="Q131" s="17">
        <f t="shared" si="26"/>
        <v>0</v>
      </c>
      <c r="R131" s="17">
        <f t="shared" si="27"/>
        <v>662.24534522516342</v>
      </c>
      <c r="S131" s="17">
        <f t="shared" si="28"/>
        <v>42.376079126407873</v>
      </c>
      <c r="T131" s="17">
        <f t="shared" si="29"/>
        <v>17.025899033788807</v>
      </c>
      <c r="U131" s="17">
        <f t="shared" si="30"/>
        <v>85.99838472357213</v>
      </c>
      <c r="V131" s="17">
        <f t="shared" si="31"/>
        <v>-0.12702042683175835</v>
      </c>
      <c r="W131" s="17">
        <f t="shared" si="32"/>
        <v>807.51868768210045</v>
      </c>
      <c r="X131" s="12">
        <f>原始输入与口径!CP131</f>
        <v>807.51868768210045</v>
      </c>
      <c r="Y131" s="19">
        <f t="shared" si="33"/>
        <v>0</v>
      </c>
      <c r="Z131" s="12" t="str">
        <f t="shared" si="45"/>
        <v>次日冻结计划复原</v>
      </c>
      <c r="AA131" s="12">
        <f>IF(原始输入与口径!AW131,1,0)</f>
        <v>1</v>
      </c>
      <c r="AB131" s="12">
        <f>IF(原始输入与口径!AY131,1,0)</f>
        <v>1</v>
      </c>
      <c r="AC131" s="12">
        <f>原始输入与口径!$F$5</f>
        <v>0.25</v>
      </c>
      <c r="AD131" s="18">
        <f>原始输入与口径!CG131</f>
        <v>0.3125</v>
      </c>
      <c r="AE131" s="18">
        <f>原始输入与口径!BQ131</f>
        <v>0.13714285714285715</v>
      </c>
      <c r="AF131" s="18">
        <f t="shared" si="35"/>
        <v>7.9862857142857152E-2</v>
      </c>
      <c r="AG131" s="18">
        <f t="shared" si="36"/>
        <v>2.7428571428571427E-4</v>
      </c>
      <c r="AH131" s="12">
        <f>IF(ISNUMBER(原始输入与口径!T131),原始输入与口径!T131,"缺失")</f>
        <v>175</v>
      </c>
      <c r="AI131" s="12">
        <f>IF(ISNUMBER(原始输入与口径!Y131),原始输入与口径!Y131,"缺失")</f>
        <v>175</v>
      </c>
      <c r="AJ131" s="12">
        <f>IF(ISNUMBER(原始输入与口径!AI131),原始输入与口径!AI131,"缺失")</f>
        <v>3.4940000000000002</v>
      </c>
      <c r="AK131" s="12">
        <f>IF(ISNUMBER(原始输入与口径!AL131),原始输入与口径!AL131,"缺失")</f>
        <v>1.2E-2</v>
      </c>
      <c r="AL131" s="12">
        <f>IF(ISNUMBER(原始输入与口径!O131),原始输入与口径!O131,"缺失")</f>
        <v>128</v>
      </c>
      <c r="AM131" s="12">
        <f>SUMIFS(相位SOC复算!$N$9:$N$929,相位SOC复算!$S$9:$S$929,123)</f>
        <v>1.4509966045548656E-3</v>
      </c>
      <c r="AN131" s="12">
        <f>SUMIFS(相位SOC复算!$Q$9:$Q$929,相位SOC复算!$S$9:$S$929,123)</f>
        <v>1.6457142857142855E-3</v>
      </c>
      <c r="AO131" s="12">
        <f>SUMIFS(相位SOC复算!$R$9:$R$929,相位SOC复算!$S$9:$S$929,123)</f>
        <v>0.47917714285714291</v>
      </c>
      <c r="AP131" s="12">
        <f>相位SOC复算!J302</f>
        <v>31.739130434782595</v>
      </c>
      <c r="AQ131" s="19">
        <f t="shared" si="37"/>
        <v>0</v>
      </c>
      <c r="AR131" s="12">
        <f>IF(ISBLANK(原始输入与口径!M131),"",原始输入与口径!M131)</f>
        <v>5.2473000000000001</v>
      </c>
      <c r="AS131" s="14">
        <f>IF(ISBLANK(原始输入与口径!L131),"",原始输入与口径!L131)</f>
        <v>46234</v>
      </c>
      <c r="AT131" s="13">
        <f>IF(ISBLANK(原始输入与口径!A131),"",原始输入与口径!A131)</f>
        <v>46236.145833333336</v>
      </c>
      <c r="AU131" s="12" t="str">
        <f>IF(ISBLANK(原始输入与口径!I131),"",原始输入与口径!I131)</f>
        <v>2026-08-02_23</v>
      </c>
      <c r="AV131" s="12">
        <f>IF(ISBLANK(原始输入与口径!J131),"",原始输入与口径!J131)</f>
        <v>15</v>
      </c>
      <c r="AW131" s="12" t="str">
        <f>IF(ISBLANK(原始输入与口径!BB131),"",原始输入与口径!BB131)</f>
        <v>OK</v>
      </c>
      <c r="AX131" s="12">
        <f>原始输入与口径!CI131</f>
        <v>128</v>
      </c>
      <c r="AY131" s="12">
        <f>原始输入与口径!BS131</f>
        <v>175</v>
      </c>
      <c r="AZ131" s="12">
        <f>原始输入与口径!BI131</f>
        <v>175</v>
      </c>
      <c r="BA131" s="12">
        <f>原始输入与口径!CM131</f>
        <v>40</v>
      </c>
      <c r="BB131" s="12">
        <f>原始输入与口径!BV131</f>
        <v>24</v>
      </c>
      <c r="BC131" s="12">
        <f>原始输入与口径!BL131</f>
        <v>24</v>
      </c>
      <c r="BD131" s="14">
        <f>46235</f>
        <v>46235</v>
      </c>
      <c r="BE131" s="1" t="str">
        <f t="shared" si="38"/>
        <v>零头寸，无结算现金</v>
      </c>
      <c r="BF131" s="1" t="str">
        <f t="shared" si="39"/>
        <v>40.000000 MW × 66.224535 × 0.250000 h = 662.245345 EUR</v>
      </c>
      <c r="BG131" s="1" t="str">
        <f t="shared" si="40"/>
        <v>24.000000 MW × 7.062680 × 0.250000 h = 42.376079 EUR</v>
      </c>
      <c r="BH131" s="1" t="str">
        <f t="shared" si="41"/>
        <v>24.000000 MW × 2.837650 × 0.250000 h = 17.025899 EUR</v>
      </c>
      <c r="BI131" s="1" t="str">
        <f t="shared" si="42"/>
        <v>0.479177 MWh × 179.470966 = 85.998385 EUR</v>
      </c>
      <c r="BJ131" s="1" t="str">
        <f t="shared" si="43"/>
        <v>−(0.001646 MWh × 77.182551) = -0.127020 EUR</v>
      </c>
      <c r="BK131" s="1" t="str">
        <f t="shared" si="44"/>
        <v>0.000000 + 662.245345 + 42.376079 + 17.025899 + 85.998385 + -0.127020 = 807.518688 EUR</v>
      </c>
    </row>
    <row r="132" spans="1:63" ht="21" customHeight="1" x14ac:dyDescent="0.45">
      <c r="A132" s="13">
        <f>原始输入与口径!C132</f>
        <v>46236.28125</v>
      </c>
      <c r="B132" s="15">
        <f>IF(ISNUMBER(原始输入与口径!H132),原始输入与口径!H132,"缺失")</f>
        <v>159.02000000000001</v>
      </c>
      <c r="C132" s="15">
        <f>IF(ISNUMBER(原始输入与口径!R132),原始输入与口径!R132,"缺失")</f>
        <v>66.224534522516336</v>
      </c>
      <c r="D132" s="15">
        <f>IF(ISNUMBER(原始输入与口径!W132),原始输入与口径!W132,"缺失")</f>
        <v>7.0626798544013116</v>
      </c>
      <c r="E132" s="15">
        <f>IF(ISNUMBER(原始输入与口径!AB132),原始输入与口径!AB132,"缺失")</f>
        <v>2.8376498389648011</v>
      </c>
      <c r="F132" s="15">
        <f>IF(ISNUMBER(原始输入与口径!AG132),原始输入与口径!AG132,"缺失")</f>
        <v>169.81285613553635</v>
      </c>
      <c r="G132" s="15">
        <f>IF(ISNUMBER(原始输入与口径!AJ132),原始输入与口径!AJ132,"缺失")</f>
        <v>71.125150077182539</v>
      </c>
      <c r="H132" s="15" t="str">
        <f t="shared" si="23"/>
        <v>未模拟</v>
      </c>
      <c r="I132" s="16">
        <f>原始输入与口径!CD132</f>
        <v>31.739130434782581</v>
      </c>
      <c r="J132" s="16">
        <f>原始输入与口径!CE132</f>
        <v>32.171842385093136</v>
      </c>
      <c r="K132" s="16">
        <f>原始输入与口径!BZ132</f>
        <v>0</v>
      </c>
      <c r="L132" s="16">
        <f>原始输入与口径!CK132</f>
        <v>40</v>
      </c>
      <c r="M132" s="16">
        <f>原始输入与口径!BT132</f>
        <v>24</v>
      </c>
      <c r="N132" s="16">
        <f>原始输入与口径!BJ132</f>
        <v>24</v>
      </c>
      <c r="O132" s="16">
        <f t="shared" si="24"/>
        <v>7.6662857142857144E-2</v>
      </c>
      <c r="P132" s="16">
        <f t="shared" si="25"/>
        <v>0.5609142857142857</v>
      </c>
      <c r="Q132" s="17">
        <f t="shared" si="26"/>
        <v>0</v>
      </c>
      <c r="R132" s="17">
        <f>IF(L132=0,0,IF(ISNUMBER(C132),L132*C132*AC132,NA()))</f>
        <v>662.24534522516342</v>
      </c>
      <c r="S132" s="17">
        <f t="shared" si="28"/>
        <v>42.376079126407873</v>
      </c>
      <c r="T132" s="17">
        <f t="shared" si="29"/>
        <v>17.025899033788807</v>
      </c>
      <c r="U132" s="17">
        <f t="shared" si="30"/>
        <v>13.018338730939176</v>
      </c>
      <c r="V132" s="17">
        <f t="shared" si="31"/>
        <v>-39.895112751864218</v>
      </c>
      <c r="W132" s="17">
        <f t="shared" si="32"/>
        <v>694.77054936443506</v>
      </c>
      <c r="X132" s="12">
        <f>原始输入与口径!CP132</f>
        <v>694.77054936443506</v>
      </c>
      <c r="Y132" s="19">
        <f t="shared" si="33"/>
        <v>0</v>
      </c>
      <c r="Z132" s="12" t="str">
        <f t="shared" si="45"/>
        <v>次日冻结计划复原</v>
      </c>
      <c r="AA132" s="12">
        <f>IF(原始输入与口径!AW132,1,0)</f>
        <v>1</v>
      </c>
      <c r="AB132" s="12">
        <f>IF(原始输入与口径!AY132,1,0)</f>
        <v>1</v>
      </c>
      <c r="AC132" s="12">
        <f>原始输入与口径!$F$5</f>
        <v>0.25</v>
      </c>
      <c r="AD132" s="18">
        <f>原始输入与口径!CG132</f>
        <v>0.3125</v>
      </c>
      <c r="AE132" s="18">
        <f>原始输入与口径!BQ132</f>
        <v>0.13714285714285715</v>
      </c>
      <c r="AF132" s="18">
        <f t="shared" si="35"/>
        <v>1.2777142857142858E-2</v>
      </c>
      <c r="AG132" s="18">
        <f t="shared" si="36"/>
        <v>9.3485714285714283E-2</v>
      </c>
      <c r="AH132" s="12">
        <f>IF(ISNUMBER(原始输入与口径!T132),原始输入与口径!T132,"缺失")</f>
        <v>175</v>
      </c>
      <c r="AI132" s="12">
        <f>IF(ISNUMBER(原始输入与口径!Y132),原始输入与口径!Y132,"缺失")</f>
        <v>175</v>
      </c>
      <c r="AJ132" s="12">
        <f>IF(ISNUMBER(原始输入与口径!AI132),原始输入与口径!AI132,"缺失")</f>
        <v>0.55900000000000005</v>
      </c>
      <c r="AK132" s="12">
        <f>IF(ISNUMBER(原始输入与口径!AL132),原始输入与口径!AL132,"缺失")</f>
        <v>4.09</v>
      </c>
      <c r="AL132" s="12">
        <f>IF(ISNUMBER(原始输入与口径!O132),原始输入与口径!O132,"缺失")</f>
        <v>128</v>
      </c>
      <c r="AM132" s="12">
        <f>SUMIFS(相位SOC复算!$N$9:$N$929,相位SOC复算!$S$9:$S$929,124)</f>
        <v>1.6649175983436855E-3</v>
      </c>
      <c r="AN132" s="12">
        <f>SUMIFS(相位SOC复算!$Q$9:$Q$929,相位SOC复算!$S$9:$S$929,124)</f>
        <v>0.5609142857142857</v>
      </c>
      <c r="AO132" s="12">
        <f>SUMIFS(相位SOC复算!$R$9:$R$929,相位SOC复算!$S$9:$S$929,124)</f>
        <v>7.6662857142857144E-2</v>
      </c>
      <c r="AP132" s="12">
        <f>相位SOC复算!J305</f>
        <v>32.17184238509315</v>
      </c>
      <c r="AQ132" s="19">
        <f t="shared" si="37"/>
        <v>0</v>
      </c>
      <c r="AR132" s="12">
        <f>IF(ISBLANK(原始输入与口径!M132),"",原始输入与口径!M132)</f>
        <v>5.2473000000000001</v>
      </c>
      <c r="AS132" s="14">
        <f>IF(ISBLANK(原始输入与口径!L132),"",原始输入与口径!L132)</f>
        <v>46234</v>
      </c>
      <c r="AT132" s="13">
        <f>IF(ISBLANK(原始输入与口径!A132),"",原始输入与口径!A132)</f>
        <v>46236.15625</v>
      </c>
      <c r="AU132" s="12" t="str">
        <f>IF(ISBLANK(原始输入与口径!I132),"",原始输入与口径!I132)</f>
        <v>2026-08-02_24</v>
      </c>
      <c r="AV132" s="12">
        <f>IF(ISBLANK(原始输入与口径!J132),"",原始输入与口径!J132)</f>
        <v>15</v>
      </c>
      <c r="AW132" s="12" t="str">
        <f>IF(ISBLANK(原始输入与口径!BB132),"",原始输入与口径!BB132)</f>
        <v>OK</v>
      </c>
      <c r="AX132" s="12">
        <f>原始输入与口径!CI132</f>
        <v>128</v>
      </c>
      <c r="AY132" s="12">
        <f>原始输入与口径!BS132</f>
        <v>175</v>
      </c>
      <c r="AZ132" s="12">
        <f>原始输入与口径!BI132</f>
        <v>175</v>
      </c>
      <c r="BA132" s="12">
        <f>原始输入与口径!CM132</f>
        <v>40</v>
      </c>
      <c r="BB132" s="12">
        <f>原始输入与口径!BV132</f>
        <v>24</v>
      </c>
      <c r="BC132" s="12">
        <f>原始输入与口径!BL132</f>
        <v>24</v>
      </c>
      <c r="BD132" s="14">
        <f>46235</f>
        <v>46235</v>
      </c>
      <c r="BE132" s="1" t="str">
        <f t="shared" si="38"/>
        <v>零头寸，无结算现金</v>
      </c>
      <c r="BF132" s="1" t="str">
        <f t="shared" si="39"/>
        <v>40.000000 MW × 66.224535 × 0.250000 h = 662.245345 EUR</v>
      </c>
      <c r="BG132" s="1" t="str">
        <f t="shared" si="40"/>
        <v>24.000000 MW × 7.062680 × 0.250000 h = 42.376079 EUR</v>
      </c>
      <c r="BH132" s="1" t="str">
        <f t="shared" si="41"/>
        <v>24.000000 MW × 2.837650 × 0.250000 h = 17.025899 EUR</v>
      </c>
      <c r="BI132" s="1" t="str">
        <f t="shared" si="42"/>
        <v>0.076663 MWh × 169.812856 = 13.018339 EUR</v>
      </c>
      <c r="BJ132" s="1" t="str">
        <f t="shared" si="43"/>
        <v>−(0.560914 MWh × 71.125150) = -39.895113 EUR</v>
      </c>
      <c r="BK132" s="1" t="str">
        <f t="shared" si="44"/>
        <v>0.000000 + 662.245345 + 42.376079 + 17.025899 + 13.018339 + -39.895113 = 694.770549 EUR</v>
      </c>
    </row>
    <row r="133" spans="1:63" ht="21" customHeight="1" x14ac:dyDescent="0.45">
      <c r="A133" s="13">
        <f>原始输入与口径!C133</f>
        <v>46236.291666666664</v>
      </c>
      <c r="B133" s="15">
        <f>IF(ISNUMBER(原始输入与口径!H133),原始输入与口径!H133,"缺失")</f>
        <v>162.12</v>
      </c>
      <c r="C133" s="15">
        <f>IF(ISNUMBER(原始输入与口径!R133),原始输入与口径!R133,"缺失")</f>
        <v>66.224534522516336</v>
      </c>
      <c r="D133" s="15">
        <f>IF(ISNUMBER(原始输入与口径!W133),原始输入与口径!W133,"缺失")</f>
        <v>6.6910601642749601</v>
      </c>
      <c r="E133" s="15">
        <f>IF(ISNUMBER(原始输入与口径!AB133),原始输入与口径!AB133,"缺失")</f>
        <v>2.6070550568863986</v>
      </c>
      <c r="F133" s="15">
        <f>IF(ISNUMBER(原始输入与口径!AG133),原始输入与口径!AG133,"缺失")</f>
        <v>0</v>
      </c>
      <c r="G133" s="15">
        <f>IF(ISNUMBER(原始输入与口径!AJ133),原始输入与口径!AJ133,"缺失")</f>
        <v>74.818859222838412</v>
      </c>
      <c r="H133" s="15" t="str">
        <f t="shared" si="23"/>
        <v>未模拟</v>
      </c>
      <c r="I133" s="16">
        <f>原始输入与口径!CD133</f>
        <v>32.171842385093136</v>
      </c>
      <c r="J133" s="16">
        <f>原始输入与口径!CE133</f>
        <v>31.739130434782567</v>
      </c>
      <c r="K133" s="16">
        <f>原始输入与口径!BZ133</f>
        <v>3.5945352952788281</v>
      </c>
      <c r="L133" s="16">
        <f>原始输入与口径!CK133</f>
        <v>40</v>
      </c>
      <c r="M133" s="16">
        <f>原始输入与口径!BT133</f>
        <v>24</v>
      </c>
      <c r="N133" s="16">
        <f>原始输入与口径!BJ133</f>
        <v>24</v>
      </c>
      <c r="O133" s="16">
        <f t="shared" si="24"/>
        <v>0</v>
      </c>
      <c r="P133" s="16">
        <f t="shared" si="25"/>
        <v>0.5757257142857144</v>
      </c>
      <c r="Q133" s="17">
        <f t="shared" si="26"/>
        <v>145.68651551765092</v>
      </c>
      <c r="R133" s="17">
        <f t="shared" si="27"/>
        <v>662.24534522516342</v>
      </c>
      <c r="S133" s="17">
        <f t="shared" si="28"/>
        <v>40.146360985649764</v>
      </c>
      <c r="T133" s="17">
        <f t="shared" si="29"/>
        <v>15.642330341318392</v>
      </c>
      <c r="U133" s="17">
        <f t="shared" si="30"/>
        <v>0</v>
      </c>
      <c r="V133" s="17">
        <f t="shared" si="31"/>
        <v>-43.075141168110953</v>
      </c>
      <c r="W133" s="17">
        <f t="shared" si="32"/>
        <v>820.64541090167154</v>
      </c>
      <c r="X133" s="12">
        <f>原始输入与口径!CP133</f>
        <v>820.64541090167154</v>
      </c>
      <c r="Y133" s="19">
        <f t="shared" si="33"/>
        <v>0</v>
      </c>
      <c r="Z133" s="12" t="str">
        <f t="shared" si="45"/>
        <v>次日冻结计划复原</v>
      </c>
      <c r="AA133" s="12">
        <f>IF(原始输入与口径!AW133,1,0)</f>
        <v>1</v>
      </c>
      <c r="AB133" s="12">
        <f>IF(原始输入与口径!AY133,1,0)</f>
        <v>1</v>
      </c>
      <c r="AC133" s="12">
        <f>原始输入与口径!$F$5</f>
        <v>0.25</v>
      </c>
      <c r="AD133" s="18">
        <f>原始输入与口径!CG133</f>
        <v>0.3125</v>
      </c>
      <c r="AE133" s="18">
        <f>原始输入与口径!BQ133</f>
        <v>0.13714285714285715</v>
      </c>
      <c r="AF133" s="18">
        <f t="shared" si="35"/>
        <v>0</v>
      </c>
      <c r="AG133" s="18">
        <f t="shared" si="36"/>
        <v>9.5954285714285728E-2</v>
      </c>
      <c r="AH133" s="12">
        <f>IF(ISNUMBER(原始输入与口径!T133),原始输入与口径!T133,"缺失")</f>
        <v>175</v>
      </c>
      <c r="AI133" s="12">
        <f>IF(ISNUMBER(原始输入与口径!Y133),原始输入与口径!Y133,"缺失")</f>
        <v>175</v>
      </c>
      <c r="AJ133" s="12">
        <f>IF(ISNUMBER(原始输入与口径!AI133),原始输入与口径!AI133,"缺失")</f>
        <v>0</v>
      </c>
      <c r="AK133" s="12">
        <f>IF(ISNUMBER(原始输入与口径!AL133),原始输入与口径!AL133,"缺失")</f>
        <v>4.1980000000000004</v>
      </c>
      <c r="AL133" s="12">
        <f>IF(ISNUMBER(原始输入与口径!O133),原始输入与口径!O133,"缺失")</f>
        <v>128</v>
      </c>
      <c r="AM133" s="12">
        <f>SUMIFS(相位SOC复算!$N$9:$N$929,相位SOC复算!$S$9:$S$929,125)</f>
        <v>3.7038560386082687E-3</v>
      </c>
      <c r="AN133" s="12">
        <f>SUMIFS(相位SOC复算!$Q$9:$Q$929,相位SOC复算!$S$9:$S$929,125)</f>
        <v>0.48949794760239712</v>
      </c>
      <c r="AO133" s="12">
        <f>SUMIFS(相位SOC复算!$R$9:$R$929,相位SOC复算!$S$9:$S$929,125)</f>
        <v>0.81240605713638969</v>
      </c>
      <c r="AP133" s="12">
        <f>相位SOC复算!J307</f>
        <v>31.739130434782581</v>
      </c>
      <c r="AQ133" s="19">
        <f t="shared" si="37"/>
        <v>0</v>
      </c>
      <c r="AR133" s="12">
        <f>IF(ISBLANK(原始输入与口径!M133),"",原始输入与口径!M133)</f>
        <v>5.2473000000000001</v>
      </c>
      <c r="AS133" s="14">
        <f>IF(ISBLANK(原始输入与口径!L133),"",原始输入与口径!L133)</f>
        <v>46234</v>
      </c>
      <c r="AT133" s="13">
        <f>IF(ISBLANK(原始输入与口径!A133),"",原始输入与口径!A133)</f>
        <v>46236.166666666664</v>
      </c>
      <c r="AU133" s="12" t="str">
        <f>IF(ISBLANK(原始输入与口径!I133),"",原始输入与口径!I133)</f>
        <v>2026-08-02_25</v>
      </c>
      <c r="AV133" s="12">
        <f>IF(ISBLANK(原始输入与口径!J133),"",原始输入与口径!J133)</f>
        <v>15</v>
      </c>
      <c r="AW133" s="12" t="str">
        <f>IF(ISBLANK(原始输入与口径!BB133),"",原始输入与口径!BB133)</f>
        <v>OK</v>
      </c>
      <c r="AX133" s="12">
        <f>原始输入与口径!CI133</f>
        <v>128</v>
      </c>
      <c r="AY133" s="12">
        <f>原始输入与口径!BS133</f>
        <v>175</v>
      </c>
      <c r="AZ133" s="12">
        <f>原始输入与口径!BI133</f>
        <v>175</v>
      </c>
      <c r="BA133" s="12">
        <f>原始输入与口径!CM133</f>
        <v>40</v>
      </c>
      <c r="BB133" s="12">
        <f>原始输入与口径!BV133</f>
        <v>24</v>
      </c>
      <c r="BC133" s="12">
        <f>原始输入与口径!BL133</f>
        <v>24</v>
      </c>
      <c r="BD133" s="14">
        <f>46235</f>
        <v>46235</v>
      </c>
      <c r="BE133" s="1" t="str">
        <f t="shared" si="38"/>
        <v>3.594535 MW × 162.120000 × 0.250000 h = 145.686516 EUR</v>
      </c>
      <c r="BF133" s="1" t="str">
        <f t="shared" si="39"/>
        <v>40.000000 MW × 66.224535 × 0.250000 h = 662.245345 EUR</v>
      </c>
      <c r="BG133" s="1" t="str">
        <f t="shared" si="40"/>
        <v>24.000000 MW × 6.691060 × 0.250000 h = 40.146361 EUR</v>
      </c>
      <c r="BH133" s="1" t="str">
        <f t="shared" si="41"/>
        <v>24.000000 MW × 2.607055 × 0.250000 h = 15.642330 EUR</v>
      </c>
      <c r="BI133" s="1" t="str">
        <f t="shared" si="42"/>
        <v>零上调激活电量</v>
      </c>
      <c r="BJ133" s="1" t="str">
        <f t="shared" si="43"/>
        <v>−(0.575726 MWh × 74.818859) = -43.075141 EUR</v>
      </c>
      <c r="BK133" s="1" t="str">
        <f t="shared" si="44"/>
        <v>145.686516 + 662.245345 + 40.146361 + 15.642330 + 0.000000 + -43.075141 = 820.645411 EUR</v>
      </c>
    </row>
    <row r="134" spans="1:63" ht="21" customHeight="1" x14ac:dyDescent="0.45">
      <c r="A134" s="13">
        <f>原始输入与口径!C134</f>
        <v>46236.302083333336</v>
      </c>
      <c r="B134" s="15">
        <f>IF(ISNUMBER(原始输入与口径!H134),原始输入与口径!H134,"缺失")</f>
        <v>154.66999999999999</v>
      </c>
      <c r="C134" s="15">
        <f>IF(ISNUMBER(原始输入与口径!R134),原始输入与口径!R134,"缺失")</f>
        <v>66.224534522516336</v>
      </c>
      <c r="D134" s="15">
        <f>IF(ISNUMBER(原始输入与口径!W134),原始输入与口径!W134,"缺失")</f>
        <v>6.6910601642749601</v>
      </c>
      <c r="E134" s="15">
        <f>IF(ISNUMBER(原始输入与口径!AB134),原始输入与口径!AB134,"缺失")</f>
        <v>2.6070550568863986</v>
      </c>
      <c r="F134" s="15">
        <f>IF(ISNUMBER(原始输入与口径!AG134),原始输入与口径!AG134,"缺失")</f>
        <v>152.45936005183617</v>
      </c>
      <c r="G134" s="15">
        <f>IF(ISNUMBER(原始输入与口径!AJ134),原始输入与口径!AJ134,"缺失")</f>
        <v>68.254912050006666</v>
      </c>
      <c r="H134" s="15" t="str">
        <f t="shared" si="23"/>
        <v>未模拟</v>
      </c>
      <c r="I134" s="16">
        <f>原始输入与口径!CD134</f>
        <v>31.739130434782567</v>
      </c>
      <c r="J134" s="16">
        <f>原始输入与口径!CE134</f>
        <v>31.739130434782567</v>
      </c>
      <c r="K134" s="16">
        <f>原始输入与口径!BZ134</f>
        <v>3.097029710678302</v>
      </c>
      <c r="L134" s="16">
        <f>原始输入与口径!CK134</f>
        <v>40</v>
      </c>
      <c r="M134" s="16">
        <f>原始输入与口径!BT134</f>
        <v>24</v>
      </c>
      <c r="N134" s="16">
        <f>原始输入与口径!BJ134</f>
        <v>24</v>
      </c>
      <c r="O134" s="16">
        <f t="shared" si="24"/>
        <v>4.1142857142857138E-4</v>
      </c>
      <c r="P134" s="16">
        <f t="shared" si="25"/>
        <v>0.89430857142857134</v>
      </c>
      <c r="Q134" s="17">
        <f t="shared" si="26"/>
        <v>119.75439633765323</v>
      </c>
      <c r="R134" s="17">
        <f t="shared" si="27"/>
        <v>662.24534522516342</v>
      </c>
      <c r="S134" s="17">
        <f t="shared" si="28"/>
        <v>40.146360985649764</v>
      </c>
      <c r="T134" s="17">
        <f t="shared" si="29"/>
        <v>15.642330341318392</v>
      </c>
      <c r="U134" s="17">
        <f t="shared" si="30"/>
        <v>6.2726136707041164E-2</v>
      </c>
      <c r="V134" s="17">
        <f t="shared" si="31"/>
        <v>-61.040952888424243</v>
      </c>
      <c r="W134" s="17">
        <f t="shared" si="32"/>
        <v>776.81020613806754</v>
      </c>
      <c r="X134" s="12">
        <f>原始输入与口径!CP134</f>
        <v>776.81020613806766</v>
      </c>
      <c r="Y134" s="19">
        <f t="shared" si="33"/>
        <v>0</v>
      </c>
      <c r="Z134" s="12" t="str">
        <f t="shared" si="45"/>
        <v>次日冻结计划复原</v>
      </c>
      <c r="AA134" s="12">
        <f>IF(原始输入与口径!AW134,1,0)</f>
        <v>1</v>
      </c>
      <c r="AB134" s="12">
        <f>IF(原始输入与口径!AY134,1,0)</f>
        <v>1</v>
      </c>
      <c r="AC134" s="12">
        <f>原始输入与口径!$F$5</f>
        <v>0.25</v>
      </c>
      <c r="AD134" s="18">
        <f>原始输入与口径!CG134</f>
        <v>0.3125</v>
      </c>
      <c r="AE134" s="18">
        <f>原始输入与口径!BQ134</f>
        <v>0.13714285714285715</v>
      </c>
      <c r="AF134" s="18">
        <f t="shared" si="35"/>
        <v>6.8571428571428567E-5</v>
      </c>
      <c r="AG134" s="18">
        <f t="shared" si="36"/>
        <v>0.14905142857142856</v>
      </c>
      <c r="AH134" s="12">
        <f>IF(ISNUMBER(原始输入与口径!T134),原始输入与口径!T134,"缺失")</f>
        <v>175</v>
      </c>
      <c r="AI134" s="12">
        <f>IF(ISNUMBER(原始输入与口径!Y134),原始输入与口径!Y134,"缺失")</f>
        <v>175</v>
      </c>
      <c r="AJ134" s="12">
        <f>IF(ISNUMBER(原始输入与口径!AI134),原始输入与口径!AI134,"缺失")</f>
        <v>3.0000000000000001E-3</v>
      </c>
      <c r="AK134" s="12">
        <f>IF(ISNUMBER(原始输入与口径!AL134),原始输入与口径!AL134,"缺失")</f>
        <v>6.5209999999999999</v>
      </c>
      <c r="AL134" s="12">
        <f>IF(ISNUMBER(原始输入与口径!O134),原始输入与口径!O134,"缺失")</f>
        <v>128</v>
      </c>
      <c r="AM134" s="12">
        <f>SUMIFS(相位SOC复算!$N$9:$N$929,相位SOC复算!$S$9:$S$929,126)</f>
        <v>3.9810669116232796E-3</v>
      </c>
      <c r="AN134" s="12">
        <f>SUMIFS(相位SOC复算!$Q$9:$Q$929,相位SOC复算!$S$9:$S$929,126)</f>
        <v>0.77890439575238157</v>
      </c>
      <c r="AO134" s="12">
        <f>SUMIFS(相位SOC复算!$R$9:$R$929,相位SOC复算!$S$9:$S$929,126)</f>
        <v>0.65926468056481435</v>
      </c>
      <c r="AP134" s="12">
        <f>相位SOC复算!J310</f>
        <v>31.739130434782581</v>
      </c>
      <c r="AQ134" s="19">
        <f t="shared" si="37"/>
        <v>0</v>
      </c>
      <c r="AR134" s="12">
        <f>IF(ISBLANK(原始输入与口径!M134),"",原始输入与口径!M134)</f>
        <v>5.2473000000000001</v>
      </c>
      <c r="AS134" s="14">
        <f>IF(ISBLANK(原始输入与口径!L134),"",原始输入与口径!L134)</f>
        <v>46234</v>
      </c>
      <c r="AT134" s="13">
        <f>IF(ISBLANK(原始输入与口径!A134),"",原始输入与口径!A134)</f>
        <v>46236.177083333336</v>
      </c>
      <c r="AU134" s="12" t="str">
        <f>IF(ISBLANK(原始输入与口径!I134),"",原始输入与口径!I134)</f>
        <v>2026-08-02_26</v>
      </c>
      <c r="AV134" s="12">
        <f>IF(ISBLANK(原始输入与口径!J134),"",原始输入与口径!J134)</f>
        <v>15</v>
      </c>
      <c r="AW134" s="12" t="str">
        <f>IF(ISBLANK(原始输入与口径!BB134),"",原始输入与口径!BB134)</f>
        <v>OK</v>
      </c>
      <c r="AX134" s="12">
        <f>原始输入与口径!CI134</f>
        <v>128</v>
      </c>
      <c r="AY134" s="12">
        <f>原始输入与口径!BS134</f>
        <v>175</v>
      </c>
      <c r="AZ134" s="12">
        <f>原始输入与口径!BI134</f>
        <v>175</v>
      </c>
      <c r="BA134" s="12">
        <f>原始输入与口径!CM134</f>
        <v>40</v>
      </c>
      <c r="BB134" s="12">
        <f>原始输入与口径!BV134</f>
        <v>24</v>
      </c>
      <c r="BC134" s="12">
        <f>原始输入与口径!BL134</f>
        <v>24</v>
      </c>
      <c r="BD134" s="14">
        <f>46235</f>
        <v>46235</v>
      </c>
      <c r="BE134" s="1" t="str">
        <f t="shared" si="38"/>
        <v>3.097030 MW × 154.670000 × 0.250000 h = 119.754396 EUR</v>
      </c>
      <c r="BF134" s="1" t="str">
        <f t="shared" si="39"/>
        <v>40.000000 MW × 66.224535 × 0.250000 h = 662.245345 EUR</v>
      </c>
      <c r="BG134" s="1" t="str">
        <f t="shared" si="40"/>
        <v>24.000000 MW × 6.691060 × 0.250000 h = 40.146361 EUR</v>
      </c>
      <c r="BH134" s="1" t="str">
        <f t="shared" si="41"/>
        <v>24.000000 MW × 2.607055 × 0.250000 h = 15.642330 EUR</v>
      </c>
      <c r="BI134" s="1" t="str">
        <f t="shared" si="42"/>
        <v>0.000411 MWh × 152.459360 = 0.062726 EUR</v>
      </c>
      <c r="BJ134" s="1" t="str">
        <f t="shared" si="43"/>
        <v>−(0.894309 MWh × 68.254912) = -61.040953 EUR</v>
      </c>
      <c r="BK134" s="1" t="str">
        <f t="shared" si="44"/>
        <v>119.754396 + 662.245345 + 40.146361 + 15.642330 + 0.062726 + -61.040953 = 776.810206 EUR</v>
      </c>
    </row>
    <row r="135" spans="1:63" ht="21" customHeight="1" x14ac:dyDescent="0.45">
      <c r="A135" s="13">
        <f>原始输入与口径!C135</f>
        <v>46236.3125</v>
      </c>
      <c r="B135" s="15">
        <f>IF(ISNUMBER(原始输入与口径!H135),原始输入与口径!H135,"缺失")</f>
        <v>153.13999999999999</v>
      </c>
      <c r="C135" s="15">
        <f>IF(ISNUMBER(原始输入与口径!R135),原始输入与口径!R135,"缺失")</f>
        <v>66.224534522516336</v>
      </c>
      <c r="D135" s="15">
        <f>IF(ISNUMBER(原始输入与口径!W135),原始输入与口径!W135,"缺失")</f>
        <v>6.6910601642749601</v>
      </c>
      <c r="E135" s="15">
        <f>IF(ISNUMBER(原始输入与口径!AB135),原始输入与口径!AB135,"缺失")</f>
        <v>2.6070550568863986</v>
      </c>
      <c r="F135" s="15">
        <f>IF(ISNUMBER(原始输入与口径!AG135),原始输入与口径!AG135,"缺失")</f>
        <v>0</v>
      </c>
      <c r="G135" s="15">
        <f>IF(ISNUMBER(原始输入与口径!AJ135),原始输入与口径!AJ135,"缺失")</f>
        <v>68.655880166942993</v>
      </c>
      <c r="H135" s="15" t="str">
        <f t="shared" si="23"/>
        <v>未模拟</v>
      </c>
      <c r="I135" s="16">
        <f>原始输入与口径!CD135</f>
        <v>31.739130434782567</v>
      </c>
      <c r="J135" s="16">
        <f>原始输入与口径!CE135</f>
        <v>31.739130434782563</v>
      </c>
      <c r="K135" s="16">
        <f>原始输入与口径!BZ135</f>
        <v>2.5610387360055031</v>
      </c>
      <c r="L135" s="16">
        <f>原始输入与口径!CK135</f>
        <v>40</v>
      </c>
      <c r="M135" s="16">
        <f>原始输入与口径!BT135</f>
        <v>24</v>
      </c>
      <c r="N135" s="16">
        <f>原始输入与口径!BJ135</f>
        <v>24</v>
      </c>
      <c r="O135" s="16">
        <f t="shared" si="24"/>
        <v>0</v>
      </c>
      <c r="P135" s="16">
        <f t="shared" si="25"/>
        <v>0.74207999999999985</v>
      </c>
      <c r="Q135" s="17">
        <f t="shared" si="26"/>
        <v>98.049368007970685</v>
      </c>
      <c r="R135" s="17">
        <f t="shared" si="27"/>
        <v>662.24534522516342</v>
      </c>
      <c r="S135" s="17">
        <f t="shared" si="28"/>
        <v>40.146360985649764</v>
      </c>
      <c r="T135" s="17">
        <f t="shared" si="29"/>
        <v>15.642330341318392</v>
      </c>
      <c r="U135" s="17">
        <f t="shared" si="30"/>
        <v>0</v>
      </c>
      <c r="V135" s="17">
        <f t="shared" si="31"/>
        <v>-50.948155554285044</v>
      </c>
      <c r="W135" s="17">
        <f t="shared" si="32"/>
        <v>765.13524900581717</v>
      </c>
      <c r="X135" s="12">
        <f>原始输入与口径!CP135</f>
        <v>765.13524900581717</v>
      </c>
      <c r="Y135" s="19">
        <f t="shared" si="33"/>
        <v>0</v>
      </c>
      <c r="Z135" s="12" t="str">
        <f t="shared" si="45"/>
        <v>次日冻结计划复原</v>
      </c>
      <c r="AA135" s="12">
        <f>IF(原始输入与口径!AW135,1,0)</f>
        <v>1</v>
      </c>
      <c r="AB135" s="12">
        <f>IF(原始输入与口径!AY135,1,0)</f>
        <v>1</v>
      </c>
      <c r="AC135" s="12">
        <f>原始输入与口径!$F$5</f>
        <v>0.25</v>
      </c>
      <c r="AD135" s="18">
        <f>原始输入与口径!CG135</f>
        <v>0.3125</v>
      </c>
      <c r="AE135" s="18">
        <f>原始输入与口径!BQ135</f>
        <v>0.13714285714285715</v>
      </c>
      <c r="AF135" s="18">
        <f t="shared" si="35"/>
        <v>0</v>
      </c>
      <c r="AG135" s="18">
        <f t="shared" si="36"/>
        <v>0.12367999999999998</v>
      </c>
      <c r="AH135" s="12">
        <f>IF(ISNUMBER(原始输入与口径!T135),原始输入与口径!T135,"缺失")</f>
        <v>175</v>
      </c>
      <c r="AI135" s="12">
        <f>IF(ISNUMBER(原始输入与口径!Y135),原始输入与口径!Y135,"缺失")</f>
        <v>175</v>
      </c>
      <c r="AJ135" s="12">
        <f>IF(ISNUMBER(原始输入与口径!AI135),原始输入与口径!AI135,"缺失")</f>
        <v>0</v>
      </c>
      <c r="AK135" s="12">
        <f>IF(ISNUMBER(原始输入与口径!AL135),原始输入与口径!AL135,"缺失")</f>
        <v>5.4109999999999996</v>
      </c>
      <c r="AL135" s="12">
        <f>IF(ISNUMBER(原始输入与口径!O135),原始输入与口径!O135,"缺失")</f>
        <v>128</v>
      </c>
      <c r="AM135" s="12">
        <f>SUMIFS(相位SOC复算!$N$9:$N$929,相位SOC复算!$S$9:$S$929,127)</f>
        <v>3.3881181538894059E-3</v>
      </c>
      <c r="AN135" s="12">
        <f>SUMIFS(相位SOC复算!$Q$9:$Q$929,相位SOC复算!$S$9:$S$929,127)</f>
        <v>0.6628926822827097</v>
      </c>
      <c r="AO135" s="12">
        <f>SUMIFS(相位SOC复算!$R$9:$R$929,相位SOC复算!$S$9:$S$929,127)</f>
        <v>0.56107236628408563</v>
      </c>
      <c r="AP135" s="12">
        <f>相位SOC复算!J312</f>
        <v>31.739130434782577</v>
      </c>
      <c r="AQ135" s="19">
        <f t="shared" si="37"/>
        <v>0</v>
      </c>
      <c r="AR135" s="12">
        <f>IF(ISBLANK(原始输入与口径!M135),"",原始输入与口径!M135)</f>
        <v>5.2473000000000001</v>
      </c>
      <c r="AS135" s="14">
        <f>IF(ISBLANK(原始输入与口径!L135),"",原始输入与口径!L135)</f>
        <v>46234</v>
      </c>
      <c r="AT135" s="13">
        <f>IF(ISBLANK(原始输入与口径!A135),"",原始输入与口径!A135)</f>
        <v>46236.1875</v>
      </c>
      <c r="AU135" s="12" t="str">
        <f>IF(ISBLANK(原始输入与口径!I135),"",原始输入与口径!I135)</f>
        <v>2026-08-02_27</v>
      </c>
      <c r="AV135" s="12">
        <f>IF(ISBLANK(原始输入与口径!J135),"",原始输入与口径!J135)</f>
        <v>15</v>
      </c>
      <c r="AW135" s="12" t="str">
        <f>IF(ISBLANK(原始输入与口径!BB135),"",原始输入与口径!BB135)</f>
        <v>OK</v>
      </c>
      <c r="AX135" s="12">
        <f>原始输入与口径!CI135</f>
        <v>128</v>
      </c>
      <c r="AY135" s="12">
        <f>原始输入与口径!BS135</f>
        <v>175</v>
      </c>
      <c r="AZ135" s="12">
        <f>原始输入与口径!BI135</f>
        <v>175</v>
      </c>
      <c r="BA135" s="12">
        <f>原始输入与口径!CM135</f>
        <v>40</v>
      </c>
      <c r="BB135" s="12">
        <f>原始输入与口径!BV135</f>
        <v>24</v>
      </c>
      <c r="BC135" s="12">
        <f>原始输入与口径!BL135</f>
        <v>24</v>
      </c>
      <c r="BD135" s="14">
        <f>46235</f>
        <v>46235</v>
      </c>
      <c r="BE135" s="1" t="str">
        <f t="shared" si="38"/>
        <v>2.561039 MW × 153.140000 × 0.250000 h = 98.049368 EUR</v>
      </c>
      <c r="BF135" s="1" t="str">
        <f t="shared" si="39"/>
        <v>40.000000 MW × 66.224535 × 0.250000 h = 662.245345 EUR</v>
      </c>
      <c r="BG135" s="1" t="str">
        <f t="shared" si="40"/>
        <v>24.000000 MW × 6.691060 × 0.250000 h = 40.146361 EUR</v>
      </c>
      <c r="BH135" s="1" t="str">
        <f t="shared" si="41"/>
        <v>24.000000 MW × 2.607055 × 0.250000 h = 15.642330 EUR</v>
      </c>
      <c r="BI135" s="1" t="str">
        <f t="shared" si="42"/>
        <v>零上调激活电量</v>
      </c>
      <c r="BJ135" s="1" t="str">
        <f t="shared" si="43"/>
        <v>−(0.742080 MWh × 68.655880) = -50.948156 EUR</v>
      </c>
      <c r="BK135" s="1" t="str">
        <f t="shared" si="44"/>
        <v>98.049368 + 662.245345 + 40.146361 + 15.642330 + 0.000000 + -50.948156 = 765.135249 EUR</v>
      </c>
    </row>
    <row r="136" spans="1:63" ht="21" customHeight="1" x14ac:dyDescent="0.45">
      <c r="A136" s="13">
        <f>原始输入与口径!C136</f>
        <v>46236.322916666664</v>
      </c>
      <c r="B136" s="15">
        <f>IF(ISNUMBER(原始输入与口径!H136),原始输入与口径!H136,"缺失")</f>
        <v>139.9</v>
      </c>
      <c r="C136" s="15">
        <f>IF(ISNUMBER(原始输入与口径!R136),原始输入与口径!R136,"缺失")</f>
        <v>66.224534522516336</v>
      </c>
      <c r="D136" s="15">
        <f>IF(ISNUMBER(原始输入与口径!W136),原始输入与口径!W136,"缺失")</f>
        <v>6.6910601642749601</v>
      </c>
      <c r="E136" s="15">
        <f>IF(ISNUMBER(原始输入与口径!AB136),原始输入与口径!AB136,"缺失")</f>
        <v>2.6070550568863986</v>
      </c>
      <c r="F136" s="15">
        <f>IF(ISNUMBER(原始输入与口径!AG136),原始输入与口径!AG136,"缺失")</f>
        <v>0</v>
      </c>
      <c r="G136" s="15">
        <f>IF(ISNUMBER(原始输入与口径!AJ136),原始输入与口径!AJ136,"缺失")</f>
        <v>70.403826729937308</v>
      </c>
      <c r="H136" s="15" t="str">
        <f t="shared" si="23"/>
        <v>未模拟</v>
      </c>
      <c r="I136" s="16">
        <f>原始输入与口径!CD136</f>
        <v>31.739130434782563</v>
      </c>
      <c r="J136" s="16">
        <f>原始输入与口径!CE136</f>
        <v>32.696266891925418</v>
      </c>
      <c r="K136" s="16">
        <f>原始输入与口径!BZ136</f>
        <v>0</v>
      </c>
      <c r="L136" s="16">
        <f>原始输入与口径!CK136</f>
        <v>40</v>
      </c>
      <c r="M136" s="16">
        <f>原始输入与口径!BT136</f>
        <v>24</v>
      </c>
      <c r="N136" s="16">
        <f>原始输入与口径!BJ136</f>
        <v>24</v>
      </c>
      <c r="O136" s="16">
        <f t="shared" si="24"/>
        <v>0</v>
      </c>
      <c r="P136" s="16">
        <f t="shared" si="25"/>
        <v>1.0403657142857143</v>
      </c>
      <c r="Q136" s="17">
        <f t="shared" si="26"/>
        <v>0</v>
      </c>
      <c r="R136" s="17">
        <f t="shared" si="27"/>
        <v>662.24534522516342</v>
      </c>
      <c r="S136" s="17">
        <f t="shared" si="28"/>
        <v>40.146360985649764</v>
      </c>
      <c r="T136" s="17">
        <f t="shared" si="29"/>
        <v>15.642330341318392</v>
      </c>
      <c r="U136" s="17">
        <f t="shared" si="30"/>
        <v>0</v>
      </c>
      <c r="V136" s="17">
        <f t="shared" si="31"/>
        <v>-73.2457274843389</v>
      </c>
      <c r="W136" s="17">
        <f t="shared" si="32"/>
        <v>644.78830906779262</v>
      </c>
      <c r="X136" s="12">
        <f>原始输入与口径!CP136</f>
        <v>644.78830906779262</v>
      </c>
      <c r="Y136" s="19">
        <f t="shared" si="33"/>
        <v>0</v>
      </c>
      <c r="Z136" s="12" t="str">
        <f t="shared" si="45"/>
        <v>次日冻结计划复原</v>
      </c>
      <c r="AA136" s="12">
        <f>IF(原始输入与口径!AW136,1,0)</f>
        <v>1</v>
      </c>
      <c r="AB136" s="12">
        <f>IF(原始输入与口径!AY136,1,0)</f>
        <v>1</v>
      </c>
      <c r="AC136" s="12">
        <f>原始输入与口径!$F$5</f>
        <v>0.25</v>
      </c>
      <c r="AD136" s="18">
        <f>原始输入与口径!CG136</f>
        <v>0.3125</v>
      </c>
      <c r="AE136" s="18">
        <f>原始输入与口径!BQ136</f>
        <v>0.13714285714285715</v>
      </c>
      <c r="AF136" s="18">
        <f t="shared" si="35"/>
        <v>0</v>
      </c>
      <c r="AG136" s="18">
        <f t="shared" si="36"/>
        <v>0.17339428571428572</v>
      </c>
      <c r="AH136" s="12">
        <f>IF(ISNUMBER(原始输入与口径!T136),原始输入与口径!T136,"缺失")</f>
        <v>175</v>
      </c>
      <c r="AI136" s="12">
        <f>IF(ISNUMBER(原始输入与口径!Y136),原始输入与口径!Y136,"缺失")</f>
        <v>175</v>
      </c>
      <c r="AJ136" s="12">
        <f>IF(ISNUMBER(原始输入与口径!AI136),原始输入与口径!AI136,"缺失")</f>
        <v>0</v>
      </c>
      <c r="AK136" s="12">
        <f>IF(ISNUMBER(原始输入与口径!AL136),原始输入与口径!AL136,"缺失")</f>
        <v>7.5860000000000003</v>
      </c>
      <c r="AL136" s="12">
        <f>IF(ISNUMBER(原始输入与口径!O136),原始输入与口径!O136,"缺失")</f>
        <v>128</v>
      </c>
      <c r="AM136" s="12">
        <f>SUMIFS(相位SOC复算!$N$9:$N$929,相位SOC复算!$S$9:$S$929,128)</f>
        <v>2.6587123809523813E-3</v>
      </c>
      <c r="AN136" s="12">
        <f>SUMIFS(相位SOC复算!$Q$9:$Q$929,相位SOC复算!$S$9:$S$929,128)</f>
        <v>1.0403657142857143</v>
      </c>
      <c r="AO136" s="12">
        <f>SUMIFS(相位SOC复算!$R$9:$R$929,相位SOC复算!$S$9:$S$929,128)</f>
        <v>0</v>
      </c>
      <c r="AP136" s="12">
        <f>相位SOC复算!J314</f>
        <v>32.696266891925433</v>
      </c>
      <c r="AQ136" s="19">
        <f t="shared" si="37"/>
        <v>0</v>
      </c>
      <c r="AR136" s="12">
        <f>IF(ISBLANK(原始输入与口径!M136),"",原始输入与口径!M136)</f>
        <v>5.2473000000000001</v>
      </c>
      <c r="AS136" s="14">
        <f>IF(ISBLANK(原始输入与口径!L136),"",原始输入与口径!L136)</f>
        <v>46234</v>
      </c>
      <c r="AT136" s="13">
        <f>IF(ISBLANK(原始输入与口径!A136),"",原始输入与口径!A136)</f>
        <v>46236.197916666664</v>
      </c>
      <c r="AU136" s="12" t="str">
        <f>IF(ISBLANK(原始输入与口径!I136),"",原始输入与口径!I136)</f>
        <v>2026-08-02_28</v>
      </c>
      <c r="AV136" s="12">
        <f>IF(ISBLANK(原始输入与口径!J136),"",原始输入与口径!J136)</f>
        <v>15</v>
      </c>
      <c r="AW136" s="12" t="str">
        <f>IF(ISBLANK(原始输入与口径!BB136),"",原始输入与口径!BB136)</f>
        <v>OK</v>
      </c>
      <c r="AX136" s="12">
        <f>原始输入与口径!CI136</f>
        <v>128</v>
      </c>
      <c r="AY136" s="12">
        <f>原始输入与口径!BS136</f>
        <v>175</v>
      </c>
      <c r="AZ136" s="12">
        <f>原始输入与口径!BI136</f>
        <v>175</v>
      </c>
      <c r="BA136" s="12">
        <f>原始输入与口径!CM136</f>
        <v>40</v>
      </c>
      <c r="BB136" s="12">
        <f>原始输入与口径!BV136</f>
        <v>24</v>
      </c>
      <c r="BC136" s="12">
        <f>原始输入与口径!BL136</f>
        <v>24</v>
      </c>
      <c r="BD136" s="14">
        <f>46235</f>
        <v>46235</v>
      </c>
      <c r="BE136" s="1" t="str">
        <f t="shared" si="38"/>
        <v>零头寸，无结算现金</v>
      </c>
      <c r="BF136" s="1" t="str">
        <f t="shared" si="39"/>
        <v>40.000000 MW × 66.224535 × 0.250000 h = 662.245345 EUR</v>
      </c>
      <c r="BG136" s="1" t="str">
        <f t="shared" si="40"/>
        <v>24.000000 MW × 6.691060 × 0.250000 h = 40.146361 EUR</v>
      </c>
      <c r="BH136" s="1" t="str">
        <f t="shared" si="41"/>
        <v>24.000000 MW × 2.607055 × 0.250000 h = 15.642330 EUR</v>
      </c>
      <c r="BI136" s="1" t="str">
        <f t="shared" si="42"/>
        <v>零上调激活电量</v>
      </c>
      <c r="BJ136" s="1" t="str">
        <f t="shared" si="43"/>
        <v>−(1.040366 MWh × 70.403827) = -73.245727 EUR</v>
      </c>
      <c r="BK136" s="1" t="str">
        <f t="shared" si="44"/>
        <v>0.000000 + 662.245345 + 40.146361 + 15.642330 + 0.000000 + -73.245727 = 644.788309 EUR</v>
      </c>
    </row>
    <row r="137" spans="1:63" ht="21" customHeight="1" x14ac:dyDescent="0.45">
      <c r="A137" s="13">
        <f>原始输入与口径!C137</f>
        <v>46236.333333333336</v>
      </c>
      <c r="B137" s="15">
        <f>IF(ISNUMBER(原始输入与口径!H137),原始输入与口径!H137,"缺失")</f>
        <v>154.06</v>
      </c>
      <c r="C137" s="15">
        <f>IF(ISNUMBER(原始输入与口径!R137),原始输入与口径!R137,"缺失")</f>
        <v>60.030873020410496</v>
      </c>
      <c r="D137" s="15">
        <f>IF(ISNUMBER(原始输入与口径!W137),原始输入与口径!W137,"缺失")</f>
        <v>6.7863472643073575</v>
      </c>
      <c r="E137" s="15">
        <f>IF(ISNUMBER(原始输入与口径!AB137),原始输入与口径!AB137,"缺失")</f>
        <v>2.8967278409848873</v>
      </c>
      <c r="F137" s="15">
        <f>IF(ISNUMBER(原始输入与口径!AG137),原始输入与口径!AG137,"缺失")</f>
        <v>152.45936005183617</v>
      </c>
      <c r="G137" s="15">
        <f>IF(ISNUMBER(原始输入与口径!AJ137),原始输入与口径!AJ137,"缺失")</f>
        <v>68.360109008442436</v>
      </c>
      <c r="H137" s="15" t="str">
        <f t="shared" ref="H137:H200" si="46">"未模拟"</f>
        <v>未模拟</v>
      </c>
      <c r="I137" s="16">
        <f>原始输入与口径!CD137</f>
        <v>32.696266891925418</v>
      </c>
      <c r="J137" s="16">
        <f>原始输入与口径!CE137</f>
        <v>31.739130434782556</v>
      </c>
      <c r="K137" s="16">
        <f>原始输入与口径!BZ137</f>
        <v>4.6952670664750835</v>
      </c>
      <c r="L137" s="16">
        <f>原始输入与口径!CK137</f>
        <v>40</v>
      </c>
      <c r="M137" s="16">
        <f>原始输入与口径!BT137</f>
        <v>24</v>
      </c>
      <c r="N137" s="16">
        <f>原始输入与口径!BJ137</f>
        <v>24</v>
      </c>
      <c r="O137" s="16">
        <f t="shared" ref="O137:O200" si="47">M137*AF137*AC137</f>
        <v>2.7428571428571432E-4</v>
      </c>
      <c r="P137" s="16">
        <f t="shared" ref="P137:P200" si="48">N137*AG137*AC137</f>
        <v>0.33490285714285717</v>
      </c>
      <c r="Q137" s="17">
        <f t="shared" ref="Q137:Q200" si="49">IF(K137=0,0,IF(ISNUMBER(B137),K137*B137*AC137,NA()))</f>
        <v>180.83821106528785</v>
      </c>
      <c r="R137" s="17">
        <f t="shared" ref="R137:R200" si="50">IF(L137=0,0,IF(ISNUMBER(C137),L137*C137*AC137,NA()))</f>
        <v>600.3087302041049</v>
      </c>
      <c r="S137" s="17">
        <f t="shared" ref="S137:S200" si="51">IF(M137=0,0,IF(ISNUMBER(D137),M137*D137*AC137,NA()))</f>
        <v>40.718083585844141</v>
      </c>
      <c r="T137" s="17">
        <f t="shared" ref="T137:T200" si="52">IF(N137=0,0,IF(ISNUMBER(E137),N137*E137*AC137,NA()))</f>
        <v>17.380367045909324</v>
      </c>
      <c r="U137" s="17">
        <f t="shared" ref="U137:U200" si="53">IF(O137=0,0,O137*F137)</f>
        <v>4.1817424471360783E-2</v>
      </c>
      <c r="V137" s="17">
        <f t="shared" ref="V137:V200" si="54">IF(P137=0,0,-P137*G137)</f>
        <v>-22.893995821524541</v>
      </c>
      <c r="W137" s="17">
        <f t="shared" ref="W137:W200" si="55">SUM(Q137:V137)</f>
        <v>816.39321350409307</v>
      </c>
      <c r="X137" s="12">
        <f>原始输入与口径!CP137</f>
        <v>816.39321350409307</v>
      </c>
      <c r="Y137" s="19">
        <f t="shared" ref="Y137:Y200" si="56">W137-X137</f>
        <v>0</v>
      </c>
      <c r="Z137" s="12" t="str">
        <f t="shared" ref="Z137:Z168" si="57">"次日冻结计划复原"</f>
        <v>次日冻结计划复原</v>
      </c>
      <c r="AA137" s="12">
        <f>IF(原始输入与口径!AW137,1,0)</f>
        <v>1</v>
      </c>
      <c r="AB137" s="12">
        <f>IF(原始输入与口径!AY137,1,0)</f>
        <v>1</v>
      </c>
      <c r="AC137" s="12">
        <f>原始输入与口径!$F$5</f>
        <v>0.25</v>
      </c>
      <c r="AD137" s="18">
        <f>原始输入与口径!CG137</f>
        <v>0.3125</v>
      </c>
      <c r="AE137" s="18">
        <f>原始输入与口径!BQ137</f>
        <v>0.13714285714285715</v>
      </c>
      <c r="AF137" s="18">
        <f t="shared" ref="AF137:AF200" si="58">IF(AA137=0,0,AJ137/(AH137*AC137))</f>
        <v>4.5714285714285716E-5</v>
      </c>
      <c r="AG137" s="18">
        <f t="shared" ref="AG137:AG200" si="59">IF(AA137=0,0,AK137/(AI137*AC137))</f>
        <v>5.5817142857142864E-2</v>
      </c>
      <c r="AH137" s="12">
        <f>IF(ISNUMBER(原始输入与口径!T137),原始输入与口径!T137,"缺失")</f>
        <v>175</v>
      </c>
      <c r="AI137" s="12">
        <f>IF(ISNUMBER(原始输入与口径!Y137),原始输入与口径!Y137,"缺失")</f>
        <v>175</v>
      </c>
      <c r="AJ137" s="12">
        <f>IF(ISNUMBER(原始输入与口径!AI137),原始输入与口径!AI137,"缺失")</f>
        <v>2E-3</v>
      </c>
      <c r="AK137" s="12">
        <f>IF(ISNUMBER(原始输入与口径!AL137),原始输入与口径!AL137,"缺失")</f>
        <v>2.4420000000000002</v>
      </c>
      <c r="AL137" s="12">
        <f>IF(ISNUMBER(原始输入与口径!O137),原始输入与口径!O137,"缺失")</f>
        <v>51.968000000000004</v>
      </c>
      <c r="AM137" s="12">
        <f>SUMIFS(相位SOC复算!$N$9:$N$929,相位SOC复算!$S$9:$S$929,129)</f>
        <v>4.0355627046912562E-3</v>
      </c>
      <c r="AN137" s="12">
        <f>SUMIFS(相位SOC复算!$Q$9:$Q$929,相位SOC复算!$S$9:$S$929,129)</f>
        <v>0.26938375899238776</v>
      </c>
      <c r="AO137" s="12">
        <f>SUMIFS(相位SOC复算!$R$9:$R$929,相位SOC复算!$S$9:$S$929,129)</f>
        <v>1.1085719541825869</v>
      </c>
      <c r="AP137" s="12">
        <f>相位SOC复算!J317</f>
        <v>31.73913043478257</v>
      </c>
      <c r="AQ137" s="19">
        <f t="shared" ref="AQ137:AQ200" si="60">AP137-J137</f>
        <v>0</v>
      </c>
      <c r="AR137" s="12">
        <f>IF(ISBLANK(原始输入与口径!M137),"",原始输入与口径!M137)</f>
        <v>5.2473000000000001</v>
      </c>
      <c r="AS137" s="14">
        <f>IF(ISBLANK(原始输入与口径!L137),"",原始输入与口径!L137)</f>
        <v>46234</v>
      </c>
      <c r="AT137" s="13">
        <f>IF(ISBLANK(原始输入与口径!A137),"",原始输入与口径!A137)</f>
        <v>46236.208333333336</v>
      </c>
      <c r="AU137" s="12" t="str">
        <f>IF(ISBLANK(原始输入与口径!I137),"",原始输入与口径!I137)</f>
        <v>2026-08-02_29</v>
      </c>
      <c r="AV137" s="12">
        <f>IF(ISBLANK(原始输入与口径!J137),"",原始输入与口径!J137)</f>
        <v>15</v>
      </c>
      <c r="AW137" s="12" t="str">
        <f>IF(ISBLANK(原始输入与口径!BB137),"",原始输入与口径!BB137)</f>
        <v>OK</v>
      </c>
      <c r="AX137" s="12">
        <f>原始输入与口径!CI137</f>
        <v>128</v>
      </c>
      <c r="AY137" s="12">
        <f>原始输入与口径!BS137</f>
        <v>175</v>
      </c>
      <c r="AZ137" s="12">
        <f>原始输入与口径!BI137</f>
        <v>175</v>
      </c>
      <c r="BA137" s="12">
        <f>原始输入与口径!CM137</f>
        <v>40</v>
      </c>
      <c r="BB137" s="12">
        <f>原始输入与口径!BV137</f>
        <v>24</v>
      </c>
      <c r="BC137" s="12">
        <f>原始输入与口径!BL137</f>
        <v>24</v>
      </c>
      <c r="BD137" s="14">
        <f>46235</f>
        <v>46235</v>
      </c>
      <c r="BE137" s="1" t="str">
        <f t="shared" ref="BE137:BE200" si="61">IF(K137=0,"零头寸，无结算现金",TEXT(K137,"0.000000")&amp;" MW × "&amp;TEXT(B137,"0.000000")&amp;" × "&amp;TEXT(AC137,"0.000000")&amp;" h = "&amp;TEXT(Q137,"0.000000")&amp;" EUR")</f>
        <v>4.695267 MW × 154.060000 × 0.250000 h = 180.838211 EUR</v>
      </c>
      <c r="BF137" s="1" t="str">
        <f t="shared" ref="BF137:BF200" si="62">IF(L137=0,"零头寸，无结算现金",TEXT(L137,"0.000000")&amp;" MW × "&amp;TEXT(C137,"0.000000")&amp;" × "&amp;TEXT(AC137,"0.000000")&amp;" h = "&amp;TEXT(R137,"0.000000")&amp;" EUR")</f>
        <v>40.000000 MW × 60.030873 × 0.250000 h = 600.308730 EUR</v>
      </c>
      <c r="BG137" s="1" t="str">
        <f t="shared" ref="BG137:BG200" si="63">IF(M137=0,"零头寸，无结算现金",TEXT(M137,"0.000000")&amp;" MW × "&amp;TEXT(D137,"0.000000")&amp;" × "&amp;TEXT(AC137,"0.000000")&amp;" h = "&amp;TEXT(S137,"0.000000")&amp;" EUR")</f>
        <v>24.000000 MW × 6.786347 × 0.250000 h = 40.718084 EUR</v>
      </c>
      <c r="BH137" s="1" t="str">
        <f t="shared" ref="BH137:BH200" si="64">IF(N137=0,"零头寸，无结算现金",TEXT(N137,"0.000000")&amp;" MW × "&amp;TEXT(E137,"0.000000")&amp;" × "&amp;TEXT(AC137,"0.000000")&amp;" h = "&amp;TEXT(T137,"0.000000")&amp;" EUR")</f>
        <v>24.000000 MW × 2.896728 × 0.250000 h = 17.380367 EUR</v>
      </c>
      <c r="BI137" s="1" t="str">
        <f t="shared" ref="BI137:BI200" si="65">IF(O137=0,"零上调激活电量",TEXT(O137,"0.000000")&amp;" MWh × "&amp;TEXT(F137,"0.000000")&amp;" = "&amp;TEXT(U137,"0.000000")&amp;" EUR")</f>
        <v>0.000274 MWh × 152.459360 = 0.041817 EUR</v>
      </c>
      <c r="BJ137" s="1" t="str">
        <f t="shared" ref="BJ137:BJ200" si="66">IF(P137=0,"零下调激活电量","−("&amp;TEXT(P137,"0.000000")&amp;" MWh × "&amp;TEXT(G137,"0.000000")&amp;") = "&amp;TEXT(V137,"0.000000")&amp;" EUR")</f>
        <v>−(0.334903 MWh × 68.360109) = -22.893996 EUR</v>
      </c>
      <c r="BK137" s="1" t="str">
        <f t="shared" ref="BK137:BK200" si="67">TEXT(Q137,"0.000000")&amp;" + "&amp;TEXT(R137,"0.000000")&amp;" + "&amp;TEXT(S137,"0.000000")&amp;" + "&amp;TEXT(T137,"0.000000")&amp;" + "&amp;TEXT(U137,"0.000000")&amp;" + "&amp;TEXT(V137,"0.000000")&amp;" = "&amp;TEXT(W137,"0.000000")&amp;" EUR"</f>
        <v>180.838211 + 600.308730 + 40.718084 + 17.380367 + 0.041817 + -22.893996 = 816.393214 EUR</v>
      </c>
    </row>
    <row r="138" spans="1:63" ht="21" customHeight="1" x14ac:dyDescent="0.45">
      <c r="A138" s="13">
        <f>原始输入与口径!C138</f>
        <v>46236.34375</v>
      </c>
      <c r="B138" s="15">
        <f>IF(ISNUMBER(原始输入与口径!H138),原始输入与口径!H138,"缺失")</f>
        <v>142.6</v>
      </c>
      <c r="C138" s="15">
        <f>IF(ISNUMBER(原始输入与口径!R138),原始输入与口径!R138,"缺失")</f>
        <v>60.030873020410496</v>
      </c>
      <c r="D138" s="15">
        <f>IF(ISNUMBER(原始输入与口径!W138),原始输入与口径!W138,"缺失")</f>
        <v>6.7863472643073575</v>
      </c>
      <c r="E138" s="15">
        <f>IF(ISNUMBER(原始输入与口径!AB138),原始输入与口径!AB138,"缺失")</f>
        <v>2.8967278409848873</v>
      </c>
      <c r="F138" s="15">
        <f>IF(ISNUMBER(原始输入与口径!AG138),原始输入与口径!AG138,"缺失")</f>
        <v>0</v>
      </c>
      <c r="G138" s="15">
        <f>IF(ISNUMBER(原始输入与口径!AJ138),原始输入与口径!AJ138,"缺失")</f>
        <v>25.922474415413639</v>
      </c>
      <c r="H138" s="15" t="str">
        <f t="shared" si="46"/>
        <v>未模拟</v>
      </c>
      <c r="I138" s="16">
        <f>原始输入与口径!CD138</f>
        <v>31.739130434782556</v>
      </c>
      <c r="J138" s="16">
        <f>原始输入与口径!CE138</f>
        <v>31.73913043478256</v>
      </c>
      <c r="K138" s="16">
        <f>原始输入与口径!BZ138</f>
        <v>4.9198599219345711</v>
      </c>
      <c r="L138" s="16">
        <f>原始输入与口径!CK138</f>
        <v>40</v>
      </c>
      <c r="M138" s="16">
        <f>原始输入与口径!BT138</f>
        <v>24</v>
      </c>
      <c r="N138" s="16">
        <f>原始输入与口径!BJ138</f>
        <v>24</v>
      </c>
      <c r="O138" s="16">
        <f t="shared" si="47"/>
        <v>0</v>
      </c>
      <c r="P138" s="16">
        <f t="shared" si="48"/>
        <v>1.4010514285714286</v>
      </c>
      <c r="Q138" s="17">
        <f t="shared" si="49"/>
        <v>175.39300621696745</v>
      </c>
      <c r="R138" s="17">
        <f t="shared" si="50"/>
        <v>600.3087302041049</v>
      </c>
      <c r="S138" s="17">
        <f t="shared" si="51"/>
        <v>40.718083585844141</v>
      </c>
      <c r="T138" s="17">
        <f t="shared" si="52"/>
        <v>17.380367045909324</v>
      </c>
      <c r="U138" s="17">
        <f t="shared" si="53"/>
        <v>0</v>
      </c>
      <c r="V138" s="17">
        <f t="shared" si="54"/>
        <v>-36.318719811821587</v>
      </c>
      <c r="W138" s="17">
        <f t="shared" si="55"/>
        <v>797.48146724100434</v>
      </c>
      <c r="X138" s="12">
        <f>原始输入与口径!CP138</f>
        <v>797.48146724100422</v>
      </c>
      <c r="Y138" s="19">
        <f t="shared" si="56"/>
        <v>0</v>
      </c>
      <c r="Z138" s="12" t="str">
        <f t="shared" si="57"/>
        <v>次日冻结计划复原</v>
      </c>
      <c r="AA138" s="12">
        <f>IF(原始输入与口径!AW138,1,0)</f>
        <v>1</v>
      </c>
      <c r="AB138" s="12">
        <f>IF(原始输入与口径!AY138,1,0)</f>
        <v>1</v>
      </c>
      <c r="AC138" s="12">
        <f>原始输入与口径!$F$5</f>
        <v>0.25</v>
      </c>
      <c r="AD138" s="18">
        <f>原始输入与口径!CG138</f>
        <v>0.3125</v>
      </c>
      <c r="AE138" s="18">
        <f>原始输入与口径!BQ138</f>
        <v>0.13714285714285715</v>
      </c>
      <c r="AF138" s="18">
        <f t="shared" si="58"/>
        <v>0</v>
      </c>
      <c r="AG138" s="18">
        <f t="shared" si="59"/>
        <v>0.23350857142857143</v>
      </c>
      <c r="AH138" s="12">
        <f>IF(ISNUMBER(原始输入与口径!T138),原始输入与口径!T138,"缺失")</f>
        <v>175</v>
      </c>
      <c r="AI138" s="12">
        <f>IF(ISNUMBER(原始输入与口径!Y138),原始输入与口径!Y138,"缺失")</f>
        <v>175</v>
      </c>
      <c r="AJ138" s="12">
        <f>IF(ISNUMBER(原始输入与口径!AI138),原始输入与口径!AI138,"缺失")</f>
        <v>0</v>
      </c>
      <c r="AK138" s="12">
        <f>IF(ISNUMBER(原始输入与口径!AL138),原始输入与口径!AL138,"缺失")</f>
        <v>10.215999999999999</v>
      </c>
      <c r="AL138" s="12">
        <f>IF(ISNUMBER(原始输入与口径!O138),原始输入与口径!O138,"缺失")</f>
        <v>51.968000000000004</v>
      </c>
      <c r="AM138" s="12">
        <f>SUMIFS(相位SOC复算!$N$9:$N$929,相位SOC复算!$S$9:$S$929,130)</f>
        <v>5.6929807668100046E-3</v>
      </c>
      <c r="AN138" s="12">
        <f>SUMIFS(相位SOC复算!$Q$9:$Q$929,相位SOC复算!$S$9:$S$929,130)</f>
        <v>1.1138440630715225</v>
      </c>
      <c r="AO138" s="12">
        <f>SUMIFS(相位SOC复算!$R$9:$R$929,相位SOC复算!$S$9:$S$929,130)</f>
        <v>0.94275761498373667</v>
      </c>
      <c r="AP138" s="12">
        <f>相位SOC复算!J319</f>
        <v>31.739130434782574</v>
      </c>
      <c r="AQ138" s="19">
        <f t="shared" si="60"/>
        <v>0</v>
      </c>
      <c r="AR138" s="12">
        <f>IF(ISBLANK(原始输入与口径!M138),"",原始输入与口径!M138)</f>
        <v>5.2473000000000001</v>
      </c>
      <c r="AS138" s="14">
        <f>IF(ISBLANK(原始输入与口径!L138),"",原始输入与口径!L138)</f>
        <v>46234</v>
      </c>
      <c r="AT138" s="13">
        <f>IF(ISBLANK(原始输入与口径!A138),"",原始输入与口径!A138)</f>
        <v>46236.21875</v>
      </c>
      <c r="AU138" s="12" t="str">
        <f>IF(ISBLANK(原始输入与口径!I138),"",原始输入与口径!I138)</f>
        <v>2026-08-02_30</v>
      </c>
      <c r="AV138" s="12">
        <f>IF(ISBLANK(原始输入与口径!J138),"",原始输入与口径!J138)</f>
        <v>15</v>
      </c>
      <c r="AW138" s="12" t="str">
        <f>IF(ISBLANK(原始输入与口径!BB138),"",原始输入与口径!BB138)</f>
        <v>OK</v>
      </c>
      <c r="AX138" s="12">
        <f>原始输入与口径!CI138</f>
        <v>128</v>
      </c>
      <c r="AY138" s="12">
        <f>原始输入与口径!BS138</f>
        <v>175</v>
      </c>
      <c r="AZ138" s="12">
        <f>原始输入与口径!BI138</f>
        <v>175</v>
      </c>
      <c r="BA138" s="12">
        <f>原始输入与口径!CM138</f>
        <v>40</v>
      </c>
      <c r="BB138" s="12">
        <f>原始输入与口径!BV138</f>
        <v>24</v>
      </c>
      <c r="BC138" s="12">
        <f>原始输入与口径!BL138</f>
        <v>24</v>
      </c>
      <c r="BD138" s="14">
        <f>46235</f>
        <v>46235</v>
      </c>
      <c r="BE138" s="1" t="str">
        <f t="shared" si="61"/>
        <v>4.919860 MW × 142.600000 × 0.250000 h = 175.393006 EUR</v>
      </c>
      <c r="BF138" s="1" t="str">
        <f t="shared" si="62"/>
        <v>40.000000 MW × 60.030873 × 0.250000 h = 600.308730 EUR</v>
      </c>
      <c r="BG138" s="1" t="str">
        <f t="shared" si="63"/>
        <v>24.000000 MW × 6.786347 × 0.250000 h = 40.718084 EUR</v>
      </c>
      <c r="BH138" s="1" t="str">
        <f t="shared" si="64"/>
        <v>24.000000 MW × 2.896728 × 0.250000 h = 17.380367 EUR</v>
      </c>
      <c r="BI138" s="1" t="str">
        <f t="shared" si="65"/>
        <v>零上调激活电量</v>
      </c>
      <c r="BJ138" s="1" t="str">
        <f t="shared" si="66"/>
        <v>−(1.401051 MWh × 25.922474) = -36.318720 EUR</v>
      </c>
      <c r="BK138" s="1" t="str">
        <f t="shared" si="67"/>
        <v>175.393006 + 600.308730 + 40.718084 + 17.380367 + 0.000000 + -36.318720 = 797.481467 EUR</v>
      </c>
    </row>
    <row r="139" spans="1:63" ht="21" customHeight="1" x14ac:dyDescent="0.45">
      <c r="A139" s="13">
        <f>原始输入与口径!C139</f>
        <v>46236.354166666664</v>
      </c>
      <c r="B139" s="15">
        <f>IF(ISNUMBER(原始输入与口径!H139),原始输入与口径!H139,"缺失")</f>
        <v>136.11000000000001</v>
      </c>
      <c r="C139" s="15">
        <f>IF(ISNUMBER(原始输入与口径!R139),原始输入与口径!R139,"缺失")</f>
        <v>60.030873020410496</v>
      </c>
      <c r="D139" s="15">
        <f>IF(ISNUMBER(原始输入与口径!W139),原始输入与口径!W139,"缺失")</f>
        <v>6.7863472643073575</v>
      </c>
      <c r="E139" s="15">
        <f>IF(ISNUMBER(原始输入与口径!AB139),原始输入与口径!AB139,"缺失")</f>
        <v>2.8967278409848873</v>
      </c>
      <c r="F139" s="15">
        <f>IF(ISNUMBER(原始输入与口径!AG139),原始输入与口径!AG139,"缺失")</f>
        <v>0</v>
      </c>
      <c r="G139" s="15">
        <f>IF(ISNUMBER(原始输入与口径!AJ139),原始输入与口径!AJ139,"缺失")</f>
        <v>59.365387913784225</v>
      </c>
      <c r="H139" s="15" t="str">
        <f t="shared" si="46"/>
        <v>未模拟</v>
      </c>
      <c r="I139" s="16">
        <f>原始输入与口径!CD139</f>
        <v>31.73913043478256</v>
      </c>
      <c r="J139" s="16">
        <f>原始输入与口径!CE139</f>
        <v>33.056107806211131</v>
      </c>
      <c r="K139" s="16">
        <f>原始输入与口径!BZ139</f>
        <v>0</v>
      </c>
      <c r="L139" s="16">
        <f>原始输入与口径!CK139</f>
        <v>40</v>
      </c>
      <c r="M139" s="16">
        <f>原始输入与口径!BT139</f>
        <v>24</v>
      </c>
      <c r="N139" s="16">
        <f>原始输入与口径!BJ139</f>
        <v>24</v>
      </c>
      <c r="O139" s="16">
        <f t="shared" si="47"/>
        <v>0</v>
      </c>
      <c r="P139" s="16">
        <f t="shared" si="48"/>
        <v>1.4314971428571428</v>
      </c>
      <c r="Q139" s="17">
        <f t="shared" si="49"/>
        <v>0</v>
      </c>
      <c r="R139" s="17">
        <f t="shared" si="50"/>
        <v>600.3087302041049</v>
      </c>
      <c r="S139" s="17">
        <f t="shared" si="51"/>
        <v>40.718083585844141</v>
      </c>
      <c r="T139" s="17">
        <f t="shared" si="52"/>
        <v>17.380367045909324</v>
      </c>
      <c r="U139" s="17">
        <f t="shared" si="53"/>
        <v>0</v>
      </c>
      <c r="V139" s="17">
        <f t="shared" si="54"/>
        <v>-84.981383183188072</v>
      </c>
      <c r="W139" s="17">
        <f t="shared" si="55"/>
        <v>573.42579765267033</v>
      </c>
      <c r="X139" s="12">
        <f>原始输入与口径!CP139</f>
        <v>573.42579765267033</v>
      </c>
      <c r="Y139" s="19">
        <f t="shared" si="56"/>
        <v>0</v>
      </c>
      <c r="Z139" s="12" t="str">
        <f t="shared" si="57"/>
        <v>次日冻结计划复原</v>
      </c>
      <c r="AA139" s="12">
        <f>IF(原始输入与口径!AW139,1,0)</f>
        <v>1</v>
      </c>
      <c r="AB139" s="12">
        <f>IF(原始输入与口径!AY139,1,0)</f>
        <v>1</v>
      </c>
      <c r="AC139" s="12">
        <f>原始输入与口径!$F$5</f>
        <v>0.25</v>
      </c>
      <c r="AD139" s="18">
        <f>原始输入与口径!CG139</f>
        <v>0.3125</v>
      </c>
      <c r="AE139" s="18">
        <f>原始输入与口径!BQ139</f>
        <v>0.13714285714285715</v>
      </c>
      <c r="AF139" s="18">
        <f t="shared" si="58"/>
        <v>0</v>
      </c>
      <c r="AG139" s="18">
        <f t="shared" si="59"/>
        <v>0.23858285714285715</v>
      </c>
      <c r="AH139" s="12">
        <f>IF(ISNUMBER(原始输入与口径!T139),原始输入与口径!T139,"缺失")</f>
        <v>175</v>
      </c>
      <c r="AI139" s="12">
        <f>IF(ISNUMBER(原始输入与口径!Y139),原始输入与口径!Y139,"缺失")</f>
        <v>175</v>
      </c>
      <c r="AJ139" s="12">
        <f>IF(ISNUMBER(原始输入与口径!AI139),原始输入与口径!AI139,"缺失")</f>
        <v>0</v>
      </c>
      <c r="AK139" s="12">
        <f>IF(ISNUMBER(原始输入与口径!AL139),原始输入与口径!AL139,"缺失")</f>
        <v>10.438000000000001</v>
      </c>
      <c r="AL139" s="12">
        <f>IF(ISNUMBER(原始输入与口径!O139),原始输入与口径!O139,"缺失")</f>
        <v>51.968000000000004</v>
      </c>
      <c r="AM139" s="12">
        <f>SUMIFS(相位SOC复算!$N$9:$N$929,相位SOC复算!$S$9:$S$929,131)</f>
        <v>3.6582704761904763E-3</v>
      </c>
      <c r="AN139" s="12">
        <f>SUMIFS(相位SOC复算!$Q$9:$Q$929,相位SOC复算!$S$9:$S$929,131)</f>
        <v>1.4314971428571428</v>
      </c>
      <c r="AO139" s="12">
        <f>SUMIFS(相位SOC复算!$R$9:$R$929,相位SOC复算!$S$9:$S$929,131)</f>
        <v>0</v>
      </c>
      <c r="AP139" s="12">
        <f>相位SOC复算!J321</f>
        <v>33.056107806211145</v>
      </c>
      <c r="AQ139" s="19">
        <f t="shared" si="60"/>
        <v>0</v>
      </c>
      <c r="AR139" s="12">
        <f>IF(ISBLANK(原始输入与口径!M139),"",原始输入与口径!M139)</f>
        <v>5.2473000000000001</v>
      </c>
      <c r="AS139" s="14">
        <f>IF(ISBLANK(原始输入与口径!L139),"",原始输入与口径!L139)</f>
        <v>46234</v>
      </c>
      <c r="AT139" s="13">
        <f>IF(ISBLANK(原始输入与口径!A139),"",原始输入与口径!A139)</f>
        <v>46236.229166666664</v>
      </c>
      <c r="AU139" s="12" t="str">
        <f>IF(ISBLANK(原始输入与口径!I139),"",原始输入与口径!I139)</f>
        <v>2026-08-02_31</v>
      </c>
      <c r="AV139" s="12">
        <f>IF(ISBLANK(原始输入与口径!J139),"",原始输入与口径!J139)</f>
        <v>15</v>
      </c>
      <c r="AW139" s="12" t="str">
        <f>IF(ISBLANK(原始输入与口径!BB139),"",原始输入与口径!BB139)</f>
        <v>OK</v>
      </c>
      <c r="AX139" s="12">
        <f>原始输入与口径!CI139</f>
        <v>128</v>
      </c>
      <c r="AY139" s="12">
        <f>原始输入与口径!BS139</f>
        <v>175</v>
      </c>
      <c r="AZ139" s="12">
        <f>原始输入与口径!BI139</f>
        <v>175</v>
      </c>
      <c r="BA139" s="12">
        <f>原始输入与口径!CM139</f>
        <v>40</v>
      </c>
      <c r="BB139" s="12">
        <f>原始输入与口径!BV139</f>
        <v>24</v>
      </c>
      <c r="BC139" s="12">
        <f>原始输入与口径!BL139</f>
        <v>24</v>
      </c>
      <c r="BD139" s="14">
        <f>46235</f>
        <v>46235</v>
      </c>
      <c r="BE139" s="1" t="str">
        <f t="shared" si="61"/>
        <v>零头寸，无结算现金</v>
      </c>
      <c r="BF139" s="1" t="str">
        <f t="shared" si="62"/>
        <v>40.000000 MW × 60.030873 × 0.250000 h = 600.308730 EUR</v>
      </c>
      <c r="BG139" s="1" t="str">
        <f t="shared" si="63"/>
        <v>24.000000 MW × 6.786347 × 0.250000 h = 40.718084 EUR</v>
      </c>
      <c r="BH139" s="1" t="str">
        <f t="shared" si="64"/>
        <v>24.000000 MW × 2.896728 × 0.250000 h = 17.380367 EUR</v>
      </c>
      <c r="BI139" s="1" t="str">
        <f t="shared" si="65"/>
        <v>零上调激活电量</v>
      </c>
      <c r="BJ139" s="1" t="str">
        <f t="shared" si="66"/>
        <v>−(1.431497 MWh × 59.365388) = -84.981383 EUR</v>
      </c>
      <c r="BK139" s="1" t="str">
        <f t="shared" si="67"/>
        <v>0.000000 + 600.308730 + 40.718084 + 17.380367 + 0.000000 + -84.981383 = 573.425798 EUR</v>
      </c>
    </row>
    <row r="140" spans="1:63" ht="21" customHeight="1" x14ac:dyDescent="0.45">
      <c r="A140" s="13">
        <f>原始输入与口径!C140</f>
        <v>46236.364583333336</v>
      </c>
      <c r="B140" s="15">
        <f>IF(ISNUMBER(原始输入与口径!H140),原始输入与口径!H140,"缺失")</f>
        <v>122.32</v>
      </c>
      <c r="C140" s="15">
        <f>IF(ISNUMBER(原始输入与口径!R140),原始输入与口径!R140,"缺失")</f>
        <v>60.030873020410496</v>
      </c>
      <c r="D140" s="15">
        <f>IF(ISNUMBER(原始输入与口径!W140),原始输入与口径!W140,"缺失")</f>
        <v>6.7863472643073575</v>
      </c>
      <c r="E140" s="15">
        <f>IF(ISNUMBER(原始输入与口径!AB140),原始输入与口径!AB140,"缺失")</f>
        <v>2.8967278409848873</v>
      </c>
      <c r="F140" s="15">
        <f>IF(ISNUMBER(原始输入与口径!AG140),原始输入与口径!AG140,"缺失")</f>
        <v>0</v>
      </c>
      <c r="G140" s="15">
        <f>IF(ISNUMBER(原始输入与口径!AJ140),原始输入与口径!AJ140,"缺失")</f>
        <v>14.512415909134221</v>
      </c>
      <c r="H140" s="15" t="str">
        <f t="shared" si="46"/>
        <v>未模拟</v>
      </c>
      <c r="I140" s="16">
        <f>原始输入与口径!CD140</f>
        <v>33.056107806211131</v>
      </c>
      <c r="J140" s="16">
        <f>原始输入与口径!CE140</f>
        <v>42.701763975155231</v>
      </c>
      <c r="K140" s="16">
        <f>原始输入与口径!BZ140</f>
        <v>-35.901155517148268</v>
      </c>
      <c r="L140" s="16">
        <f>原始输入与口径!CK140</f>
        <v>40</v>
      </c>
      <c r="M140" s="16">
        <f>原始输入与口径!BT140</f>
        <v>24</v>
      </c>
      <c r="N140" s="16">
        <f>原始输入与口径!BJ140</f>
        <v>24</v>
      </c>
      <c r="O140" s="16">
        <f t="shared" si="47"/>
        <v>0</v>
      </c>
      <c r="P140" s="16">
        <f t="shared" si="48"/>
        <v>1.5091199999999998</v>
      </c>
      <c r="Q140" s="17">
        <f t="shared" si="49"/>
        <v>-1097.8573357143939</v>
      </c>
      <c r="R140" s="17">
        <f t="shared" si="50"/>
        <v>600.3087302041049</v>
      </c>
      <c r="S140" s="17">
        <f t="shared" si="51"/>
        <v>40.718083585844141</v>
      </c>
      <c r="T140" s="17">
        <f t="shared" si="52"/>
        <v>17.380367045909324</v>
      </c>
      <c r="U140" s="17">
        <f t="shared" si="53"/>
        <v>0</v>
      </c>
      <c r="V140" s="17">
        <f t="shared" si="54"/>
        <v>-21.900977096792634</v>
      </c>
      <c r="W140" s="17">
        <f t="shared" si="55"/>
        <v>-461.35113197532814</v>
      </c>
      <c r="X140" s="12">
        <f>原始输入与口径!CP140</f>
        <v>-461.3511319753282</v>
      </c>
      <c r="Y140" s="19">
        <f t="shared" si="56"/>
        <v>0</v>
      </c>
      <c r="Z140" s="12" t="str">
        <f t="shared" si="57"/>
        <v>次日冻结计划复原</v>
      </c>
      <c r="AA140" s="12">
        <f>IF(原始输入与口径!AW140,1,0)</f>
        <v>1</v>
      </c>
      <c r="AB140" s="12">
        <f>IF(原始输入与口径!AY140,1,0)</f>
        <v>1</v>
      </c>
      <c r="AC140" s="12">
        <f>原始输入与口径!$F$5</f>
        <v>0.25</v>
      </c>
      <c r="AD140" s="18">
        <f>原始输入与口径!CG140</f>
        <v>0.3125</v>
      </c>
      <c r="AE140" s="18">
        <f>原始输入与口径!BQ140</f>
        <v>0.13714285714285715</v>
      </c>
      <c r="AF140" s="18">
        <f t="shared" si="58"/>
        <v>0</v>
      </c>
      <c r="AG140" s="18">
        <f t="shared" si="59"/>
        <v>0.25151999999999997</v>
      </c>
      <c r="AH140" s="12">
        <f>IF(ISNUMBER(原始输入与口径!T140),原始输入与口径!T140,"缺失")</f>
        <v>175</v>
      </c>
      <c r="AI140" s="12">
        <f>IF(ISNUMBER(原始输入与口径!Y140),原始输入与口径!Y140,"缺失")</f>
        <v>175</v>
      </c>
      <c r="AJ140" s="12">
        <f>IF(ISNUMBER(原始输入与口径!AI140),原始输入与口径!AI140,"缺失")</f>
        <v>0</v>
      </c>
      <c r="AK140" s="12">
        <f>IF(ISNUMBER(原始输入与口径!AL140),原始输入与口径!AL140,"缺失")</f>
        <v>11.004</v>
      </c>
      <c r="AL140" s="12">
        <f>IF(ISNUMBER(原始输入与口径!O140),原始输入与口径!O140,"缺失")</f>
        <v>51.968000000000004</v>
      </c>
      <c r="AM140" s="12">
        <f>SUMIFS(相位SOC复算!$N$9:$N$929,相位SOC复算!$S$9:$S$929,132)</f>
        <v>2.679348935817806E-2</v>
      </c>
      <c r="AN140" s="12">
        <f>SUMIFS(相位SOC复算!$Q$9:$Q$929,相位SOC复算!$S$9:$S$929,132)</f>
        <v>10.484408879287066</v>
      </c>
      <c r="AO140" s="12">
        <f>SUMIFS(相位SOC复算!$R$9:$R$929,相位SOC复算!$S$9:$S$929,132)</f>
        <v>0</v>
      </c>
      <c r="AP140" s="12">
        <f>相位SOC复算!J323</f>
        <v>42.701763975155245</v>
      </c>
      <c r="AQ140" s="19">
        <f t="shared" si="60"/>
        <v>0</v>
      </c>
      <c r="AR140" s="12">
        <f>IF(ISBLANK(原始输入与口径!M140),"",原始输入与口径!M140)</f>
        <v>5.2473000000000001</v>
      </c>
      <c r="AS140" s="14">
        <f>IF(ISBLANK(原始输入与口径!L140),"",原始输入与口径!L140)</f>
        <v>46234</v>
      </c>
      <c r="AT140" s="13">
        <f>IF(ISBLANK(原始输入与口径!A140),"",原始输入与口径!A140)</f>
        <v>46236.239583333336</v>
      </c>
      <c r="AU140" s="12" t="str">
        <f>IF(ISBLANK(原始输入与口径!I140),"",原始输入与口径!I140)</f>
        <v>2026-08-02_32</v>
      </c>
      <c r="AV140" s="12">
        <f>IF(ISBLANK(原始输入与口径!J140),"",原始输入与口径!J140)</f>
        <v>15</v>
      </c>
      <c r="AW140" s="12" t="str">
        <f>IF(ISBLANK(原始输入与口径!BB140),"",原始输入与口径!BB140)</f>
        <v>OK</v>
      </c>
      <c r="AX140" s="12">
        <f>原始输入与口径!CI140</f>
        <v>128</v>
      </c>
      <c r="AY140" s="12">
        <f>原始输入与口径!BS140</f>
        <v>175</v>
      </c>
      <c r="AZ140" s="12">
        <f>原始输入与口径!BI140</f>
        <v>175</v>
      </c>
      <c r="BA140" s="12">
        <f>原始输入与口径!CM140</f>
        <v>40</v>
      </c>
      <c r="BB140" s="12">
        <f>原始输入与口径!BV140</f>
        <v>24</v>
      </c>
      <c r="BC140" s="12">
        <f>原始输入与口径!BL140</f>
        <v>24</v>
      </c>
      <c r="BD140" s="14">
        <f>46235</f>
        <v>46235</v>
      </c>
      <c r="BE140" s="1" t="str">
        <f t="shared" si="61"/>
        <v>-35.901156 MW × 122.320000 × 0.250000 h = -1097.857336 EUR</v>
      </c>
      <c r="BF140" s="1" t="str">
        <f t="shared" si="62"/>
        <v>40.000000 MW × 60.030873 × 0.250000 h = 600.308730 EUR</v>
      </c>
      <c r="BG140" s="1" t="str">
        <f t="shared" si="63"/>
        <v>24.000000 MW × 6.786347 × 0.250000 h = 40.718084 EUR</v>
      </c>
      <c r="BH140" s="1" t="str">
        <f t="shared" si="64"/>
        <v>24.000000 MW × 2.896728 × 0.250000 h = 17.380367 EUR</v>
      </c>
      <c r="BI140" s="1" t="str">
        <f t="shared" si="65"/>
        <v>零上调激活电量</v>
      </c>
      <c r="BJ140" s="1" t="str">
        <f t="shared" si="66"/>
        <v>−(1.509120 MWh × 14.512416) = -21.900977 EUR</v>
      </c>
      <c r="BK140" s="1" t="str">
        <f t="shared" si="67"/>
        <v>-1097.857336 + 600.308730 + 40.718084 + 17.380367 + 0.000000 + -21.900977 = -461.351132 EUR</v>
      </c>
    </row>
    <row r="141" spans="1:63" ht="21" customHeight="1" x14ac:dyDescent="0.45">
      <c r="A141" s="13">
        <f>原始输入与口径!C141</f>
        <v>46236.375</v>
      </c>
      <c r="B141" s="15">
        <f>IF(ISNUMBER(原始输入与口径!H141),原始输入与口径!H141,"缺失")</f>
        <v>152.74</v>
      </c>
      <c r="C141" s="15">
        <f>IF(ISNUMBER(原始输入与口径!R141),原始输入与口径!R141,"缺失")</f>
        <v>60.030873020410496</v>
      </c>
      <c r="D141" s="15">
        <f>IF(ISNUMBER(原始输入与口径!W141),原始输入与口径!W141,"缺失")</f>
        <v>7.2056105044499077</v>
      </c>
      <c r="E141" s="15">
        <f>IF(ISNUMBER(原始输入与口径!AB141),原始输入与口径!AB141,"缺失")</f>
        <v>2.4145751148209555</v>
      </c>
      <c r="F141" s="15">
        <f>IF(ISNUMBER(原始输入与口径!AG141),原始输入与口径!AG141,"缺失")</f>
        <v>161.45350942389419</v>
      </c>
      <c r="G141" s="15">
        <f>IF(ISNUMBER(原始输入与口径!AJ141),原始输入与口径!AJ141,"缺失")</f>
        <v>5.8104167857755415</v>
      </c>
      <c r="H141" s="15" t="str">
        <f t="shared" si="46"/>
        <v>未模拟</v>
      </c>
      <c r="I141" s="16">
        <f>原始输入与口径!CD141</f>
        <v>42.701763975155231</v>
      </c>
      <c r="J141" s="16">
        <f>原始输入与口径!CE141</f>
        <v>32.874434782608645</v>
      </c>
      <c r="K141" s="16">
        <f>原始输入与口径!BZ141</f>
        <v>36</v>
      </c>
      <c r="L141" s="16">
        <f>原始输入与口径!CK141</f>
        <v>40</v>
      </c>
      <c r="M141" s="16">
        <f>原始输入与口径!BT141</f>
        <v>24</v>
      </c>
      <c r="N141" s="16">
        <f>原始输入与口径!BJ141</f>
        <v>24</v>
      </c>
      <c r="O141" s="16">
        <f t="shared" si="47"/>
        <v>0.46505142857142856</v>
      </c>
      <c r="P141" s="16">
        <f t="shared" si="48"/>
        <v>0.42390857142857141</v>
      </c>
      <c r="Q141" s="17">
        <f t="shared" si="49"/>
        <v>1374.66</v>
      </c>
      <c r="R141" s="17">
        <f t="shared" si="50"/>
        <v>600.3087302041049</v>
      </c>
      <c r="S141" s="17">
        <f t="shared" si="51"/>
        <v>43.233663026699446</v>
      </c>
      <c r="T141" s="17">
        <f t="shared" si="52"/>
        <v>14.487450688925733</v>
      </c>
      <c r="U141" s="17">
        <f t="shared" si="53"/>
        <v>75.084185205452599</v>
      </c>
      <c r="V141" s="17">
        <f t="shared" si="54"/>
        <v>-2.4630854790627015</v>
      </c>
      <c r="W141" s="17">
        <f t="shared" si="55"/>
        <v>2105.31094364612</v>
      </c>
      <c r="X141" s="12">
        <f>原始输入与口径!CP141</f>
        <v>2105.31094364612</v>
      </c>
      <c r="Y141" s="19">
        <f t="shared" si="56"/>
        <v>0</v>
      </c>
      <c r="Z141" s="12" t="str">
        <f t="shared" si="57"/>
        <v>次日冻结计划复原</v>
      </c>
      <c r="AA141" s="12">
        <f>IF(原始输入与口径!AW141,1,0)</f>
        <v>1</v>
      </c>
      <c r="AB141" s="12">
        <f>IF(原始输入与口径!AY141,1,0)</f>
        <v>1</v>
      </c>
      <c r="AC141" s="12">
        <f>原始输入与口径!$F$5</f>
        <v>0.25</v>
      </c>
      <c r="AD141" s="18">
        <f>原始输入与口径!CG141</f>
        <v>0.3125</v>
      </c>
      <c r="AE141" s="18">
        <f>原始输入与口径!BQ141</f>
        <v>0.13714285714285715</v>
      </c>
      <c r="AF141" s="18">
        <f t="shared" si="58"/>
        <v>7.7508571428571427E-2</v>
      </c>
      <c r="AG141" s="18">
        <f t="shared" si="59"/>
        <v>7.0651428571428573E-2</v>
      </c>
      <c r="AH141" s="12">
        <f>IF(ISNUMBER(原始输入与口径!T141),原始输入与口径!T141,"缺失")</f>
        <v>175</v>
      </c>
      <c r="AI141" s="12">
        <f>IF(ISNUMBER(原始输入与口径!Y141),原始输入与口径!Y141,"缺失")</f>
        <v>175</v>
      </c>
      <c r="AJ141" s="12">
        <f>IF(ISNUMBER(原始输入与口径!AI141),原始输入与口径!AI141,"缺失")</f>
        <v>3.391</v>
      </c>
      <c r="AK141" s="12">
        <f>IF(ISNUMBER(原始输入与口径!AL141),原始输入与口径!AL141,"缺失")</f>
        <v>3.0910000000000002</v>
      </c>
      <c r="AL141" s="12">
        <f>IF(ISNUMBER(原始输入与口径!O141),原始输入与口径!O141,"缺失")</f>
        <v>51.968000000000004</v>
      </c>
      <c r="AM141" s="12">
        <f>SUMIFS(相位SOC复算!$N$9:$N$929,相位SOC复算!$S$9:$S$929,133)</f>
        <v>2.7298136645962728E-2</v>
      </c>
      <c r="AN141" s="12">
        <f>SUMIFS(相位SOC复算!$Q$9:$Q$929,相位SOC复算!$S$9:$S$929,133)</f>
        <v>0</v>
      </c>
      <c r="AO141" s="12">
        <f>SUMIFS(相位SOC复算!$R$9:$R$929,相位SOC复算!$S$9:$S$929,133)</f>
        <v>9.0411428571428569</v>
      </c>
      <c r="AP141" s="12">
        <f>相位SOC复算!J326</f>
        <v>32.87443478260866</v>
      </c>
      <c r="AQ141" s="19">
        <f t="shared" si="60"/>
        <v>0</v>
      </c>
      <c r="AR141" s="12">
        <f>IF(ISBLANK(原始输入与口径!M141),"",原始输入与口径!M141)</f>
        <v>5.2473000000000001</v>
      </c>
      <c r="AS141" s="14">
        <f>IF(ISBLANK(原始输入与口径!L141),"",原始输入与口径!L141)</f>
        <v>46234</v>
      </c>
      <c r="AT141" s="13">
        <f>IF(ISBLANK(原始输入与口径!A141),"",原始输入与口径!A141)</f>
        <v>46236.25</v>
      </c>
      <c r="AU141" s="12" t="str">
        <f>IF(ISBLANK(原始输入与口径!I141),"",原始输入与口径!I141)</f>
        <v>2026-08-02_33</v>
      </c>
      <c r="AV141" s="12">
        <f>IF(ISBLANK(原始输入与口径!J141),"",原始输入与口径!J141)</f>
        <v>15</v>
      </c>
      <c r="AW141" s="12" t="str">
        <f>IF(ISBLANK(原始输入与口径!BB141),"",原始输入与口径!BB141)</f>
        <v>OK</v>
      </c>
      <c r="AX141" s="12">
        <f>原始输入与口径!CI141</f>
        <v>128</v>
      </c>
      <c r="AY141" s="12">
        <f>原始输入与口径!BS141</f>
        <v>175</v>
      </c>
      <c r="AZ141" s="12">
        <f>原始输入与口径!BI141</f>
        <v>175</v>
      </c>
      <c r="BA141" s="12">
        <f>原始输入与口径!CM141</f>
        <v>40</v>
      </c>
      <c r="BB141" s="12">
        <f>原始输入与口径!BV141</f>
        <v>24</v>
      </c>
      <c r="BC141" s="12">
        <f>原始输入与口径!BL141</f>
        <v>24</v>
      </c>
      <c r="BD141" s="14">
        <f>46235</f>
        <v>46235</v>
      </c>
      <c r="BE141" s="1" t="str">
        <f t="shared" si="61"/>
        <v>36.000000 MW × 152.740000 × 0.250000 h = 1374.660000 EUR</v>
      </c>
      <c r="BF141" s="1" t="str">
        <f t="shared" si="62"/>
        <v>40.000000 MW × 60.030873 × 0.250000 h = 600.308730 EUR</v>
      </c>
      <c r="BG141" s="1" t="str">
        <f t="shared" si="63"/>
        <v>24.000000 MW × 7.205611 × 0.250000 h = 43.233663 EUR</v>
      </c>
      <c r="BH141" s="1" t="str">
        <f t="shared" si="64"/>
        <v>24.000000 MW × 2.414575 × 0.250000 h = 14.487451 EUR</v>
      </c>
      <c r="BI141" s="1" t="str">
        <f t="shared" si="65"/>
        <v>0.465051 MWh × 161.453509 = 75.084185 EUR</v>
      </c>
      <c r="BJ141" s="1" t="str">
        <f t="shared" si="66"/>
        <v>−(0.423909 MWh × 5.810417) = -2.463085 EUR</v>
      </c>
      <c r="BK141" s="1" t="str">
        <f t="shared" si="67"/>
        <v>1374.660000 + 600.308730 + 43.233663 + 14.487451 + 75.084185 + -2.463085 = 2105.310944 EUR</v>
      </c>
    </row>
    <row r="142" spans="1:63" ht="21" customHeight="1" x14ac:dyDescent="0.45">
      <c r="A142" s="13">
        <f>原始输入与口径!C142</f>
        <v>46236.385416666664</v>
      </c>
      <c r="B142" s="15">
        <f>IF(ISNUMBER(原始输入与口径!H142),原始输入与口径!H142,"缺失")</f>
        <v>130.33000000000001</v>
      </c>
      <c r="C142" s="15">
        <f>IF(ISNUMBER(原始输入与口径!R142),原始输入与口径!R142,"缺失")</f>
        <v>60.030873020410496</v>
      </c>
      <c r="D142" s="15">
        <f>IF(ISNUMBER(原始输入与口径!W142),原始输入与口径!W142,"缺失")</f>
        <v>7.2056105044499077</v>
      </c>
      <c r="E142" s="15">
        <f>IF(ISNUMBER(原始输入与口径!AB142),原始输入与口径!AB142,"缺失")</f>
        <v>2.4145751148209555</v>
      </c>
      <c r="F142" s="15">
        <f>IF(ISNUMBER(原始输入与口径!AG142),原始输入与口径!AG142,"缺失")</f>
        <v>146.39833819297544</v>
      </c>
      <c r="G142" s="15">
        <f>IF(ISNUMBER(原始输入与口径!AJ142),原始输入与口径!AJ142,"缺失")</f>
        <v>0</v>
      </c>
      <c r="H142" s="15" t="str">
        <f t="shared" si="46"/>
        <v>未模拟</v>
      </c>
      <c r="I142" s="16">
        <f>原始输入与口径!CD142</f>
        <v>32.874434782608645</v>
      </c>
      <c r="J142" s="16">
        <f>原始输入与口径!CE142</f>
        <v>32.456894409937838</v>
      </c>
      <c r="K142" s="16">
        <f>原始输入与口径!BZ142</f>
        <v>0</v>
      </c>
      <c r="L142" s="16">
        <f>原始输入与口径!CK142</f>
        <v>40</v>
      </c>
      <c r="M142" s="16">
        <f>原始输入与口径!BT142</f>
        <v>24</v>
      </c>
      <c r="N142" s="16">
        <f>原始输入与口径!BJ142</f>
        <v>24</v>
      </c>
      <c r="O142" s="16">
        <f t="shared" si="47"/>
        <v>0.38413714285714284</v>
      </c>
      <c r="P142" s="16">
        <f t="shared" si="48"/>
        <v>0</v>
      </c>
      <c r="Q142" s="17">
        <f t="shared" si="49"/>
        <v>0</v>
      </c>
      <c r="R142" s="17">
        <f t="shared" si="50"/>
        <v>600.3087302041049</v>
      </c>
      <c r="S142" s="17">
        <f t="shared" si="51"/>
        <v>43.233663026699446</v>
      </c>
      <c r="T142" s="17">
        <f t="shared" si="52"/>
        <v>14.487450688925733</v>
      </c>
      <c r="U142" s="17">
        <f t="shared" si="53"/>
        <v>56.237039352483322</v>
      </c>
      <c r="V142" s="17">
        <f t="shared" si="54"/>
        <v>0</v>
      </c>
      <c r="W142" s="17">
        <f t="shared" si="55"/>
        <v>714.26688327221336</v>
      </c>
      <c r="X142" s="12">
        <f>原始输入与口径!CP142</f>
        <v>714.26688327221336</v>
      </c>
      <c r="Y142" s="19">
        <f t="shared" si="56"/>
        <v>0</v>
      </c>
      <c r="Z142" s="12" t="str">
        <f t="shared" si="57"/>
        <v>次日冻结计划复原</v>
      </c>
      <c r="AA142" s="12">
        <f>IF(原始输入与口径!AW142,1,0)</f>
        <v>1</v>
      </c>
      <c r="AB142" s="12">
        <f>IF(原始输入与口径!AY142,1,0)</f>
        <v>1</v>
      </c>
      <c r="AC142" s="12">
        <f>原始输入与口径!$F$5</f>
        <v>0.25</v>
      </c>
      <c r="AD142" s="18">
        <f>原始输入与口径!CG142</f>
        <v>0.3125</v>
      </c>
      <c r="AE142" s="18">
        <f>原始输入与口径!BQ142</f>
        <v>0.13714285714285715</v>
      </c>
      <c r="AF142" s="18">
        <f t="shared" si="58"/>
        <v>6.4022857142857145E-2</v>
      </c>
      <c r="AG142" s="18">
        <f t="shared" si="59"/>
        <v>0</v>
      </c>
      <c r="AH142" s="12">
        <f>IF(ISNUMBER(原始输入与口径!T142),原始输入与口径!T142,"缺失")</f>
        <v>175</v>
      </c>
      <c r="AI142" s="12">
        <f>IF(ISNUMBER(原始输入与口径!Y142),原始输入与口径!Y142,"缺失")</f>
        <v>175</v>
      </c>
      <c r="AJ142" s="12">
        <f>IF(ISNUMBER(原始输入与口径!AI142),原始输入与口径!AI142,"缺失")</f>
        <v>2.8010000000000002</v>
      </c>
      <c r="AK142" s="12">
        <f>IF(ISNUMBER(原始输入与口径!AL142),原始输入与口径!AL142,"缺失")</f>
        <v>0</v>
      </c>
      <c r="AL142" s="12">
        <f>IF(ISNUMBER(原始输入与口径!O142),原始输入与口径!O142,"缺失")</f>
        <v>51.968000000000004</v>
      </c>
      <c r="AM142" s="12">
        <f>SUMIFS(相位SOC复算!$N$9:$N$929,相位SOC复算!$S$9:$S$929,134)</f>
        <v>1.1598343685300207E-3</v>
      </c>
      <c r="AN142" s="12">
        <f>SUMIFS(相位SOC复算!$Q$9:$Q$929,相位SOC复算!$S$9:$S$929,134)</f>
        <v>0</v>
      </c>
      <c r="AO142" s="12">
        <f>SUMIFS(相位SOC复算!$R$9:$R$929,相位SOC复算!$S$9:$S$929,134)</f>
        <v>0.38413714285714284</v>
      </c>
      <c r="AP142" s="12">
        <f>相位SOC复算!J328</f>
        <v>32.456894409937853</v>
      </c>
      <c r="AQ142" s="19">
        <f t="shared" si="60"/>
        <v>0</v>
      </c>
      <c r="AR142" s="12">
        <f>IF(ISBLANK(原始输入与口径!M142),"",原始输入与口径!M142)</f>
        <v>5.2473000000000001</v>
      </c>
      <c r="AS142" s="14">
        <f>IF(ISBLANK(原始输入与口径!L142),"",原始输入与口径!L142)</f>
        <v>46234</v>
      </c>
      <c r="AT142" s="13">
        <f>IF(ISBLANK(原始输入与口径!A142),"",原始输入与口径!A142)</f>
        <v>46236.260416666664</v>
      </c>
      <c r="AU142" s="12" t="str">
        <f>IF(ISBLANK(原始输入与口径!I142),"",原始输入与口径!I142)</f>
        <v>2026-08-02_34</v>
      </c>
      <c r="AV142" s="12">
        <f>IF(ISBLANK(原始输入与口径!J142),"",原始输入与口径!J142)</f>
        <v>15</v>
      </c>
      <c r="AW142" s="12" t="str">
        <f>IF(ISBLANK(原始输入与口径!BB142),"",原始输入与口径!BB142)</f>
        <v>OK</v>
      </c>
      <c r="AX142" s="12">
        <f>原始输入与口径!CI142</f>
        <v>128</v>
      </c>
      <c r="AY142" s="12">
        <f>原始输入与口径!BS142</f>
        <v>175</v>
      </c>
      <c r="AZ142" s="12">
        <f>原始输入与口径!BI142</f>
        <v>175</v>
      </c>
      <c r="BA142" s="12">
        <f>原始输入与口径!CM142</f>
        <v>40</v>
      </c>
      <c r="BB142" s="12">
        <f>原始输入与口径!BV142</f>
        <v>24</v>
      </c>
      <c r="BC142" s="12">
        <f>原始输入与口径!BL142</f>
        <v>24</v>
      </c>
      <c r="BD142" s="14">
        <f>46235</f>
        <v>46235</v>
      </c>
      <c r="BE142" s="1" t="str">
        <f t="shared" si="61"/>
        <v>零头寸，无结算现金</v>
      </c>
      <c r="BF142" s="1" t="str">
        <f t="shared" si="62"/>
        <v>40.000000 MW × 60.030873 × 0.250000 h = 600.308730 EUR</v>
      </c>
      <c r="BG142" s="1" t="str">
        <f t="shared" si="63"/>
        <v>24.000000 MW × 7.205611 × 0.250000 h = 43.233663 EUR</v>
      </c>
      <c r="BH142" s="1" t="str">
        <f t="shared" si="64"/>
        <v>24.000000 MW × 2.414575 × 0.250000 h = 14.487451 EUR</v>
      </c>
      <c r="BI142" s="1" t="str">
        <f t="shared" si="65"/>
        <v>0.384137 MWh × 146.398338 = 56.237039 EUR</v>
      </c>
      <c r="BJ142" s="1" t="str">
        <f t="shared" si="66"/>
        <v>零下调激活电量</v>
      </c>
      <c r="BK142" s="1" t="str">
        <f t="shared" si="67"/>
        <v>0.000000 + 600.308730 + 43.233663 + 14.487451 + 56.237039 + 0.000000 = 714.266883 EUR</v>
      </c>
    </row>
    <row r="143" spans="1:63" ht="21" customHeight="1" x14ac:dyDescent="0.45">
      <c r="A143" s="13">
        <f>原始输入与口径!C143</f>
        <v>46236.395833333336</v>
      </c>
      <c r="B143" s="15">
        <f>IF(ISNUMBER(原始输入与口径!H143),原始输入与口径!H143,"缺失")</f>
        <v>112.43</v>
      </c>
      <c r="C143" s="15">
        <f>IF(ISNUMBER(原始输入与口径!R143),原始输入与口径!R143,"缺失")</f>
        <v>60.030873020410496</v>
      </c>
      <c r="D143" s="15">
        <f>IF(ISNUMBER(原始输入与口径!W143),原始输入与口径!W143,"缺失")</f>
        <v>7.2056105044499077</v>
      </c>
      <c r="E143" s="15">
        <f>IF(ISNUMBER(原始输入与口径!AB143),原始输入与口径!AB143,"缺失")</f>
        <v>2.4145751148209555</v>
      </c>
      <c r="F143" s="15">
        <f>IF(ISNUMBER(原始输入与口径!AG143),原始输入与口径!AG143,"缺失")</f>
        <v>150.6565281192232</v>
      </c>
      <c r="G143" s="15">
        <f>IF(ISNUMBER(原始输入与口径!AJ143),原始输入与口径!AJ143,"缺失")</f>
        <v>0</v>
      </c>
      <c r="H143" s="15" t="str">
        <f t="shared" si="46"/>
        <v>未模拟</v>
      </c>
      <c r="I143" s="16">
        <f>原始输入与口径!CD143</f>
        <v>32.456894409937838</v>
      </c>
      <c r="J143" s="16">
        <f>原始输入与口径!CE143</f>
        <v>31.73913043478256</v>
      </c>
      <c r="K143" s="16">
        <f>原始输入与口径!BZ143</f>
        <v>0</v>
      </c>
      <c r="L143" s="16">
        <f>原始输入与口径!CK143</f>
        <v>40</v>
      </c>
      <c r="M143" s="16">
        <f>原始输入与口径!BT143</f>
        <v>24</v>
      </c>
      <c r="N143" s="16">
        <f>原始输入与口径!BJ143</f>
        <v>24</v>
      </c>
      <c r="O143" s="16">
        <f t="shared" si="47"/>
        <v>0.66034285714285723</v>
      </c>
      <c r="P143" s="16">
        <f t="shared" si="48"/>
        <v>0</v>
      </c>
      <c r="Q143" s="17">
        <f t="shared" si="49"/>
        <v>0</v>
      </c>
      <c r="R143" s="17">
        <f t="shared" si="50"/>
        <v>600.3087302041049</v>
      </c>
      <c r="S143" s="17">
        <f t="shared" si="51"/>
        <v>43.233663026699446</v>
      </c>
      <c r="T143" s="17">
        <f t="shared" si="52"/>
        <v>14.487450688925733</v>
      </c>
      <c r="U143" s="17">
        <f t="shared" si="53"/>
        <v>99.484962225471051</v>
      </c>
      <c r="V143" s="17">
        <f t="shared" si="54"/>
        <v>0</v>
      </c>
      <c r="W143" s="17">
        <f t="shared" si="55"/>
        <v>757.51480614520108</v>
      </c>
      <c r="X143" s="12">
        <f>原始输入与口径!CP143</f>
        <v>757.51480614520119</v>
      </c>
      <c r="Y143" s="19">
        <f t="shared" si="56"/>
        <v>0</v>
      </c>
      <c r="Z143" s="12" t="str">
        <f t="shared" si="57"/>
        <v>次日冻结计划复原</v>
      </c>
      <c r="AA143" s="12">
        <f>IF(原始输入与口径!AW143,1,0)</f>
        <v>1</v>
      </c>
      <c r="AB143" s="12">
        <f>IF(原始输入与口径!AY143,1,0)</f>
        <v>1</v>
      </c>
      <c r="AC143" s="12">
        <f>原始输入与口径!$F$5</f>
        <v>0.25</v>
      </c>
      <c r="AD143" s="18">
        <f>原始输入与口径!CG143</f>
        <v>0.3125</v>
      </c>
      <c r="AE143" s="18">
        <f>原始输入与口径!BQ143</f>
        <v>0.13714285714285715</v>
      </c>
      <c r="AF143" s="18">
        <f t="shared" si="58"/>
        <v>0.11005714285714287</v>
      </c>
      <c r="AG143" s="18">
        <f t="shared" si="59"/>
        <v>0</v>
      </c>
      <c r="AH143" s="12">
        <f>IF(ISNUMBER(原始输入与口径!T143),原始输入与口径!T143,"缺失")</f>
        <v>175</v>
      </c>
      <c r="AI143" s="12">
        <f>IF(ISNUMBER(原始输入与口径!Y143),原始输入与口径!Y143,"缺失")</f>
        <v>175</v>
      </c>
      <c r="AJ143" s="12">
        <f>IF(ISNUMBER(原始输入与口径!AI143),原始输入与口径!AI143,"缺失")</f>
        <v>4.8150000000000004</v>
      </c>
      <c r="AK143" s="12">
        <f>IF(ISNUMBER(原始输入与口径!AL143),原始输入与口径!AL143,"缺失")</f>
        <v>0</v>
      </c>
      <c r="AL143" s="12">
        <f>IF(ISNUMBER(原始输入与口径!O143),原始输入与口径!O143,"缺失")</f>
        <v>51.968000000000004</v>
      </c>
      <c r="AM143" s="12">
        <f>SUMIFS(相位SOC复算!$N$9:$N$929,相位SOC复算!$S$9:$S$929,135)</f>
        <v>1.9937888198757765E-3</v>
      </c>
      <c r="AN143" s="12">
        <f>SUMIFS(相位SOC复算!$Q$9:$Q$929,相位SOC复算!$S$9:$S$929,135)</f>
        <v>0</v>
      </c>
      <c r="AO143" s="12">
        <f>SUMIFS(相位SOC复算!$R$9:$R$929,相位SOC复算!$S$9:$S$929,135)</f>
        <v>0.66034285714285723</v>
      </c>
      <c r="AP143" s="12">
        <f>相位SOC复算!J330</f>
        <v>31.739130434782574</v>
      </c>
      <c r="AQ143" s="19">
        <f t="shared" si="60"/>
        <v>0</v>
      </c>
      <c r="AR143" s="12">
        <f>IF(ISBLANK(原始输入与口径!M143),"",原始输入与口径!M143)</f>
        <v>5.2473000000000001</v>
      </c>
      <c r="AS143" s="14">
        <f>IF(ISBLANK(原始输入与口径!L143),"",原始输入与口径!L143)</f>
        <v>46234</v>
      </c>
      <c r="AT143" s="13">
        <f>IF(ISBLANK(原始输入与口径!A143),"",原始输入与口径!A143)</f>
        <v>46236.270833333336</v>
      </c>
      <c r="AU143" s="12" t="str">
        <f>IF(ISBLANK(原始输入与口径!I143),"",原始输入与口径!I143)</f>
        <v>2026-08-02_35</v>
      </c>
      <c r="AV143" s="12">
        <f>IF(ISBLANK(原始输入与口径!J143),"",原始输入与口径!J143)</f>
        <v>15</v>
      </c>
      <c r="AW143" s="12" t="str">
        <f>IF(ISBLANK(原始输入与口径!BB143),"",原始输入与口径!BB143)</f>
        <v>OK</v>
      </c>
      <c r="AX143" s="12">
        <f>原始输入与口径!CI143</f>
        <v>128</v>
      </c>
      <c r="AY143" s="12">
        <f>原始输入与口径!BS143</f>
        <v>175</v>
      </c>
      <c r="AZ143" s="12">
        <f>原始输入与口径!BI143</f>
        <v>175</v>
      </c>
      <c r="BA143" s="12">
        <f>原始输入与口径!CM143</f>
        <v>40</v>
      </c>
      <c r="BB143" s="12">
        <f>原始输入与口径!BV143</f>
        <v>24</v>
      </c>
      <c r="BC143" s="12">
        <f>原始输入与口径!BL143</f>
        <v>24</v>
      </c>
      <c r="BD143" s="14">
        <f>46235</f>
        <v>46235</v>
      </c>
      <c r="BE143" s="1" t="str">
        <f t="shared" si="61"/>
        <v>零头寸，无结算现金</v>
      </c>
      <c r="BF143" s="1" t="str">
        <f t="shared" si="62"/>
        <v>40.000000 MW × 60.030873 × 0.250000 h = 600.308730 EUR</v>
      </c>
      <c r="BG143" s="1" t="str">
        <f t="shared" si="63"/>
        <v>24.000000 MW × 7.205611 × 0.250000 h = 43.233663 EUR</v>
      </c>
      <c r="BH143" s="1" t="str">
        <f t="shared" si="64"/>
        <v>24.000000 MW × 2.414575 × 0.250000 h = 14.487451 EUR</v>
      </c>
      <c r="BI143" s="1" t="str">
        <f t="shared" si="65"/>
        <v>0.660343 MWh × 150.656528 = 99.484962 EUR</v>
      </c>
      <c r="BJ143" s="1" t="str">
        <f t="shared" si="66"/>
        <v>零下调激活电量</v>
      </c>
      <c r="BK143" s="1" t="str">
        <f t="shared" si="67"/>
        <v>0.000000 + 600.308730 + 43.233663 + 14.487451 + 99.484962 + 0.000000 = 757.514806 EUR</v>
      </c>
    </row>
    <row r="144" spans="1:63" ht="21" customHeight="1" x14ac:dyDescent="0.45">
      <c r="A144" s="13">
        <f>原始输入与口径!C144</f>
        <v>46236.40625</v>
      </c>
      <c r="B144" s="15">
        <f>IF(ISNUMBER(原始输入与口径!H144),原始输入与口径!H144,"缺失")</f>
        <v>93.22</v>
      </c>
      <c r="C144" s="15">
        <f>IF(ISNUMBER(原始输入与口径!R144),原始输入与口径!R144,"缺失")</f>
        <v>60.030873020410496</v>
      </c>
      <c r="D144" s="15">
        <f>IF(ISNUMBER(原始输入与口径!W144),原始输入与口径!W144,"缺失")</f>
        <v>7.2056105044499077</v>
      </c>
      <c r="E144" s="15">
        <f>IF(ISNUMBER(原始输入与口径!AB144),原始输入与口径!AB144,"缺失")</f>
        <v>2.4145751148209555</v>
      </c>
      <c r="F144" s="15">
        <f>IF(ISNUMBER(原始输入与口径!AG144),原始输入与口径!AG144,"缺失")</f>
        <v>133.21136584529185</v>
      </c>
      <c r="G144" s="15">
        <f>IF(ISNUMBER(原始输入与口径!AJ144),原始输入与口径!AJ144,"缺失")</f>
        <v>-13.616717168829682</v>
      </c>
      <c r="H144" s="15" t="str">
        <f t="shared" si="46"/>
        <v>未模拟</v>
      </c>
      <c r="I144" s="16">
        <f>原始输入与口径!CD144</f>
        <v>31.73913043478256</v>
      </c>
      <c r="J144" s="16">
        <f>原始输入与口径!CE144</f>
        <v>33.209540849689382</v>
      </c>
      <c r="K144" s="16">
        <f>原始输入与口径!BZ144</f>
        <v>-4.3099808451626211</v>
      </c>
      <c r="L144" s="16">
        <f>原始输入与口径!CK144</f>
        <v>40</v>
      </c>
      <c r="M144" s="16">
        <f>原始输入与口径!BT144</f>
        <v>24</v>
      </c>
      <c r="N144" s="16">
        <f>原始输入与口径!BJ144</f>
        <v>24</v>
      </c>
      <c r="O144" s="16">
        <f t="shared" si="47"/>
        <v>3.4697142857142857E-2</v>
      </c>
      <c r="P144" s="16">
        <f t="shared" si="48"/>
        <v>0.56064000000000003</v>
      </c>
      <c r="Q144" s="17">
        <f t="shared" si="49"/>
        <v>-100.44410359651488</v>
      </c>
      <c r="R144" s="17">
        <f t="shared" si="50"/>
        <v>600.3087302041049</v>
      </c>
      <c r="S144" s="17">
        <f t="shared" si="51"/>
        <v>43.233663026699446</v>
      </c>
      <c r="T144" s="17">
        <f t="shared" si="52"/>
        <v>14.487450688925733</v>
      </c>
      <c r="U144" s="17">
        <f t="shared" si="53"/>
        <v>4.6220537909292121</v>
      </c>
      <c r="V144" s="17">
        <f t="shared" si="54"/>
        <v>7.634076313532673</v>
      </c>
      <c r="W144" s="17">
        <f t="shared" si="55"/>
        <v>569.84187042767701</v>
      </c>
      <c r="X144" s="12">
        <f>原始输入与口径!CP144</f>
        <v>569.84187042767712</v>
      </c>
      <c r="Y144" s="19">
        <f t="shared" si="56"/>
        <v>0</v>
      </c>
      <c r="Z144" s="12" t="str">
        <f t="shared" si="57"/>
        <v>次日冻结计划复原</v>
      </c>
      <c r="AA144" s="12">
        <f>IF(原始输入与口径!AW144,1,0)</f>
        <v>1</v>
      </c>
      <c r="AB144" s="12">
        <f>IF(原始输入与口径!AY144,1,0)</f>
        <v>1</v>
      </c>
      <c r="AC144" s="12">
        <f>原始输入与口径!$F$5</f>
        <v>0.25</v>
      </c>
      <c r="AD144" s="18">
        <f>原始输入与口径!CG144</f>
        <v>0.3125</v>
      </c>
      <c r="AE144" s="18">
        <f>原始输入与口径!BQ144</f>
        <v>0.13714285714285715</v>
      </c>
      <c r="AF144" s="18">
        <f t="shared" si="58"/>
        <v>5.7828571428571425E-3</v>
      </c>
      <c r="AG144" s="18">
        <f t="shared" si="59"/>
        <v>9.3439999999999995E-2</v>
      </c>
      <c r="AH144" s="12">
        <f>IF(ISNUMBER(原始输入与口径!T144),原始输入与口径!T144,"缺失")</f>
        <v>175</v>
      </c>
      <c r="AI144" s="12">
        <f>IF(ISNUMBER(原始输入与口径!Y144),原始输入与口径!Y144,"缺失")</f>
        <v>175</v>
      </c>
      <c r="AJ144" s="12">
        <f>IF(ISNUMBER(原始输入与口径!AI144),原始输入与口径!AI144,"缺失")</f>
        <v>0.253</v>
      </c>
      <c r="AK144" s="12">
        <f>IF(ISNUMBER(原始输入与口径!AL144),原始输入与口径!AL144,"缺失")</f>
        <v>4.0880000000000001</v>
      </c>
      <c r="AL144" s="12">
        <f>IF(ISNUMBER(原始输入与口径!O144),原始输入与口径!O144,"缺失")</f>
        <v>51.968000000000004</v>
      </c>
      <c r="AM144" s="12">
        <f>SUMIFS(相位SOC复算!$N$9:$N$929,相位SOC复算!$S$9:$S$929,136)</f>
        <v>4.2563703673627893E-3</v>
      </c>
      <c r="AN144" s="12">
        <f>SUMIFS(相位SOC复算!$Q$9:$Q$929,相位SOC复算!$S$9:$S$929,136)</f>
        <v>1.6319042104116488</v>
      </c>
      <c r="AO144" s="12">
        <f>SUMIFS(相位SOC复算!$R$9:$R$929,相位SOC复算!$S$9:$S$929,136)</f>
        <v>2.8466141978136326E-2</v>
      </c>
      <c r="AP144" s="12">
        <f>相位SOC复算!J333</f>
        <v>33.209540849689397</v>
      </c>
      <c r="AQ144" s="19">
        <f t="shared" si="60"/>
        <v>0</v>
      </c>
      <c r="AR144" s="12">
        <f>IF(ISBLANK(原始输入与口径!M144),"",原始输入与口径!M144)</f>
        <v>5.2473000000000001</v>
      </c>
      <c r="AS144" s="14">
        <f>IF(ISBLANK(原始输入与口径!L144),"",原始输入与口径!L144)</f>
        <v>46234</v>
      </c>
      <c r="AT144" s="13">
        <f>IF(ISBLANK(原始输入与口径!A144),"",原始输入与口径!A144)</f>
        <v>46236.28125</v>
      </c>
      <c r="AU144" s="12" t="str">
        <f>IF(ISBLANK(原始输入与口径!I144),"",原始输入与口径!I144)</f>
        <v>2026-08-02_36</v>
      </c>
      <c r="AV144" s="12">
        <f>IF(ISBLANK(原始输入与口径!J144),"",原始输入与口径!J144)</f>
        <v>15</v>
      </c>
      <c r="AW144" s="12" t="str">
        <f>IF(ISBLANK(原始输入与口径!BB144),"",原始输入与口径!BB144)</f>
        <v>OK</v>
      </c>
      <c r="AX144" s="12">
        <f>原始输入与口径!CI144</f>
        <v>128</v>
      </c>
      <c r="AY144" s="12">
        <f>原始输入与口径!BS144</f>
        <v>175</v>
      </c>
      <c r="AZ144" s="12">
        <f>原始输入与口径!BI144</f>
        <v>175</v>
      </c>
      <c r="BA144" s="12">
        <f>原始输入与口径!CM144</f>
        <v>40</v>
      </c>
      <c r="BB144" s="12">
        <f>原始输入与口径!BV144</f>
        <v>24</v>
      </c>
      <c r="BC144" s="12">
        <f>原始输入与口径!BL144</f>
        <v>24</v>
      </c>
      <c r="BD144" s="14">
        <f>46235</f>
        <v>46235</v>
      </c>
      <c r="BE144" s="1" t="str">
        <f t="shared" si="61"/>
        <v>-4.309981 MW × 93.220000 × 0.250000 h = -100.444104 EUR</v>
      </c>
      <c r="BF144" s="1" t="str">
        <f t="shared" si="62"/>
        <v>40.000000 MW × 60.030873 × 0.250000 h = 600.308730 EUR</v>
      </c>
      <c r="BG144" s="1" t="str">
        <f t="shared" si="63"/>
        <v>24.000000 MW × 7.205611 × 0.250000 h = 43.233663 EUR</v>
      </c>
      <c r="BH144" s="1" t="str">
        <f t="shared" si="64"/>
        <v>24.000000 MW × 2.414575 × 0.250000 h = 14.487451 EUR</v>
      </c>
      <c r="BI144" s="1" t="str">
        <f t="shared" si="65"/>
        <v>0.034697 MWh × 133.211366 = 4.622054 EUR</v>
      </c>
      <c r="BJ144" s="1" t="str">
        <f t="shared" si="66"/>
        <v>−(0.560640 MWh × -13.616717) = 7.634076 EUR</v>
      </c>
      <c r="BK144" s="1" t="str">
        <f t="shared" si="67"/>
        <v>-100.444104 + 600.308730 + 43.233663 + 14.487451 + 4.622054 + 7.634076 = 569.841870 EUR</v>
      </c>
    </row>
    <row r="145" spans="1:63" ht="21" customHeight="1" x14ac:dyDescent="0.45">
      <c r="A145" s="13">
        <f>原始输入与口径!C145</f>
        <v>46236.416666666664</v>
      </c>
      <c r="B145" s="15">
        <f>IF(ISNUMBER(原始输入与口径!H145),原始输入与口径!H145,"缺失")</f>
        <v>104.9</v>
      </c>
      <c r="C145" s="15">
        <f>IF(ISNUMBER(原始输入与口径!R145),原始输入与口径!R145,"缺失")</f>
        <v>66.224534522516336</v>
      </c>
      <c r="D145" s="15">
        <f>IF(ISNUMBER(原始输入与口径!W145),原始输入与口径!W145,"缺失")</f>
        <v>5.5304632858803577</v>
      </c>
      <c r="E145" s="15">
        <f>IF(ISNUMBER(原始输入与口径!AB145),原始输入与口径!AB145,"缺失")</f>
        <v>3.0015436510205249</v>
      </c>
      <c r="F145" s="15">
        <f>IF(ISNUMBER(原始输入与口径!AG145),原始输入与口径!AG145,"缺失")</f>
        <v>147.75255845863586</v>
      </c>
      <c r="G145" s="15">
        <f>IF(ISNUMBER(原始输入与口径!AJ145),原始输入与口径!AJ145,"缺失")</f>
        <v>-14.510891315533703</v>
      </c>
      <c r="H145" s="15" t="str">
        <f t="shared" si="46"/>
        <v>未模拟</v>
      </c>
      <c r="I145" s="16">
        <f>原始输入与口径!CD145</f>
        <v>33.209540849689382</v>
      </c>
      <c r="J145" s="16">
        <f>原始输入与口径!CE145</f>
        <v>31.862898166459566</v>
      </c>
      <c r="K145" s="16">
        <f>原始输入与口径!BZ145</f>
        <v>0</v>
      </c>
      <c r="L145" s="16">
        <f>原始输入与口径!CK145</f>
        <v>40</v>
      </c>
      <c r="M145" s="16">
        <f>原始输入与口径!BT145</f>
        <v>24</v>
      </c>
      <c r="N145" s="16">
        <f>原始输入与口径!BJ145</f>
        <v>24</v>
      </c>
      <c r="O145" s="16">
        <f t="shared" si="47"/>
        <v>1.4397257142857143</v>
      </c>
      <c r="P145" s="16">
        <f t="shared" si="48"/>
        <v>0.23725714285714286</v>
      </c>
      <c r="Q145" s="17">
        <f t="shared" si="49"/>
        <v>0</v>
      </c>
      <c r="R145" s="17">
        <f t="shared" si="50"/>
        <v>662.24534522516342</v>
      </c>
      <c r="S145" s="17">
        <f t="shared" si="51"/>
        <v>33.182779715282145</v>
      </c>
      <c r="T145" s="17">
        <f t="shared" si="52"/>
        <v>18.00926190612315</v>
      </c>
      <c r="U145" s="17">
        <f t="shared" si="53"/>
        <v>212.72315776440126</v>
      </c>
      <c r="V145" s="17">
        <f t="shared" si="54"/>
        <v>3.4428126138340533</v>
      </c>
      <c r="W145" s="17">
        <f t="shared" si="55"/>
        <v>929.60335722480397</v>
      </c>
      <c r="X145" s="12">
        <f>原始输入与口径!CP145</f>
        <v>929.60335722480409</v>
      </c>
      <c r="Y145" s="19">
        <f t="shared" si="56"/>
        <v>0</v>
      </c>
      <c r="Z145" s="12" t="str">
        <f t="shared" si="57"/>
        <v>次日冻结计划复原</v>
      </c>
      <c r="AA145" s="12">
        <f>IF(原始输入与口径!AW145,1,0)</f>
        <v>1</v>
      </c>
      <c r="AB145" s="12">
        <f>IF(原始输入与口径!AY145,1,0)</f>
        <v>1</v>
      </c>
      <c r="AC145" s="12">
        <f>原始输入与口径!$F$5</f>
        <v>0.25</v>
      </c>
      <c r="AD145" s="18">
        <f>原始输入与口径!CG145</f>
        <v>0.3125</v>
      </c>
      <c r="AE145" s="18">
        <f>原始输入与口径!BQ145</f>
        <v>0.13714285714285715</v>
      </c>
      <c r="AF145" s="18">
        <f t="shared" si="58"/>
        <v>0.2399542857142857</v>
      </c>
      <c r="AG145" s="18">
        <f t="shared" si="59"/>
        <v>3.9542857142857143E-2</v>
      </c>
      <c r="AH145" s="12">
        <f>IF(ISNUMBER(原始输入与口径!T145),原始输入与口径!T145,"缺失")</f>
        <v>175</v>
      </c>
      <c r="AI145" s="12">
        <f>IF(ISNUMBER(原始输入与口径!Y145),原始输入与口径!Y145,"缺失")</f>
        <v>175</v>
      </c>
      <c r="AJ145" s="12">
        <f>IF(ISNUMBER(原始输入与口径!AI145),原始输入与口径!AI145,"缺失")</f>
        <v>10.497999999999999</v>
      </c>
      <c r="AK145" s="12">
        <f>IF(ISNUMBER(原始输入与口径!AL145),原始输入与口径!AL145,"缺失")</f>
        <v>1.73</v>
      </c>
      <c r="AL145" s="12">
        <f>IF(ISNUMBER(原始输入与口径!O145),原始输入与口径!O145,"缺失")</f>
        <v>71.936000000000007</v>
      </c>
      <c r="AM145" s="12">
        <f>SUMIFS(相位SOC复算!$N$9:$N$929,相位SOC复算!$S$9:$S$929,137)</f>
        <v>4.9533217391304349E-3</v>
      </c>
      <c r="AN145" s="12">
        <f>SUMIFS(相位SOC复算!$Q$9:$Q$929,相位SOC复算!$S$9:$S$929,137)</f>
        <v>0.23725714285714286</v>
      </c>
      <c r="AO145" s="12">
        <f>SUMIFS(相位SOC复算!$R$9:$R$929,相位SOC复算!$S$9:$S$929,137)</f>
        <v>1.4397257142857143</v>
      </c>
      <c r="AP145" s="12">
        <f>相位SOC复算!J336</f>
        <v>31.86289816645958</v>
      </c>
      <c r="AQ145" s="19">
        <f t="shared" si="60"/>
        <v>0</v>
      </c>
      <c r="AR145" s="12">
        <f>IF(ISBLANK(原始输入与口径!M145),"",原始输入与口径!M145)</f>
        <v>5.2473000000000001</v>
      </c>
      <c r="AS145" s="14">
        <f>IF(ISBLANK(原始输入与口径!L145),"",原始输入与口径!L145)</f>
        <v>46234</v>
      </c>
      <c r="AT145" s="13">
        <f>IF(ISBLANK(原始输入与口径!A145),"",原始输入与口径!A145)</f>
        <v>46236.291666666664</v>
      </c>
      <c r="AU145" s="12" t="str">
        <f>IF(ISBLANK(原始输入与口径!I145),"",原始输入与口径!I145)</f>
        <v>2026-08-02_37</v>
      </c>
      <c r="AV145" s="12">
        <f>IF(ISBLANK(原始输入与口径!J145),"",原始输入与口径!J145)</f>
        <v>15</v>
      </c>
      <c r="AW145" s="12" t="str">
        <f>IF(ISBLANK(原始输入与口径!BB145),"",原始输入与口径!BB145)</f>
        <v>OK</v>
      </c>
      <c r="AX145" s="12">
        <f>原始输入与口径!CI145</f>
        <v>128</v>
      </c>
      <c r="AY145" s="12">
        <f>原始输入与口径!BS145</f>
        <v>175</v>
      </c>
      <c r="AZ145" s="12">
        <f>原始输入与口径!BI145</f>
        <v>175</v>
      </c>
      <c r="BA145" s="12">
        <f>原始输入与口径!CM145</f>
        <v>40</v>
      </c>
      <c r="BB145" s="12">
        <f>原始输入与口径!BV145</f>
        <v>24</v>
      </c>
      <c r="BC145" s="12">
        <f>原始输入与口径!BL145</f>
        <v>24</v>
      </c>
      <c r="BD145" s="14">
        <f>46235</f>
        <v>46235</v>
      </c>
      <c r="BE145" s="1" t="str">
        <f t="shared" si="61"/>
        <v>零头寸，无结算现金</v>
      </c>
      <c r="BF145" s="1" t="str">
        <f t="shared" si="62"/>
        <v>40.000000 MW × 66.224535 × 0.250000 h = 662.245345 EUR</v>
      </c>
      <c r="BG145" s="1" t="str">
        <f t="shared" si="63"/>
        <v>24.000000 MW × 5.530463 × 0.250000 h = 33.182780 EUR</v>
      </c>
      <c r="BH145" s="1" t="str">
        <f t="shared" si="64"/>
        <v>24.000000 MW × 3.001544 × 0.250000 h = 18.009262 EUR</v>
      </c>
      <c r="BI145" s="1" t="str">
        <f t="shared" si="65"/>
        <v>1.439726 MWh × 147.752558 = 212.723158 EUR</v>
      </c>
      <c r="BJ145" s="1" t="str">
        <f t="shared" si="66"/>
        <v>−(0.237257 MWh × -14.510891) = 3.442813 EUR</v>
      </c>
      <c r="BK145" s="1" t="str">
        <f t="shared" si="67"/>
        <v>0.000000 + 662.245345 + 33.182780 + 18.009262 + 212.723158 + 3.442813 = 929.603357 EUR</v>
      </c>
    </row>
    <row r="146" spans="1:63" ht="21" customHeight="1" x14ac:dyDescent="0.45">
      <c r="A146" s="13">
        <f>原始输入与口径!C146</f>
        <v>46236.427083333336</v>
      </c>
      <c r="B146" s="15">
        <f>IF(ISNUMBER(原始输入与口径!H146),原始输入与口径!H146,"缺失")</f>
        <v>84.56</v>
      </c>
      <c r="C146" s="15">
        <f>IF(ISNUMBER(原始输入与口径!R146),原始输入与口径!R146,"缺失")</f>
        <v>66.224534522516336</v>
      </c>
      <c r="D146" s="15">
        <f>IF(ISNUMBER(原始输入与口径!W146),原始输入与口径!W146,"缺失")</f>
        <v>5.5304632858803577</v>
      </c>
      <c r="E146" s="15">
        <f>IF(ISNUMBER(原始输入与口径!AB146),原始输入与口径!AB146,"缺失")</f>
        <v>3.0015436510205249</v>
      </c>
      <c r="F146" s="15">
        <f>IF(ISNUMBER(原始输入与口径!AG146),原始输入与口径!AG146,"缺失")</f>
        <v>133.21136584529185</v>
      </c>
      <c r="G146" s="15">
        <f>IF(ISNUMBER(原始输入与口径!AJ146),原始输入与口径!AJ146,"缺失")</f>
        <v>72.142435157128432</v>
      </c>
      <c r="H146" s="15" t="str">
        <f t="shared" si="46"/>
        <v>未模拟</v>
      </c>
      <c r="I146" s="16">
        <f>原始输入与口径!CD146</f>
        <v>31.862898166459566</v>
      </c>
      <c r="J146" s="16">
        <f>原始输入与口径!CE146</f>
        <v>31.739130434782545</v>
      </c>
      <c r="K146" s="16">
        <f>原始输入与口径!BZ146</f>
        <v>0</v>
      </c>
      <c r="L146" s="16">
        <f>原始输入与口径!CK146</f>
        <v>40</v>
      </c>
      <c r="M146" s="16">
        <f>原始输入与口径!BT146</f>
        <v>24</v>
      </c>
      <c r="N146" s="16">
        <f>原始输入与口径!BJ146</f>
        <v>24</v>
      </c>
      <c r="O146" s="16">
        <f t="shared" si="47"/>
        <v>0.12918857142857143</v>
      </c>
      <c r="P146" s="16">
        <f t="shared" si="48"/>
        <v>1.8102857142857143E-2</v>
      </c>
      <c r="Q146" s="17">
        <f t="shared" si="49"/>
        <v>0</v>
      </c>
      <c r="R146" s="17">
        <f t="shared" si="50"/>
        <v>662.24534522516342</v>
      </c>
      <c r="S146" s="17">
        <f t="shared" si="51"/>
        <v>33.182779715282145</v>
      </c>
      <c r="T146" s="17">
        <f t="shared" si="52"/>
        <v>18.00926190612315</v>
      </c>
      <c r="U146" s="17">
        <f t="shared" si="53"/>
        <v>17.209386051602046</v>
      </c>
      <c r="V146" s="17">
        <f t="shared" si="54"/>
        <v>-1.3059841975873308</v>
      </c>
      <c r="W146" s="17">
        <f t="shared" si="55"/>
        <v>729.34078870058329</v>
      </c>
      <c r="X146" s="12">
        <f>原始输入与口径!CP146</f>
        <v>729.3407887005834</v>
      </c>
      <c r="Y146" s="19">
        <f t="shared" si="56"/>
        <v>0</v>
      </c>
      <c r="Z146" s="12" t="str">
        <f t="shared" si="57"/>
        <v>次日冻结计划复原</v>
      </c>
      <c r="AA146" s="12">
        <f>IF(原始输入与口径!AW146,1,0)</f>
        <v>1</v>
      </c>
      <c r="AB146" s="12">
        <f>IF(原始输入与口径!AY146,1,0)</f>
        <v>1</v>
      </c>
      <c r="AC146" s="12">
        <f>原始输入与口径!$F$5</f>
        <v>0.25</v>
      </c>
      <c r="AD146" s="18">
        <f>原始输入与口径!CG146</f>
        <v>0.3125</v>
      </c>
      <c r="AE146" s="18">
        <f>原始输入与口径!BQ146</f>
        <v>0.13714285714285715</v>
      </c>
      <c r="AF146" s="18">
        <f t="shared" si="58"/>
        <v>2.1531428571428569E-2</v>
      </c>
      <c r="AG146" s="18">
        <f t="shared" si="59"/>
        <v>3.0171428571428571E-3</v>
      </c>
      <c r="AH146" s="12">
        <f>IF(ISNUMBER(原始输入与口径!T146),原始输入与口径!T146,"缺失")</f>
        <v>175</v>
      </c>
      <c r="AI146" s="12">
        <f>IF(ISNUMBER(原始输入与口径!Y146),原始输入与口径!Y146,"缺失")</f>
        <v>175</v>
      </c>
      <c r="AJ146" s="12">
        <f>IF(ISNUMBER(原始输入与口径!AI146),原始输入与口径!AI146,"缺失")</f>
        <v>0.94199999999999995</v>
      </c>
      <c r="AK146" s="12">
        <f>IF(ISNUMBER(原始输入与口径!AL146),原始输入与口径!AL146,"缺失")</f>
        <v>0.13200000000000001</v>
      </c>
      <c r="AL146" s="12">
        <f>IF(ISNUMBER(原始输入与口径!O146),原始输入与口径!O146,"缺失")</f>
        <v>71.936000000000007</v>
      </c>
      <c r="AM146" s="12">
        <f>SUMIFS(相位SOC复算!$N$9:$N$929,相位SOC复算!$S$9:$S$929,138)</f>
        <v>4.363249689440993E-4</v>
      </c>
      <c r="AN146" s="12">
        <f>SUMIFS(相位SOC复算!$Q$9:$Q$929,相位SOC复算!$S$9:$S$929,138)</f>
        <v>1.8102857142857143E-2</v>
      </c>
      <c r="AO146" s="12">
        <f>SUMIFS(相位SOC复算!$R$9:$R$929,相位SOC复算!$S$9:$S$929,138)</f>
        <v>0.12918857142857143</v>
      </c>
      <c r="AP146" s="12">
        <f>相位SOC复算!J339</f>
        <v>31.73913043478256</v>
      </c>
      <c r="AQ146" s="19">
        <f t="shared" si="60"/>
        <v>0</v>
      </c>
      <c r="AR146" s="12">
        <f>IF(ISBLANK(原始输入与口径!M146),"",原始输入与口径!M146)</f>
        <v>5.2473000000000001</v>
      </c>
      <c r="AS146" s="14">
        <f>IF(ISBLANK(原始输入与口径!L146),"",原始输入与口径!L146)</f>
        <v>46234</v>
      </c>
      <c r="AT146" s="13">
        <f>IF(ISBLANK(原始输入与口径!A146),"",原始输入与口径!A146)</f>
        <v>46236.302083333336</v>
      </c>
      <c r="AU146" s="12" t="str">
        <f>IF(ISBLANK(原始输入与口径!I146),"",原始输入与口径!I146)</f>
        <v>2026-08-02_38</v>
      </c>
      <c r="AV146" s="12">
        <f>IF(ISBLANK(原始输入与口径!J146),"",原始输入与口径!J146)</f>
        <v>15</v>
      </c>
      <c r="AW146" s="12" t="str">
        <f>IF(ISBLANK(原始输入与口径!BB146),"",原始输入与口径!BB146)</f>
        <v>OK</v>
      </c>
      <c r="AX146" s="12">
        <f>原始输入与口径!CI146</f>
        <v>128</v>
      </c>
      <c r="AY146" s="12">
        <f>原始输入与口径!BS146</f>
        <v>175</v>
      </c>
      <c r="AZ146" s="12">
        <f>原始输入与口径!BI146</f>
        <v>175</v>
      </c>
      <c r="BA146" s="12">
        <f>原始输入与口径!CM146</f>
        <v>40</v>
      </c>
      <c r="BB146" s="12">
        <f>原始输入与口径!BV146</f>
        <v>24</v>
      </c>
      <c r="BC146" s="12">
        <f>原始输入与口径!BL146</f>
        <v>24</v>
      </c>
      <c r="BD146" s="14">
        <f>46235</f>
        <v>46235</v>
      </c>
      <c r="BE146" s="1" t="str">
        <f t="shared" si="61"/>
        <v>零头寸，无结算现金</v>
      </c>
      <c r="BF146" s="1" t="str">
        <f t="shared" si="62"/>
        <v>40.000000 MW × 66.224535 × 0.250000 h = 662.245345 EUR</v>
      </c>
      <c r="BG146" s="1" t="str">
        <f t="shared" si="63"/>
        <v>24.000000 MW × 5.530463 × 0.250000 h = 33.182780 EUR</v>
      </c>
      <c r="BH146" s="1" t="str">
        <f t="shared" si="64"/>
        <v>24.000000 MW × 3.001544 × 0.250000 h = 18.009262 EUR</v>
      </c>
      <c r="BI146" s="1" t="str">
        <f t="shared" si="65"/>
        <v>0.129189 MWh × 133.211366 = 17.209386 EUR</v>
      </c>
      <c r="BJ146" s="1" t="str">
        <f t="shared" si="66"/>
        <v>−(0.018103 MWh × 72.142435) = -1.305984 EUR</v>
      </c>
      <c r="BK146" s="1" t="str">
        <f t="shared" si="67"/>
        <v>0.000000 + 662.245345 + 33.182780 + 18.009262 + 17.209386 + -1.305984 = 729.340789 EUR</v>
      </c>
    </row>
    <row r="147" spans="1:63" ht="21" customHeight="1" x14ac:dyDescent="0.45">
      <c r="A147" s="13">
        <f>原始输入与口径!C147</f>
        <v>46236.4375</v>
      </c>
      <c r="B147" s="15">
        <f>IF(ISNUMBER(原始输入与口径!H147),原始输入与口径!H147,"缺失")</f>
        <v>54.53</v>
      </c>
      <c r="C147" s="15">
        <f>IF(ISNUMBER(原始输入与口径!R147),原始输入与口径!R147,"缺失")</f>
        <v>66.224534522516336</v>
      </c>
      <c r="D147" s="15">
        <f>IF(ISNUMBER(原始输入与口径!W147),原始输入与口径!W147,"缺失")</f>
        <v>5.5304632858803577</v>
      </c>
      <c r="E147" s="15">
        <f>IF(ISNUMBER(原始输入与口径!AB147),原始输入与口径!AB147,"缺失")</f>
        <v>3.0015436510205249</v>
      </c>
      <c r="F147" s="15">
        <f>IF(ISNUMBER(原始输入与口径!AG147),原始输入与口径!AG147,"缺失")</f>
        <v>133.21136584529185</v>
      </c>
      <c r="G147" s="15">
        <f>IF(ISNUMBER(原始输入与口径!AJ147),原始输入与口径!AJ147,"缺失")</f>
        <v>-2.135574485926095</v>
      </c>
      <c r="H147" s="15" t="str">
        <f t="shared" si="46"/>
        <v>未模拟</v>
      </c>
      <c r="I147" s="16">
        <f>原始输入与口径!CD147</f>
        <v>31.739130434782545</v>
      </c>
      <c r="J147" s="16">
        <f>原始输入与口径!CE147</f>
        <v>31.739130434782538</v>
      </c>
      <c r="K147" s="16">
        <f>原始输入与口径!BZ147</f>
        <v>1.4801994166607806</v>
      </c>
      <c r="L147" s="16">
        <f>原始输入与口径!CK147</f>
        <v>40</v>
      </c>
      <c r="M147" s="16">
        <f>原始输入与口径!BT147</f>
        <v>24</v>
      </c>
      <c r="N147" s="16">
        <f>原始输入与口径!BJ147</f>
        <v>24</v>
      </c>
      <c r="O147" s="16">
        <f t="shared" si="47"/>
        <v>2.7428571428571432E-4</v>
      </c>
      <c r="P147" s="16">
        <f t="shared" si="48"/>
        <v>0.43268571428571428</v>
      </c>
      <c r="Q147" s="17">
        <f t="shared" si="49"/>
        <v>20.17881854762809</v>
      </c>
      <c r="R147" s="17">
        <f t="shared" si="50"/>
        <v>662.24534522516342</v>
      </c>
      <c r="S147" s="17">
        <f t="shared" si="51"/>
        <v>33.182779715282145</v>
      </c>
      <c r="T147" s="17">
        <f t="shared" si="52"/>
        <v>18.00926190612315</v>
      </c>
      <c r="U147" s="17">
        <f t="shared" si="53"/>
        <v>3.6537974631851482E-2</v>
      </c>
      <c r="V147" s="17">
        <f t="shared" si="54"/>
        <v>0.92403257185327947</v>
      </c>
      <c r="W147" s="17">
        <f t="shared" si="55"/>
        <v>734.57677594068196</v>
      </c>
      <c r="X147" s="12">
        <f>原始输入与口径!CP147</f>
        <v>734.57677594068196</v>
      </c>
      <c r="Y147" s="19">
        <f t="shared" si="56"/>
        <v>0</v>
      </c>
      <c r="Z147" s="12" t="str">
        <f t="shared" si="57"/>
        <v>次日冻结计划复原</v>
      </c>
      <c r="AA147" s="12">
        <f>IF(原始输入与口径!AW147,1,0)</f>
        <v>1</v>
      </c>
      <c r="AB147" s="12">
        <f>IF(原始输入与口径!AY147,1,0)</f>
        <v>1</v>
      </c>
      <c r="AC147" s="12">
        <f>原始输入与口径!$F$5</f>
        <v>0.25</v>
      </c>
      <c r="AD147" s="18">
        <f>原始输入与口径!CG147</f>
        <v>0.3125</v>
      </c>
      <c r="AE147" s="18">
        <f>原始输入与口径!BQ147</f>
        <v>0.13714285714285715</v>
      </c>
      <c r="AF147" s="18">
        <f t="shared" si="58"/>
        <v>4.5714285714285716E-5</v>
      </c>
      <c r="AG147" s="18">
        <f t="shared" si="59"/>
        <v>7.2114285714285714E-2</v>
      </c>
      <c r="AH147" s="12">
        <f>IF(ISNUMBER(原始输入与口径!T147),原始输入与口径!T147,"缺失")</f>
        <v>175</v>
      </c>
      <c r="AI147" s="12">
        <f>IF(ISNUMBER(原始输入与口径!Y147),原始输入与口径!Y147,"缺失")</f>
        <v>175</v>
      </c>
      <c r="AJ147" s="12">
        <f>IF(ISNUMBER(原始输入与口径!AI147),原始输入与口径!AI147,"缺失")</f>
        <v>2E-3</v>
      </c>
      <c r="AK147" s="12">
        <f>IF(ISNUMBER(原始输入与口径!AL147),原始输入与口径!AL147,"缺失")</f>
        <v>3.1549999999999998</v>
      </c>
      <c r="AL147" s="12">
        <f>IF(ISNUMBER(原始输入与口径!O147),原始输入与口径!O147,"缺失")</f>
        <v>71.936000000000007</v>
      </c>
      <c r="AM147" s="12">
        <f>SUMIFS(相位SOC复算!$N$9:$N$929,相位SOC复算!$S$9:$S$929,139)</f>
        <v>2.0751102594666797E-3</v>
      </c>
      <c r="AN147" s="12">
        <f>SUMIFS(相位SOC复算!$Q$9:$Q$929,相位SOC复算!$S$9:$S$929,139)</f>
        <v>0.40599983337391565</v>
      </c>
      <c r="AO147" s="12">
        <f>SUMIFS(相位SOC复算!$R$9:$R$929,相位SOC复算!$S$9:$S$929,139)</f>
        <v>0.34363825896768224</v>
      </c>
      <c r="AP147" s="12">
        <f>相位SOC复算!J342</f>
        <v>31.739130434782552</v>
      </c>
      <c r="AQ147" s="19">
        <f t="shared" si="60"/>
        <v>0</v>
      </c>
      <c r="AR147" s="12">
        <f>IF(ISBLANK(原始输入与口径!M147),"",原始输入与口径!M147)</f>
        <v>5.2473000000000001</v>
      </c>
      <c r="AS147" s="14">
        <f>IF(ISBLANK(原始输入与口径!L147),"",原始输入与口径!L147)</f>
        <v>46234</v>
      </c>
      <c r="AT147" s="13">
        <f>IF(ISBLANK(原始输入与口径!A147),"",原始输入与口径!A147)</f>
        <v>46236.3125</v>
      </c>
      <c r="AU147" s="12" t="str">
        <f>IF(ISBLANK(原始输入与口径!I147),"",原始输入与口径!I147)</f>
        <v>2026-08-02_39</v>
      </c>
      <c r="AV147" s="12">
        <f>IF(ISBLANK(原始输入与口径!J147),"",原始输入与口径!J147)</f>
        <v>15</v>
      </c>
      <c r="AW147" s="12" t="str">
        <f>IF(ISBLANK(原始输入与口径!BB147),"",原始输入与口径!BB147)</f>
        <v>OK</v>
      </c>
      <c r="AX147" s="12">
        <f>原始输入与口径!CI147</f>
        <v>128</v>
      </c>
      <c r="AY147" s="12">
        <f>原始输入与口径!BS147</f>
        <v>175</v>
      </c>
      <c r="AZ147" s="12">
        <f>原始输入与口径!BI147</f>
        <v>175</v>
      </c>
      <c r="BA147" s="12">
        <f>原始输入与口径!CM147</f>
        <v>40</v>
      </c>
      <c r="BB147" s="12">
        <f>原始输入与口径!BV147</f>
        <v>24</v>
      </c>
      <c r="BC147" s="12">
        <f>原始输入与口径!BL147</f>
        <v>24</v>
      </c>
      <c r="BD147" s="14">
        <f>46235</f>
        <v>46235</v>
      </c>
      <c r="BE147" s="1" t="str">
        <f t="shared" si="61"/>
        <v>1.480199 MW × 54.530000 × 0.250000 h = 20.178819 EUR</v>
      </c>
      <c r="BF147" s="1" t="str">
        <f t="shared" si="62"/>
        <v>40.000000 MW × 66.224535 × 0.250000 h = 662.245345 EUR</v>
      </c>
      <c r="BG147" s="1" t="str">
        <f t="shared" si="63"/>
        <v>24.000000 MW × 5.530463 × 0.250000 h = 33.182780 EUR</v>
      </c>
      <c r="BH147" s="1" t="str">
        <f t="shared" si="64"/>
        <v>24.000000 MW × 3.001544 × 0.250000 h = 18.009262 EUR</v>
      </c>
      <c r="BI147" s="1" t="str">
        <f t="shared" si="65"/>
        <v>0.000274 MWh × 133.211366 = 0.036538 EUR</v>
      </c>
      <c r="BJ147" s="1" t="str">
        <f t="shared" si="66"/>
        <v>−(0.432686 MWh × -2.135574) = 0.924033 EUR</v>
      </c>
      <c r="BK147" s="1" t="str">
        <f t="shared" si="67"/>
        <v>20.178819 + 662.245345 + 33.182780 + 18.009262 + 0.036538 + 0.924033 = 734.576776 EUR</v>
      </c>
    </row>
    <row r="148" spans="1:63" ht="21" customHeight="1" x14ac:dyDescent="0.45">
      <c r="A148" s="13">
        <f>原始输入与口径!C148</f>
        <v>46236.447916666664</v>
      </c>
      <c r="B148" s="15">
        <f>IF(ISNUMBER(原始输入与口径!H148),原始输入与口径!H148,"缺失")</f>
        <v>11.21</v>
      </c>
      <c r="C148" s="15">
        <f>IF(ISNUMBER(原始输入与口径!R148),原始输入与口径!R148,"缺失")</f>
        <v>66.224534522516336</v>
      </c>
      <c r="D148" s="15">
        <f>IF(ISNUMBER(原始输入与口径!W148),原始输入与口径!W148,"缺失")</f>
        <v>5.5304632858803577</v>
      </c>
      <c r="E148" s="15">
        <f>IF(ISNUMBER(原始输入与口径!AB148),原始输入与口径!AB148,"缺失")</f>
        <v>3.0015436510205249</v>
      </c>
      <c r="F148" s="15">
        <f>IF(ISNUMBER(原始输入与口径!AG148),原始输入与口径!AG148,"缺失")</f>
        <v>0</v>
      </c>
      <c r="G148" s="15">
        <f>IF(ISNUMBER(原始输入与口径!AJ148),原始输入与口径!AJ148,"缺失")</f>
        <v>30.115297391039199</v>
      </c>
      <c r="H148" s="15" t="str">
        <f t="shared" si="46"/>
        <v>未模拟</v>
      </c>
      <c r="I148" s="16">
        <f>原始输入与口径!CD148</f>
        <v>31.739130434782538</v>
      </c>
      <c r="J148" s="16">
        <f>原始输入与口径!CE148</f>
        <v>32.562651349068254</v>
      </c>
      <c r="K148" s="16">
        <f>原始输入与口径!BZ148</f>
        <v>0</v>
      </c>
      <c r="L148" s="16">
        <f>原始输入与口径!CK148</f>
        <v>40</v>
      </c>
      <c r="M148" s="16">
        <f>原始输入与口径!BT148</f>
        <v>24</v>
      </c>
      <c r="N148" s="16">
        <f>原始输入与口径!BJ148</f>
        <v>24</v>
      </c>
      <c r="O148" s="16">
        <f t="shared" si="47"/>
        <v>0</v>
      </c>
      <c r="P148" s="16">
        <f t="shared" si="48"/>
        <v>0.89513142857142847</v>
      </c>
      <c r="Q148" s="17">
        <f t="shared" si="49"/>
        <v>0</v>
      </c>
      <c r="R148" s="17">
        <f t="shared" si="50"/>
        <v>662.24534522516342</v>
      </c>
      <c r="S148" s="17">
        <f t="shared" si="51"/>
        <v>33.182779715282145</v>
      </c>
      <c r="T148" s="17">
        <f t="shared" si="52"/>
        <v>18.00926190612315</v>
      </c>
      <c r="U148" s="17">
        <f t="shared" si="53"/>
        <v>0</v>
      </c>
      <c r="V148" s="17">
        <f t="shared" si="54"/>
        <v>-26.95714917549433</v>
      </c>
      <c r="W148" s="17">
        <f t="shared" si="55"/>
        <v>686.48023767107429</v>
      </c>
      <c r="X148" s="12">
        <f>原始输入与口径!CP148</f>
        <v>686.48023767107441</v>
      </c>
      <c r="Y148" s="19">
        <f t="shared" si="56"/>
        <v>0</v>
      </c>
      <c r="Z148" s="12" t="str">
        <f t="shared" si="57"/>
        <v>次日冻结计划复原</v>
      </c>
      <c r="AA148" s="12">
        <f>IF(原始输入与口径!AW148,1,0)</f>
        <v>1</v>
      </c>
      <c r="AB148" s="12">
        <f>IF(原始输入与口径!AY148,1,0)</f>
        <v>1</v>
      </c>
      <c r="AC148" s="12">
        <f>原始输入与口径!$F$5</f>
        <v>0.25</v>
      </c>
      <c r="AD148" s="18">
        <f>原始输入与口径!CG148</f>
        <v>0.3125</v>
      </c>
      <c r="AE148" s="18">
        <f>原始输入与口径!BQ148</f>
        <v>0.13714285714285715</v>
      </c>
      <c r="AF148" s="18">
        <f t="shared" si="58"/>
        <v>0</v>
      </c>
      <c r="AG148" s="18">
        <f t="shared" si="59"/>
        <v>0.14918857142857142</v>
      </c>
      <c r="AH148" s="12">
        <f>IF(ISNUMBER(原始输入与口径!T148),原始输入与口径!T148,"缺失")</f>
        <v>175</v>
      </c>
      <c r="AI148" s="12">
        <f>IF(ISNUMBER(原始输入与口径!Y148),原始输入与口径!Y148,"缺失")</f>
        <v>175</v>
      </c>
      <c r="AJ148" s="12">
        <f>IF(ISNUMBER(原始输入与口径!AI148),原始输入与口径!AI148,"缺失")</f>
        <v>0</v>
      </c>
      <c r="AK148" s="12">
        <f>IF(ISNUMBER(原始输入与口径!AL148),原始输入与口径!AL148,"缺失")</f>
        <v>6.5270000000000001</v>
      </c>
      <c r="AL148" s="12">
        <f>IF(ISNUMBER(原始输入与口径!O148),原始输入与口径!O148,"缺失")</f>
        <v>71.936000000000007</v>
      </c>
      <c r="AM148" s="12">
        <f>SUMIFS(相位SOC复算!$N$9:$N$929,相位SOC复算!$S$9:$S$929,140)</f>
        <v>2.2875580952380951E-3</v>
      </c>
      <c r="AN148" s="12">
        <f>SUMIFS(相位SOC复算!$Q$9:$Q$929,相位SOC复算!$S$9:$S$929,140)</f>
        <v>0.89513142857142847</v>
      </c>
      <c r="AO148" s="12">
        <f>SUMIFS(相位SOC复算!$R$9:$R$929,相位SOC复算!$S$9:$S$929,140)</f>
        <v>0</v>
      </c>
      <c r="AP148" s="12">
        <f>相位SOC复算!J344</f>
        <v>32.562651349068268</v>
      </c>
      <c r="AQ148" s="19">
        <f t="shared" si="60"/>
        <v>0</v>
      </c>
      <c r="AR148" s="12">
        <f>IF(ISBLANK(原始输入与口径!M148),"",原始输入与口径!M148)</f>
        <v>5.2473000000000001</v>
      </c>
      <c r="AS148" s="14">
        <f>IF(ISBLANK(原始输入与口径!L148),"",原始输入与口径!L148)</f>
        <v>46234</v>
      </c>
      <c r="AT148" s="13">
        <f>IF(ISBLANK(原始输入与口径!A148),"",原始输入与口径!A148)</f>
        <v>46236.322916666664</v>
      </c>
      <c r="AU148" s="12" t="str">
        <f>IF(ISBLANK(原始输入与口径!I148),"",原始输入与口径!I148)</f>
        <v>2026-08-02_40</v>
      </c>
      <c r="AV148" s="12">
        <f>IF(ISBLANK(原始输入与口径!J148),"",原始输入与口径!J148)</f>
        <v>15</v>
      </c>
      <c r="AW148" s="12" t="str">
        <f>IF(ISBLANK(原始输入与口径!BB148),"",原始输入与口径!BB148)</f>
        <v>OK</v>
      </c>
      <c r="AX148" s="12">
        <f>原始输入与口径!CI148</f>
        <v>128</v>
      </c>
      <c r="AY148" s="12">
        <f>原始输入与口径!BS148</f>
        <v>175</v>
      </c>
      <c r="AZ148" s="12">
        <f>原始输入与口径!BI148</f>
        <v>175</v>
      </c>
      <c r="BA148" s="12">
        <f>原始输入与口径!CM148</f>
        <v>40</v>
      </c>
      <c r="BB148" s="12">
        <f>原始输入与口径!BV148</f>
        <v>24</v>
      </c>
      <c r="BC148" s="12">
        <f>原始输入与口径!BL148</f>
        <v>24</v>
      </c>
      <c r="BD148" s="14">
        <f>46235</f>
        <v>46235</v>
      </c>
      <c r="BE148" s="1" t="str">
        <f t="shared" si="61"/>
        <v>零头寸，无结算现金</v>
      </c>
      <c r="BF148" s="1" t="str">
        <f t="shared" si="62"/>
        <v>40.000000 MW × 66.224535 × 0.250000 h = 662.245345 EUR</v>
      </c>
      <c r="BG148" s="1" t="str">
        <f t="shared" si="63"/>
        <v>24.000000 MW × 5.530463 × 0.250000 h = 33.182780 EUR</v>
      </c>
      <c r="BH148" s="1" t="str">
        <f t="shared" si="64"/>
        <v>24.000000 MW × 3.001544 × 0.250000 h = 18.009262 EUR</v>
      </c>
      <c r="BI148" s="1" t="str">
        <f t="shared" si="65"/>
        <v>零上调激活电量</v>
      </c>
      <c r="BJ148" s="1" t="str">
        <f t="shared" si="66"/>
        <v>−(0.895131 MWh × 30.115297) = -26.957149 EUR</v>
      </c>
      <c r="BK148" s="1" t="str">
        <f t="shared" si="67"/>
        <v>0.000000 + 662.245345 + 33.182780 + 18.009262 + 0.000000 + -26.957149 = 686.480238 EUR</v>
      </c>
    </row>
    <row r="149" spans="1:63" ht="21" customHeight="1" x14ac:dyDescent="0.45">
      <c r="A149" s="13">
        <f>原始输入与口径!C149</f>
        <v>46236.458333333336</v>
      </c>
      <c r="B149" s="15">
        <f>IF(ISNUMBER(原始输入与口径!H149),原始输入与口径!H149,"缺失")</f>
        <v>11</v>
      </c>
      <c r="C149" s="15">
        <f>IF(ISNUMBER(原始输入与口径!R149),原始输入与口径!R149,"缺失")</f>
        <v>66.224534522516336</v>
      </c>
      <c r="D149" s="15">
        <f>IF(ISNUMBER(原始输入与口径!W149),原始输入与口径!W149,"缺失")</f>
        <v>5.4828197358641582</v>
      </c>
      <c r="E149" s="15">
        <f>IF(ISNUMBER(原始输入与口径!AB149),原始输入与口径!AB149,"缺失")</f>
        <v>3.0072608770224685</v>
      </c>
      <c r="F149" s="15">
        <f>IF(ISNUMBER(原始输入与口径!AG149),原始输入与口径!AG149,"缺失")</f>
        <v>0</v>
      </c>
      <c r="G149" s="15">
        <f>IF(ISNUMBER(原始输入与口径!AJ149),原始输入与口径!AJ149,"缺失")</f>
        <v>-4.9610275760867495</v>
      </c>
      <c r="H149" s="15" t="str">
        <f t="shared" si="46"/>
        <v>未模拟</v>
      </c>
      <c r="I149" s="16">
        <f>原始输入与口径!CD149</f>
        <v>32.562651349068254</v>
      </c>
      <c r="J149" s="16">
        <f>原始输入与口径!CE149</f>
        <v>31.739130434782538</v>
      </c>
      <c r="K149" s="16">
        <f>原始输入与口径!BZ149</f>
        <v>8.9915158359378591</v>
      </c>
      <c r="L149" s="16">
        <f>原始输入与口径!CK149</f>
        <v>40</v>
      </c>
      <c r="M149" s="16">
        <f>原始输入与口径!BT149</f>
        <v>24</v>
      </c>
      <c r="N149" s="16">
        <f>原始输入与口径!BJ149</f>
        <v>24</v>
      </c>
      <c r="O149" s="16">
        <f t="shared" si="47"/>
        <v>0</v>
      </c>
      <c r="P149" s="16">
        <f t="shared" si="48"/>
        <v>1.6485942857142857</v>
      </c>
      <c r="Q149" s="17">
        <f t="shared" si="49"/>
        <v>24.726668548829114</v>
      </c>
      <c r="R149" s="17">
        <f t="shared" si="50"/>
        <v>662.24534522516342</v>
      </c>
      <c r="S149" s="17">
        <f t="shared" si="51"/>
        <v>32.896918415184949</v>
      </c>
      <c r="T149" s="17">
        <f t="shared" si="52"/>
        <v>18.043565262134813</v>
      </c>
      <c r="U149" s="17">
        <f t="shared" si="53"/>
        <v>0</v>
      </c>
      <c r="V149" s="17">
        <f t="shared" si="54"/>
        <v>8.178721713207608</v>
      </c>
      <c r="W149" s="17">
        <f t="shared" si="55"/>
        <v>746.09121916452</v>
      </c>
      <c r="X149" s="12">
        <f>原始输入与口径!CP149</f>
        <v>746.09121916451988</v>
      </c>
      <c r="Y149" s="19">
        <f t="shared" si="56"/>
        <v>0</v>
      </c>
      <c r="Z149" s="12" t="str">
        <f t="shared" si="57"/>
        <v>次日冻结计划复原</v>
      </c>
      <c r="AA149" s="12">
        <f>IF(原始输入与口径!AW149,1,0)</f>
        <v>1</v>
      </c>
      <c r="AB149" s="12">
        <f>IF(原始输入与口径!AY149,1,0)</f>
        <v>1</v>
      </c>
      <c r="AC149" s="12">
        <f>原始输入与口径!$F$5</f>
        <v>0.25</v>
      </c>
      <c r="AD149" s="18">
        <f>原始输入与口径!CG149</f>
        <v>0.3125</v>
      </c>
      <c r="AE149" s="18">
        <f>原始输入与口径!BQ149</f>
        <v>0.13714285714285715</v>
      </c>
      <c r="AF149" s="18">
        <f t="shared" si="58"/>
        <v>0</v>
      </c>
      <c r="AG149" s="18">
        <f t="shared" si="59"/>
        <v>0.27476571428571428</v>
      </c>
      <c r="AH149" s="12">
        <f>IF(ISNUMBER(原始输入与口径!T149),原始输入与口径!T149,"缺失")</f>
        <v>175</v>
      </c>
      <c r="AI149" s="12">
        <f>IF(ISNUMBER(原始输入与口径!Y149),原始输入与口径!Y149,"缺失")</f>
        <v>175</v>
      </c>
      <c r="AJ149" s="12">
        <f>IF(ISNUMBER(原始输入与口径!AI149),原始输入与口径!AI149,"缺失")</f>
        <v>0</v>
      </c>
      <c r="AK149" s="12">
        <f>IF(ISNUMBER(原始输入与口径!AL149),原始输入与口径!AL149,"缺失")</f>
        <v>12.021000000000001</v>
      </c>
      <c r="AL149" s="12">
        <f>IF(ISNUMBER(原始输入与口径!O149),原始输入与口径!O149,"缺失")</f>
        <v>71.936000000000007</v>
      </c>
      <c r="AM149" s="12">
        <f>SUMIFS(相位SOC复算!$N$9:$N$929,相位SOC复算!$S$9:$S$929,141)</f>
        <v>7.5568796535014559E-3</v>
      </c>
      <c r="AN149" s="12">
        <f>SUMIFS(相位SOC复算!$Q$9:$Q$929,相位SOC复算!$S$9:$S$929,141)</f>
        <v>1.0309542179210913</v>
      </c>
      <c r="AO149" s="12">
        <f>SUMIFS(相位SOC复算!$R$9:$R$929,相位SOC复算!$S$9:$S$929,141)</f>
        <v>1.6302388911912704</v>
      </c>
      <c r="AP149" s="12">
        <f>相位SOC复算!J346</f>
        <v>31.739130434782552</v>
      </c>
      <c r="AQ149" s="19">
        <f t="shared" si="60"/>
        <v>0</v>
      </c>
      <c r="AR149" s="12">
        <f>IF(ISBLANK(原始输入与口径!M149),"",原始输入与口径!M149)</f>
        <v>5.2473000000000001</v>
      </c>
      <c r="AS149" s="14">
        <f>IF(ISBLANK(原始输入与口径!L149),"",原始输入与口径!L149)</f>
        <v>46234</v>
      </c>
      <c r="AT149" s="13">
        <f>IF(ISBLANK(原始输入与口径!A149),"",原始输入与口径!A149)</f>
        <v>46236.333333333336</v>
      </c>
      <c r="AU149" s="12" t="str">
        <f>IF(ISBLANK(原始输入与口径!I149),"",原始输入与口径!I149)</f>
        <v>2026-08-02_41</v>
      </c>
      <c r="AV149" s="12">
        <f>IF(ISBLANK(原始输入与口径!J149),"",原始输入与口径!J149)</f>
        <v>15</v>
      </c>
      <c r="AW149" s="12" t="str">
        <f>IF(ISBLANK(原始输入与口径!BB149),"",原始输入与口径!BB149)</f>
        <v>OK</v>
      </c>
      <c r="AX149" s="12">
        <f>原始输入与口径!CI149</f>
        <v>128</v>
      </c>
      <c r="AY149" s="12">
        <f>原始输入与口径!BS149</f>
        <v>175</v>
      </c>
      <c r="AZ149" s="12">
        <f>原始输入与口径!BI149</f>
        <v>175</v>
      </c>
      <c r="BA149" s="12">
        <f>原始输入与口径!CM149</f>
        <v>40</v>
      </c>
      <c r="BB149" s="12">
        <f>原始输入与口径!BV149</f>
        <v>24</v>
      </c>
      <c r="BC149" s="12">
        <f>原始输入与口径!BL149</f>
        <v>24</v>
      </c>
      <c r="BD149" s="14">
        <f>46235</f>
        <v>46235</v>
      </c>
      <c r="BE149" s="1" t="str">
        <f t="shared" si="61"/>
        <v>8.991516 MW × 11.000000 × 0.250000 h = 24.726669 EUR</v>
      </c>
      <c r="BF149" s="1" t="str">
        <f t="shared" si="62"/>
        <v>40.000000 MW × 66.224535 × 0.250000 h = 662.245345 EUR</v>
      </c>
      <c r="BG149" s="1" t="str">
        <f t="shared" si="63"/>
        <v>24.000000 MW × 5.482820 × 0.250000 h = 32.896918 EUR</v>
      </c>
      <c r="BH149" s="1" t="str">
        <f t="shared" si="64"/>
        <v>24.000000 MW × 3.007261 × 0.250000 h = 18.043565 EUR</v>
      </c>
      <c r="BI149" s="1" t="str">
        <f t="shared" si="65"/>
        <v>零上调激活电量</v>
      </c>
      <c r="BJ149" s="1" t="str">
        <f t="shared" si="66"/>
        <v>−(1.648594 MWh × -4.961028) = 8.178722 EUR</v>
      </c>
      <c r="BK149" s="1" t="str">
        <f t="shared" si="67"/>
        <v>24.726669 + 662.245345 + 32.896918 + 18.043565 + 0.000000 + 8.178722 = 746.091219 EUR</v>
      </c>
    </row>
    <row r="150" spans="1:63" ht="21" customHeight="1" x14ac:dyDescent="0.45">
      <c r="A150" s="13">
        <f>原始输入与口径!C150</f>
        <v>46236.46875</v>
      </c>
      <c r="B150" s="15">
        <f>IF(ISNUMBER(原始输入与口径!H150),原始输入与口径!H150,"缺失")</f>
        <v>3.85</v>
      </c>
      <c r="C150" s="15">
        <f>IF(ISNUMBER(原始输入与口径!R150),原始输入与口径!R150,"缺失")</f>
        <v>66.224534522516336</v>
      </c>
      <c r="D150" s="15">
        <f>IF(ISNUMBER(原始输入与口径!W150),原始输入与口径!W150,"缺失")</f>
        <v>5.4828197358641582</v>
      </c>
      <c r="E150" s="15">
        <f>IF(ISNUMBER(原始输入与口径!AB150),原始输入与口径!AB150,"缺失")</f>
        <v>3.0072608770224685</v>
      </c>
      <c r="F150" s="15">
        <f>IF(ISNUMBER(原始输入与口径!AG150),原始输入与口径!AG150,"缺失")</f>
        <v>0</v>
      </c>
      <c r="G150" s="15">
        <f>IF(ISNUMBER(原始输入与口径!AJ150),原始输入与口径!AJ150,"缺失")</f>
        <v>-27.92826787109561</v>
      </c>
      <c r="H150" s="15" t="str">
        <f t="shared" si="46"/>
        <v>未模拟</v>
      </c>
      <c r="I150" s="16">
        <f>原始输入与口径!CD150</f>
        <v>31.739130434782538</v>
      </c>
      <c r="J150" s="16">
        <f>原始输入与口径!CE150</f>
        <v>42.702165863353969</v>
      </c>
      <c r="K150" s="16">
        <f>原始输入与口径!BZ150</f>
        <v>-36</v>
      </c>
      <c r="L150" s="16">
        <f>原始输入与口径!CK150</f>
        <v>40</v>
      </c>
      <c r="M150" s="16">
        <f>原始输入与口径!BT150</f>
        <v>24</v>
      </c>
      <c r="N150" s="16">
        <f>原始输入与口径!BJ150</f>
        <v>24</v>
      </c>
      <c r="O150" s="16">
        <f t="shared" si="47"/>
        <v>0</v>
      </c>
      <c r="P150" s="16">
        <f t="shared" si="48"/>
        <v>2.9163428571428573</v>
      </c>
      <c r="Q150" s="17">
        <f t="shared" si="49"/>
        <v>-34.65</v>
      </c>
      <c r="R150" s="17">
        <f t="shared" si="50"/>
        <v>662.24534522516342</v>
      </c>
      <c r="S150" s="17">
        <f t="shared" si="51"/>
        <v>32.896918415184949</v>
      </c>
      <c r="T150" s="17">
        <f t="shared" si="52"/>
        <v>18.043565262134813</v>
      </c>
      <c r="U150" s="17">
        <f t="shared" si="53"/>
        <v>0</v>
      </c>
      <c r="V150" s="17">
        <f t="shared" si="54"/>
        <v>81.448404518242043</v>
      </c>
      <c r="W150" s="17">
        <f t="shared" si="55"/>
        <v>759.98423342072522</v>
      </c>
      <c r="X150" s="12">
        <f>原始输入与口径!CP150</f>
        <v>759.98423342072522</v>
      </c>
      <c r="Y150" s="19">
        <f t="shared" si="56"/>
        <v>0</v>
      </c>
      <c r="Z150" s="12" t="str">
        <f t="shared" si="57"/>
        <v>次日冻结计划复原</v>
      </c>
      <c r="AA150" s="12">
        <f>IF(原始输入与口径!AW150,1,0)</f>
        <v>1</v>
      </c>
      <c r="AB150" s="12">
        <f>IF(原始输入与口径!AY150,1,0)</f>
        <v>1</v>
      </c>
      <c r="AC150" s="12">
        <f>原始输入与口径!$F$5</f>
        <v>0.25</v>
      </c>
      <c r="AD150" s="18">
        <f>原始输入与口径!CG150</f>
        <v>0.3125</v>
      </c>
      <c r="AE150" s="18">
        <f>原始输入与口径!BQ150</f>
        <v>0.13714285714285715</v>
      </c>
      <c r="AF150" s="18">
        <f t="shared" si="58"/>
        <v>0</v>
      </c>
      <c r="AG150" s="18">
        <f t="shared" si="59"/>
        <v>0.48605714285714285</v>
      </c>
      <c r="AH150" s="12">
        <f>IF(ISNUMBER(原始输入与口径!T150),原始输入与口径!T150,"缺失")</f>
        <v>175</v>
      </c>
      <c r="AI150" s="12">
        <f>IF(ISNUMBER(原始输入与口径!Y150),原始输入与口径!Y150,"缺失")</f>
        <v>175</v>
      </c>
      <c r="AJ150" s="12">
        <f>IF(ISNUMBER(原始输入与口径!AI150),原始输入与口径!AI150,"缺失")</f>
        <v>0</v>
      </c>
      <c r="AK150" s="12">
        <f>IF(ISNUMBER(原始输入与口径!AL150),原始输入与口径!AL150,"缺失")</f>
        <v>21.265000000000001</v>
      </c>
      <c r="AL150" s="12">
        <f>IF(ISNUMBER(原始输入与口径!O150),原始输入与口径!O150,"缺失")</f>
        <v>71.936000000000007</v>
      </c>
      <c r="AM150" s="12">
        <f>SUMIFS(相位SOC复算!$N$9:$N$929,相位SOC复算!$S$9:$S$929,142)</f>
        <v>3.0452876190476194E-2</v>
      </c>
      <c r="AN150" s="12">
        <f>SUMIFS(相位SOC复算!$Q$9:$Q$929,相位SOC复算!$S$9:$S$929,142)</f>
        <v>11.916342857142858</v>
      </c>
      <c r="AO150" s="12">
        <f>SUMIFS(相位SOC复算!$R$9:$R$929,相位SOC复算!$S$9:$S$929,142)</f>
        <v>0</v>
      </c>
      <c r="AP150" s="12">
        <f>相位SOC复算!J348</f>
        <v>42.702165863353983</v>
      </c>
      <c r="AQ150" s="19">
        <f t="shared" si="60"/>
        <v>0</v>
      </c>
      <c r="AR150" s="12">
        <f>IF(ISBLANK(原始输入与口径!M150),"",原始输入与口径!M150)</f>
        <v>5.2473000000000001</v>
      </c>
      <c r="AS150" s="14">
        <f>IF(ISBLANK(原始输入与口径!L150),"",原始输入与口径!L150)</f>
        <v>46234</v>
      </c>
      <c r="AT150" s="13">
        <f>IF(ISBLANK(原始输入与口径!A150),"",原始输入与口径!A150)</f>
        <v>46236.34375</v>
      </c>
      <c r="AU150" s="12" t="str">
        <f>IF(ISBLANK(原始输入与口径!I150),"",原始输入与口径!I150)</f>
        <v>2026-08-02_42</v>
      </c>
      <c r="AV150" s="12">
        <f>IF(ISBLANK(原始输入与口径!J150),"",原始输入与口径!J150)</f>
        <v>15</v>
      </c>
      <c r="AW150" s="12" t="str">
        <f>IF(ISBLANK(原始输入与口径!BB150),"",原始输入与口径!BB150)</f>
        <v>OK</v>
      </c>
      <c r="AX150" s="12">
        <f>原始输入与口径!CI150</f>
        <v>128</v>
      </c>
      <c r="AY150" s="12">
        <f>原始输入与口径!BS150</f>
        <v>175</v>
      </c>
      <c r="AZ150" s="12">
        <f>原始输入与口径!BI150</f>
        <v>175</v>
      </c>
      <c r="BA150" s="12">
        <f>原始输入与口径!CM150</f>
        <v>40</v>
      </c>
      <c r="BB150" s="12">
        <f>原始输入与口径!BV150</f>
        <v>24</v>
      </c>
      <c r="BC150" s="12">
        <f>原始输入与口径!BL150</f>
        <v>24</v>
      </c>
      <c r="BD150" s="14">
        <f>46235</f>
        <v>46235</v>
      </c>
      <c r="BE150" s="1" t="str">
        <f t="shared" si="61"/>
        <v>-36.000000 MW × 3.850000 × 0.250000 h = -34.650000 EUR</v>
      </c>
      <c r="BF150" s="1" t="str">
        <f t="shared" si="62"/>
        <v>40.000000 MW × 66.224535 × 0.250000 h = 662.245345 EUR</v>
      </c>
      <c r="BG150" s="1" t="str">
        <f t="shared" si="63"/>
        <v>24.000000 MW × 5.482820 × 0.250000 h = 32.896918 EUR</v>
      </c>
      <c r="BH150" s="1" t="str">
        <f t="shared" si="64"/>
        <v>24.000000 MW × 3.007261 × 0.250000 h = 18.043565 EUR</v>
      </c>
      <c r="BI150" s="1" t="str">
        <f t="shared" si="65"/>
        <v>零上调激活电量</v>
      </c>
      <c r="BJ150" s="1" t="str">
        <f t="shared" si="66"/>
        <v>−(2.916343 MWh × -27.928268) = 81.448405 EUR</v>
      </c>
      <c r="BK150" s="1" t="str">
        <f t="shared" si="67"/>
        <v>-34.650000 + 662.245345 + 32.896918 + 18.043565 + 0.000000 + 81.448405 = 759.984233 EUR</v>
      </c>
    </row>
    <row r="151" spans="1:63" ht="21" customHeight="1" x14ac:dyDescent="0.45">
      <c r="A151" s="13">
        <f>原始输入与口径!C151</f>
        <v>46236.479166666664</v>
      </c>
      <c r="B151" s="15">
        <f>IF(ISNUMBER(原始输入与口径!H151),原始输入与口径!H151,"缺失")</f>
        <v>2.0099999999999998</v>
      </c>
      <c r="C151" s="15">
        <f>IF(ISNUMBER(原始输入与口径!R151),原始输入与口径!R151,"缺失")</f>
        <v>66.224534522516336</v>
      </c>
      <c r="D151" s="15">
        <f>IF(ISNUMBER(原始输入与口径!W151),原始输入与口径!W151,"缺失")</f>
        <v>5.4828197358641582</v>
      </c>
      <c r="E151" s="15">
        <f>IF(ISNUMBER(原始输入与口径!AB151),原始输入与口径!AB151,"缺失")</f>
        <v>3.0072608770224685</v>
      </c>
      <c r="F151" s="15">
        <f>IF(ISNUMBER(原始输入与口径!AG151),原始输入与口径!AG151,"缺失")</f>
        <v>0</v>
      </c>
      <c r="G151" s="15">
        <f>IF(ISNUMBER(原始输入与口径!AJ151),原始输入与口径!AJ151,"缺失")</f>
        <v>-126.7699578831018</v>
      </c>
      <c r="H151" s="15" t="str">
        <f t="shared" si="46"/>
        <v>未模拟</v>
      </c>
      <c r="I151" s="16">
        <f>原始输入与口径!CD151</f>
        <v>42.702165863353969</v>
      </c>
      <c r="J151" s="16">
        <f>原始输入与口径!CE151</f>
        <v>54.773743463353966</v>
      </c>
      <c r="K151" s="16">
        <f>原始输入与口径!BZ151</f>
        <v>-36</v>
      </c>
      <c r="L151" s="16">
        <f>原始输入与口径!CK151</f>
        <v>40</v>
      </c>
      <c r="M151" s="16">
        <f>原始输入与口径!BT151</f>
        <v>24</v>
      </c>
      <c r="N151" s="16">
        <f>原始输入与口径!BJ151</f>
        <v>24</v>
      </c>
      <c r="O151" s="16">
        <f t="shared" si="47"/>
        <v>0</v>
      </c>
      <c r="P151" s="16">
        <f t="shared" si="48"/>
        <v>4.1212799999999996</v>
      </c>
      <c r="Q151" s="17">
        <f t="shared" si="49"/>
        <v>-18.089999999999996</v>
      </c>
      <c r="R151" s="17">
        <f t="shared" si="50"/>
        <v>662.24534522516342</v>
      </c>
      <c r="S151" s="17">
        <f t="shared" si="51"/>
        <v>32.896918415184949</v>
      </c>
      <c r="T151" s="17">
        <f t="shared" si="52"/>
        <v>18.043565262134813</v>
      </c>
      <c r="U151" s="17">
        <f t="shared" si="53"/>
        <v>0</v>
      </c>
      <c r="V151" s="17">
        <f t="shared" si="54"/>
        <v>522.45449202446969</v>
      </c>
      <c r="W151" s="17">
        <f t="shared" si="55"/>
        <v>1217.5503209269527</v>
      </c>
      <c r="X151" s="12">
        <f>原始输入与口径!CP151</f>
        <v>1217.550320926953</v>
      </c>
      <c r="Y151" s="19">
        <f t="shared" si="56"/>
        <v>0</v>
      </c>
      <c r="Z151" s="12" t="str">
        <f t="shared" si="57"/>
        <v>次日冻结计划复原</v>
      </c>
      <c r="AA151" s="12">
        <f>IF(原始输入与口径!AW151,1,0)</f>
        <v>1</v>
      </c>
      <c r="AB151" s="12">
        <f>IF(原始输入与口径!AY151,1,0)</f>
        <v>1</v>
      </c>
      <c r="AC151" s="12">
        <f>原始输入与口径!$F$5</f>
        <v>0.25</v>
      </c>
      <c r="AD151" s="18">
        <f>原始输入与口径!CG151</f>
        <v>0.3125</v>
      </c>
      <c r="AE151" s="18">
        <f>原始输入与口径!BQ151</f>
        <v>0.13714285714285715</v>
      </c>
      <c r="AF151" s="18">
        <f t="shared" si="58"/>
        <v>0</v>
      </c>
      <c r="AG151" s="18">
        <f t="shared" si="59"/>
        <v>0.68687999999999994</v>
      </c>
      <c r="AH151" s="12">
        <f>IF(ISNUMBER(原始输入与口径!T151),原始输入与口径!T151,"缺失")</f>
        <v>175</v>
      </c>
      <c r="AI151" s="12">
        <f>IF(ISNUMBER(原始输入与口径!Y151),原始输入与口径!Y151,"缺失")</f>
        <v>175</v>
      </c>
      <c r="AJ151" s="12">
        <f>IF(ISNUMBER(原始输入与口径!AI151),原始输入与口径!AI151,"缺失")</f>
        <v>0</v>
      </c>
      <c r="AK151" s="12">
        <f>IF(ISNUMBER(原始输入与口径!AL151),原始输入与口径!AL151,"缺失")</f>
        <v>30.050999999999998</v>
      </c>
      <c r="AL151" s="12">
        <f>IF(ISNUMBER(原始输入与口径!O151),原始输入与口径!O151,"缺失")</f>
        <v>71.936000000000007</v>
      </c>
      <c r="AM151" s="12">
        <f>SUMIFS(相位SOC复算!$N$9:$N$929,相位SOC复算!$S$9:$S$929,143)</f>
        <v>3.3532160000000005E-2</v>
      </c>
      <c r="AN151" s="12">
        <f>SUMIFS(相位SOC复算!$Q$9:$Q$929,相位SOC复算!$S$9:$S$929,143)</f>
        <v>13.121279999999999</v>
      </c>
      <c r="AO151" s="12">
        <f>SUMIFS(相位SOC复算!$R$9:$R$929,相位SOC复算!$S$9:$S$929,143)</f>
        <v>0</v>
      </c>
      <c r="AP151" s="12">
        <f>相位SOC复算!J350</f>
        <v>54.773743463353981</v>
      </c>
      <c r="AQ151" s="19">
        <f t="shared" si="60"/>
        <v>0</v>
      </c>
      <c r="AR151" s="12">
        <f>IF(ISBLANK(原始输入与口径!M151),"",原始输入与口径!M151)</f>
        <v>5.2473000000000001</v>
      </c>
      <c r="AS151" s="14">
        <f>IF(ISBLANK(原始输入与口径!L151),"",原始输入与口径!L151)</f>
        <v>46234</v>
      </c>
      <c r="AT151" s="13">
        <f>IF(ISBLANK(原始输入与口径!A151),"",原始输入与口径!A151)</f>
        <v>46236.354166666664</v>
      </c>
      <c r="AU151" s="12" t="str">
        <f>IF(ISBLANK(原始输入与口径!I151),"",原始输入与口径!I151)</f>
        <v>2026-08-02_43</v>
      </c>
      <c r="AV151" s="12">
        <f>IF(ISBLANK(原始输入与口径!J151),"",原始输入与口径!J151)</f>
        <v>15</v>
      </c>
      <c r="AW151" s="12" t="str">
        <f>IF(ISBLANK(原始输入与口径!BB151),"",原始输入与口径!BB151)</f>
        <v>OK</v>
      </c>
      <c r="AX151" s="12">
        <f>原始输入与口径!CI151</f>
        <v>128</v>
      </c>
      <c r="AY151" s="12">
        <f>原始输入与口径!BS151</f>
        <v>175</v>
      </c>
      <c r="AZ151" s="12">
        <f>原始输入与口径!BI151</f>
        <v>175</v>
      </c>
      <c r="BA151" s="12">
        <f>原始输入与口径!CM151</f>
        <v>40</v>
      </c>
      <c r="BB151" s="12">
        <f>原始输入与口径!BV151</f>
        <v>24</v>
      </c>
      <c r="BC151" s="12">
        <f>原始输入与口径!BL151</f>
        <v>24</v>
      </c>
      <c r="BD151" s="14">
        <f>46235</f>
        <v>46235</v>
      </c>
      <c r="BE151" s="1" t="str">
        <f t="shared" si="61"/>
        <v>-36.000000 MW × 2.010000 × 0.250000 h = -18.090000 EUR</v>
      </c>
      <c r="BF151" s="1" t="str">
        <f t="shared" si="62"/>
        <v>40.000000 MW × 66.224535 × 0.250000 h = 662.245345 EUR</v>
      </c>
      <c r="BG151" s="1" t="str">
        <f t="shared" si="63"/>
        <v>24.000000 MW × 5.482820 × 0.250000 h = 32.896918 EUR</v>
      </c>
      <c r="BH151" s="1" t="str">
        <f t="shared" si="64"/>
        <v>24.000000 MW × 3.007261 × 0.250000 h = 18.043565 EUR</v>
      </c>
      <c r="BI151" s="1" t="str">
        <f t="shared" si="65"/>
        <v>零上调激活电量</v>
      </c>
      <c r="BJ151" s="1" t="str">
        <f t="shared" si="66"/>
        <v>−(4.121280 MWh × -126.769958) = 522.454492 EUR</v>
      </c>
      <c r="BK151" s="1" t="str">
        <f t="shared" si="67"/>
        <v>-18.090000 + 662.245345 + 32.896918 + 18.043565 + 0.000000 + 522.454492 = 1217.550321 EUR</v>
      </c>
    </row>
    <row r="152" spans="1:63" ht="21" customHeight="1" x14ac:dyDescent="0.45">
      <c r="A152" s="13">
        <f>原始输入与口径!C152</f>
        <v>46236.489583333336</v>
      </c>
      <c r="B152" s="15">
        <f>IF(ISNUMBER(原始输入与口径!H152),原始输入与口径!H152,"缺失")</f>
        <v>0.69</v>
      </c>
      <c r="C152" s="15">
        <f>IF(ISNUMBER(原始输入与口径!R152),原始输入与口径!R152,"缺失")</f>
        <v>66.224534522516336</v>
      </c>
      <c r="D152" s="15">
        <f>IF(ISNUMBER(原始输入与口径!W152),原始输入与口径!W152,"缺失")</f>
        <v>5.4828197358641582</v>
      </c>
      <c r="E152" s="15">
        <f>IF(ISNUMBER(原始输入与口径!AB152),原始输入与口径!AB152,"缺失")</f>
        <v>3.0072608770224685</v>
      </c>
      <c r="F152" s="15">
        <f>IF(ISNUMBER(原始输入与口径!AG152),原始输入与口径!AG152,"缺失")</f>
        <v>0</v>
      </c>
      <c r="G152" s="15">
        <f>IF(ISNUMBER(原始输入与口径!AJ152),原始输入与口径!AJ152,"缺失")</f>
        <v>-57.182360452041998</v>
      </c>
      <c r="H152" s="15" t="str">
        <f t="shared" si="46"/>
        <v>未模拟</v>
      </c>
      <c r="I152" s="16">
        <f>原始输入与口径!CD152</f>
        <v>54.773743463353966</v>
      </c>
      <c r="J152" s="16">
        <f>原始输入与口径!CE152</f>
        <v>67.055648834782531</v>
      </c>
      <c r="K152" s="16">
        <f>原始输入与口径!BZ152</f>
        <v>-36</v>
      </c>
      <c r="L152" s="16">
        <f>原始输入与口径!CK152</f>
        <v>40</v>
      </c>
      <c r="M152" s="16">
        <f>原始输入与口径!BT152</f>
        <v>24</v>
      </c>
      <c r="N152" s="16">
        <f>原始输入与口径!BJ152</f>
        <v>24</v>
      </c>
      <c r="O152" s="16">
        <f t="shared" si="47"/>
        <v>0</v>
      </c>
      <c r="P152" s="16">
        <f t="shared" si="48"/>
        <v>4.3498971428571434</v>
      </c>
      <c r="Q152" s="17">
        <f t="shared" si="49"/>
        <v>-6.2099999999999991</v>
      </c>
      <c r="R152" s="17">
        <f t="shared" si="50"/>
        <v>662.24534522516342</v>
      </c>
      <c r="S152" s="17">
        <f t="shared" si="51"/>
        <v>32.896918415184949</v>
      </c>
      <c r="T152" s="17">
        <f t="shared" si="52"/>
        <v>18.043565262134813</v>
      </c>
      <c r="U152" s="17">
        <f t="shared" si="53"/>
        <v>0</v>
      </c>
      <c r="V152" s="17">
        <f t="shared" si="54"/>
        <v>248.7373863521648</v>
      </c>
      <c r="W152" s="17">
        <f t="shared" si="55"/>
        <v>955.71321525464793</v>
      </c>
      <c r="X152" s="12">
        <f>原始输入与口径!CP152</f>
        <v>955.71321525464793</v>
      </c>
      <c r="Y152" s="19">
        <f t="shared" si="56"/>
        <v>0</v>
      </c>
      <c r="Z152" s="12" t="str">
        <f t="shared" si="57"/>
        <v>次日冻结计划复原</v>
      </c>
      <c r="AA152" s="12">
        <f>IF(原始输入与口径!AW152,1,0)</f>
        <v>1</v>
      </c>
      <c r="AB152" s="12">
        <f>IF(原始输入与口径!AY152,1,0)</f>
        <v>1</v>
      </c>
      <c r="AC152" s="12">
        <f>原始输入与口径!$F$5</f>
        <v>0.25</v>
      </c>
      <c r="AD152" s="18">
        <f>原始输入与口径!CG152</f>
        <v>0.3125</v>
      </c>
      <c r="AE152" s="18">
        <f>原始输入与口径!BQ152</f>
        <v>0.13714285714285715</v>
      </c>
      <c r="AF152" s="18">
        <f t="shared" si="58"/>
        <v>0</v>
      </c>
      <c r="AG152" s="18">
        <f t="shared" si="59"/>
        <v>0.72498285714285715</v>
      </c>
      <c r="AH152" s="12">
        <f>IF(ISNUMBER(原始输入与口径!T152),原始输入与口径!T152,"缺失")</f>
        <v>175</v>
      </c>
      <c r="AI152" s="12">
        <f>IF(ISNUMBER(原始输入与口径!Y152),原始输入与口径!Y152,"缺失")</f>
        <v>175</v>
      </c>
      <c r="AJ152" s="12">
        <f>IF(ISNUMBER(原始输入与口径!AI152),原始输入与口径!AI152,"缺失")</f>
        <v>0</v>
      </c>
      <c r="AK152" s="12">
        <f>IF(ISNUMBER(原始输入与口径!AL152),原始输入与口径!AL152,"缺失")</f>
        <v>31.718</v>
      </c>
      <c r="AL152" s="12">
        <f>IF(ISNUMBER(原始输入与口径!O152),原始输入与口径!O152,"缺失")</f>
        <v>71.936000000000007</v>
      </c>
      <c r="AM152" s="12">
        <f>SUMIFS(相位SOC复算!$N$9:$N$929,相位SOC复算!$S$9:$S$929,144)</f>
        <v>3.4116403809523813E-2</v>
      </c>
      <c r="AN152" s="12">
        <f>SUMIFS(相位SOC复算!$Q$9:$Q$929,相位SOC复算!$S$9:$S$929,144)</f>
        <v>13.349897142857143</v>
      </c>
      <c r="AO152" s="12">
        <f>SUMIFS(相位SOC复算!$R$9:$R$929,相位SOC复算!$S$9:$S$929,144)</f>
        <v>0</v>
      </c>
      <c r="AP152" s="12">
        <f>相位SOC复算!J352</f>
        <v>67.055648834782559</v>
      </c>
      <c r="AQ152" s="19">
        <f t="shared" si="60"/>
        <v>0</v>
      </c>
      <c r="AR152" s="12">
        <f>IF(ISBLANK(原始输入与口径!M152),"",原始输入与口径!M152)</f>
        <v>5.2473000000000001</v>
      </c>
      <c r="AS152" s="14">
        <f>IF(ISBLANK(原始输入与口径!L152),"",原始输入与口径!L152)</f>
        <v>46234</v>
      </c>
      <c r="AT152" s="13">
        <f>IF(ISBLANK(原始输入与口径!A152),"",原始输入与口径!A152)</f>
        <v>46236.364583333336</v>
      </c>
      <c r="AU152" s="12" t="str">
        <f>IF(ISBLANK(原始输入与口径!I152),"",原始输入与口径!I152)</f>
        <v>2026-08-02_44</v>
      </c>
      <c r="AV152" s="12">
        <f>IF(ISBLANK(原始输入与口径!J152),"",原始输入与口径!J152)</f>
        <v>15</v>
      </c>
      <c r="AW152" s="12" t="str">
        <f>IF(ISBLANK(原始输入与口径!BB152),"",原始输入与口径!BB152)</f>
        <v>OK</v>
      </c>
      <c r="AX152" s="12">
        <f>原始输入与口径!CI152</f>
        <v>128</v>
      </c>
      <c r="AY152" s="12">
        <f>原始输入与口径!BS152</f>
        <v>175</v>
      </c>
      <c r="AZ152" s="12">
        <f>原始输入与口径!BI152</f>
        <v>175</v>
      </c>
      <c r="BA152" s="12">
        <f>原始输入与口径!CM152</f>
        <v>40</v>
      </c>
      <c r="BB152" s="12">
        <f>原始输入与口径!BV152</f>
        <v>24</v>
      </c>
      <c r="BC152" s="12">
        <f>原始输入与口径!BL152</f>
        <v>24</v>
      </c>
      <c r="BD152" s="14">
        <f>46235</f>
        <v>46235</v>
      </c>
      <c r="BE152" s="1" t="str">
        <f t="shared" si="61"/>
        <v>-36.000000 MW × 0.690000 × 0.250000 h = -6.210000 EUR</v>
      </c>
      <c r="BF152" s="1" t="str">
        <f t="shared" si="62"/>
        <v>40.000000 MW × 66.224535 × 0.250000 h = 662.245345 EUR</v>
      </c>
      <c r="BG152" s="1" t="str">
        <f t="shared" si="63"/>
        <v>24.000000 MW × 5.482820 × 0.250000 h = 32.896918 EUR</v>
      </c>
      <c r="BH152" s="1" t="str">
        <f t="shared" si="64"/>
        <v>24.000000 MW × 3.007261 × 0.250000 h = 18.043565 EUR</v>
      </c>
      <c r="BI152" s="1" t="str">
        <f t="shared" si="65"/>
        <v>零上调激活电量</v>
      </c>
      <c r="BJ152" s="1" t="str">
        <f t="shared" si="66"/>
        <v>−(4.349897 MWh × -57.182360) = 248.737386 EUR</v>
      </c>
      <c r="BK152" s="1" t="str">
        <f t="shared" si="67"/>
        <v>-6.210000 + 662.245345 + 32.896918 + 18.043565 + 0.000000 + 248.737386 = 955.713215 EUR</v>
      </c>
    </row>
    <row r="153" spans="1:63" ht="21" customHeight="1" x14ac:dyDescent="0.45">
      <c r="A153" s="13">
        <f>原始输入与口径!C153</f>
        <v>46236.5</v>
      </c>
      <c r="B153" s="15">
        <f>IF(ISNUMBER(原始输入与口径!H153),原始输入与口径!H153,"缺失")</f>
        <v>0.51</v>
      </c>
      <c r="C153" s="15">
        <f>IF(ISNUMBER(原始输入与口径!R153),原始输入与口径!R153,"缺失")</f>
        <v>66.224534522516336</v>
      </c>
      <c r="D153" s="15">
        <f>IF(ISNUMBER(原始输入与口径!W153),原始输入与口径!W153,"缺失")</f>
        <v>5.5209345758771171</v>
      </c>
      <c r="E153" s="15">
        <f>IF(ISNUMBER(原始输入与口径!AB153),原始输入与口径!AB153,"缺失")</f>
        <v>6.8740113963371634</v>
      </c>
      <c r="F153" s="15">
        <f>IF(ISNUMBER(原始输入与口径!AG153),原始输入与口径!AG153,"缺失")</f>
        <v>0</v>
      </c>
      <c r="G153" s="15">
        <f>IF(ISNUMBER(原始输入与口径!AJ153),原始输入与口径!AJ153,"缺失")</f>
        <v>-220.84538715148744</v>
      </c>
      <c r="H153" s="15" t="str">
        <f t="shared" si="46"/>
        <v>未模拟</v>
      </c>
      <c r="I153" s="16">
        <f>原始输入与口径!CD153</f>
        <v>67.055648834782531</v>
      </c>
      <c r="J153" s="16">
        <f>原始输入与口径!CE153</f>
        <v>78.884851120496819</v>
      </c>
      <c r="K153" s="16">
        <f>原始输入与口径!BZ153</f>
        <v>-36</v>
      </c>
      <c r="L153" s="16">
        <f>原始输入与口径!CK153</f>
        <v>40</v>
      </c>
      <c r="M153" s="16">
        <f>原始输入与口径!BT153</f>
        <v>24</v>
      </c>
      <c r="N153" s="16">
        <f>原始输入与口径!BJ153</f>
        <v>24</v>
      </c>
      <c r="O153" s="16">
        <f t="shared" si="47"/>
        <v>0</v>
      </c>
      <c r="P153" s="16">
        <f t="shared" si="48"/>
        <v>3.8578285714285712</v>
      </c>
      <c r="Q153" s="17">
        <f t="shared" si="49"/>
        <v>-4.59</v>
      </c>
      <c r="R153" s="17">
        <f t="shared" si="50"/>
        <v>662.24534522516342</v>
      </c>
      <c r="S153" s="17">
        <f t="shared" si="51"/>
        <v>33.125607455262703</v>
      </c>
      <c r="T153" s="17">
        <f t="shared" si="52"/>
        <v>41.24406837802298</v>
      </c>
      <c r="U153" s="17">
        <f t="shared" si="53"/>
        <v>0</v>
      </c>
      <c r="V153" s="17">
        <f t="shared" si="54"/>
        <v>851.98364442121249</v>
      </c>
      <c r="W153" s="17">
        <f t="shared" si="55"/>
        <v>1584.0086654796617</v>
      </c>
      <c r="X153" s="12">
        <f>原始输入与口径!CP153</f>
        <v>1584.0086654796617</v>
      </c>
      <c r="Y153" s="19">
        <f t="shared" si="56"/>
        <v>0</v>
      </c>
      <c r="Z153" s="12" t="str">
        <f t="shared" si="57"/>
        <v>次日冻结计划复原</v>
      </c>
      <c r="AA153" s="12">
        <f>IF(原始输入与口径!AW153,1,0)</f>
        <v>1</v>
      </c>
      <c r="AB153" s="12">
        <f>IF(原始输入与口径!AY153,1,0)</f>
        <v>1</v>
      </c>
      <c r="AC153" s="12">
        <f>原始输入与口径!$F$5</f>
        <v>0.25</v>
      </c>
      <c r="AD153" s="18">
        <f>原始输入与口径!CG153</f>
        <v>0.3125</v>
      </c>
      <c r="AE153" s="18">
        <f>原始输入与口径!BQ153</f>
        <v>0.13714285714285715</v>
      </c>
      <c r="AF153" s="18">
        <f t="shared" si="58"/>
        <v>0</v>
      </c>
      <c r="AG153" s="18">
        <f t="shared" si="59"/>
        <v>0.64297142857142853</v>
      </c>
      <c r="AH153" s="12">
        <f>IF(ISNUMBER(原始输入与口径!T153),原始输入与口径!T153,"缺失")</f>
        <v>175</v>
      </c>
      <c r="AI153" s="12">
        <f>IF(ISNUMBER(原始输入与口径!Y153),原始输入与口径!Y153,"缺失")</f>
        <v>175</v>
      </c>
      <c r="AJ153" s="12">
        <f>IF(ISNUMBER(原始输入与口径!AI153),原始输入与口径!AI153,"缺失")</f>
        <v>0</v>
      </c>
      <c r="AK153" s="12">
        <f>IF(ISNUMBER(原始输入与口径!AL153),原始输入与口径!AL153,"缺失")</f>
        <v>28.13</v>
      </c>
      <c r="AL153" s="12">
        <f>IF(ISNUMBER(原始输入与口径!O153),原始输入与口径!O153,"缺失")</f>
        <v>71.936000000000007</v>
      </c>
      <c r="AM153" s="12">
        <f>SUMIFS(相位SOC复算!$N$9:$N$929,相位SOC复算!$S$9:$S$929,145)</f>
        <v>3.2858895238095237E-2</v>
      </c>
      <c r="AN153" s="12">
        <f>SUMIFS(相位SOC复算!$Q$9:$Q$929,相位SOC复算!$S$9:$S$929,145)</f>
        <v>12.857828571428572</v>
      </c>
      <c r="AO153" s="12">
        <f>SUMIFS(相位SOC复算!$R$9:$R$929,相位SOC复算!$S$9:$S$929,145)</f>
        <v>0</v>
      </c>
      <c r="AP153" s="12">
        <f>相位SOC复算!J354</f>
        <v>78.884851120496847</v>
      </c>
      <c r="AQ153" s="19">
        <f t="shared" si="60"/>
        <v>0</v>
      </c>
      <c r="AR153" s="12">
        <f>IF(ISBLANK(原始输入与口径!M153),"",原始输入与口径!M153)</f>
        <v>5.2473000000000001</v>
      </c>
      <c r="AS153" s="14">
        <f>IF(ISBLANK(原始输入与口径!L153),"",原始输入与口径!L153)</f>
        <v>46234</v>
      </c>
      <c r="AT153" s="13">
        <f>IF(ISBLANK(原始输入与口径!A153),"",原始输入与口径!A153)</f>
        <v>46236.375</v>
      </c>
      <c r="AU153" s="12" t="str">
        <f>IF(ISBLANK(原始输入与口径!I153),"",原始输入与口径!I153)</f>
        <v>2026-08-02_45</v>
      </c>
      <c r="AV153" s="12">
        <f>IF(ISBLANK(原始输入与口径!J153),"",原始输入与口径!J153)</f>
        <v>15</v>
      </c>
      <c r="AW153" s="12" t="str">
        <f>IF(ISBLANK(原始输入与口径!BB153),"",原始输入与口径!BB153)</f>
        <v>OK</v>
      </c>
      <c r="AX153" s="12">
        <f>原始输入与口径!CI153</f>
        <v>128</v>
      </c>
      <c r="AY153" s="12">
        <f>原始输入与口径!BS153</f>
        <v>175</v>
      </c>
      <c r="AZ153" s="12">
        <f>原始输入与口径!BI153</f>
        <v>175</v>
      </c>
      <c r="BA153" s="12">
        <f>原始输入与口径!CM153</f>
        <v>40</v>
      </c>
      <c r="BB153" s="12">
        <f>原始输入与口径!BV153</f>
        <v>24</v>
      </c>
      <c r="BC153" s="12">
        <f>原始输入与口径!BL153</f>
        <v>24</v>
      </c>
      <c r="BD153" s="14">
        <f>46235</f>
        <v>46235</v>
      </c>
      <c r="BE153" s="1" t="str">
        <f t="shared" si="61"/>
        <v>-36.000000 MW × 0.510000 × 0.250000 h = -4.590000 EUR</v>
      </c>
      <c r="BF153" s="1" t="str">
        <f t="shared" si="62"/>
        <v>40.000000 MW × 66.224535 × 0.250000 h = 662.245345 EUR</v>
      </c>
      <c r="BG153" s="1" t="str">
        <f t="shared" si="63"/>
        <v>24.000000 MW × 5.520935 × 0.250000 h = 33.125607 EUR</v>
      </c>
      <c r="BH153" s="1" t="str">
        <f t="shared" si="64"/>
        <v>24.000000 MW × 6.874011 × 0.250000 h = 41.244068 EUR</v>
      </c>
      <c r="BI153" s="1" t="str">
        <f t="shared" si="65"/>
        <v>零上调激活电量</v>
      </c>
      <c r="BJ153" s="1" t="str">
        <f t="shared" si="66"/>
        <v>−(3.857829 MWh × -220.845387) = 851.983644 EUR</v>
      </c>
      <c r="BK153" s="1" t="str">
        <f t="shared" si="67"/>
        <v>-4.590000 + 662.245345 + 33.125607 + 41.244068 + 0.000000 + 851.983644 = 1584.008665 EUR</v>
      </c>
    </row>
    <row r="154" spans="1:63" ht="21" customHeight="1" x14ac:dyDescent="0.45">
      <c r="A154" s="13">
        <f>原始输入与口径!C154</f>
        <v>46236.510416666664</v>
      </c>
      <c r="B154" s="15">
        <f>IF(ISNUMBER(原始输入与口径!H154),原始输入与口径!H154,"缺失")</f>
        <v>0.69</v>
      </c>
      <c r="C154" s="15">
        <f>IF(ISNUMBER(原始输入与口径!R154),原始输入与口径!R154,"缺失")</f>
        <v>66.224534522516336</v>
      </c>
      <c r="D154" s="15">
        <f>IF(ISNUMBER(原始输入与口径!W154),原始输入与口径!W154,"缺失")</f>
        <v>5.5209345758771171</v>
      </c>
      <c r="E154" s="15">
        <f>IF(ISNUMBER(原始输入与口径!AB154),原始输入与口径!AB154,"缺失")</f>
        <v>6.8740113963371634</v>
      </c>
      <c r="F154" s="15">
        <f>IF(ISNUMBER(原始输入与口径!AG154),原始输入与口径!AG154,"缺失")</f>
        <v>0</v>
      </c>
      <c r="G154" s="15">
        <f>IF(ISNUMBER(原始输入与口径!AJ154),原始输入与口径!AJ154,"缺失")</f>
        <v>-34.273435862252967</v>
      </c>
      <c r="H154" s="15" t="str">
        <f t="shared" si="46"/>
        <v>未模拟</v>
      </c>
      <c r="I154" s="16">
        <f>原始输入与口径!CD154</f>
        <v>78.884851120496819</v>
      </c>
      <c r="J154" s="16">
        <f>原始输入与口径!CE154</f>
        <v>89.792623463353962</v>
      </c>
      <c r="K154" s="16">
        <f>原始输入与口径!BZ154</f>
        <v>-36</v>
      </c>
      <c r="L154" s="16">
        <f>原始输入与口径!CK154</f>
        <v>40</v>
      </c>
      <c r="M154" s="16">
        <f>原始输入与口径!BT154</f>
        <v>24</v>
      </c>
      <c r="N154" s="16">
        <f>原始输入与口径!BJ154</f>
        <v>24</v>
      </c>
      <c r="O154" s="16">
        <f t="shared" si="47"/>
        <v>0</v>
      </c>
      <c r="P154" s="16">
        <f t="shared" si="48"/>
        <v>2.856274285714286</v>
      </c>
      <c r="Q154" s="17">
        <f t="shared" si="49"/>
        <v>-6.2099999999999991</v>
      </c>
      <c r="R154" s="17">
        <f t="shared" si="50"/>
        <v>662.24534522516342</v>
      </c>
      <c r="S154" s="17">
        <f t="shared" si="51"/>
        <v>33.125607455262703</v>
      </c>
      <c r="T154" s="17">
        <f t="shared" si="52"/>
        <v>41.24406837802298</v>
      </c>
      <c r="U154" s="17">
        <f t="shared" si="53"/>
        <v>0</v>
      </c>
      <c r="V154" s="17">
        <f t="shared" si="54"/>
        <v>97.894333536430992</v>
      </c>
      <c r="W154" s="17">
        <f t="shared" si="55"/>
        <v>828.29935459488013</v>
      </c>
      <c r="X154" s="12">
        <f>原始输入与口径!CP154</f>
        <v>828.29935459488013</v>
      </c>
      <c r="Y154" s="19">
        <f t="shared" si="56"/>
        <v>0</v>
      </c>
      <c r="Z154" s="12" t="str">
        <f t="shared" si="57"/>
        <v>次日冻结计划复原</v>
      </c>
      <c r="AA154" s="12">
        <f>IF(原始输入与口径!AW154,1,0)</f>
        <v>1</v>
      </c>
      <c r="AB154" s="12">
        <f>IF(原始输入与口径!AY154,1,0)</f>
        <v>1</v>
      </c>
      <c r="AC154" s="12">
        <f>原始输入与口径!$F$5</f>
        <v>0.25</v>
      </c>
      <c r="AD154" s="18">
        <f>原始输入与口径!CG154</f>
        <v>0.3125</v>
      </c>
      <c r="AE154" s="18">
        <f>原始输入与口径!BQ154</f>
        <v>0.13714285714285715</v>
      </c>
      <c r="AF154" s="18">
        <f t="shared" si="58"/>
        <v>0</v>
      </c>
      <c r="AG154" s="18">
        <f t="shared" si="59"/>
        <v>0.47604571428571435</v>
      </c>
      <c r="AH154" s="12">
        <f>IF(ISNUMBER(原始输入与口径!T154),原始输入与口径!T154,"缺失")</f>
        <v>175</v>
      </c>
      <c r="AI154" s="12">
        <f>IF(ISNUMBER(原始输入与口径!Y154),原始输入与口径!Y154,"缺失")</f>
        <v>175</v>
      </c>
      <c r="AJ154" s="12">
        <f>IF(ISNUMBER(原始输入与口径!AI154),原始输入与口径!AI154,"缺失")</f>
        <v>0</v>
      </c>
      <c r="AK154" s="12">
        <f>IF(ISNUMBER(原始输入与口径!AL154),原始输入与口径!AL154,"缺失")</f>
        <v>20.827000000000002</v>
      </c>
      <c r="AL154" s="12">
        <f>IF(ISNUMBER(原始输入与口径!O154),原始输入与口径!O154,"缺失")</f>
        <v>71.936000000000007</v>
      </c>
      <c r="AM154" s="12">
        <f>SUMIFS(相位SOC复算!$N$9:$N$929,相位SOC复算!$S$9:$S$929,146)</f>
        <v>3.0299367619047623E-2</v>
      </c>
      <c r="AN154" s="12">
        <f>SUMIFS(相位SOC复算!$Q$9:$Q$929,相位SOC复算!$S$9:$S$929,146)</f>
        <v>11.856274285714285</v>
      </c>
      <c r="AO154" s="12">
        <f>SUMIFS(相位SOC复算!$R$9:$R$929,相位SOC复算!$S$9:$S$929,146)</f>
        <v>0</v>
      </c>
      <c r="AP154" s="12">
        <f>相位SOC复算!J356</f>
        <v>89.792623463353991</v>
      </c>
      <c r="AQ154" s="19">
        <f t="shared" si="60"/>
        <v>0</v>
      </c>
      <c r="AR154" s="12">
        <f>IF(ISBLANK(原始输入与口径!M154),"",原始输入与口径!M154)</f>
        <v>5.2473000000000001</v>
      </c>
      <c r="AS154" s="14">
        <f>IF(ISBLANK(原始输入与口径!L154),"",原始输入与口径!L154)</f>
        <v>46234</v>
      </c>
      <c r="AT154" s="13">
        <f>IF(ISBLANK(原始输入与口径!A154),"",原始输入与口径!A154)</f>
        <v>46236.385416666664</v>
      </c>
      <c r="AU154" s="12" t="str">
        <f>IF(ISBLANK(原始输入与口径!I154),"",原始输入与口径!I154)</f>
        <v>2026-08-02_46</v>
      </c>
      <c r="AV154" s="12">
        <f>IF(ISBLANK(原始输入与口径!J154),"",原始输入与口径!J154)</f>
        <v>15</v>
      </c>
      <c r="AW154" s="12" t="str">
        <f>IF(ISBLANK(原始输入与口径!BB154),"",原始输入与口径!BB154)</f>
        <v>OK</v>
      </c>
      <c r="AX154" s="12">
        <f>原始输入与口径!CI154</f>
        <v>128</v>
      </c>
      <c r="AY154" s="12">
        <f>原始输入与口径!BS154</f>
        <v>175</v>
      </c>
      <c r="AZ154" s="12">
        <f>原始输入与口径!BI154</f>
        <v>175</v>
      </c>
      <c r="BA154" s="12">
        <f>原始输入与口径!CM154</f>
        <v>40</v>
      </c>
      <c r="BB154" s="12">
        <f>原始输入与口径!BV154</f>
        <v>24</v>
      </c>
      <c r="BC154" s="12">
        <f>原始输入与口径!BL154</f>
        <v>24</v>
      </c>
      <c r="BD154" s="14">
        <f>46235</f>
        <v>46235</v>
      </c>
      <c r="BE154" s="1" t="str">
        <f t="shared" si="61"/>
        <v>-36.000000 MW × 0.690000 × 0.250000 h = -6.210000 EUR</v>
      </c>
      <c r="BF154" s="1" t="str">
        <f t="shared" si="62"/>
        <v>40.000000 MW × 66.224535 × 0.250000 h = 662.245345 EUR</v>
      </c>
      <c r="BG154" s="1" t="str">
        <f t="shared" si="63"/>
        <v>24.000000 MW × 5.520935 × 0.250000 h = 33.125607 EUR</v>
      </c>
      <c r="BH154" s="1" t="str">
        <f t="shared" si="64"/>
        <v>24.000000 MW × 6.874011 × 0.250000 h = 41.244068 EUR</v>
      </c>
      <c r="BI154" s="1" t="str">
        <f t="shared" si="65"/>
        <v>零上调激活电量</v>
      </c>
      <c r="BJ154" s="1" t="str">
        <f t="shared" si="66"/>
        <v>−(2.856274 MWh × -34.273436) = 97.894334 EUR</v>
      </c>
      <c r="BK154" s="1" t="str">
        <f t="shared" si="67"/>
        <v>-6.210000 + 662.245345 + 33.125607 + 41.244068 + 0.000000 + 97.894334 = 828.299355 EUR</v>
      </c>
    </row>
    <row r="155" spans="1:63" ht="21" customHeight="1" x14ac:dyDescent="0.45">
      <c r="A155" s="13">
        <f>原始输入与口径!C155</f>
        <v>46236.520833333336</v>
      </c>
      <c r="B155" s="15">
        <f>IF(ISNUMBER(原始输入与口径!H155),原始输入与口径!H155,"缺失")</f>
        <v>1.95</v>
      </c>
      <c r="C155" s="15">
        <f>IF(ISNUMBER(原始输入与口径!R155),原始输入与口径!R155,"缺失")</f>
        <v>66.224534522516336</v>
      </c>
      <c r="D155" s="15">
        <f>IF(ISNUMBER(原始输入与口径!W155),原始输入与口径!W155,"缺失")</f>
        <v>5.5209345758771171</v>
      </c>
      <c r="E155" s="15">
        <f>IF(ISNUMBER(原始输入与口径!AB155),原始输入与口径!AB155,"缺失")</f>
        <v>6.8740113963371634</v>
      </c>
      <c r="F155" s="15">
        <f>IF(ISNUMBER(原始输入与口径!AG155),原始输入与口径!AG155,"缺失")</f>
        <v>0</v>
      </c>
      <c r="G155" s="15">
        <f>IF(ISNUMBER(原始输入与口径!AJ155),原始输入与口径!AJ155,"缺失")</f>
        <v>8.5459188535056132</v>
      </c>
      <c r="H155" s="15" t="str">
        <f t="shared" si="46"/>
        <v>未模拟</v>
      </c>
      <c r="I155" s="16">
        <f>原始输入与口径!CD155</f>
        <v>89.792623463353962</v>
      </c>
      <c r="J155" s="16">
        <f>原始输入与口径!CE155</f>
        <v>99.291565634782543</v>
      </c>
      <c r="K155" s="16">
        <f>原始输入与口径!BZ155</f>
        <v>-36</v>
      </c>
      <c r="L155" s="16">
        <f>原始输入与口径!CK155</f>
        <v>40</v>
      </c>
      <c r="M155" s="16">
        <f>原始输入与口径!BT155</f>
        <v>24</v>
      </c>
      <c r="N155" s="16">
        <f>原始输入与口径!BJ155</f>
        <v>24</v>
      </c>
      <c r="O155" s="16">
        <f t="shared" si="47"/>
        <v>0</v>
      </c>
      <c r="P155" s="16">
        <f t="shared" si="48"/>
        <v>1.3249371428571428</v>
      </c>
      <c r="Q155" s="17">
        <f t="shared" si="49"/>
        <v>-17.55</v>
      </c>
      <c r="R155" s="17">
        <f t="shared" si="50"/>
        <v>662.24534522516342</v>
      </c>
      <c r="S155" s="17">
        <f t="shared" si="51"/>
        <v>33.125607455262703</v>
      </c>
      <c r="T155" s="17">
        <f t="shared" si="52"/>
        <v>41.24406837802298</v>
      </c>
      <c r="U155" s="17">
        <f t="shared" si="53"/>
        <v>0</v>
      </c>
      <c r="V155" s="17">
        <f t="shared" si="54"/>
        <v>-11.322805308852717</v>
      </c>
      <c r="W155" s="17">
        <f t="shared" si="55"/>
        <v>707.74221574959654</v>
      </c>
      <c r="X155" s="12">
        <f>原始输入与口径!CP155</f>
        <v>707.74221574959643</v>
      </c>
      <c r="Y155" s="19">
        <f t="shared" si="56"/>
        <v>0</v>
      </c>
      <c r="Z155" s="12" t="str">
        <f t="shared" si="57"/>
        <v>次日冻结计划复原</v>
      </c>
      <c r="AA155" s="12">
        <f>IF(原始输入与口径!AW155,1,0)</f>
        <v>1</v>
      </c>
      <c r="AB155" s="12">
        <f>IF(原始输入与口径!AY155,1,0)</f>
        <v>1</v>
      </c>
      <c r="AC155" s="12">
        <f>原始输入与口径!$F$5</f>
        <v>0.25</v>
      </c>
      <c r="AD155" s="18">
        <f>原始输入与口径!CG155</f>
        <v>0.3125</v>
      </c>
      <c r="AE155" s="18">
        <f>原始输入与口径!BQ155</f>
        <v>0.13714285714285715</v>
      </c>
      <c r="AF155" s="18">
        <f t="shared" si="58"/>
        <v>0</v>
      </c>
      <c r="AG155" s="18">
        <f t="shared" si="59"/>
        <v>0.22082285714285713</v>
      </c>
      <c r="AH155" s="12">
        <f>IF(ISNUMBER(原始输入与口径!T155),原始输入与口径!T155,"缺失")</f>
        <v>175</v>
      </c>
      <c r="AI155" s="12">
        <f>IF(ISNUMBER(原始输入与口径!Y155),原始输入与口径!Y155,"缺失")</f>
        <v>175</v>
      </c>
      <c r="AJ155" s="12">
        <f>IF(ISNUMBER(原始输入与口径!AI155),原始输入与口径!AI155,"缺失")</f>
        <v>0</v>
      </c>
      <c r="AK155" s="12">
        <f>IF(ISNUMBER(原始输入与口径!AL155),原始输入与口径!AL155,"缺失")</f>
        <v>9.6609999999999996</v>
      </c>
      <c r="AL155" s="12">
        <f>IF(ISNUMBER(原始输入与口径!O155),原始输入与口径!O155,"缺失")</f>
        <v>71.936000000000007</v>
      </c>
      <c r="AM155" s="12">
        <f>SUMIFS(相位SOC复算!$N$9:$N$929,相位SOC复算!$S$9:$S$929,147)</f>
        <v>2.6385950476190481E-2</v>
      </c>
      <c r="AN155" s="12">
        <f>SUMIFS(相位SOC复算!$Q$9:$Q$929,相位SOC复算!$S$9:$S$929,147)</f>
        <v>10.324937142857143</v>
      </c>
      <c r="AO155" s="12">
        <f>SUMIFS(相位SOC复算!$R$9:$R$929,相位SOC复算!$S$9:$S$929,147)</f>
        <v>0</v>
      </c>
      <c r="AP155" s="12">
        <f>相位SOC复算!J358</f>
        <v>99.291565634782572</v>
      </c>
      <c r="AQ155" s="19">
        <f t="shared" si="60"/>
        <v>0</v>
      </c>
      <c r="AR155" s="12">
        <f>IF(ISBLANK(原始输入与口径!M155),"",原始输入与口径!M155)</f>
        <v>5.2473000000000001</v>
      </c>
      <c r="AS155" s="14">
        <f>IF(ISBLANK(原始输入与口径!L155),"",原始输入与口径!L155)</f>
        <v>46234</v>
      </c>
      <c r="AT155" s="13">
        <f>IF(ISBLANK(原始输入与口径!A155),"",原始输入与口径!A155)</f>
        <v>46236.395833333336</v>
      </c>
      <c r="AU155" s="12" t="str">
        <f>IF(ISBLANK(原始输入与口径!I155),"",原始输入与口径!I155)</f>
        <v>2026-08-02_47</v>
      </c>
      <c r="AV155" s="12">
        <f>IF(ISBLANK(原始输入与口径!J155),"",原始输入与口径!J155)</f>
        <v>15</v>
      </c>
      <c r="AW155" s="12" t="str">
        <f>IF(ISBLANK(原始输入与口径!BB155),"",原始输入与口径!BB155)</f>
        <v>OK</v>
      </c>
      <c r="AX155" s="12">
        <f>原始输入与口径!CI155</f>
        <v>128</v>
      </c>
      <c r="AY155" s="12">
        <f>原始输入与口径!BS155</f>
        <v>175</v>
      </c>
      <c r="AZ155" s="12">
        <f>原始输入与口径!BI155</f>
        <v>175</v>
      </c>
      <c r="BA155" s="12">
        <f>原始输入与口径!CM155</f>
        <v>40</v>
      </c>
      <c r="BB155" s="12">
        <f>原始输入与口径!BV155</f>
        <v>24</v>
      </c>
      <c r="BC155" s="12">
        <f>原始输入与口径!BL155</f>
        <v>24</v>
      </c>
      <c r="BD155" s="14">
        <f>46235</f>
        <v>46235</v>
      </c>
      <c r="BE155" s="1" t="str">
        <f t="shared" si="61"/>
        <v>-36.000000 MW × 1.950000 × 0.250000 h = -17.550000 EUR</v>
      </c>
      <c r="BF155" s="1" t="str">
        <f t="shared" si="62"/>
        <v>40.000000 MW × 66.224535 × 0.250000 h = 662.245345 EUR</v>
      </c>
      <c r="BG155" s="1" t="str">
        <f t="shared" si="63"/>
        <v>24.000000 MW × 5.520935 × 0.250000 h = 33.125607 EUR</v>
      </c>
      <c r="BH155" s="1" t="str">
        <f t="shared" si="64"/>
        <v>24.000000 MW × 6.874011 × 0.250000 h = 41.244068 EUR</v>
      </c>
      <c r="BI155" s="1" t="str">
        <f t="shared" si="65"/>
        <v>零上调激活电量</v>
      </c>
      <c r="BJ155" s="1" t="str">
        <f t="shared" si="66"/>
        <v>−(1.324937 MWh × 8.545919) = -11.322805 EUR</v>
      </c>
      <c r="BK155" s="1" t="str">
        <f t="shared" si="67"/>
        <v>-17.550000 + 662.245345 + 33.125607 + 41.244068 + 0.000000 + -11.322805 = 707.742216 EUR</v>
      </c>
    </row>
    <row r="156" spans="1:63" ht="21" customHeight="1" x14ac:dyDescent="0.45">
      <c r="A156" s="13">
        <f>原始输入与口径!C156</f>
        <v>46236.53125</v>
      </c>
      <c r="B156" s="15">
        <f>IF(ISNUMBER(原始输入与口径!H156),原始输入与口径!H156,"缺失")</f>
        <v>2.4300000000000002</v>
      </c>
      <c r="C156" s="15">
        <f>IF(ISNUMBER(原始输入与口径!R156),原始输入与口径!R156,"缺失")</f>
        <v>66.224534522516336</v>
      </c>
      <c r="D156" s="15">
        <f>IF(ISNUMBER(原始输入与口径!W156),原始输入与口径!W156,"缺失")</f>
        <v>5.5209345758771171</v>
      </c>
      <c r="E156" s="15">
        <f>IF(ISNUMBER(原始输入与口径!AB156),原始输入与口径!AB156,"缺失")</f>
        <v>6.8740113963371634</v>
      </c>
      <c r="F156" s="15">
        <f>IF(ISNUMBER(原始输入与口径!AG156),原始输入与口径!AG156,"缺失")</f>
        <v>0</v>
      </c>
      <c r="G156" s="15">
        <f>IF(ISNUMBER(原始输入与口径!AJ156),原始输入与口径!AJ156,"缺失")</f>
        <v>-23.469403312179598</v>
      </c>
      <c r="H156" s="15" t="str">
        <f t="shared" si="46"/>
        <v>未模拟</v>
      </c>
      <c r="I156" s="16">
        <f>原始输入与口径!CD156</f>
        <v>99.291565634782543</v>
      </c>
      <c r="J156" s="16">
        <f>原始输入与口径!CE156</f>
        <v>109.49429203478255</v>
      </c>
      <c r="K156" s="16">
        <f>原始输入与口径!BZ156</f>
        <v>-36</v>
      </c>
      <c r="L156" s="16">
        <f>原始输入与口径!CK156</f>
        <v>40</v>
      </c>
      <c r="M156" s="16">
        <f>原始输入与口径!BT156</f>
        <v>24</v>
      </c>
      <c r="N156" s="16">
        <f>原始输入与口径!BJ156</f>
        <v>24</v>
      </c>
      <c r="O156" s="16">
        <f t="shared" si="47"/>
        <v>0</v>
      </c>
      <c r="P156" s="16">
        <f t="shared" si="48"/>
        <v>2.0899200000000002</v>
      </c>
      <c r="Q156" s="17">
        <f t="shared" si="49"/>
        <v>-21.87</v>
      </c>
      <c r="R156" s="17">
        <f t="shared" si="50"/>
        <v>662.24534522516342</v>
      </c>
      <c r="S156" s="17">
        <f t="shared" si="51"/>
        <v>33.125607455262703</v>
      </c>
      <c r="T156" s="17">
        <f t="shared" si="52"/>
        <v>41.24406837802298</v>
      </c>
      <c r="U156" s="17">
        <f t="shared" si="53"/>
        <v>0</v>
      </c>
      <c r="V156" s="17">
        <f t="shared" si="54"/>
        <v>49.04917537019039</v>
      </c>
      <c r="W156" s="17">
        <f t="shared" si="55"/>
        <v>763.79419642863957</v>
      </c>
      <c r="X156" s="12">
        <f>原始输入与口径!CP156</f>
        <v>763.79419642863945</v>
      </c>
      <c r="Y156" s="19">
        <f t="shared" si="56"/>
        <v>0</v>
      </c>
      <c r="Z156" s="12" t="str">
        <f t="shared" si="57"/>
        <v>次日冻结计划复原</v>
      </c>
      <c r="AA156" s="12">
        <f>IF(原始输入与口径!AW156,1,0)</f>
        <v>1</v>
      </c>
      <c r="AB156" s="12">
        <f>IF(原始输入与口径!AY156,1,0)</f>
        <v>1</v>
      </c>
      <c r="AC156" s="12">
        <f>原始输入与口径!$F$5</f>
        <v>0.25</v>
      </c>
      <c r="AD156" s="18">
        <f>原始输入与口径!CG156</f>
        <v>0.3125</v>
      </c>
      <c r="AE156" s="18">
        <f>原始输入与口径!BQ156</f>
        <v>0.13714285714285715</v>
      </c>
      <c r="AF156" s="18">
        <f t="shared" si="58"/>
        <v>0</v>
      </c>
      <c r="AG156" s="18">
        <f t="shared" si="59"/>
        <v>0.34832000000000002</v>
      </c>
      <c r="AH156" s="12">
        <f>IF(ISNUMBER(原始输入与口径!T156),原始输入与口径!T156,"缺失")</f>
        <v>175</v>
      </c>
      <c r="AI156" s="12">
        <f>IF(ISNUMBER(原始输入与口径!Y156),原始输入与口径!Y156,"缺失")</f>
        <v>175</v>
      </c>
      <c r="AJ156" s="12">
        <f>IF(ISNUMBER(原始输入与口径!AI156),原始输入与口径!AI156,"缺失")</f>
        <v>0</v>
      </c>
      <c r="AK156" s="12">
        <f>IF(ISNUMBER(原始输入与口径!AL156),原始输入与口径!AL156,"缺失")</f>
        <v>15.239000000000001</v>
      </c>
      <c r="AL156" s="12">
        <f>IF(ISNUMBER(原始输入与口径!O156),原始输入与口径!O156,"缺失")</f>
        <v>71.936000000000007</v>
      </c>
      <c r="AM156" s="12">
        <f>SUMIFS(相位SOC复算!$N$9:$N$929,相位SOC复算!$S$9:$S$929,148)</f>
        <v>2.8340906666666672E-2</v>
      </c>
      <c r="AN156" s="12">
        <f>SUMIFS(相位SOC复算!$Q$9:$Q$929,相位SOC复算!$S$9:$S$929,148)</f>
        <v>11.089919999999999</v>
      </c>
      <c r="AO156" s="12">
        <f>SUMIFS(相位SOC复算!$R$9:$R$929,相位SOC复算!$S$9:$S$929,148)</f>
        <v>0</v>
      </c>
      <c r="AP156" s="12">
        <f>相位SOC复算!J360</f>
        <v>109.49429203478257</v>
      </c>
      <c r="AQ156" s="19">
        <f t="shared" si="60"/>
        <v>0</v>
      </c>
      <c r="AR156" s="12">
        <f>IF(ISBLANK(原始输入与口径!M156),"",原始输入与口径!M156)</f>
        <v>5.2473000000000001</v>
      </c>
      <c r="AS156" s="14">
        <f>IF(ISBLANK(原始输入与口径!L156),"",原始输入与口径!L156)</f>
        <v>46234</v>
      </c>
      <c r="AT156" s="13">
        <f>IF(ISBLANK(原始输入与口径!A156),"",原始输入与口径!A156)</f>
        <v>46236.40625</v>
      </c>
      <c r="AU156" s="12" t="str">
        <f>IF(ISBLANK(原始输入与口径!I156),"",原始输入与口径!I156)</f>
        <v>2026-08-02_48</v>
      </c>
      <c r="AV156" s="12">
        <f>IF(ISBLANK(原始输入与口径!J156),"",原始输入与口径!J156)</f>
        <v>15</v>
      </c>
      <c r="AW156" s="12" t="str">
        <f>IF(ISBLANK(原始输入与口径!BB156),"",原始输入与口径!BB156)</f>
        <v>OK</v>
      </c>
      <c r="AX156" s="12">
        <f>原始输入与口径!CI156</f>
        <v>128</v>
      </c>
      <c r="AY156" s="12">
        <f>原始输入与口径!BS156</f>
        <v>175</v>
      </c>
      <c r="AZ156" s="12">
        <f>原始输入与口径!BI156</f>
        <v>175</v>
      </c>
      <c r="BA156" s="12">
        <f>原始输入与口径!CM156</f>
        <v>40</v>
      </c>
      <c r="BB156" s="12">
        <f>原始输入与口径!BV156</f>
        <v>24</v>
      </c>
      <c r="BC156" s="12">
        <f>原始输入与口径!BL156</f>
        <v>24</v>
      </c>
      <c r="BD156" s="14">
        <f>46235</f>
        <v>46235</v>
      </c>
      <c r="BE156" s="1" t="str">
        <f t="shared" si="61"/>
        <v>-36.000000 MW × 2.430000 × 0.250000 h = -21.870000 EUR</v>
      </c>
      <c r="BF156" s="1" t="str">
        <f t="shared" si="62"/>
        <v>40.000000 MW × 66.224535 × 0.250000 h = 662.245345 EUR</v>
      </c>
      <c r="BG156" s="1" t="str">
        <f t="shared" si="63"/>
        <v>24.000000 MW × 5.520935 × 0.250000 h = 33.125607 EUR</v>
      </c>
      <c r="BH156" s="1" t="str">
        <f t="shared" si="64"/>
        <v>24.000000 MW × 6.874011 × 0.250000 h = 41.244068 EUR</v>
      </c>
      <c r="BI156" s="1" t="str">
        <f t="shared" si="65"/>
        <v>零上调激活电量</v>
      </c>
      <c r="BJ156" s="1" t="str">
        <f t="shared" si="66"/>
        <v>−(2.089920 MWh × -23.469403) = 49.049175 EUR</v>
      </c>
      <c r="BK156" s="1" t="str">
        <f t="shared" si="67"/>
        <v>-21.870000 + 662.245345 + 33.125607 + 41.244068 + 0.000000 + 49.049175 = 763.794196 EUR</v>
      </c>
    </row>
    <row r="157" spans="1:63" ht="21" customHeight="1" x14ac:dyDescent="0.45">
      <c r="A157" s="13">
        <f>原始输入与口径!C157</f>
        <v>46236.541666666664</v>
      </c>
      <c r="B157" s="15">
        <f>IF(ISNUMBER(原始输入与口径!H157),原始输入与口径!H157,"缺失")</f>
        <v>3.03</v>
      </c>
      <c r="C157" s="15">
        <f>IF(ISNUMBER(原始输入与口径!R157),原始输入与口径!R157,"缺失")</f>
        <v>66.224534522516336</v>
      </c>
      <c r="D157" s="15">
        <f>IF(ISNUMBER(原始输入与口径!W157),原始输入与口径!W157,"缺失")</f>
        <v>5.4732910258609184</v>
      </c>
      <c r="E157" s="15">
        <f>IF(ISNUMBER(原始输入与口径!AB157),原始输入与口径!AB157,"缺失")</f>
        <v>6.8606712023326279</v>
      </c>
      <c r="F157" s="15">
        <f>IF(ISNUMBER(原始输入与口径!AG157),原始输入与口径!AG157,"缺失")</f>
        <v>0</v>
      </c>
      <c r="G157" s="15">
        <f>IF(ISNUMBER(原始输入与口径!AJ157),原始输入与口径!AJ157,"缺失")</f>
        <v>34.425514073904672</v>
      </c>
      <c r="H157" s="15" t="str">
        <f t="shared" si="46"/>
        <v>未模拟</v>
      </c>
      <c r="I157" s="16">
        <f>原始输入与口径!CD157</f>
        <v>109.49429203478255</v>
      </c>
      <c r="J157" s="16">
        <f>原始输入与口径!CE157</f>
        <v>118.27557112049683</v>
      </c>
      <c r="K157" s="16">
        <f>原始输入与口径!BZ157</f>
        <v>-36</v>
      </c>
      <c r="L157" s="16">
        <f>原始输入与口径!CK157</f>
        <v>40</v>
      </c>
      <c r="M157" s="16">
        <f>原始输入与口径!BT157</f>
        <v>24</v>
      </c>
      <c r="N157" s="16">
        <f>原始输入与口径!BJ157</f>
        <v>24</v>
      </c>
      <c r="O157" s="16">
        <f t="shared" si="47"/>
        <v>0</v>
      </c>
      <c r="P157" s="16">
        <f t="shared" si="48"/>
        <v>0.54486857142857148</v>
      </c>
      <c r="Q157" s="17">
        <f t="shared" si="49"/>
        <v>-27.27</v>
      </c>
      <c r="R157" s="17">
        <f t="shared" si="50"/>
        <v>662.24534522516342</v>
      </c>
      <c r="S157" s="17">
        <f t="shared" si="51"/>
        <v>32.839746155165514</v>
      </c>
      <c r="T157" s="17">
        <f t="shared" si="52"/>
        <v>41.164027213995766</v>
      </c>
      <c r="U157" s="17">
        <f t="shared" si="53"/>
        <v>0</v>
      </c>
      <c r="V157" s="17">
        <f t="shared" si="54"/>
        <v>-18.75738067414262</v>
      </c>
      <c r="W157" s="17">
        <f t="shared" si="55"/>
        <v>690.22173792018202</v>
      </c>
      <c r="X157" s="12">
        <f>原始输入与口径!CP157</f>
        <v>690.22173792018202</v>
      </c>
      <c r="Y157" s="19">
        <f t="shared" si="56"/>
        <v>0</v>
      </c>
      <c r="Z157" s="12" t="str">
        <f t="shared" si="57"/>
        <v>次日冻结计划复原</v>
      </c>
      <c r="AA157" s="12">
        <f>IF(原始输入与口径!AW157,1,0)</f>
        <v>1</v>
      </c>
      <c r="AB157" s="12">
        <f>IF(原始输入与口径!AY157,1,0)</f>
        <v>1</v>
      </c>
      <c r="AC157" s="12">
        <f>原始输入与口径!$F$5</f>
        <v>0.25</v>
      </c>
      <c r="AD157" s="18">
        <f>原始输入与口径!CG157</f>
        <v>0.3125</v>
      </c>
      <c r="AE157" s="18">
        <f>原始输入与口径!BQ157</f>
        <v>0.13714285714285715</v>
      </c>
      <c r="AF157" s="18">
        <f t="shared" si="58"/>
        <v>0</v>
      </c>
      <c r="AG157" s="18">
        <f t="shared" si="59"/>
        <v>9.0811428571428571E-2</v>
      </c>
      <c r="AH157" s="12">
        <f>IF(ISNUMBER(原始输入与口径!T157),原始输入与口径!T157,"缺失")</f>
        <v>175</v>
      </c>
      <c r="AI157" s="12">
        <f>IF(ISNUMBER(原始输入与口径!Y157),原始输入与口径!Y157,"缺失")</f>
        <v>175</v>
      </c>
      <c r="AJ157" s="12">
        <f>IF(ISNUMBER(原始输入与口径!AI157),原始输入与口径!AI157,"缺失")</f>
        <v>0</v>
      </c>
      <c r="AK157" s="12">
        <f>IF(ISNUMBER(原始输入与口径!AL157),原始输入与口径!AL157,"缺失")</f>
        <v>3.9729999999999999</v>
      </c>
      <c r="AL157" s="12">
        <f>IF(ISNUMBER(原始输入与口径!O157),原始输入与口径!O157,"缺失")</f>
        <v>71.936000000000007</v>
      </c>
      <c r="AM157" s="12">
        <f>SUMIFS(相位SOC复算!$N$9:$N$929,相位SOC复算!$S$9:$S$929,149)</f>
        <v>2.4392441904761905E-2</v>
      </c>
      <c r="AN157" s="12">
        <f>SUMIFS(相位SOC复算!$Q$9:$Q$929,相位SOC复算!$S$9:$S$929,149)</f>
        <v>9.544868571428573</v>
      </c>
      <c r="AO157" s="12">
        <f>SUMIFS(相位SOC复算!$R$9:$R$929,相位SOC复算!$S$9:$S$929,149)</f>
        <v>0</v>
      </c>
      <c r="AP157" s="12">
        <f>相位SOC复算!J362</f>
        <v>118.27557112049686</v>
      </c>
      <c r="AQ157" s="19">
        <f t="shared" si="60"/>
        <v>0</v>
      </c>
      <c r="AR157" s="12">
        <f>IF(ISBLANK(原始输入与口径!M157),"",原始输入与口径!M157)</f>
        <v>5.2473000000000001</v>
      </c>
      <c r="AS157" s="14">
        <f>IF(ISBLANK(原始输入与口径!L157),"",原始输入与口径!L157)</f>
        <v>46234</v>
      </c>
      <c r="AT157" s="13">
        <f>IF(ISBLANK(原始输入与口径!A157),"",原始输入与口径!A157)</f>
        <v>46236.416666666664</v>
      </c>
      <c r="AU157" s="12" t="str">
        <f>IF(ISBLANK(原始输入与口径!I157),"",原始输入与口径!I157)</f>
        <v>2026-08-02_49</v>
      </c>
      <c r="AV157" s="12">
        <f>IF(ISBLANK(原始输入与口径!J157),"",原始输入与口径!J157)</f>
        <v>15</v>
      </c>
      <c r="AW157" s="12" t="str">
        <f>IF(ISBLANK(原始输入与口径!BB157),"",原始输入与口径!BB157)</f>
        <v>OK</v>
      </c>
      <c r="AX157" s="12">
        <f>原始输入与口径!CI157</f>
        <v>128</v>
      </c>
      <c r="AY157" s="12">
        <f>原始输入与口径!BS157</f>
        <v>175</v>
      </c>
      <c r="AZ157" s="12">
        <f>原始输入与口径!BI157</f>
        <v>175</v>
      </c>
      <c r="BA157" s="12">
        <f>原始输入与口径!CM157</f>
        <v>40</v>
      </c>
      <c r="BB157" s="12">
        <f>原始输入与口径!BV157</f>
        <v>24</v>
      </c>
      <c r="BC157" s="12">
        <f>原始输入与口径!BL157</f>
        <v>24</v>
      </c>
      <c r="BD157" s="14">
        <f>46235</f>
        <v>46235</v>
      </c>
      <c r="BE157" s="1" t="str">
        <f t="shared" si="61"/>
        <v>-36.000000 MW × 3.030000 × 0.250000 h = -27.270000 EUR</v>
      </c>
      <c r="BF157" s="1" t="str">
        <f t="shared" si="62"/>
        <v>40.000000 MW × 66.224535 × 0.250000 h = 662.245345 EUR</v>
      </c>
      <c r="BG157" s="1" t="str">
        <f t="shared" si="63"/>
        <v>24.000000 MW × 5.473291 × 0.250000 h = 32.839746 EUR</v>
      </c>
      <c r="BH157" s="1" t="str">
        <f t="shared" si="64"/>
        <v>24.000000 MW × 6.860671 × 0.250000 h = 41.164027 EUR</v>
      </c>
      <c r="BI157" s="1" t="str">
        <f t="shared" si="65"/>
        <v>零上调激活电量</v>
      </c>
      <c r="BJ157" s="1" t="str">
        <f t="shared" si="66"/>
        <v>−(0.544869 MWh × 34.425514) = -18.757381 EUR</v>
      </c>
      <c r="BK157" s="1" t="str">
        <f t="shared" si="67"/>
        <v>-27.270000 + 662.245345 + 32.839746 + 41.164027 + 0.000000 + -18.757381 = 690.221738 EUR</v>
      </c>
    </row>
    <row r="158" spans="1:63" ht="21" customHeight="1" x14ac:dyDescent="0.45">
      <c r="A158" s="13">
        <f>原始输入与口径!C158</f>
        <v>46236.552083333336</v>
      </c>
      <c r="B158" s="15">
        <f>IF(ISNUMBER(原始输入与口径!H158),原始输入与口径!H158,"缺失")</f>
        <v>3</v>
      </c>
      <c r="C158" s="15">
        <f>IF(ISNUMBER(原始输入与口径!R158),原始输入与口径!R158,"缺失")</f>
        <v>66.224534522516336</v>
      </c>
      <c r="D158" s="15">
        <f>IF(ISNUMBER(原始输入与口径!W158),原始输入与口径!W158,"缺失")</f>
        <v>5.4732910258609184</v>
      </c>
      <c r="E158" s="15">
        <f>IF(ISNUMBER(原始输入与口径!AB158),原始输入与口径!AB158,"缺失")</f>
        <v>6.8606712023326279</v>
      </c>
      <c r="F158" s="15">
        <f>IF(ISNUMBER(原始输入与口径!AG158),原始输入与口径!AG158,"缺失")</f>
        <v>89.209688792331292</v>
      </c>
      <c r="G158" s="15">
        <f>IF(ISNUMBER(原始输入与口径!AJ158),原始输入与口径!AJ158,"缺失")</f>
        <v>12.709012253921065</v>
      </c>
      <c r="H158" s="15" t="str">
        <f t="shared" si="46"/>
        <v>未模拟</v>
      </c>
      <c r="I158" s="16">
        <f>原始输入与口径!CD158</f>
        <v>118.27557112049683</v>
      </c>
      <c r="J158" s="16">
        <f>原始输入与口径!CE158</f>
        <v>126.94556700621112</v>
      </c>
      <c r="K158" s="16">
        <f>原始输入与口径!BZ158</f>
        <v>-36</v>
      </c>
      <c r="L158" s="16">
        <f>原始输入与口径!CK158</f>
        <v>40</v>
      </c>
      <c r="M158" s="16">
        <f>原始输入与口径!BT158</f>
        <v>24</v>
      </c>
      <c r="N158" s="16">
        <f>原始输入与口径!BJ158</f>
        <v>24</v>
      </c>
      <c r="O158" s="16">
        <f t="shared" si="47"/>
        <v>5.7600000000000004E-3</v>
      </c>
      <c r="P158" s="16">
        <f t="shared" si="48"/>
        <v>0.42966857142857146</v>
      </c>
      <c r="Q158" s="17">
        <f t="shared" si="49"/>
        <v>-27</v>
      </c>
      <c r="R158" s="17">
        <f t="shared" si="50"/>
        <v>662.24534522516342</v>
      </c>
      <c r="S158" s="17">
        <f t="shared" si="51"/>
        <v>32.839746155165514</v>
      </c>
      <c r="T158" s="17">
        <f t="shared" si="52"/>
        <v>41.164027213995766</v>
      </c>
      <c r="U158" s="17">
        <f t="shared" si="53"/>
        <v>0.5138478074438283</v>
      </c>
      <c r="V158" s="17">
        <f t="shared" si="54"/>
        <v>-5.4606631394104728</v>
      </c>
      <c r="W158" s="17">
        <f t="shared" si="55"/>
        <v>704.30230326235801</v>
      </c>
      <c r="X158" s="12">
        <f>原始输入与口径!CP158</f>
        <v>704.30230326235801</v>
      </c>
      <c r="Y158" s="19">
        <f t="shared" si="56"/>
        <v>0</v>
      </c>
      <c r="Z158" s="12" t="str">
        <f t="shared" si="57"/>
        <v>次日冻结计划复原</v>
      </c>
      <c r="AA158" s="12">
        <f>IF(原始输入与口径!AW158,1,0)</f>
        <v>1</v>
      </c>
      <c r="AB158" s="12">
        <f>IF(原始输入与口径!AY158,1,0)</f>
        <v>1</v>
      </c>
      <c r="AC158" s="12">
        <f>原始输入与口径!$F$5</f>
        <v>0.25</v>
      </c>
      <c r="AD158" s="18">
        <f>原始输入与口径!CG158</f>
        <v>0.3125</v>
      </c>
      <c r="AE158" s="18">
        <f>原始输入与口径!BQ158</f>
        <v>0.13714285714285715</v>
      </c>
      <c r="AF158" s="18">
        <f t="shared" si="58"/>
        <v>9.6000000000000002E-4</v>
      </c>
      <c r="AG158" s="18">
        <f t="shared" si="59"/>
        <v>7.1611428571428576E-2</v>
      </c>
      <c r="AH158" s="12">
        <f>IF(ISNUMBER(原始输入与口径!T158),原始输入与口径!T158,"缺失")</f>
        <v>175</v>
      </c>
      <c r="AI158" s="12">
        <f>IF(ISNUMBER(原始输入与口径!Y158),原始输入与口径!Y158,"缺失")</f>
        <v>175</v>
      </c>
      <c r="AJ158" s="12">
        <f>IF(ISNUMBER(原始输入与口径!AI158),原始输入与口径!AI158,"缺失")</f>
        <v>4.2000000000000003E-2</v>
      </c>
      <c r="AK158" s="12">
        <f>IF(ISNUMBER(原始输入与口径!AL158),原始输入与口径!AL158,"缺失")</f>
        <v>3.133</v>
      </c>
      <c r="AL158" s="12">
        <f>IF(ISNUMBER(原始输入与口径!O158),原始输入与口径!O158,"缺失")</f>
        <v>71.936000000000007</v>
      </c>
      <c r="AM158" s="12">
        <f>SUMIFS(相位SOC复算!$N$9:$N$929,相位SOC复算!$S$9:$S$929,150)</f>
        <v>2.4083321904761909E-2</v>
      </c>
      <c r="AN158" s="12">
        <f>SUMIFS(相位SOC复算!$Q$9:$Q$929,相位SOC复算!$S$9:$S$929,150)</f>
        <v>9.4239085714285711</v>
      </c>
      <c r="AO158" s="12">
        <f>SUMIFS(相位SOC复算!$R$9:$R$929,相位SOC复算!$S$9:$S$929,150)</f>
        <v>0</v>
      </c>
      <c r="AP158" s="12">
        <f>相位SOC复算!J365</f>
        <v>126.94556700621115</v>
      </c>
      <c r="AQ158" s="19">
        <f t="shared" si="60"/>
        <v>0</v>
      </c>
      <c r="AR158" s="12">
        <f>IF(ISBLANK(原始输入与口径!M158),"",原始输入与口径!M158)</f>
        <v>5.2473000000000001</v>
      </c>
      <c r="AS158" s="14">
        <f>IF(ISBLANK(原始输入与口径!L158),"",原始输入与口径!L158)</f>
        <v>46234</v>
      </c>
      <c r="AT158" s="13">
        <f>IF(ISBLANK(原始输入与口径!A158),"",原始输入与口径!A158)</f>
        <v>46236.427083333336</v>
      </c>
      <c r="AU158" s="12" t="str">
        <f>IF(ISBLANK(原始输入与口径!I158),"",原始输入与口径!I158)</f>
        <v>2026-08-02_50</v>
      </c>
      <c r="AV158" s="12">
        <f>IF(ISBLANK(原始输入与口径!J158),"",原始输入与口径!J158)</f>
        <v>15</v>
      </c>
      <c r="AW158" s="12" t="str">
        <f>IF(ISBLANK(原始输入与口径!BB158),"",原始输入与口径!BB158)</f>
        <v>OK</v>
      </c>
      <c r="AX158" s="12">
        <f>原始输入与口径!CI158</f>
        <v>128</v>
      </c>
      <c r="AY158" s="12">
        <f>原始输入与口径!BS158</f>
        <v>175</v>
      </c>
      <c r="AZ158" s="12">
        <f>原始输入与口径!BI158</f>
        <v>175</v>
      </c>
      <c r="BA158" s="12">
        <f>原始输入与口径!CM158</f>
        <v>40</v>
      </c>
      <c r="BB158" s="12">
        <f>原始输入与口径!BV158</f>
        <v>24</v>
      </c>
      <c r="BC158" s="12">
        <f>原始输入与口径!BL158</f>
        <v>24</v>
      </c>
      <c r="BD158" s="14">
        <f>46235</f>
        <v>46235</v>
      </c>
      <c r="BE158" s="1" t="str">
        <f t="shared" si="61"/>
        <v>-36.000000 MW × 3.000000 × 0.250000 h = -27.000000 EUR</v>
      </c>
      <c r="BF158" s="1" t="str">
        <f t="shared" si="62"/>
        <v>40.000000 MW × 66.224535 × 0.250000 h = 662.245345 EUR</v>
      </c>
      <c r="BG158" s="1" t="str">
        <f t="shared" si="63"/>
        <v>24.000000 MW × 5.473291 × 0.250000 h = 32.839746 EUR</v>
      </c>
      <c r="BH158" s="1" t="str">
        <f t="shared" si="64"/>
        <v>24.000000 MW × 6.860671 × 0.250000 h = 41.164027 EUR</v>
      </c>
      <c r="BI158" s="1" t="str">
        <f t="shared" si="65"/>
        <v>0.005760 MWh × 89.209689 = 0.513848 EUR</v>
      </c>
      <c r="BJ158" s="1" t="str">
        <f t="shared" si="66"/>
        <v>−(0.429669 MWh × 12.709012) = -5.460663 EUR</v>
      </c>
      <c r="BK158" s="1" t="str">
        <f t="shared" si="67"/>
        <v>-27.000000 + 662.245345 + 32.839746 + 41.164027 + 0.513848 + -5.460663 = 704.302303 EUR</v>
      </c>
    </row>
    <row r="159" spans="1:63" ht="21" customHeight="1" x14ac:dyDescent="0.45">
      <c r="A159" s="13">
        <f>原始输入与口径!C159</f>
        <v>46236.5625</v>
      </c>
      <c r="B159" s="15">
        <f>IF(ISNUMBER(原始输入与口径!H159),原始输入与口径!H159,"缺失")</f>
        <v>3.56</v>
      </c>
      <c r="C159" s="15">
        <f>IF(ISNUMBER(原始输入与口径!R159),原始输入与口径!R159,"缺失")</f>
        <v>66.224534522516336</v>
      </c>
      <c r="D159" s="15">
        <f>IF(ISNUMBER(原始输入与口径!W159),原始输入与口径!W159,"缺失")</f>
        <v>5.4732910258609184</v>
      </c>
      <c r="E159" s="15">
        <f>IF(ISNUMBER(原始输入与口径!AB159),原始输入与口径!AB159,"缺失")</f>
        <v>6.8606712023326279</v>
      </c>
      <c r="F159" s="15">
        <f>IF(ISNUMBER(原始输入与口径!AG159),原始输入与口径!AG159,"缺失")</f>
        <v>89.209688792331292</v>
      </c>
      <c r="G159" s="15">
        <f>IF(ISNUMBER(原始输入与口径!AJ159),原始输入与口径!AJ159,"缺失")</f>
        <v>-2.9539001010043262</v>
      </c>
      <c r="H159" s="15" t="str">
        <f t="shared" si="46"/>
        <v>未模拟</v>
      </c>
      <c r="I159" s="16">
        <f>原始输入与口径!CD159</f>
        <v>126.94556700621112</v>
      </c>
      <c r="J159" s="16">
        <f>原始输入与口径!CE159</f>
        <v>135.72861249192542</v>
      </c>
      <c r="K159" s="16">
        <f>原始输入与口径!BZ159</f>
        <v>-36</v>
      </c>
      <c r="L159" s="16">
        <f>原始输入与口径!CK159</f>
        <v>40</v>
      </c>
      <c r="M159" s="16">
        <f>原始输入与口径!BT159</f>
        <v>24</v>
      </c>
      <c r="N159" s="16">
        <f>原始输入与口径!BJ159</f>
        <v>24</v>
      </c>
      <c r="O159" s="16">
        <f t="shared" si="47"/>
        <v>2.3314285714285715E-3</v>
      </c>
      <c r="P159" s="16">
        <f t="shared" si="48"/>
        <v>0.54911999999999994</v>
      </c>
      <c r="Q159" s="17">
        <f t="shared" si="49"/>
        <v>-32.04</v>
      </c>
      <c r="R159" s="17">
        <f t="shared" si="50"/>
        <v>662.24534522516342</v>
      </c>
      <c r="S159" s="17">
        <f t="shared" si="51"/>
        <v>32.839746155165514</v>
      </c>
      <c r="T159" s="17">
        <f t="shared" si="52"/>
        <v>41.164027213995766</v>
      </c>
      <c r="U159" s="17">
        <f t="shared" si="53"/>
        <v>0.2079860172986924</v>
      </c>
      <c r="V159" s="17">
        <f t="shared" si="54"/>
        <v>1.6220456234634955</v>
      </c>
      <c r="W159" s="17">
        <f t="shared" si="55"/>
        <v>706.03915023508682</v>
      </c>
      <c r="X159" s="12">
        <f>原始输入与口径!CP159</f>
        <v>706.03915023508694</v>
      </c>
      <c r="Y159" s="19">
        <f t="shared" si="56"/>
        <v>0</v>
      </c>
      <c r="Z159" s="12" t="str">
        <f t="shared" si="57"/>
        <v>次日冻结计划复原</v>
      </c>
      <c r="AA159" s="12">
        <f>IF(原始输入与口径!AW159,1,0)</f>
        <v>1</v>
      </c>
      <c r="AB159" s="12">
        <f>IF(原始输入与口径!AY159,1,0)</f>
        <v>1</v>
      </c>
      <c r="AC159" s="12">
        <f>原始输入与口径!$F$5</f>
        <v>0.25</v>
      </c>
      <c r="AD159" s="18">
        <f>原始输入与口径!CG159</f>
        <v>0.3125</v>
      </c>
      <c r="AE159" s="18">
        <f>原始输入与口径!BQ159</f>
        <v>0.13714285714285715</v>
      </c>
      <c r="AF159" s="18">
        <f t="shared" si="58"/>
        <v>3.8857142857142861E-4</v>
      </c>
      <c r="AG159" s="18">
        <f t="shared" si="59"/>
        <v>9.151999999999999E-2</v>
      </c>
      <c r="AH159" s="12">
        <f>IF(ISNUMBER(原始输入与口径!T159),原始输入与口径!T159,"缺失")</f>
        <v>175</v>
      </c>
      <c r="AI159" s="12">
        <f>IF(ISNUMBER(原始输入与口径!Y159),原始输入与口径!Y159,"缺失")</f>
        <v>175</v>
      </c>
      <c r="AJ159" s="12">
        <f>IF(ISNUMBER(原始输入与口径!AI159),原始输入与口径!AI159,"缺失")</f>
        <v>1.7000000000000001E-2</v>
      </c>
      <c r="AK159" s="12">
        <f>IF(ISNUMBER(原始输入与口径!AL159),原始输入与口径!AL159,"缺失")</f>
        <v>4.0039999999999996</v>
      </c>
      <c r="AL159" s="12">
        <f>IF(ISNUMBER(原始输入与口径!O159),原始输入与口径!O159,"缺失")</f>
        <v>71.936000000000007</v>
      </c>
      <c r="AM159" s="12">
        <f>SUMIFS(相位SOC复算!$N$9:$N$929,相位SOC复算!$S$9:$S$929,151)</f>
        <v>2.4397348571428574E-2</v>
      </c>
      <c r="AN159" s="12">
        <f>SUMIFS(相位SOC复算!$Q$9:$Q$929,相位SOC复算!$S$9:$S$929,151)</f>
        <v>9.5467885714285696</v>
      </c>
      <c r="AO159" s="12">
        <f>SUMIFS(相位SOC复算!$R$9:$R$929,相位SOC复算!$S$9:$S$929,151)</f>
        <v>0</v>
      </c>
      <c r="AP159" s="12">
        <f>相位SOC复算!J368</f>
        <v>135.72861249192545</v>
      </c>
      <c r="AQ159" s="19">
        <f t="shared" si="60"/>
        <v>0</v>
      </c>
      <c r="AR159" s="12">
        <f>IF(ISBLANK(原始输入与口径!M159),"",原始输入与口径!M159)</f>
        <v>5.2473000000000001</v>
      </c>
      <c r="AS159" s="14">
        <f>IF(ISBLANK(原始输入与口径!L159),"",原始输入与口径!L159)</f>
        <v>46234</v>
      </c>
      <c r="AT159" s="13">
        <f>IF(ISBLANK(原始输入与口径!A159),"",原始输入与口径!A159)</f>
        <v>46236.4375</v>
      </c>
      <c r="AU159" s="12" t="str">
        <f>IF(ISBLANK(原始输入与口径!I159),"",原始输入与口径!I159)</f>
        <v>2026-08-02_51</v>
      </c>
      <c r="AV159" s="12">
        <f>IF(ISBLANK(原始输入与口径!J159),"",原始输入与口径!J159)</f>
        <v>15</v>
      </c>
      <c r="AW159" s="12" t="str">
        <f>IF(ISBLANK(原始输入与口径!BB159),"",原始输入与口径!BB159)</f>
        <v>OK</v>
      </c>
      <c r="AX159" s="12">
        <f>原始输入与口径!CI159</f>
        <v>128</v>
      </c>
      <c r="AY159" s="12">
        <f>原始输入与口径!BS159</f>
        <v>175</v>
      </c>
      <c r="AZ159" s="12">
        <f>原始输入与口径!BI159</f>
        <v>175</v>
      </c>
      <c r="BA159" s="12">
        <f>原始输入与口径!CM159</f>
        <v>40</v>
      </c>
      <c r="BB159" s="12">
        <f>原始输入与口径!BV159</f>
        <v>24</v>
      </c>
      <c r="BC159" s="12">
        <f>原始输入与口径!BL159</f>
        <v>24</v>
      </c>
      <c r="BD159" s="14">
        <f>46235</f>
        <v>46235</v>
      </c>
      <c r="BE159" s="1" t="str">
        <f t="shared" si="61"/>
        <v>-36.000000 MW × 3.560000 × 0.250000 h = -32.040000 EUR</v>
      </c>
      <c r="BF159" s="1" t="str">
        <f t="shared" si="62"/>
        <v>40.000000 MW × 66.224535 × 0.250000 h = 662.245345 EUR</v>
      </c>
      <c r="BG159" s="1" t="str">
        <f t="shared" si="63"/>
        <v>24.000000 MW × 5.473291 × 0.250000 h = 32.839746 EUR</v>
      </c>
      <c r="BH159" s="1" t="str">
        <f t="shared" si="64"/>
        <v>24.000000 MW × 6.860671 × 0.250000 h = 41.164027 EUR</v>
      </c>
      <c r="BI159" s="1" t="str">
        <f t="shared" si="65"/>
        <v>0.002331 MWh × 89.209689 = 0.207986 EUR</v>
      </c>
      <c r="BJ159" s="1" t="str">
        <f t="shared" si="66"/>
        <v>−(0.549120 MWh × -2.953900) = 1.622046 EUR</v>
      </c>
      <c r="BK159" s="1" t="str">
        <f t="shared" si="67"/>
        <v>-32.040000 + 662.245345 + 32.839746 + 41.164027 + 0.207986 + 1.622046 = 706.039150 EUR</v>
      </c>
    </row>
    <row r="160" spans="1:63" ht="21" customHeight="1" x14ac:dyDescent="0.45">
      <c r="A160" s="13">
        <f>原始输入与口径!C160</f>
        <v>46236.572916666664</v>
      </c>
      <c r="B160" s="15">
        <f>IF(ISNUMBER(原始输入与口径!H160),原始输入与口径!H160,"缺失")</f>
        <v>4.21</v>
      </c>
      <c r="C160" s="15">
        <f>IF(ISNUMBER(原始输入与口径!R160),原始输入与口径!R160,"缺失")</f>
        <v>66.224534522516336</v>
      </c>
      <c r="D160" s="15">
        <f>IF(ISNUMBER(原始输入与口径!W160),原始输入与口径!W160,"缺失")</f>
        <v>5.4732910258609184</v>
      </c>
      <c r="E160" s="15">
        <f>IF(ISNUMBER(原始输入与口径!AB160),原始输入与口径!AB160,"缺失")</f>
        <v>6.8606712023326279</v>
      </c>
      <c r="F160" s="15">
        <f>IF(ISNUMBER(原始输入与口径!AG160),原始输入与口径!AG160,"缺失")</f>
        <v>0</v>
      </c>
      <c r="G160" s="15">
        <f>IF(ISNUMBER(原始输入与口径!AJ160),原始输入与口径!AJ160,"缺失")</f>
        <v>-22.43973090922951</v>
      </c>
      <c r="H160" s="15" t="str">
        <f t="shared" si="46"/>
        <v>未模拟</v>
      </c>
      <c r="I160" s="16">
        <f>原始输入与口径!CD160</f>
        <v>135.72861249192542</v>
      </c>
      <c r="J160" s="16">
        <f>原始输入与口径!CE160</f>
        <v>137.20343032049684</v>
      </c>
      <c r="K160" s="16">
        <f>原始输入与口径!BZ160</f>
        <v>0</v>
      </c>
      <c r="L160" s="16">
        <f>原始输入与口径!CK160</f>
        <v>40</v>
      </c>
      <c r="M160" s="16">
        <f>原始输入与口径!BT160</f>
        <v>24</v>
      </c>
      <c r="N160" s="16">
        <f>原始输入与口径!BJ160</f>
        <v>24</v>
      </c>
      <c r="O160" s="16">
        <f t="shared" si="47"/>
        <v>0</v>
      </c>
      <c r="P160" s="16">
        <f t="shared" si="48"/>
        <v>1.6030628571428571</v>
      </c>
      <c r="Q160" s="17">
        <f t="shared" si="49"/>
        <v>0</v>
      </c>
      <c r="R160" s="17">
        <f t="shared" si="50"/>
        <v>662.24534522516342</v>
      </c>
      <c r="S160" s="17">
        <f t="shared" si="51"/>
        <v>32.839746155165514</v>
      </c>
      <c r="T160" s="17">
        <f t="shared" si="52"/>
        <v>41.164027213995766</v>
      </c>
      <c r="U160" s="17">
        <f t="shared" si="53"/>
        <v>0</v>
      </c>
      <c r="V160" s="17">
        <f t="shared" si="54"/>
        <v>35.972299144866341</v>
      </c>
      <c r="W160" s="17">
        <f t="shared" si="55"/>
        <v>772.221417739191</v>
      </c>
      <c r="X160" s="12">
        <f>原始输入与口径!CP160</f>
        <v>772.221417739191</v>
      </c>
      <c r="Y160" s="19">
        <f t="shared" si="56"/>
        <v>0</v>
      </c>
      <c r="Z160" s="12" t="str">
        <f t="shared" si="57"/>
        <v>次日冻结计划复原</v>
      </c>
      <c r="AA160" s="12">
        <f>IF(原始输入与口径!AW160,1,0)</f>
        <v>1</v>
      </c>
      <c r="AB160" s="12">
        <f>IF(原始输入与口径!AY160,1,0)</f>
        <v>1</v>
      </c>
      <c r="AC160" s="12">
        <f>原始输入与口径!$F$5</f>
        <v>0.25</v>
      </c>
      <c r="AD160" s="18">
        <f>原始输入与口径!CG160</f>
        <v>0.3125</v>
      </c>
      <c r="AE160" s="18">
        <f>原始输入与口径!BQ160</f>
        <v>0.13714285714285715</v>
      </c>
      <c r="AF160" s="18">
        <f t="shared" si="58"/>
        <v>0</v>
      </c>
      <c r="AG160" s="18">
        <f t="shared" si="59"/>
        <v>0.26717714285714284</v>
      </c>
      <c r="AH160" s="12">
        <f>IF(ISNUMBER(原始输入与口径!T160),原始输入与口径!T160,"缺失")</f>
        <v>175</v>
      </c>
      <c r="AI160" s="12">
        <f>IF(ISNUMBER(原始输入与口径!Y160),原始输入与口径!Y160,"缺失")</f>
        <v>175</v>
      </c>
      <c r="AJ160" s="12">
        <f>IF(ISNUMBER(原始输入与口径!AI160),原始输入与口径!AI160,"缺失")</f>
        <v>0</v>
      </c>
      <c r="AK160" s="12">
        <f>IF(ISNUMBER(原始输入与口径!AL160),原始输入与口径!AL160,"缺失")</f>
        <v>11.689</v>
      </c>
      <c r="AL160" s="12">
        <f>IF(ISNUMBER(原始输入与口径!O160),原始输入与口径!O160,"缺失")</f>
        <v>71.936000000000007</v>
      </c>
      <c r="AM160" s="12">
        <f>SUMIFS(相位SOC复算!$N$9:$N$929,相位SOC复算!$S$9:$S$929,152)</f>
        <v>4.0967161904761906E-3</v>
      </c>
      <c r="AN160" s="12">
        <f>SUMIFS(相位SOC复算!$Q$9:$Q$929,相位SOC复算!$S$9:$S$929,152)</f>
        <v>1.6030628571428571</v>
      </c>
      <c r="AO160" s="12">
        <f>SUMIFS(相位SOC复算!$R$9:$R$929,相位SOC复算!$S$9:$S$929,152)</f>
        <v>0</v>
      </c>
      <c r="AP160" s="12">
        <f>相位SOC复算!J370</f>
        <v>137.20343032049686</v>
      </c>
      <c r="AQ160" s="19">
        <f t="shared" si="60"/>
        <v>0</v>
      </c>
      <c r="AR160" s="12">
        <f>IF(ISBLANK(原始输入与口径!M160),"",原始输入与口径!M160)</f>
        <v>5.2473000000000001</v>
      </c>
      <c r="AS160" s="14">
        <f>IF(ISBLANK(原始输入与口径!L160),"",原始输入与口径!L160)</f>
        <v>46234</v>
      </c>
      <c r="AT160" s="13">
        <f>IF(ISBLANK(原始输入与口径!A160),"",原始输入与口径!A160)</f>
        <v>46236.447916666664</v>
      </c>
      <c r="AU160" s="12" t="str">
        <f>IF(ISBLANK(原始输入与口径!I160),"",原始输入与口径!I160)</f>
        <v>2026-08-02_52</v>
      </c>
      <c r="AV160" s="12">
        <f>IF(ISBLANK(原始输入与口径!J160),"",原始输入与口径!J160)</f>
        <v>15</v>
      </c>
      <c r="AW160" s="12" t="str">
        <f>IF(ISBLANK(原始输入与口径!BB160),"",原始输入与口径!BB160)</f>
        <v>OK</v>
      </c>
      <c r="AX160" s="12">
        <f>原始输入与口径!CI160</f>
        <v>128</v>
      </c>
      <c r="AY160" s="12">
        <f>原始输入与口径!BS160</f>
        <v>175</v>
      </c>
      <c r="AZ160" s="12">
        <f>原始输入与口径!BI160</f>
        <v>175</v>
      </c>
      <c r="BA160" s="12">
        <f>原始输入与口径!CM160</f>
        <v>40</v>
      </c>
      <c r="BB160" s="12">
        <f>原始输入与口径!BV160</f>
        <v>24</v>
      </c>
      <c r="BC160" s="12">
        <f>原始输入与口径!BL160</f>
        <v>24</v>
      </c>
      <c r="BD160" s="14">
        <f>46235</f>
        <v>46235</v>
      </c>
      <c r="BE160" s="1" t="str">
        <f t="shared" si="61"/>
        <v>零头寸，无结算现金</v>
      </c>
      <c r="BF160" s="1" t="str">
        <f t="shared" si="62"/>
        <v>40.000000 MW × 66.224535 × 0.250000 h = 662.245345 EUR</v>
      </c>
      <c r="BG160" s="1" t="str">
        <f t="shared" si="63"/>
        <v>24.000000 MW × 5.473291 × 0.250000 h = 32.839746 EUR</v>
      </c>
      <c r="BH160" s="1" t="str">
        <f t="shared" si="64"/>
        <v>24.000000 MW × 6.860671 × 0.250000 h = 41.164027 EUR</v>
      </c>
      <c r="BI160" s="1" t="str">
        <f t="shared" si="65"/>
        <v>零上调激活电量</v>
      </c>
      <c r="BJ160" s="1" t="str">
        <f t="shared" si="66"/>
        <v>−(1.603063 MWh × -22.439731) = 35.972299 EUR</v>
      </c>
      <c r="BK160" s="1" t="str">
        <f t="shared" si="67"/>
        <v>0.000000 + 662.245345 + 32.839746 + 41.164027 + 0.000000 + 35.972299 = 772.221418 EUR</v>
      </c>
    </row>
    <row r="161" spans="1:63" ht="21" customHeight="1" x14ac:dyDescent="0.45">
      <c r="A161" s="13">
        <f>原始输入与口径!C161</f>
        <v>46236.583333333336</v>
      </c>
      <c r="B161" s="15">
        <f>IF(ISNUMBER(原始输入与口径!H161),原始输入与口径!H161,"缺失")</f>
        <v>4.21</v>
      </c>
      <c r="C161" s="15">
        <f>IF(ISNUMBER(原始输入与口径!R161),原始输入与口径!R161,"缺失")</f>
        <v>66.224534522516336</v>
      </c>
      <c r="D161" s="15">
        <f>IF(ISNUMBER(原始输入与口径!W161),原始输入与口径!W161,"缺失")</f>
        <v>5.4732910258609184</v>
      </c>
      <c r="E161" s="15">
        <f>IF(ISNUMBER(原始输入与口径!AB161),原始输入与口径!AB161,"缺失")</f>
        <v>6.8606712023326279</v>
      </c>
      <c r="F161" s="15">
        <f>IF(ISNUMBER(原始输入与口径!AG161),原始输入与口径!AG161,"缺失")</f>
        <v>0</v>
      </c>
      <c r="G161" s="15">
        <f>IF(ISNUMBER(原始输入与口径!AJ161),原始输入与口径!AJ161,"缺失")</f>
        <v>-79.688792331294195</v>
      </c>
      <c r="H161" s="15" t="str">
        <f t="shared" si="46"/>
        <v>未模拟</v>
      </c>
      <c r="I161" s="16">
        <f>原始输入与口径!CD161</f>
        <v>137.20343032049684</v>
      </c>
      <c r="J161" s="16">
        <f>原始输入与口径!CE161</f>
        <v>142.53650611677011</v>
      </c>
      <c r="K161" s="16">
        <f>原始输入与口径!BZ161</f>
        <v>-9.7215032136105002</v>
      </c>
      <c r="L161" s="16">
        <f>原始输入与口径!CK161</f>
        <v>40</v>
      </c>
      <c r="M161" s="16">
        <f>原始输入与口径!BT161</f>
        <v>24</v>
      </c>
      <c r="N161" s="16">
        <f>原始输入与口径!BJ161</f>
        <v>24</v>
      </c>
      <c r="O161" s="16">
        <f t="shared" si="47"/>
        <v>0</v>
      </c>
      <c r="P161" s="16">
        <f t="shared" si="48"/>
        <v>3.3664457142857147</v>
      </c>
      <c r="Q161" s="17">
        <f t="shared" si="49"/>
        <v>-10.231882132325051</v>
      </c>
      <c r="R161" s="17">
        <f t="shared" si="50"/>
        <v>662.24534522516342</v>
      </c>
      <c r="S161" s="17">
        <f t="shared" si="51"/>
        <v>32.839746155165514</v>
      </c>
      <c r="T161" s="17">
        <f t="shared" si="52"/>
        <v>41.164027213995766</v>
      </c>
      <c r="U161" s="17">
        <f t="shared" si="53"/>
        <v>0</v>
      </c>
      <c r="V161" s="17">
        <f t="shared" si="54"/>
        <v>268.26799342028966</v>
      </c>
      <c r="W161" s="17">
        <f t="shared" si="55"/>
        <v>994.28522988228929</v>
      </c>
      <c r="X161" s="12">
        <f>原始输入与口径!CP161</f>
        <v>994.28522988228929</v>
      </c>
      <c r="Y161" s="19">
        <f t="shared" si="56"/>
        <v>0</v>
      </c>
      <c r="Z161" s="12" t="str">
        <f t="shared" si="57"/>
        <v>次日冻结计划复原</v>
      </c>
      <c r="AA161" s="12">
        <f>IF(原始输入与口径!AW161,1,0)</f>
        <v>1</v>
      </c>
      <c r="AB161" s="12">
        <f>IF(原始输入与口径!AY161,1,0)</f>
        <v>1</v>
      </c>
      <c r="AC161" s="12">
        <f>原始输入与口径!$F$5</f>
        <v>0.25</v>
      </c>
      <c r="AD161" s="18">
        <f>原始输入与口径!CG161</f>
        <v>0.3125</v>
      </c>
      <c r="AE161" s="18">
        <f>原始输入与口径!BQ161</f>
        <v>0.13714285714285715</v>
      </c>
      <c r="AF161" s="18">
        <f t="shared" si="58"/>
        <v>0</v>
      </c>
      <c r="AG161" s="18">
        <f t="shared" si="59"/>
        <v>0.56107428571428575</v>
      </c>
      <c r="AH161" s="12">
        <f>IF(ISNUMBER(原始输入与口径!T161),原始输入与口径!T161,"缺失")</f>
        <v>175</v>
      </c>
      <c r="AI161" s="12">
        <f>IF(ISNUMBER(原始输入与口径!Y161),原始输入与口径!Y161,"缺失")</f>
        <v>175</v>
      </c>
      <c r="AJ161" s="12">
        <f>IF(ISNUMBER(原始输入与口径!AI161),原始输入与口径!AI161,"缺失")</f>
        <v>0</v>
      </c>
      <c r="AK161" s="12">
        <f>IF(ISNUMBER(原始输入与口径!AL161),原始输入与口径!AL161,"缺失")</f>
        <v>24.547000000000001</v>
      </c>
      <c r="AL161" s="12">
        <f>IF(ISNUMBER(原始输入与口径!O161),原始输入与口径!O161,"缺失")</f>
        <v>71.936000000000007</v>
      </c>
      <c r="AM161" s="12">
        <f>SUMIFS(相位SOC复算!$N$9:$N$929,相位SOC复算!$S$9:$S$929,153)</f>
        <v>1.4814099434092422E-2</v>
      </c>
      <c r="AN161" s="12">
        <f>SUMIFS(相位SOC复算!$Q$9:$Q$929,相位SOC复算!$S$9:$S$929,153)</f>
        <v>5.7968215176883398</v>
      </c>
      <c r="AO161" s="12">
        <f>SUMIFS(相位SOC复算!$R$9:$R$929,相位SOC复算!$S$9:$S$929,153)</f>
        <v>0</v>
      </c>
      <c r="AP161" s="12">
        <f>相位SOC复算!J372</f>
        <v>142.53650611677014</v>
      </c>
      <c r="AQ161" s="19">
        <f t="shared" si="60"/>
        <v>0</v>
      </c>
      <c r="AR161" s="12">
        <f>IF(ISBLANK(原始输入与口径!M161),"",原始输入与口径!M161)</f>
        <v>5.2473000000000001</v>
      </c>
      <c r="AS161" s="14">
        <f>IF(ISBLANK(原始输入与口径!L161),"",原始输入与口径!L161)</f>
        <v>46234</v>
      </c>
      <c r="AT161" s="13">
        <f>IF(ISBLANK(原始输入与口径!A161),"",原始输入与口径!A161)</f>
        <v>46236.458333333336</v>
      </c>
      <c r="AU161" s="12" t="str">
        <f>IF(ISBLANK(原始输入与口径!I161),"",原始输入与口径!I161)</f>
        <v>2026-08-02_53</v>
      </c>
      <c r="AV161" s="12">
        <f>IF(ISBLANK(原始输入与口径!J161),"",原始输入与口径!J161)</f>
        <v>15</v>
      </c>
      <c r="AW161" s="12" t="str">
        <f>IF(ISBLANK(原始输入与口径!BB161),"",原始输入与口径!BB161)</f>
        <v>OK</v>
      </c>
      <c r="AX161" s="12">
        <f>原始输入与口径!CI161</f>
        <v>128</v>
      </c>
      <c r="AY161" s="12">
        <f>原始输入与口径!BS161</f>
        <v>175</v>
      </c>
      <c r="AZ161" s="12">
        <f>原始输入与口径!BI161</f>
        <v>175</v>
      </c>
      <c r="BA161" s="12">
        <f>原始输入与口径!CM161</f>
        <v>40</v>
      </c>
      <c r="BB161" s="12">
        <f>原始输入与口径!BV161</f>
        <v>24</v>
      </c>
      <c r="BC161" s="12">
        <f>原始输入与口径!BL161</f>
        <v>24</v>
      </c>
      <c r="BD161" s="14">
        <f>46235</f>
        <v>46235</v>
      </c>
      <c r="BE161" s="1" t="str">
        <f t="shared" si="61"/>
        <v>-9.721503 MW × 4.210000 × 0.250000 h = -10.231882 EUR</v>
      </c>
      <c r="BF161" s="1" t="str">
        <f t="shared" si="62"/>
        <v>40.000000 MW × 66.224535 × 0.250000 h = 662.245345 EUR</v>
      </c>
      <c r="BG161" s="1" t="str">
        <f t="shared" si="63"/>
        <v>24.000000 MW × 5.473291 × 0.250000 h = 32.839746 EUR</v>
      </c>
      <c r="BH161" s="1" t="str">
        <f t="shared" si="64"/>
        <v>24.000000 MW × 6.860671 × 0.250000 h = 41.164027 EUR</v>
      </c>
      <c r="BI161" s="1" t="str">
        <f t="shared" si="65"/>
        <v>零上调激活电量</v>
      </c>
      <c r="BJ161" s="1" t="str">
        <f t="shared" si="66"/>
        <v>−(3.366446 MWh × -79.688792) = 268.267993 EUR</v>
      </c>
      <c r="BK161" s="1" t="str">
        <f t="shared" si="67"/>
        <v>-10.231882 + 662.245345 + 32.839746 + 41.164027 + 0.000000 + 268.267993 = 994.285230 EUR</v>
      </c>
    </row>
    <row r="162" spans="1:63" ht="21" customHeight="1" x14ac:dyDescent="0.45">
      <c r="A162" s="13">
        <f>原始输入与口径!C162</f>
        <v>46236.59375</v>
      </c>
      <c r="B162" s="15">
        <f>IF(ISNUMBER(原始输入与口径!H162),原始输入与口径!H162,"缺失")</f>
        <v>2.74</v>
      </c>
      <c r="C162" s="15">
        <f>IF(ISNUMBER(原始输入与口径!R162),原始输入与口径!R162,"缺失")</f>
        <v>66.224534522516336</v>
      </c>
      <c r="D162" s="15">
        <f>IF(ISNUMBER(原始输入与口径!W162),原始输入与口径!W162,"缺失")</f>
        <v>5.4732910258609184</v>
      </c>
      <c r="E162" s="15">
        <f>IF(ISNUMBER(原始输入与口径!AB162),原始输入与口径!AB162,"缺失")</f>
        <v>6.8606712023326279</v>
      </c>
      <c r="F162" s="15">
        <f>IF(ISNUMBER(原始输入与口径!AG162),原始输入与口径!AG162,"缺失")</f>
        <v>0</v>
      </c>
      <c r="G162" s="15">
        <f>IF(ISNUMBER(原始输入与口径!AJ162),原始输入与口径!AJ162,"缺失")</f>
        <v>-75.205153126369751</v>
      </c>
      <c r="H162" s="15" t="str">
        <f t="shared" si="46"/>
        <v>未模拟</v>
      </c>
      <c r="I162" s="16">
        <f>原始输入与口径!CD162</f>
        <v>142.53650611677011</v>
      </c>
      <c r="J162" s="16">
        <f>原始输入与口径!CE162</f>
        <v>152.67753468819868</v>
      </c>
      <c r="K162" s="16">
        <f>原始输入与口径!BZ162</f>
        <v>-36</v>
      </c>
      <c r="L162" s="16">
        <f>原始输入与口径!CK162</f>
        <v>40</v>
      </c>
      <c r="M162" s="16">
        <f>原始输入与口径!BT162</f>
        <v>24</v>
      </c>
      <c r="N162" s="16">
        <f>原始输入与口径!BJ162</f>
        <v>24</v>
      </c>
      <c r="O162" s="16">
        <f t="shared" si="47"/>
        <v>0</v>
      </c>
      <c r="P162" s="16">
        <f t="shared" si="48"/>
        <v>2.0228571428571427</v>
      </c>
      <c r="Q162" s="17">
        <f t="shared" si="49"/>
        <v>-24.660000000000004</v>
      </c>
      <c r="R162" s="17">
        <f t="shared" si="50"/>
        <v>662.24534522516342</v>
      </c>
      <c r="S162" s="17">
        <f t="shared" si="51"/>
        <v>32.839746155165514</v>
      </c>
      <c r="T162" s="17">
        <f t="shared" si="52"/>
        <v>41.164027213995766</v>
      </c>
      <c r="U162" s="17">
        <f t="shared" si="53"/>
        <v>0</v>
      </c>
      <c r="V162" s="17">
        <f t="shared" si="54"/>
        <v>152.12928118134224</v>
      </c>
      <c r="W162" s="17">
        <f t="shared" si="55"/>
        <v>863.71839977566685</v>
      </c>
      <c r="X162" s="12">
        <f>原始输入与口径!CP162</f>
        <v>863.71839977566697</v>
      </c>
      <c r="Y162" s="19">
        <f t="shared" si="56"/>
        <v>0</v>
      </c>
      <c r="Z162" s="12" t="str">
        <f t="shared" si="57"/>
        <v>次日冻结计划复原</v>
      </c>
      <c r="AA162" s="12">
        <f>IF(原始输入与口径!AW162,1,0)</f>
        <v>1</v>
      </c>
      <c r="AB162" s="12">
        <f>IF(原始输入与口径!AY162,1,0)</f>
        <v>1</v>
      </c>
      <c r="AC162" s="12">
        <f>原始输入与口径!$F$5</f>
        <v>0.25</v>
      </c>
      <c r="AD162" s="18">
        <f>原始输入与口径!CG162</f>
        <v>0.3125</v>
      </c>
      <c r="AE162" s="18">
        <f>原始输入与口径!BQ162</f>
        <v>0.13714285714285715</v>
      </c>
      <c r="AF162" s="18">
        <f t="shared" si="58"/>
        <v>0</v>
      </c>
      <c r="AG162" s="18">
        <f t="shared" si="59"/>
        <v>0.33714285714285713</v>
      </c>
      <c r="AH162" s="12">
        <f>IF(ISNUMBER(原始输入与口径!T162),原始输入与口径!T162,"缺失")</f>
        <v>175</v>
      </c>
      <c r="AI162" s="12">
        <f>IF(ISNUMBER(原始输入与口径!Y162),原始输入与口径!Y162,"缺失")</f>
        <v>175</v>
      </c>
      <c r="AJ162" s="12">
        <f>IF(ISNUMBER(原始输入与口径!AI162),原始输入与口径!AI162,"缺失")</f>
        <v>0</v>
      </c>
      <c r="AK162" s="12">
        <f>IF(ISNUMBER(原始输入与口径!AL162),原始输入与口径!AL162,"缺失")</f>
        <v>14.75</v>
      </c>
      <c r="AL162" s="12">
        <f>IF(ISNUMBER(原始输入与口径!O162),原始输入与口径!O162,"缺失")</f>
        <v>71.936000000000007</v>
      </c>
      <c r="AM162" s="12">
        <f>SUMIFS(相位SOC复算!$N$9:$N$929,相位SOC复算!$S$9:$S$929,154)</f>
        <v>2.8169523809523811E-2</v>
      </c>
      <c r="AN162" s="12">
        <f>SUMIFS(相位SOC复算!$Q$9:$Q$929,相位SOC复算!$S$9:$S$929,154)</f>
        <v>11.022857142857141</v>
      </c>
      <c r="AO162" s="12">
        <f>SUMIFS(相位SOC复算!$R$9:$R$929,相位SOC复算!$S$9:$S$929,154)</f>
        <v>0</v>
      </c>
      <c r="AP162" s="12">
        <f>相位SOC复算!J374</f>
        <v>152.6775346881987</v>
      </c>
      <c r="AQ162" s="19">
        <f t="shared" si="60"/>
        <v>0</v>
      </c>
      <c r="AR162" s="12">
        <f>IF(ISBLANK(原始输入与口径!M162),"",原始输入与口径!M162)</f>
        <v>5.2473000000000001</v>
      </c>
      <c r="AS162" s="14">
        <f>IF(ISBLANK(原始输入与口径!L162),"",原始输入与口径!L162)</f>
        <v>46234</v>
      </c>
      <c r="AT162" s="13">
        <f>IF(ISBLANK(原始输入与口径!A162),"",原始输入与口径!A162)</f>
        <v>46236.46875</v>
      </c>
      <c r="AU162" s="12" t="str">
        <f>IF(ISBLANK(原始输入与口径!I162),"",原始输入与口径!I162)</f>
        <v>2026-08-02_54</v>
      </c>
      <c r="AV162" s="12">
        <f>IF(ISBLANK(原始输入与口径!J162),"",原始输入与口径!J162)</f>
        <v>15</v>
      </c>
      <c r="AW162" s="12" t="str">
        <f>IF(ISBLANK(原始输入与口径!BB162),"",原始输入与口径!BB162)</f>
        <v>OK</v>
      </c>
      <c r="AX162" s="12">
        <f>原始输入与口径!CI162</f>
        <v>128</v>
      </c>
      <c r="AY162" s="12">
        <f>原始输入与口径!BS162</f>
        <v>175</v>
      </c>
      <c r="AZ162" s="12">
        <f>原始输入与口径!BI162</f>
        <v>175</v>
      </c>
      <c r="BA162" s="12">
        <f>原始输入与口径!CM162</f>
        <v>40</v>
      </c>
      <c r="BB162" s="12">
        <f>原始输入与口径!BV162</f>
        <v>24</v>
      </c>
      <c r="BC162" s="12">
        <f>原始输入与口径!BL162</f>
        <v>24</v>
      </c>
      <c r="BD162" s="14">
        <f>46235</f>
        <v>46235</v>
      </c>
      <c r="BE162" s="1" t="str">
        <f t="shared" si="61"/>
        <v>-36.000000 MW × 2.740000 × 0.250000 h = -24.660000 EUR</v>
      </c>
      <c r="BF162" s="1" t="str">
        <f t="shared" si="62"/>
        <v>40.000000 MW × 66.224535 × 0.250000 h = 662.245345 EUR</v>
      </c>
      <c r="BG162" s="1" t="str">
        <f t="shared" si="63"/>
        <v>24.000000 MW × 5.473291 × 0.250000 h = 32.839746 EUR</v>
      </c>
      <c r="BH162" s="1" t="str">
        <f t="shared" si="64"/>
        <v>24.000000 MW × 6.860671 × 0.250000 h = 41.164027 EUR</v>
      </c>
      <c r="BI162" s="1" t="str">
        <f t="shared" si="65"/>
        <v>零上调激活电量</v>
      </c>
      <c r="BJ162" s="1" t="str">
        <f t="shared" si="66"/>
        <v>−(2.022857 MWh × -75.205153) = 152.129281 EUR</v>
      </c>
      <c r="BK162" s="1" t="str">
        <f t="shared" si="67"/>
        <v>-24.660000 + 662.245345 + 32.839746 + 41.164027 + 0.000000 + 152.129281 = 863.718400 EUR</v>
      </c>
    </row>
    <row r="163" spans="1:63" ht="21" customHeight="1" x14ac:dyDescent="0.45">
      <c r="A163" s="13">
        <f>原始输入与口径!C163</f>
        <v>46236.604166666664</v>
      </c>
      <c r="B163" s="15">
        <f>IF(ISNUMBER(原始输入与口径!H163),原始输入与口径!H163,"缺失")</f>
        <v>3.75</v>
      </c>
      <c r="C163" s="15">
        <f>IF(ISNUMBER(原始输入与口径!R163),原始输入与口径!R163,"缺失")</f>
        <v>66.224534522516336</v>
      </c>
      <c r="D163" s="15">
        <f>IF(ISNUMBER(原始输入与口径!W163),原始输入与口径!W163,"缺失")</f>
        <v>5.4732910258609184</v>
      </c>
      <c r="E163" s="15">
        <f>IF(ISNUMBER(原始输入与口径!AB163),原始输入与口径!AB163,"缺失")</f>
        <v>6.8606712023326279</v>
      </c>
      <c r="F163" s="15">
        <f>IF(ISNUMBER(原始输入与口径!AG163),原始输入与口径!AG163,"缺失")</f>
        <v>0</v>
      </c>
      <c r="G163" s="15">
        <f>IF(ISNUMBER(原始输入与口径!AJ163),原始输入与口径!AJ163,"缺失")</f>
        <v>18.340289291635695</v>
      </c>
      <c r="H163" s="15" t="str">
        <f t="shared" si="46"/>
        <v>未模拟</v>
      </c>
      <c r="I163" s="16">
        <f>原始输入与口径!CD163</f>
        <v>152.67753468819868</v>
      </c>
      <c r="J163" s="16">
        <f>原始输入与口径!CE163</f>
        <v>161.38815777391295</v>
      </c>
      <c r="K163" s="16">
        <f>原始输入与口径!BZ163</f>
        <v>-36</v>
      </c>
      <c r="L163" s="16">
        <f>原始输入与口径!CK163</f>
        <v>40</v>
      </c>
      <c r="M163" s="16">
        <f>原始输入与口径!BT163</f>
        <v>24</v>
      </c>
      <c r="N163" s="16">
        <f>原始输入与口径!BJ163</f>
        <v>24</v>
      </c>
      <c r="O163" s="16">
        <f t="shared" si="47"/>
        <v>0</v>
      </c>
      <c r="P163" s="16">
        <f t="shared" si="48"/>
        <v>0.46806857142857139</v>
      </c>
      <c r="Q163" s="17">
        <f t="shared" si="49"/>
        <v>-33.75</v>
      </c>
      <c r="R163" s="17">
        <f t="shared" si="50"/>
        <v>662.24534522516342</v>
      </c>
      <c r="S163" s="17">
        <f t="shared" si="51"/>
        <v>32.839746155165514</v>
      </c>
      <c r="T163" s="17">
        <f t="shared" si="52"/>
        <v>41.164027213995766</v>
      </c>
      <c r="U163" s="17">
        <f t="shared" si="53"/>
        <v>0</v>
      </c>
      <c r="V163" s="17">
        <f t="shared" si="54"/>
        <v>-8.5845130083226451</v>
      </c>
      <c r="W163" s="17">
        <f t="shared" si="55"/>
        <v>693.91460558600193</v>
      </c>
      <c r="X163" s="12">
        <f>原始输入与口径!CP163</f>
        <v>693.91460558600204</v>
      </c>
      <c r="Y163" s="19">
        <f t="shared" si="56"/>
        <v>0</v>
      </c>
      <c r="Z163" s="12" t="str">
        <f t="shared" si="57"/>
        <v>次日冻结计划复原</v>
      </c>
      <c r="AA163" s="12">
        <f>IF(原始输入与口径!AW163,1,0)</f>
        <v>1</v>
      </c>
      <c r="AB163" s="12">
        <f>IF(原始输入与口径!AY163,1,0)</f>
        <v>1</v>
      </c>
      <c r="AC163" s="12">
        <f>原始输入与口径!$F$5</f>
        <v>0.25</v>
      </c>
      <c r="AD163" s="18">
        <f>原始输入与口径!CG163</f>
        <v>0.3125</v>
      </c>
      <c r="AE163" s="18">
        <f>原始输入与口径!BQ163</f>
        <v>0.13714285714285715</v>
      </c>
      <c r="AF163" s="18">
        <f t="shared" si="58"/>
        <v>0</v>
      </c>
      <c r="AG163" s="18">
        <f t="shared" si="59"/>
        <v>7.8011428571428565E-2</v>
      </c>
      <c r="AH163" s="12">
        <f>IF(ISNUMBER(原始输入与口径!T163),原始输入与口径!T163,"缺失")</f>
        <v>175</v>
      </c>
      <c r="AI163" s="12">
        <f>IF(ISNUMBER(原始输入与口径!Y163),原始输入与口径!Y163,"缺失")</f>
        <v>175</v>
      </c>
      <c r="AJ163" s="12">
        <f>IF(ISNUMBER(原始输入与口径!AI163),原始输入与口径!AI163,"缺失")</f>
        <v>0</v>
      </c>
      <c r="AK163" s="12">
        <f>IF(ISNUMBER(原始输入与口径!AL163),原始输入与口径!AL163,"缺失")</f>
        <v>3.4129999999999998</v>
      </c>
      <c r="AL163" s="12">
        <f>IF(ISNUMBER(原始输入与口径!O163),原始输入与口径!O163,"缺失")</f>
        <v>71.936000000000007</v>
      </c>
      <c r="AM163" s="12">
        <f>SUMIFS(相位SOC复算!$N$9:$N$929,相位SOC复算!$S$9:$S$929,155)</f>
        <v>2.4196175238095242E-2</v>
      </c>
      <c r="AN163" s="12">
        <f>SUMIFS(相位SOC复算!$Q$9:$Q$929,相位SOC复算!$S$9:$S$929,155)</f>
        <v>9.4680685714285708</v>
      </c>
      <c r="AO163" s="12">
        <f>SUMIFS(相位SOC复算!$R$9:$R$929,相位SOC复算!$S$9:$S$929,155)</f>
        <v>0</v>
      </c>
      <c r="AP163" s="12">
        <f>相位SOC复算!J376</f>
        <v>161.38815777391298</v>
      </c>
      <c r="AQ163" s="19">
        <f t="shared" si="60"/>
        <v>0</v>
      </c>
      <c r="AR163" s="12">
        <f>IF(ISBLANK(原始输入与口径!M163),"",原始输入与口径!M163)</f>
        <v>5.2473000000000001</v>
      </c>
      <c r="AS163" s="14">
        <f>IF(ISBLANK(原始输入与口径!L163),"",原始输入与口径!L163)</f>
        <v>46234</v>
      </c>
      <c r="AT163" s="13">
        <f>IF(ISBLANK(原始输入与口径!A163),"",原始输入与口径!A163)</f>
        <v>46236.479166666664</v>
      </c>
      <c r="AU163" s="12" t="str">
        <f>IF(ISBLANK(原始输入与口径!I163),"",原始输入与口径!I163)</f>
        <v>2026-08-02_55</v>
      </c>
      <c r="AV163" s="12">
        <f>IF(ISBLANK(原始输入与口径!J163),"",原始输入与口径!J163)</f>
        <v>15</v>
      </c>
      <c r="AW163" s="12" t="str">
        <f>IF(ISBLANK(原始输入与口径!BB163),"",原始输入与口径!BB163)</f>
        <v>OK</v>
      </c>
      <c r="AX163" s="12">
        <f>原始输入与口径!CI163</f>
        <v>128</v>
      </c>
      <c r="AY163" s="12">
        <f>原始输入与口径!BS163</f>
        <v>175</v>
      </c>
      <c r="AZ163" s="12">
        <f>原始输入与口径!BI163</f>
        <v>175</v>
      </c>
      <c r="BA163" s="12">
        <f>原始输入与口径!CM163</f>
        <v>40</v>
      </c>
      <c r="BB163" s="12">
        <f>原始输入与口径!BV163</f>
        <v>24</v>
      </c>
      <c r="BC163" s="12">
        <f>原始输入与口径!BL163</f>
        <v>24</v>
      </c>
      <c r="BD163" s="14">
        <f>46235</f>
        <v>46235</v>
      </c>
      <c r="BE163" s="1" t="str">
        <f t="shared" si="61"/>
        <v>-36.000000 MW × 3.750000 × 0.250000 h = -33.750000 EUR</v>
      </c>
      <c r="BF163" s="1" t="str">
        <f t="shared" si="62"/>
        <v>40.000000 MW × 66.224535 × 0.250000 h = 662.245345 EUR</v>
      </c>
      <c r="BG163" s="1" t="str">
        <f t="shared" si="63"/>
        <v>24.000000 MW × 5.473291 × 0.250000 h = 32.839746 EUR</v>
      </c>
      <c r="BH163" s="1" t="str">
        <f t="shared" si="64"/>
        <v>24.000000 MW × 6.860671 × 0.250000 h = 41.164027 EUR</v>
      </c>
      <c r="BI163" s="1" t="str">
        <f t="shared" si="65"/>
        <v>零上调激活电量</v>
      </c>
      <c r="BJ163" s="1" t="str">
        <f t="shared" si="66"/>
        <v>−(0.468069 MWh × 18.340289) = -8.584513 EUR</v>
      </c>
      <c r="BK163" s="1" t="str">
        <f t="shared" si="67"/>
        <v>-33.750000 + 662.245345 + 32.839746 + 41.164027 + 0.000000 + -8.584513 = 693.914606 EUR</v>
      </c>
    </row>
    <row r="164" spans="1:63" ht="21" customHeight="1" x14ac:dyDescent="0.45">
      <c r="A164" s="13">
        <f>原始输入与口径!C164</f>
        <v>46236.614583333336</v>
      </c>
      <c r="B164" s="15">
        <f>IF(ISNUMBER(原始输入与口径!H164),原始输入与口径!H164,"缺失")</f>
        <v>2.42</v>
      </c>
      <c r="C164" s="15">
        <f>IF(ISNUMBER(原始输入与口径!R164),原始输入与口径!R164,"缺失")</f>
        <v>66.224534522516336</v>
      </c>
      <c r="D164" s="15">
        <f>IF(ISNUMBER(原始输入与口径!W164),原始输入与口径!W164,"缺失")</f>
        <v>5.4732910258609184</v>
      </c>
      <c r="E164" s="15">
        <f>IF(ISNUMBER(原始输入与口径!AB164),原始输入与口径!AB164,"缺失")</f>
        <v>6.8606712023326279</v>
      </c>
      <c r="F164" s="15">
        <f>IF(ISNUMBER(原始输入与口径!AG164),原始输入与口径!AG164,"缺失")</f>
        <v>89.036266270272321</v>
      </c>
      <c r="G164" s="15">
        <f>IF(ISNUMBER(原始输入与口径!AJ164),原始输入与口径!AJ164,"缺失")</f>
        <v>5.166085415356469</v>
      </c>
      <c r="H164" s="15" t="str">
        <f t="shared" si="46"/>
        <v>未模拟</v>
      </c>
      <c r="I164" s="16">
        <f>原始输入与口径!CD164</f>
        <v>161.38815777391295</v>
      </c>
      <c r="J164" s="16">
        <f>原始输入与口径!CE164</f>
        <v>170.74137194534154</v>
      </c>
      <c r="K164" s="16">
        <f>原始输入与口径!BZ164</f>
        <v>-36</v>
      </c>
      <c r="L164" s="16">
        <f>原始输入与口径!CK164</f>
        <v>40</v>
      </c>
      <c r="M164" s="16">
        <f>原始输入与口径!BT164</f>
        <v>24</v>
      </c>
      <c r="N164" s="16">
        <f>原始输入与口径!BJ164</f>
        <v>24</v>
      </c>
      <c r="O164" s="16">
        <f t="shared" si="47"/>
        <v>3.977142857142857E-3</v>
      </c>
      <c r="P164" s="16">
        <f t="shared" si="48"/>
        <v>1.1705142857142856</v>
      </c>
      <c r="Q164" s="17">
        <f t="shared" si="49"/>
        <v>-21.78</v>
      </c>
      <c r="R164" s="17">
        <f t="shared" si="50"/>
        <v>662.24534522516342</v>
      </c>
      <c r="S164" s="17">
        <f t="shared" si="51"/>
        <v>32.839746155165514</v>
      </c>
      <c r="T164" s="17">
        <f t="shared" si="52"/>
        <v>41.164027213995766</v>
      </c>
      <c r="U164" s="17">
        <f t="shared" si="53"/>
        <v>0.35410995042348303</v>
      </c>
      <c r="V164" s="17">
        <f t="shared" si="54"/>
        <v>-6.0469767798949663</v>
      </c>
      <c r="W164" s="17">
        <f t="shared" si="55"/>
        <v>708.7762517648531</v>
      </c>
      <c r="X164" s="12">
        <f>原始输入与口径!CP164</f>
        <v>708.77625176485321</v>
      </c>
      <c r="Y164" s="19">
        <f t="shared" si="56"/>
        <v>0</v>
      </c>
      <c r="Z164" s="12" t="str">
        <f t="shared" si="57"/>
        <v>次日冻结计划复原</v>
      </c>
      <c r="AA164" s="12">
        <f>IF(原始输入与口径!AW164,1,0)</f>
        <v>1</v>
      </c>
      <c r="AB164" s="12">
        <f>IF(原始输入与口径!AY164,1,0)</f>
        <v>1</v>
      </c>
      <c r="AC164" s="12">
        <f>原始输入与口径!$F$5</f>
        <v>0.25</v>
      </c>
      <c r="AD164" s="18">
        <f>原始输入与口径!CG164</f>
        <v>0.3125</v>
      </c>
      <c r="AE164" s="18">
        <f>原始输入与口径!BQ164</f>
        <v>0.13714285714285715</v>
      </c>
      <c r="AF164" s="18">
        <f t="shared" si="58"/>
        <v>6.6285714285714288E-4</v>
      </c>
      <c r="AG164" s="18">
        <f t="shared" si="59"/>
        <v>0.19508571428571428</v>
      </c>
      <c r="AH164" s="12">
        <f>IF(ISNUMBER(原始输入与口径!T164),原始输入与口径!T164,"缺失")</f>
        <v>175</v>
      </c>
      <c r="AI164" s="12">
        <f>IF(ISNUMBER(原始输入与口径!Y164),原始输入与口径!Y164,"缺失")</f>
        <v>175</v>
      </c>
      <c r="AJ164" s="12">
        <f>IF(ISNUMBER(原始输入与口径!AI164),原始输入与口径!AI164,"缺失")</f>
        <v>2.9000000000000001E-2</v>
      </c>
      <c r="AK164" s="12">
        <f>IF(ISNUMBER(原始输入与口径!AL164),原始输入与口径!AL164,"缺失")</f>
        <v>8.5350000000000001</v>
      </c>
      <c r="AL164" s="12">
        <f>IF(ISNUMBER(原始输入与口径!O164),原始输入与口径!O164,"缺失")</f>
        <v>71.936000000000007</v>
      </c>
      <c r="AM164" s="12">
        <f>SUMIFS(相位SOC复算!$N$9:$N$929,相位SOC复算!$S$9:$S$929,156)</f>
        <v>2.5981150476190477E-2</v>
      </c>
      <c r="AN164" s="12">
        <f>SUMIFS(相位SOC复算!$Q$9:$Q$929,相位SOC复算!$S$9:$S$929,156)</f>
        <v>10.166537142857143</v>
      </c>
      <c r="AO164" s="12">
        <f>SUMIFS(相位SOC复算!$R$9:$R$929,相位SOC复算!$S$9:$S$929,156)</f>
        <v>0</v>
      </c>
      <c r="AP164" s="12">
        <f>相位SOC复算!J379</f>
        <v>170.74137194534157</v>
      </c>
      <c r="AQ164" s="19">
        <f t="shared" si="60"/>
        <v>0</v>
      </c>
      <c r="AR164" s="12">
        <f>IF(ISBLANK(原始输入与口径!M164),"",原始输入与口径!M164)</f>
        <v>5.2473000000000001</v>
      </c>
      <c r="AS164" s="14">
        <f>IF(ISBLANK(原始输入与口径!L164),"",原始输入与口径!L164)</f>
        <v>46234</v>
      </c>
      <c r="AT164" s="13">
        <f>IF(ISBLANK(原始输入与口径!A164),"",原始输入与口径!A164)</f>
        <v>46236.489583333336</v>
      </c>
      <c r="AU164" s="12" t="str">
        <f>IF(ISBLANK(原始输入与口径!I164),"",原始输入与口径!I164)</f>
        <v>2026-08-02_56</v>
      </c>
      <c r="AV164" s="12">
        <f>IF(ISBLANK(原始输入与口径!J164),"",原始输入与口径!J164)</f>
        <v>15</v>
      </c>
      <c r="AW164" s="12" t="str">
        <f>IF(ISBLANK(原始输入与口径!BB164),"",原始输入与口径!BB164)</f>
        <v>OK</v>
      </c>
      <c r="AX164" s="12">
        <f>原始输入与口径!CI164</f>
        <v>128</v>
      </c>
      <c r="AY164" s="12">
        <f>原始输入与口径!BS164</f>
        <v>175</v>
      </c>
      <c r="AZ164" s="12">
        <f>原始输入与口径!BI164</f>
        <v>175</v>
      </c>
      <c r="BA164" s="12">
        <f>原始输入与口径!CM164</f>
        <v>40</v>
      </c>
      <c r="BB164" s="12">
        <f>原始输入与口径!BV164</f>
        <v>24</v>
      </c>
      <c r="BC164" s="12">
        <f>原始输入与口径!BL164</f>
        <v>24</v>
      </c>
      <c r="BD164" s="14">
        <f>46235</f>
        <v>46235</v>
      </c>
      <c r="BE164" s="1" t="str">
        <f t="shared" si="61"/>
        <v>-36.000000 MW × 2.420000 × 0.250000 h = -21.780000 EUR</v>
      </c>
      <c r="BF164" s="1" t="str">
        <f t="shared" si="62"/>
        <v>40.000000 MW × 66.224535 × 0.250000 h = 662.245345 EUR</v>
      </c>
      <c r="BG164" s="1" t="str">
        <f t="shared" si="63"/>
        <v>24.000000 MW × 5.473291 × 0.250000 h = 32.839746 EUR</v>
      </c>
      <c r="BH164" s="1" t="str">
        <f t="shared" si="64"/>
        <v>24.000000 MW × 6.860671 × 0.250000 h = 41.164027 EUR</v>
      </c>
      <c r="BI164" s="1" t="str">
        <f t="shared" si="65"/>
        <v>0.003977 MWh × 89.036266 = 0.354110 EUR</v>
      </c>
      <c r="BJ164" s="1" t="str">
        <f t="shared" si="66"/>
        <v>−(1.170514 MWh × 5.166085) = -6.046977 EUR</v>
      </c>
      <c r="BK164" s="1" t="str">
        <f t="shared" si="67"/>
        <v>-21.780000 + 662.245345 + 32.839746 + 41.164027 + 0.354110 + -6.046977 = 708.776252 EUR</v>
      </c>
    </row>
    <row r="165" spans="1:63" ht="21" customHeight="1" x14ac:dyDescent="0.45">
      <c r="A165" s="13">
        <f>原始输入与口径!C165</f>
        <v>46236.625</v>
      </c>
      <c r="B165" s="15">
        <f>IF(ISNUMBER(原始输入与口径!H165),原始输入与口径!H165,"缺失")</f>
        <v>5.0999999999999996</v>
      </c>
      <c r="C165" s="15">
        <f>IF(ISNUMBER(原始输入与口径!R165),原始输入与口径!R165,"缺失")</f>
        <v>66.224534522516336</v>
      </c>
      <c r="D165" s="15">
        <f>IF(ISNUMBER(原始输入与口径!W165),原始输入与口径!W165,"缺失")</f>
        <v>5.3627579898233382</v>
      </c>
      <c r="E165" s="15">
        <f>IF(ISNUMBER(原始输入与口径!AB165),原始输入与口径!AB165,"缺失")</f>
        <v>6.8606712023326279</v>
      </c>
      <c r="F165" s="15">
        <f>IF(ISNUMBER(原始输入与口径!AG165),原始输入与口径!AG165,"缺失")</f>
        <v>0</v>
      </c>
      <c r="G165" s="15">
        <f>IF(ISNUMBER(原始输入与口径!AJ165),原始输入与口径!AJ165,"缺失")</f>
        <v>-43.963181064547477</v>
      </c>
      <c r="H165" s="15" t="str">
        <f t="shared" si="46"/>
        <v>未模拟</v>
      </c>
      <c r="I165" s="16">
        <f>原始输入与口径!CD165</f>
        <v>170.74137194534154</v>
      </c>
      <c r="J165" s="16">
        <f>原始输入与口径!CE165</f>
        <v>164.49108623105582</v>
      </c>
      <c r="K165" s="16">
        <f>原始输入与口径!BZ165</f>
        <v>35.999999999999993</v>
      </c>
      <c r="L165" s="16">
        <f>原始输入与口径!CK165</f>
        <v>40</v>
      </c>
      <c r="M165" s="16">
        <f>原始输入与口径!BT165</f>
        <v>24</v>
      </c>
      <c r="N165" s="16">
        <f>原始输入与口径!BJ165</f>
        <v>24</v>
      </c>
      <c r="O165" s="16">
        <f t="shared" si="47"/>
        <v>0</v>
      </c>
      <c r="P165" s="16">
        <f t="shared" si="48"/>
        <v>3.2497371428571431</v>
      </c>
      <c r="Q165" s="17">
        <f t="shared" si="49"/>
        <v>45.899999999999984</v>
      </c>
      <c r="R165" s="17">
        <f t="shared" si="50"/>
        <v>662.24534522516342</v>
      </c>
      <c r="S165" s="17">
        <f t="shared" si="51"/>
        <v>32.176547938940033</v>
      </c>
      <c r="T165" s="17">
        <f t="shared" si="52"/>
        <v>41.164027213995766</v>
      </c>
      <c r="U165" s="17">
        <f t="shared" si="53"/>
        <v>0</v>
      </c>
      <c r="V165" s="17">
        <f t="shared" si="54"/>
        <v>142.86878242361377</v>
      </c>
      <c r="W165" s="17">
        <f t="shared" si="55"/>
        <v>924.35470280171296</v>
      </c>
      <c r="X165" s="12">
        <f>原始输入与口径!CP165</f>
        <v>924.35470280171296</v>
      </c>
      <c r="Y165" s="19">
        <f t="shared" si="56"/>
        <v>0</v>
      </c>
      <c r="Z165" s="12" t="str">
        <f t="shared" si="57"/>
        <v>次日冻结计划复原</v>
      </c>
      <c r="AA165" s="12">
        <f>IF(原始输入与口径!AW165,1,0)</f>
        <v>1</v>
      </c>
      <c r="AB165" s="12">
        <f>IF(原始输入与口径!AY165,1,0)</f>
        <v>1</v>
      </c>
      <c r="AC165" s="12">
        <f>原始输入与口径!$F$5</f>
        <v>0.25</v>
      </c>
      <c r="AD165" s="18">
        <f>原始输入与口径!CG165</f>
        <v>0.3125</v>
      </c>
      <c r="AE165" s="18">
        <f>原始输入与口径!BQ165</f>
        <v>0.13714285714285715</v>
      </c>
      <c r="AF165" s="18">
        <f t="shared" si="58"/>
        <v>0</v>
      </c>
      <c r="AG165" s="18">
        <f t="shared" si="59"/>
        <v>0.54162285714285718</v>
      </c>
      <c r="AH165" s="12">
        <f>IF(ISNUMBER(原始输入与口径!T165),原始输入与口径!T165,"缺失")</f>
        <v>175</v>
      </c>
      <c r="AI165" s="12">
        <f>IF(ISNUMBER(原始输入与口径!Y165),原始输入与口径!Y165,"缺失")</f>
        <v>175</v>
      </c>
      <c r="AJ165" s="12">
        <f>IF(ISNUMBER(原始输入与口径!AI165),原始输入与口径!AI165,"缺失")</f>
        <v>0</v>
      </c>
      <c r="AK165" s="12">
        <f>IF(ISNUMBER(原始输入与口径!AL165),原始输入与口径!AL165,"缺失")</f>
        <v>23.696000000000002</v>
      </c>
      <c r="AL165" s="12">
        <f>IF(ISNUMBER(原始输入与口径!O165),原始输入与口径!O165,"缺失")</f>
        <v>71.936000000000007</v>
      </c>
      <c r="AM165" s="12">
        <f>SUMIFS(相位SOC复算!$N$9:$N$929,相位SOC复算!$S$9:$S$929,157)</f>
        <v>1.7361904761904759E-2</v>
      </c>
      <c r="AN165" s="12">
        <f>SUMIFS(相位SOC复算!$Q$9:$Q$929,相位SOC复算!$S$9:$S$929,157)</f>
        <v>0</v>
      </c>
      <c r="AO165" s="12">
        <f>SUMIFS(相位SOC复算!$R$9:$R$929,相位SOC复算!$S$9:$S$929,157)</f>
        <v>5.7502628571428547</v>
      </c>
      <c r="AP165" s="12">
        <f>相位SOC复算!J381</f>
        <v>164.49108623105585</v>
      </c>
      <c r="AQ165" s="19">
        <f t="shared" si="60"/>
        <v>0</v>
      </c>
      <c r="AR165" s="12">
        <f>IF(ISBLANK(原始输入与口径!M165),"",原始输入与口径!M165)</f>
        <v>5.2473000000000001</v>
      </c>
      <c r="AS165" s="14">
        <f>IF(ISBLANK(原始输入与口径!L165),"",原始输入与口径!L165)</f>
        <v>46234</v>
      </c>
      <c r="AT165" s="13">
        <f>IF(ISBLANK(原始输入与口径!A165),"",原始输入与口径!A165)</f>
        <v>46236.5</v>
      </c>
      <c r="AU165" s="12" t="str">
        <f>IF(ISBLANK(原始输入与口径!I165),"",原始输入与口径!I165)</f>
        <v>2026-08-02_57</v>
      </c>
      <c r="AV165" s="12">
        <f>IF(ISBLANK(原始输入与口径!J165),"",原始输入与口径!J165)</f>
        <v>15</v>
      </c>
      <c r="AW165" s="12" t="str">
        <f>IF(ISBLANK(原始输入与口径!BB165),"",原始输入与口径!BB165)</f>
        <v>OK</v>
      </c>
      <c r="AX165" s="12">
        <f>原始输入与口径!CI165</f>
        <v>128</v>
      </c>
      <c r="AY165" s="12">
        <f>原始输入与口径!BS165</f>
        <v>175</v>
      </c>
      <c r="AZ165" s="12">
        <f>原始输入与口径!BI165</f>
        <v>175</v>
      </c>
      <c r="BA165" s="12">
        <f>原始输入与口径!CM165</f>
        <v>40</v>
      </c>
      <c r="BB165" s="12">
        <f>原始输入与口径!BV165</f>
        <v>24</v>
      </c>
      <c r="BC165" s="12">
        <f>原始输入与口径!BL165</f>
        <v>24</v>
      </c>
      <c r="BD165" s="14">
        <f>46235</f>
        <v>46235</v>
      </c>
      <c r="BE165" s="1" t="str">
        <f t="shared" si="61"/>
        <v>36.000000 MW × 5.100000 × 0.250000 h = 45.900000 EUR</v>
      </c>
      <c r="BF165" s="1" t="str">
        <f t="shared" si="62"/>
        <v>40.000000 MW × 66.224535 × 0.250000 h = 662.245345 EUR</v>
      </c>
      <c r="BG165" s="1" t="str">
        <f t="shared" si="63"/>
        <v>24.000000 MW × 5.362758 × 0.250000 h = 32.176548 EUR</v>
      </c>
      <c r="BH165" s="1" t="str">
        <f t="shared" si="64"/>
        <v>24.000000 MW × 6.860671 × 0.250000 h = 41.164027 EUR</v>
      </c>
      <c r="BI165" s="1" t="str">
        <f t="shared" si="65"/>
        <v>零上调激活电量</v>
      </c>
      <c r="BJ165" s="1" t="str">
        <f t="shared" si="66"/>
        <v>−(3.249737 MWh × -43.963181) = 142.868782 EUR</v>
      </c>
      <c r="BK165" s="1" t="str">
        <f t="shared" si="67"/>
        <v>45.900000 + 662.245345 + 32.176548 + 41.164027 + 0.000000 + 142.868782 = 924.354703 EUR</v>
      </c>
    </row>
    <row r="166" spans="1:63" ht="21" customHeight="1" x14ac:dyDescent="0.45">
      <c r="A166" s="13">
        <f>原始输入与口径!C166</f>
        <v>46236.635416666664</v>
      </c>
      <c r="B166" s="15">
        <f>IF(ISNUMBER(原始输入与口径!H166),原始输入与口径!H166,"缺失")</f>
        <v>5.09</v>
      </c>
      <c r="C166" s="15">
        <f>IF(ISNUMBER(原始输入与口径!R166),原始输入与口径!R166,"缺失")</f>
        <v>66.224534522516336</v>
      </c>
      <c r="D166" s="15">
        <f>IF(ISNUMBER(原始输入与口径!W166),原始输入与口径!W166,"缺失")</f>
        <v>5.3627579898233382</v>
      </c>
      <c r="E166" s="15">
        <f>IF(ISNUMBER(原始输入与口径!AB166),原始输入与口径!AB166,"缺失")</f>
        <v>6.8606712023326279</v>
      </c>
      <c r="F166" s="15">
        <f>IF(ISNUMBER(原始输入与口径!AG166),原始输入与口径!AG166,"缺失")</f>
        <v>110.4855830617651</v>
      </c>
      <c r="G166" s="15">
        <f>IF(ISNUMBER(原始输入与口径!AJ166),原始输入与口径!AJ166,"缺失")</f>
        <v>-21.570331408533914</v>
      </c>
      <c r="H166" s="15" t="str">
        <f t="shared" si="46"/>
        <v>未模拟</v>
      </c>
      <c r="I166" s="16">
        <f>原始输入与口径!CD166</f>
        <v>164.49108623105582</v>
      </c>
      <c r="J166" s="16">
        <f>原始输入与口径!CE166</f>
        <v>155.88686262857135</v>
      </c>
      <c r="K166" s="16">
        <f>原始输入与口径!BZ166</f>
        <v>35.999999999999993</v>
      </c>
      <c r="L166" s="16">
        <f>原始输入与口径!CK166</f>
        <v>40</v>
      </c>
      <c r="M166" s="16">
        <f>原始输入与口径!BT166</f>
        <v>24</v>
      </c>
      <c r="N166" s="16">
        <f>原始输入与口径!BJ166</f>
        <v>24</v>
      </c>
      <c r="O166" s="16">
        <f t="shared" si="47"/>
        <v>0.10614857142857144</v>
      </c>
      <c r="P166" s="16">
        <f t="shared" si="48"/>
        <v>1.1902628571428573</v>
      </c>
      <c r="Q166" s="17">
        <f t="shared" si="49"/>
        <v>45.809999999999988</v>
      </c>
      <c r="R166" s="17">
        <f t="shared" si="50"/>
        <v>662.24534522516342</v>
      </c>
      <c r="S166" s="17">
        <f t="shared" si="51"/>
        <v>32.176547938940033</v>
      </c>
      <c r="T166" s="17">
        <f t="shared" si="52"/>
        <v>41.164027213995766</v>
      </c>
      <c r="U166" s="17">
        <f t="shared" si="53"/>
        <v>11.727886805459136</v>
      </c>
      <c r="V166" s="17">
        <f t="shared" si="54"/>
        <v>25.67436429183989</v>
      </c>
      <c r="W166" s="17">
        <f t="shared" si="55"/>
        <v>818.79817147539814</v>
      </c>
      <c r="X166" s="12">
        <f>原始输入与口径!CP166</f>
        <v>818.79817147539825</v>
      </c>
      <c r="Y166" s="19">
        <f t="shared" si="56"/>
        <v>0</v>
      </c>
      <c r="Z166" s="12" t="str">
        <f t="shared" si="57"/>
        <v>次日冻结计划复原</v>
      </c>
      <c r="AA166" s="12">
        <f>IF(原始输入与口径!AW166,1,0)</f>
        <v>1</v>
      </c>
      <c r="AB166" s="12">
        <f>IF(原始输入与口径!AY166,1,0)</f>
        <v>1</v>
      </c>
      <c r="AC166" s="12">
        <f>原始输入与口径!$F$5</f>
        <v>0.25</v>
      </c>
      <c r="AD166" s="18">
        <f>原始输入与口径!CG166</f>
        <v>0.3125</v>
      </c>
      <c r="AE166" s="18">
        <f>原始输入与口径!BQ166</f>
        <v>0.13714285714285715</v>
      </c>
      <c r="AF166" s="18">
        <f t="shared" si="58"/>
        <v>1.7691428571428573E-2</v>
      </c>
      <c r="AG166" s="18">
        <f t="shared" si="59"/>
        <v>0.19837714285714286</v>
      </c>
      <c r="AH166" s="12">
        <f>IF(ISNUMBER(原始输入与口径!T166),原始输入与口径!T166,"缺失")</f>
        <v>175</v>
      </c>
      <c r="AI166" s="12">
        <f>IF(ISNUMBER(原始输入与口径!Y166),原始输入与口径!Y166,"缺失")</f>
        <v>175</v>
      </c>
      <c r="AJ166" s="12">
        <f>IF(ISNUMBER(原始输入与口径!AI166),原始输入与口径!AI166,"缺失")</f>
        <v>0.77400000000000002</v>
      </c>
      <c r="AK166" s="12">
        <f>IF(ISNUMBER(原始输入与口径!AL166),原始输入与口径!AL166,"缺失")</f>
        <v>8.6790000000000003</v>
      </c>
      <c r="AL166" s="12">
        <f>IF(ISNUMBER(原始输入与口径!O166),原始输入与口径!O166,"缺失")</f>
        <v>71.936000000000007</v>
      </c>
      <c r="AM166" s="12">
        <f>SUMIFS(相位SOC复算!$N$9:$N$929,相位SOC复算!$S$9:$S$929,158)</f>
        <v>2.3900621118012416E-2</v>
      </c>
      <c r="AN166" s="12">
        <f>SUMIFS(相位SOC复算!$Q$9:$Q$929,相位SOC复算!$S$9:$S$929,158)</f>
        <v>0</v>
      </c>
      <c r="AO166" s="12">
        <f>SUMIFS(相位SOC复算!$R$9:$R$929,相位SOC复算!$S$9:$S$929,158)</f>
        <v>7.9158857142857117</v>
      </c>
      <c r="AP166" s="12">
        <f>相位SOC复算!J384</f>
        <v>155.88686262857138</v>
      </c>
      <c r="AQ166" s="19">
        <f t="shared" si="60"/>
        <v>0</v>
      </c>
      <c r="AR166" s="12">
        <f>IF(ISBLANK(原始输入与口径!M166),"",原始输入与口径!M166)</f>
        <v>5.2473000000000001</v>
      </c>
      <c r="AS166" s="14">
        <f>IF(ISBLANK(原始输入与口径!L166),"",原始输入与口径!L166)</f>
        <v>46234</v>
      </c>
      <c r="AT166" s="13">
        <f>IF(ISBLANK(原始输入与口径!A166),"",原始输入与口径!A166)</f>
        <v>46236.510416666664</v>
      </c>
      <c r="AU166" s="12" t="str">
        <f>IF(ISBLANK(原始输入与口径!I166),"",原始输入与口径!I166)</f>
        <v>2026-08-02_58</v>
      </c>
      <c r="AV166" s="12">
        <f>IF(ISBLANK(原始输入与口径!J166),"",原始输入与口径!J166)</f>
        <v>15</v>
      </c>
      <c r="AW166" s="12" t="str">
        <f>IF(ISBLANK(原始输入与口径!BB166),"",原始输入与口径!BB166)</f>
        <v>OK</v>
      </c>
      <c r="AX166" s="12">
        <f>原始输入与口径!CI166</f>
        <v>128</v>
      </c>
      <c r="AY166" s="12">
        <f>原始输入与口径!BS166</f>
        <v>175</v>
      </c>
      <c r="AZ166" s="12">
        <f>原始输入与口径!BI166</f>
        <v>175</v>
      </c>
      <c r="BA166" s="12">
        <f>原始输入与口径!CM166</f>
        <v>40</v>
      </c>
      <c r="BB166" s="12">
        <f>原始输入与口径!BV166</f>
        <v>24</v>
      </c>
      <c r="BC166" s="12">
        <f>原始输入与口径!BL166</f>
        <v>24</v>
      </c>
      <c r="BD166" s="14">
        <f>46235</f>
        <v>46235</v>
      </c>
      <c r="BE166" s="1" t="str">
        <f t="shared" si="61"/>
        <v>36.000000 MW × 5.090000 × 0.250000 h = 45.810000 EUR</v>
      </c>
      <c r="BF166" s="1" t="str">
        <f t="shared" si="62"/>
        <v>40.000000 MW × 66.224535 × 0.250000 h = 662.245345 EUR</v>
      </c>
      <c r="BG166" s="1" t="str">
        <f t="shared" si="63"/>
        <v>24.000000 MW × 5.362758 × 0.250000 h = 32.176548 EUR</v>
      </c>
      <c r="BH166" s="1" t="str">
        <f t="shared" si="64"/>
        <v>24.000000 MW × 6.860671 × 0.250000 h = 41.164027 EUR</v>
      </c>
      <c r="BI166" s="1" t="str">
        <f t="shared" si="65"/>
        <v>0.106149 MWh × 110.485583 = 11.727887 EUR</v>
      </c>
      <c r="BJ166" s="1" t="str">
        <f t="shared" si="66"/>
        <v>−(1.190263 MWh × -21.570331) = 25.674364 EUR</v>
      </c>
      <c r="BK166" s="1" t="str">
        <f t="shared" si="67"/>
        <v>45.810000 + 662.245345 + 32.176548 + 41.164027 + 11.727887 + 25.674364 = 818.798171 EUR</v>
      </c>
    </row>
    <row r="167" spans="1:63" ht="21" customHeight="1" x14ac:dyDescent="0.45">
      <c r="A167" s="13">
        <f>原始输入与口径!C167</f>
        <v>46236.645833333336</v>
      </c>
      <c r="B167" s="15">
        <f>IF(ISNUMBER(原始输入与口径!H167),原始输入与口径!H167,"缺失")</f>
        <v>3.9</v>
      </c>
      <c r="C167" s="15">
        <f>IF(ISNUMBER(原始输入与口径!R167),原始输入与口径!R167,"缺失")</f>
        <v>66.224534522516336</v>
      </c>
      <c r="D167" s="15">
        <f>IF(ISNUMBER(原始输入与口径!W167),原始输入与口径!W167,"缺失")</f>
        <v>5.3627579898233382</v>
      </c>
      <c r="E167" s="15">
        <f>IF(ISNUMBER(原始输入与口径!AB167),原始输入与口径!AB167,"缺失")</f>
        <v>6.8606712023326279</v>
      </c>
      <c r="F167" s="15">
        <f>IF(ISNUMBER(原始输入与口径!AG167),原始输入与口径!AG167,"缺失")</f>
        <v>107.0611552608008</v>
      </c>
      <c r="G167" s="15">
        <f>IF(ISNUMBER(原始输入与口径!AJ167),原始输入与口径!AJ167,"缺失")</f>
        <v>0</v>
      </c>
      <c r="H167" s="15" t="str">
        <f t="shared" si="46"/>
        <v>未模拟</v>
      </c>
      <c r="I167" s="16">
        <f>原始输入与口径!CD167</f>
        <v>155.88686262857135</v>
      </c>
      <c r="J167" s="16">
        <f>原始输入与口径!CE167</f>
        <v>163.95653485714277</v>
      </c>
      <c r="K167" s="16">
        <f>原始输入与口径!BZ167</f>
        <v>-36</v>
      </c>
      <c r="L167" s="16">
        <f>原始输入与口径!CK167</f>
        <v>40</v>
      </c>
      <c r="M167" s="16">
        <f>原始输入与口径!BT167</f>
        <v>24</v>
      </c>
      <c r="N167" s="16">
        <f>原始输入与口径!BJ167</f>
        <v>24</v>
      </c>
      <c r="O167" s="16">
        <f t="shared" si="47"/>
        <v>0.22861714285714288</v>
      </c>
      <c r="P167" s="16">
        <f t="shared" si="48"/>
        <v>0</v>
      </c>
      <c r="Q167" s="17">
        <f t="shared" si="49"/>
        <v>-35.1</v>
      </c>
      <c r="R167" s="17">
        <f t="shared" si="50"/>
        <v>662.24534522516342</v>
      </c>
      <c r="S167" s="17">
        <f t="shared" si="51"/>
        <v>32.176547938940033</v>
      </c>
      <c r="T167" s="17">
        <f t="shared" si="52"/>
        <v>41.164027213995766</v>
      </c>
      <c r="U167" s="17">
        <f t="shared" si="53"/>
        <v>24.47601542670925</v>
      </c>
      <c r="V167" s="17">
        <f t="shared" si="54"/>
        <v>0</v>
      </c>
      <c r="W167" s="17">
        <f t="shared" si="55"/>
        <v>724.96193580480849</v>
      </c>
      <c r="X167" s="12">
        <f>原始输入与口径!CP167</f>
        <v>724.96193580480849</v>
      </c>
      <c r="Y167" s="19">
        <f t="shared" si="56"/>
        <v>0</v>
      </c>
      <c r="Z167" s="12" t="str">
        <f t="shared" si="57"/>
        <v>次日冻结计划复原</v>
      </c>
      <c r="AA167" s="12">
        <f>IF(原始输入与口径!AW167,1,0)</f>
        <v>1</v>
      </c>
      <c r="AB167" s="12">
        <f>IF(原始输入与口径!AY167,1,0)</f>
        <v>1</v>
      </c>
      <c r="AC167" s="12">
        <f>原始输入与口径!$F$5</f>
        <v>0.25</v>
      </c>
      <c r="AD167" s="18">
        <f>原始输入与口径!CG167</f>
        <v>0.3125</v>
      </c>
      <c r="AE167" s="18">
        <f>原始输入与口径!BQ167</f>
        <v>0.13714285714285715</v>
      </c>
      <c r="AF167" s="18">
        <f t="shared" si="58"/>
        <v>3.8102857142857147E-2</v>
      </c>
      <c r="AG167" s="18">
        <f t="shared" si="59"/>
        <v>0</v>
      </c>
      <c r="AH167" s="12">
        <f>IF(ISNUMBER(原始输入与口径!T167),原始输入与口径!T167,"缺失")</f>
        <v>175</v>
      </c>
      <c r="AI167" s="12">
        <f>IF(ISNUMBER(原始输入与口径!Y167),原始输入与口径!Y167,"缺失")</f>
        <v>175</v>
      </c>
      <c r="AJ167" s="12">
        <f>IF(ISNUMBER(原始输入与口径!AI167),原始输入与口径!AI167,"缺失")</f>
        <v>1.667</v>
      </c>
      <c r="AK167" s="12">
        <f>IF(ISNUMBER(原始输入与口径!AL167),原始输入与口径!AL167,"缺失")</f>
        <v>0</v>
      </c>
      <c r="AL167" s="12">
        <f>IF(ISNUMBER(原始输入与口径!O167),原始输入与口径!O167,"缺失")</f>
        <v>71.936000000000007</v>
      </c>
      <c r="AM167" s="12">
        <f>SUMIFS(相位SOC复算!$N$9:$N$929,相位SOC复算!$S$9:$S$929,159)</f>
        <v>2.2415756190476192E-2</v>
      </c>
      <c r="AN167" s="12">
        <f>SUMIFS(相位SOC复算!$Q$9:$Q$929,相位SOC复算!$S$9:$S$929,159)</f>
        <v>8.7713828571428571</v>
      </c>
      <c r="AO167" s="12">
        <f>SUMIFS(相位SOC复算!$R$9:$R$929,相位SOC复算!$S$9:$S$929,159)</f>
        <v>0</v>
      </c>
      <c r="AP167" s="12">
        <f>相位SOC复算!J386</f>
        <v>163.9565348571428</v>
      </c>
      <c r="AQ167" s="19">
        <f t="shared" si="60"/>
        <v>0</v>
      </c>
      <c r="AR167" s="12">
        <f>IF(ISBLANK(原始输入与口径!M167),"",原始输入与口径!M167)</f>
        <v>5.2473000000000001</v>
      </c>
      <c r="AS167" s="14">
        <f>IF(ISBLANK(原始输入与口径!L167),"",原始输入与口径!L167)</f>
        <v>46234</v>
      </c>
      <c r="AT167" s="13">
        <f>IF(ISBLANK(原始输入与口径!A167),"",原始输入与口径!A167)</f>
        <v>46236.520833333336</v>
      </c>
      <c r="AU167" s="12" t="str">
        <f>IF(ISBLANK(原始输入与口径!I167),"",原始输入与口径!I167)</f>
        <v>2026-08-02_59</v>
      </c>
      <c r="AV167" s="12">
        <f>IF(ISBLANK(原始输入与口径!J167),"",原始输入与口径!J167)</f>
        <v>15</v>
      </c>
      <c r="AW167" s="12" t="str">
        <f>IF(ISBLANK(原始输入与口径!BB167),"",原始输入与口径!BB167)</f>
        <v>OK</v>
      </c>
      <c r="AX167" s="12">
        <f>原始输入与口径!CI167</f>
        <v>128</v>
      </c>
      <c r="AY167" s="12">
        <f>原始输入与口径!BS167</f>
        <v>175</v>
      </c>
      <c r="AZ167" s="12">
        <f>原始输入与口径!BI167</f>
        <v>175</v>
      </c>
      <c r="BA167" s="12">
        <f>原始输入与口径!CM167</f>
        <v>40</v>
      </c>
      <c r="BB167" s="12">
        <f>原始输入与口径!BV167</f>
        <v>24</v>
      </c>
      <c r="BC167" s="12">
        <f>原始输入与口径!BL167</f>
        <v>24</v>
      </c>
      <c r="BD167" s="14">
        <f>46235</f>
        <v>46235</v>
      </c>
      <c r="BE167" s="1" t="str">
        <f t="shared" si="61"/>
        <v>-36.000000 MW × 3.900000 × 0.250000 h = -35.100000 EUR</v>
      </c>
      <c r="BF167" s="1" t="str">
        <f t="shared" si="62"/>
        <v>40.000000 MW × 66.224535 × 0.250000 h = 662.245345 EUR</v>
      </c>
      <c r="BG167" s="1" t="str">
        <f t="shared" si="63"/>
        <v>24.000000 MW × 5.362758 × 0.250000 h = 32.176548 EUR</v>
      </c>
      <c r="BH167" s="1" t="str">
        <f t="shared" si="64"/>
        <v>24.000000 MW × 6.860671 × 0.250000 h = 41.164027 EUR</v>
      </c>
      <c r="BI167" s="1" t="str">
        <f t="shared" si="65"/>
        <v>0.228617 MWh × 107.061155 = 24.476015 EUR</v>
      </c>
      <c r="BJ167" s="1" t="str">
        <f t="shared" si="66"/>
        <v>零下调激活电量</v>
      </c>
      <c r="BK167" s="1" t="str">
        <f t="shared" si="67"/>
        <v>-35.100000 + 662.245345 + 32.176548 + 41.164027 + 24.476015 + 0.000000 = 724.961936 EUR</v>
      </c>
    </row>
    <row r="168" spans="1:63" ht="21" customHeight="1" x14ac:dyDescent="0.45">
      <c r="A168" s="13">
        <f>原始输入与口径!C168</f>
        <v>46236.65625</v>
      </c>
      <c r="B168" s="15">
        <f>IF(ISNUMBER(原始输入与口径!H168),原始输入与口径!H168,"缺失")</f>
        <v>3.13</v>
      </c>
      <c r="C168" s="15">
        <f>IF(ISNUMBER(原始输入与口径!R168),原始输入与口径!R168,"缺失")</f>
        <v>66.224534522516336</v>
      </c>
      <c r="D168" s="15">
        <f>IF(ISNUMBER(原始输入与口径!W168),原始输入与口径!W168,"缺失")</f>
        <v>5.3627579898233382</v>
      </c>
      <c r="E168" s="15">
        <f>IF(ISNUMBER(原始输入与口径!AB168),原始输入与口径!AB168,"缺失")</f>
        <v>6.8606712023326279</v>
      </c>
      <c r="F168" s="15">
        <f>IF(ISNUMBER(原始输入与口径!AG168),原始输入与口径!AG168,"缺失")</f>
        <v>117.19493834924627</v>
      </c>
      <c r="G168" s="15">
        <f>IF(ISNUMBER(原始输入与口径!AJ168),原始输入与口径!AJ168,"缺失")</f>
        <v>0</v>
      </c>
      <c r="H168" s="15" t="str">
        <f t="shared" si="46"/>
        <v>未模拟</v>
      </c>
      <c r="I168" s="16">
        <f>原始输入与口径!CD168</f>
        <v>163.95653485714277</v>
      </c>
      <c r="J168" s="16">
        <f>原始输入与口径!CE168</f>
        <v>171.59432228571418</v>
      </c>
      <c r="K168" s="16">
        <f>原始输入与口径!BZ168</f>
        <v>-36</v>
      </c>
      <c r="L168" s="16">
        <f>原始输入与口径!CK168</f>
        <v>40</v>
      </c>
      <c r="M168" s="16">
        <f>原始输入与口径!BT168</f>
        <v>24</v>
      </c>
      <c r="N168" s="16">
        <f>原始输入与口径!BJ168</f>
        <v>24</v>
      </c>
      <c r="O168" s="16">
        <f t="shared" si="47"/>
        <v>0.69805714285714282</v>
      </c>
      <c r="P168" s="16">
        <f t="shared" si="48"/>
        <v>0</v>
      </c>
      <c r="Q168" s="17">
        <f t="shared" si="49"/>
        <v>-28.169999999999998</v>
      </c>
      <c r="R168" s="17">
        <f t="shared" si="50"/>
        <v>662.24534522516342</v>
      </c>
      <c r="S168" s="17">
        <f t="shared" si="51"/>
        <v>32.176547938940033</v>
      </c>
      <c r="T168" s="17">
        <f t="shared" si="52"/>
        <v>41.164027213995766</v>
      </c>
      <c r="U168" s="17">
        <f t="shared" si="53"/>
        <v>81.808763821393853</v>
      </c>
      <c r="V168" s="17">
        <f t="shared" si="54"/>
        <v>0</v>
      </c>
      <c r="W168" s="17">
        <f t="shared" si="55"/>
        <v>789.22468419949314</v>
      </c>
      <c r="X168" s="12">
        <f>原始输入与口径!CP168</f>
        <v>789.22468419949303</v>
      </c>
      <c r="Y168" s="19">
        <f t="shared" si="56"/>
        <v>0</v>
      </c>
      <c r="Z168" s="12" t="str">
        <f t="shared" si="57"/>
        <v>次日冻结计划复原</v>
      </c>
      <c r="AA168" s="12">
        <f>IF(原始输入与口径!AW168,1,0)</f>
        <v>1</v>
      </c>
      <c r="AB168" s="12">
        <f>IF(原始输入与口径!AY168,1,0)</f>
        <v>1</v>
      </c>
      <c r="AC168" s="12">
        <f>原始输入与口径!$F$5</f>
        <v>0.25</v>
      </c>
      <c r="AD168" s="18">
        <f>原始输入与口径!CG168</f>
        <v>0.3125</v>
      </c>
      <c r="AE168" s="18">
        <f>原始输入与口径!BQ168</f>
        <v>0.13714285714285715</v>
      </c>
      <c r="AF168" s="18">
        <f t="shared" si="58"/>
        <v>0.11634285714285714</v>
      </c>
      <c r="AG168" s="18">
        <f t="shared" si="59"/>
        <v>0</v>
      </c>
      <c r="AH168" s="12">
        <f>IF(ISNUMBER(原始输入与口径!T168),原始输入与口径!T168,"缺失")</f>
        <v>175</v>
      </c>
      <c r="AI168" s="12">
        <f>IF(ISNUMBER(原始输入与口径!Y168),原始输入与口径!Y168,"缺失")</f>
        <v>175</v>
      </c>
      <c r="AJ168" s="12">
        <f>IF(ISNUMBER(原始输入与口径!AI168),原始输入与口径!AI168,"缺失")</f>
        <v>5.09</v>
      </c>
      <c r="AK168" s="12">
        <f>IF(ISNUMBER(原始输入与口径!AL168),原始输入与口径!AL168,"缺失")</f>
        <v>0</v>
      </c>
      <c r="AL168" s="12">
        <f>IF(ISNUMBER(原始输入与口径!O168),原始输入与口径!O168,"缺失")</f>
        <v>71.936000000000007</v>
      </c>
      <c r="AM168" s="12">
        <f>SUMIFS(相位SOC复算!$N$9:$N$929,相位SOC复算!$S$9:$S$929,160)</f>
        <v>2.1216076190476194E-2</v>
      </c>
      <c r="AN168" s="12">
        <f>SUMIFS(相位SOC复算!$Q$9:$Q$929,相位SOC复算!$S$9:$S$929,160)</f>
        <v>8.3019428571428566</v>
      </c>
      <c r="AO168" s="12">
        <f>SUMIFS(相位SOC复算!$R$9:$R$929,相位SOC复算!$S$9:$S$929,160)</f>
        <v>0</v>
      </c>
      <c r="AP168" s="12">
        <f>相位SOC复算!J388</f>
        <v>171.59432228571421</v>
      </c>
      <c r="AQ168" s="19">
        <f t="shared" si="60"/>
        <v>0</v>
      </c>
      <c r="AR168" s="12">
        <f>IF(ISBLANK(原始输入与口径!M168),"",原始输入与口径!M168)</f>
        <v>5.2473000000000001</v>
      </c>
      <c r="AS168" s="14">
        <f>IF(ISBLANK(原始输入与口径!L168),"",原始输入与口径!L168)</f>
        <v>46234</v>
      </c>
      <c r="AT168" s="13">
        <f>IF(ISBLANK(原始输入与口径!A168),"",原始输入与口径!A168)</f>
        <v>46236.53125</v>
      </c>
      <c r="AU168" s="12" t="str">
        <f>IF(ISBLANK(原始输入与口径!I168),"",原始输入与口径!I168)</f>
        <v>2026-08-02_60</v>
      </c>
      <c r="AV168" s="12">
        <f>IF(ISBLANK(原始输入与口径!J168),"",原始输入与口径!J168)</f>
        <v>15</v>
      </c>
      <c r="AW168" s="12" t="str">
        <f>IF(ISBLANK(原始输入与口径!BB168),"",原始输入与口径!BB168)</f>
        <v>OK</v>
      </c>
      <c r="AX168" s="12">
        <f>原始输入与口径!CI168</f>
        <v>128</v>
      </c>
      <c r="AY168" s="12">
        <f>原始输入与口径!BS168</f>
        <v>175</v>
      </c>
      <c r="AZ168" s="12">
        <f>原始输入与口径!BI168</f>
        <v>175</v>
      </c>
      <c r="BA168" s="12">
        <f>原始输入与口径!CM168</f>
        <v>40</v>
      </c>
      <c r="BB168" s="12">
        <f>原始输入与口径!BV168</f>
        <v>24</v>
      </c>
      <c r="BC168" s="12">
        <f>原始输入与口径!BL168</f>
        <v>24</v>
      </c>
      <c r="BD168" s="14">
        <f>46235</f>
        <v>46235</v>
      </c>
      <c r="BE168" s="1" t="str">
        <f t="shared" si="61"/>
        <v>-36.000000 MW × 3.130000 × 0.250000 h = -28.170000 EUR</v>
      </c>
      <c r="BF168" s="1" t="str">
        <f t="shared" si="62"/>
        <v>40.000000 MW × 66.224535 × 0.250000 h = 662.245345 EUR</v>
      </c>
      <c r="BG168" s="1" t="str">
        <f t="shared" si="63"/>
        <v>24.000000 MW × 5.362758 × 0.250000 h = 32.176548 EUR</v>
      </c>
      <c r="BH168" s="1" t="str">
        <f t="shared" si="64"/>
        <v>24.000000 MW × 6.860671 × 0.250000 h = 41.164027 EUR</v>
      </c>
      <c r="BI168" s="1" t="str">
        <f t="shared" si="65"/>
        <v>0.698057 MWh × 117.194938 = 81.808764 EUR</v>
      </c>
      <c r="BJ168" s="1" t="str">
        <f t="shared" si="66"/>
        <v>零下调激活电量</v>
      </c>
      <c r="BK168" s="1" t="str">
        <f t="shared" si="67"/>
        <v>-28.170000 + 662.245345 + 32.176548 + 41.164027 + 81.808764 + 0.000000 = 789.224684 EUR</v>
      </c>
    </row>
    <row r="169" spans="1:63" ht="21" customHeight="1" x14ac:dyDescent="0.45">
      <c r="A169" s="13">
        <f>原始输入与口径!C169</f>
        <v>46236.666666666664</v>
      </c>
      <c r="B169" s="15">
        <f>IF(ISNUMBER(原始输入与口径!H169),原始输入与口径!H169,"缺失")</f>
        <v>7.62</v>
      </c>
      <c r="C169" s="15">
        <f>IF(ISNUMBER(原始输入与口径!R169),原始输入与口径!R169,"缺失")</f>
        <v>66.224534522516336</v>
      </c>
      <c r="D169" s="15">
        <f>IF(ISNUMBER(原始输入与口径!W169),原始输入与口径!W169,"缺失")</f>
        <v>5.2998685038019548</v>
      </c>
      <c r="E169" s="15">
        <f>IF(ISNUMBER(原始输入与口径!AB169),原始输入与口径!AB169,"缺失")</f>
        <v>3.0072608770224685</v>
      </c>
      <c r="F169" s="15">
        <f>IF(ISNUMBER(原始输入与口径!AG169),原始输入与口径!AG169,"缺失")</f>
        <v>128.82815924380157</v>
      </c>
      <c r="G169" s="15">
        <f>IF(ISNUMBER(原始输入与口径!AJ169),原始输入与口径!AJ169,"缺失")</f>
        <v>76.229680025918086</v>
      </c>
      <c r="H169" s="15" t="str">
        <f t="shared" si="46"/>
        <v>未模拟</v>
      </c>
      <c r="I169" s="16">
        <f>原始输入与口径!CD169</f>
        <v>171.59432228571418</v>
      </c>
      <c r="J169" s="16">
        <f>原始输入与口径!CE169</f>
        <v>171.23522981366452</v>
      </c>
      <c r="K169" s="16">
        <f>原始输入与口径!BZ169</f>
        <v>0</v>
      </c>
      <c r="L169" s="16">
        <f>原始输入与口径!CK169</f>
        <v>40</v>
      </c>
      <c r="M169" s="16">
        <f>原始输入与口径!BT169</f>
        <v>24</v>
      </c>
      <c r="N169" s="16">
        <f>原始输入与口径!BJ169</f>
        <v>24</v>
      </c>
      <c r="O169" s="16">
        <f t="shared" si="47"/>
        <v>0.3355885714285714</v>
      </c>
      <c r="P169" s="16">
        <f t="shared" si="48"/>
        <v>6.1714285714285716E-3</v>
      </c>
      <c r="Q169" s="17">
        <f t="shared" si="49"/>
        <v>0</v>
      </c>
      <c r="R169" s="17">
        <f t="shared" si="50"/>
        <v>662.24534522516342</v>
      </c>
      <c r="S169" s="17">
        <f t="shared" si="51"/>
        <v>31.799211022811729</v>
      </c>
      <c r="T169" s="17">
        <f t="shared" si="52"/>
        <v>18.043565262134813</v>
      </c>
      <c r="U169" s="17">
        <f t="shared" si="53"/>
        <v>43.233257920399872</v>
      </c>
      <c r="V169" s="17">
        <f t="shared" si="54"/>
        <v>-0.47044602530280877</v>
      </c>
      <c r="W169" s="17">
        <f t="shared" si="55"/>
        <v>754.850933405207</v>
      </c>
      <c r="X169" s="12">
        <f>原始输入与口径!CP169</f>
        <v>754.850933405207</v>
      </c>
      <c r="Y169" s="19">
        <f t="shared" si="56"/>
        <v>0</v>
      </c>
      <c r="Z169" s="12" t="str">
        <f t="shared" ref="Z169:Z200" si="68">"次日冻结计划复原"</f>
        <v>次日冻结计划复原</v>
      </c>
      <c r="AA169" s="12">
        <f>IF(原始输入与口径!AW169,1,0)</f>
        <v>1</v>
      </c>
      <c r="AB169" s="12">
        <f>IF(原始输入与口径!AY169,1,0)</f>
        <v>1</v>
      </c>
      <c r="AC169" s="12">
        <f>原始输入与口径!$F$5</f>
        <v>0.25</v>
      </c>
      <c r="AD169" s="18">
        <f>原始输入与口径!CG169</f>
        <v>0.3125</v>
      </c>
      <c r="AE169" s="18">
        <f>原始输入与口径!BQ169</f>
        <v>0.13714285714285715</v>
      </c>
      <c r="AF169" s="18">
        <f t="shared" si="58"/>
        <v>5.5931428571428569E-2</v>
      </c>
      <c r="AG169" s="18">
        <f t="shared" si="59"/>
        <v>1.0285714285714286E-3</v>
      </c>
      <c r="AH169" s="12">
        <f>IF(ISNUMBER(原始输入与口径!T169),原始输入与口径!T169,"缺失")</f>
        <v>175</v>
      </c>
      <c r="AI169" s="12">
        <f>IF(ISNUMBER(原始输入与口径!Y169),原始输入与口径!Y169,"缺失")</f>
        <v>175</v>
      </c>
      <c r="AJ169" s="12">
        <f>IF(ISNUMBER(原始输入与口径!AI169),原始输入与口径!AI169,"缺失")</f>
        <v>2.4470000000000001</v>
      </c>
      <c r="AK169" s="12">
        <f>IF(ISNUMBER(原始输入与口径!AL169),原始输入与口径!AL169,"缺失")</f>
        <v>4.4999999999999998E-2</v>
      </c>
      <c r="AL169" s="12">
        <f>IF(ISNUMBER(原始输入与口径!O169),原始输入与口径!O169,"缺失")</f>
        <v>71.936000000000007</v>
      </c>
      <c r="AM169" s="12">
        <f>SUMIFS(相位SOC复算!$N$9:$N$929,相位SOC复算!$S$9:$S$929,161)</f>
        <v>1.0290219461697721E-3</v>
      </c>
      <c r="AN169" s="12">
        <f>SUMIFS(相位SOC复算!$Q$9:$Q$929,相位SOC复算!$S$9:$S$929,161)</f>
        <v>6.1714285714285716E-3</v>
      </c>
      <c r="AO169" s="12">
        <f>SUMIFS(相位SOC复算!$R$9:$R$929,相位SOC复算!$S$9:$S$929,161)</f>
        <v>0.3355885714285714</v>
      </c>
      <c r="AP169" s="12">
        <f>相位SOC复算!J391</f>
        <v>171.23522981366455</v>
      </c>
      <c r="AQ169" s="19">
        <f t="shared" si="60"/>
        <v>0</v>
      </c>
      <c r="AR169" s="12">
        <f>IF(ISBLANK(原始输入与口径!M169),"",原始输入与口径!M169)</f>
        <v>5.2473000000000001</v>
      </c>
      <c r="AS169" s="14">
        <f>IF(ISBLANK(原始输入与口径!L169),"",原始输入与口径!L169)</f>
        <v>46234</v>
      </c>
      <c r="AT169" s="13">
        <f>IF(ISBLANK(原始输入与口径!A169),"",原始输入与口径!A169)</f>
        <v>46236.541666666664</v>
      </c>
      <c r="AU169" s="12" t="str">
        <f>IF(ISBLANK(原始输入与口径!I169),"",原始输入与口径!I169)</f>
        <v>2026-08-02_61</v>
      </c>
      <c r="AV169" s="12">
        <f>IF(ISBLANK(原始输入与口径!J169),"",原始输入与口径!J169)</f>
        <v>15</v>
      </c>
      <c r="AW169" s="12" t="str">
        <f>IF(ISBLANK(原始输入与口径!BB169),"",原始输入与口径!BB169)</f>
        <v>OK</v>
      </c>
      <c r="AX169" s="12">
        <f>原始输入与口径!CI169</f>
        <v>128</v>
      </c>
      <c r="AY169" s="12">
        <f>原始输入与口径!BS169</f>
        <v>175</v>
      </c>
      <c r="AZ169" s="12">
        <f>原始输入与口径!BI169</f>
        <v>175</v>
      </c>
      <c r="BA169" s="12">
        <f>原始输入与口径!CM169</f>
        <v>40</v>
      </c>
      <c r="BB169" s="12">
        <f>原始输入与口径!BV169</f>
        <v>24</v>
      </c>
      <c r="BC169" s="12">
        <f>原始输入与口径!BL169</f>
        <v>24</v>
      </c>
      <c r="BD169" s="14">
        <f>46235</f>
        <v>46235</v>
      </c>
      <c r="BE169" s="1" t="str">
        <f t="shared" si="61"/>
        <v>零头寸，无结算现金</v>
      </c>
      <c r="BF169" s="1" t="str">
        <f t="shared" si="62"/>
        <v>40.000000 MW × 66.224535 × 0.250000 h = 662.245345 EUR</v>
      </c>
      <c r="BG169" s="1" t="str">
        <f t="shared" si="63"/>
        <v>24.000000 MW × 5.299869 × 0.250000 h = 31.799211 EUR</v>
      </c>
      <c r="BH169" s="1" t="str">
        <f t="shared" si="64"/>
        <v>24.000000 MW × 3.007261 × 0.250000 h = 18.043565 EUR</v>
      </c>
      <c r="BI169" s="1" t="str">
        <f t="shared" si="65"/>
        <v>0.335589 MWh × 128.828159 = 43.233258 EUR</v>
      </c>
      <c r="BJ169" s="1" t="str">
        <f t="shared" si="66"/>
        <v>−(0.006171 MWh × 76.229680) = -0.470446 EUR</v>
      </c>
      <c r="BK169" s="1" t="str">
        <f t="shared" si="67"/>
        <v>0.000000 + 662.245345 + 31.799211 + 18.043565 + 43.233258 + -0.470446 = 754.850933 EUR</v>
      </c>
    </row>
    <row r="170" spans="1:63" ht="21" customHeight="1" x14ac:dyDescent="0.45">
      <c r="A170" s="13">
        <f>原始输入与口径!C170</f>
        <v>46236.677083333336</v>
      </c>
      <c r="B170" s="15">
        <f>IF(ISNUMBER(原始输入与口径!H170),原始输入与口径!H170,"缺失")</f>
        <v>7.14</v>
      </c>
      <c r="C170" s="15">
        <f>IF(ISNUMBER(原始输入与口径!R170),原始输入与口径!R170,"缺失")</f>
        <v>66.224534522516336</v>
      </c>
      <c r="D170" s="15">
        <f>IF(ISNUMBER(原始输入与口径!W170),原始输入与口径!W170,"缺失")</f>
        <v>5.2998685038019548</v>
      </c>
      <c r="E170" s="15">
        <f>IF(ISNUMBER(原始输入与口径!AB170),原始输入与口径!AB170,"缺失")</f>
        <v>3.0072608770224685</v>
      </c>
      <c r="F170" s="15">
        <f>IF(ISNUMBER(原始输入与口径!AG170),原始输入与口径!AG170,"缺失")</f>
        <v>93.550969069807323</v>
      </c>
      <c r="G170" s="15">
        <f>IF(ISNUMBER(原始输入与口径!AJ170),原始输入与口径!AJ170,"缺失")</f>
        <v>66.991023955176942</v>
      </c>
      <c r="H170" s="15" t="str">
        <f t="shared" si="46"/>
        <v>未模拟</v>
      </c>
      <c r="I170" s="16">
        <f>原始输入与口径!CD170</f>
        <v>171.23522981366452</v>
      </c>
      <c r="J170" s="16">
        <f>原始输入与口径!CE170</f>
        <v>171.59054708838389</v>
      </c>
      <c r="K170" s="16">
        <f>原始输入与口径!BZ170</f>
        <v>-1.513646080067296</v>
      </c>
      <c r="L170" s="16">
        <f>原始输入与口径!CK170</f>
        <v>40</v>
      </c>
      <c r="M170" s="16">
        <f>原始输入与口径!BT170</f>
        <v>24</v>
      </c>
      <c r="N170" s="16">
        <f>原始输入与口径!BJ170</f>
        <v>24</v>
      </c>
      <c r="O170" s="16">
        <f t="shared" si="47"/>
        <v>1.782857142857143E-2</v>
      </c>
      <c r="P170" s="16">
        <f t="shared" si="48"/>
        <v>2.8662857142857139E-2</v>
      </c>
      <c r="Q170" s="17">
        <f t="shared" si="49"/>
        <v>-2.7018582529201232</v>
      </c>
      <c r="R170" s="17">
        <f t="shared" si="50"/>
        <v>662.24534522516342</v>
      </c>
      <c r="S170" s="17">
        <f t="shared" si="51"/>
        <v>31.799211022811729</v>
      </c>
      <c r="T170" s="17">
        <f t="shared" si="52"/>
        <v>18.043565262134813</v>
      </c>
      <c r="U170" s="17">
        <f t="shared" si="53"/>
        <v>1.6678801342731364</v>
      </c>
      <c r="V170" s="17">
        <f t="shared" si="54"/>
        <v>-1.9201541494809571</v>
      </c>
      <c r="W170" s="17">
        <f t="shared" si="55"/>
        <v>709.13398924198202</v>
      </c>
      <c r="X170" s="12">
        <f>原始输入与口径!CP170</f>
        <v>709.13398924198202</v>
      </c>
      <c r="Y170" s="19">
        <f t="shared" si="56"/>
        <v>0</v>
      </c>
      <c r="Z170" s="12" t="str">
        <f t="shared" si="68"/>
        <v>次日冻结计划复原</v>
      </c>
      <c r="AA170" s="12">
        <f>IF(原始输入与口径!AW170,1,0)</f>
        <v>1</v>
      </c>
      <c r="AB170" s="12">
        <f>IF(原始输入与口径!AY170,1,0)</f>
        <v>1</v>
      </c>
      <c r="AC170" s="12">
        <f>原始输入与口径!$F$5</f>
        <v>0.25</v>
      </c>
      <c r="AD170" s="18">
        <f>原始输入与口径!CG170</f>
        <v>0.3125</v>
      </c>
      <c r="AE170" s="18">
        <f>原始输入与口径!BQ170</f>
        <v>0.13714285714285715</v>
      </c>
      <c r="AF170" s="18">
        <f t="shared" si="58"/>
        <v>2.9714285714285715E-3</v>
      </c>
      <c r="AG170" s="18">
        <f t="shared" si="59"/>
        <v>4.7771428571428565E-3</v>
      </c>
      <c r="AH170" s="12">
        <f>IF(ISNUMBER(原始输入与口径!T170),原始输入与口径!T170,"缺失")</f>
        <v>175</v>
      </c>
      <c r="AI170" s="12">
        <f>IF(ISNUMBER(原始输入与口径!Y170),原始输入与口径!Y170,"缺失")</f>
        <v>175</v>
      </c>
      <c r="AJ170" s="12">
        <f>IF(ISNUMBER(原始输入与口径!AI170),原始输入与口径!AI170,"缺失")</f>
        <v>0.13</v>
      </c>
      <c r="AK170" s="12">
        <f>IF(ISNUMBER(原始输入与口径!AL170),原始输入与口径!AL170,"缺失")</f>
        <v>0.20899999999999999</v>
      </c>
      <c r="AL170" s="12">
        <f>IF(ISNUMBER(原始输入与口径!O170),原始输入与口径!O170,"缺失")</f>
        <v>71.936000000000007</v>
      </c>
      <c r="AM170" s="12">
        <f>SUMIFS(相位SOC复算!$N$9:$N$929,相位SOC复算!$S$9:$S$929,162)</f>
        <v>1.0878628924948458E-3</v>
      </c>
      <c r="AN170" s="12">
        <f>SUMIFS(相位SOC复算!$Q$9:$Q$929,相位SOC复算!$S$9:$S$929,162)</f>
        <v>0.40594995435734538</v>
      </c>
      <c r="AO170" s="12">
        <f>SUMIFS(相位SOC复算!$R$9:$R$929,相位SOC复算!$S$9:$S$929,162)</f>
        <v>1.6704148626235722E-2</v>
      </c>
      <c r="AP170" s="12">
        <f>相位SOC复算!J394</f>
        <v>171.59054708838391</v>
      </c>
      <c r="AQ170" s="19">
        <f t="shared" si="60"/>
        <v>0</v>
      </c>
      <c r="AR170" s="12">
        <f>IF(ISBLANK(原始输入与口径!M170),"",原始输入与口径!M170)</f>
        <v>5.2473000000000001</v>
      </c>
      <c r="AS170" s="14">
        <f>IF(ISBLANK(原始输入与口径!L170),"",原始输入与口径!L170)</f>
        <v>46234</v>
      </c>
      <c r="AT170" s="13">
        <f>IF(ISBLANK(原始输入与口径!A170),"",原始输入与口径!A170)</f>
        <v>46236.552083333336</v>
      </c>
      <c r="AU170" s="12" t="str">
        <f>IF(ISBLANK(原始输入与口径!I170),"",原始输入与口径!I170)</f>
        <v>2026-08-02_62</v>
      </c>
      <c r="AV170" s="12">
        <f>IF(ISBLANK(原始输入与口径!J170),"",原始输入与口径!J170)</f>
        <v>15</v>
      </c>
      <c r="AW170" s="12" t="str">
        <f>IF(ISBLANK(原始输入与口径!BB170),"",原始输入与口径!BB170)</f>
        <v>OK</v>
      </c>
      <c r="AX170" s="12">
        <f>原始输入与口径!CI170</f>
        <v>128</v>
      </c>
      <c r="AY170" s="12">
        <f>原始输入与口径!BS170</f>
        <v>175</v>
      </c>
      <c r="AZ170" s="12">
        <f>原始输入与口径!BI170</f>
        <v>175</v>
      </c>
      <c r="BA170" s="12">
        <f>原始输入与口径!CM170</f>
        <v>40</v>
      </c>
      <c r="BB170" s="12">
        <f>原始输入与口径!BV170</f>
        <v>24</v>
      </c>
      <c r="BC170" s="12">
        <f>原始输入与口径!BL170</f>
        <v>24</v>
      </c>
      <c r="BD170" s="14">
        <f>46235</f>
        <v>46235</v>
      </c>
      <c r="BE170" s="1" t="str">
        <f t="shared" si="61"/>
        <v>-1.513646 MW × 7.140000 × 0.250000 h = -2.701858 EUR</v>
      </c>
      <c r="BF170" s="1" t="str">
        <f t="shared" si="62"/>
        <v>40.000000 MW × 66.224535 × 0.250000 h = 662.245345 EUR</v>
      </c>
      <c r="BG170" s="1" t="str">
        <f t="shared" si="63"/>
        <v>24.000000 MW × 5.299869 × 0.250000 h = 31.799211 EUR</v>
      </c>
      <c r="BH170" s="1" t="str">
        <f t="shared" si="64"/>
        <v>24.000000 MW × 3.007261 × 0.250000 h = 18.043565 EUR</v>
      </c>
      <c r="BI170" s="1" t="str">
        <f t="shared" si="65"/>
        <v>0.017829 MWh × 93.550969 = 1.667880 EUR</v>
      </c>
      <c r="BJ170" s="1" t="str">
        <f t="shared" si="66"/>
        <v>−(0.028663 MWh × 66.991024) = -1.920154 EUR</v>
      </c>
      <c r="BK170" s="1" t="str">
        <f t="shared" si="67"/>
        <v>-2.701858 + 662.245345 + 31.799211 + 18.043565 + 1.667880 + -1.920154 = 709.133989 EUR</v>
      </c>
    </row>
    <row r="171" spans="1:63" ht="21" customHeight="1" x14ac:dyDescent="0.45">
      <c r="A171" s="13">
        <f>原始输入与口径!C171</f>
        <v>46236.6875</v>
      </c>
      <c r="B171" s="15">
        <f>IF(ISNUMBER(原始输入与口径!H171),原始输入与口径!H171,"缺失")</f>
        <v>7.94</v>
      </c>
      <c r="C171" s="15">
        <f>IF(ISNUMBER(原始输入与口径!R171),原始输入与口径!R171,"缺失")</f>
        <v>66.224534522516336</v>
      </c>
      <c r="D171" s="15">
        <f>IF(ISNUMBER(原始输入与口径!W171),原始输入与口径!W171,"缺失")</f>
        <v>5.2998685038019548</v>
      </c>
      <c r="E171" s="15">
        <f>IF(ISNUMBER(原始输入与口径!AB171),原始输入与口径!AB171,"缺失")</f>
        <v>3.0072608770224685</v>
      </c>
      <c r="F171" s="15">
        <f>IF(ISNUMBER(原始输入与口径!AG171),原始输入与口径!AG171,"缺失")</f>
        <v>132.17673851314009</v>
      </c>
      <c r="G171" s="15">
        <f>IF(ISNUMBER(原始输入与口径!AJ171),原始输入与口径!AJ171,"缺失")</f>
        <v>76.229680025918086</v>
      </c>
      <c r="H171" s="15" t="str">
        <f t="shared" si="46"/>
        <v>未模拟</v>
      </c>
      <c r="I171" s="16">
        <f>原始输入与口径!CD171</f>
        <v>171.59054708838389</v>
      </c>
      <c r="J171" s="16">
        <f>原始输入与口径!CE171</f>
        <v>171.59459487911656</v>
      </c>
      <c r="K171" s="16">
        <f>原始输入与口径!BZ171</f>
        <v>-2.8374356393544509</v>
      </c>
      <c r="L171" s="16">
        <f>原始输入与口径!CK171</f>
        <v>40</v>
      </c>
      <c r="M171" s="16">
        <f>原始输入与口径!BT171</f>
        <v>24</v>
      </c>
      <c r="N171" s="16">
        <f>原始输入与口径!BJ171</f>
        <v>24</v>
      </c>
      <c r="O171" s="16">
        <f t="shared" si="47"/>
        <v>0.61563428571428569</v>
      </c>
      <c r="P171" s="16">
        <f t="shared" si="48"/>
        <v>9.1885714285714296E-3</v>
      </c>
      <c r="Q171" s="17">
        <f t="shared" si="49"/>
        <v>-5.6323097441185856</v>
      </c>
      <c r="R171" s="17">
        <f t="shared" si="50"/>
        <v>662.24534522516342</v>
      </c>
      <c r="S171" s="17">
        <f t="shared" si="51"/>
        <v>31.799211022811729</v>
      </c>
      <c r="T171" s="17">
        <f t="shared" si="52"/>
        <v>18.043565262134813</v>
      </c>
      <c r="U171" s="17">
        <f t="shared" si="53"/>
        <v>81.372532002580911</v>
      </c>
      <c r="V171" s="17">
        <f t="shared" si="54"/>
        <v>-0.70044185989529317</v>
      </c>
      <c r="W171" s="17">
        <f t="shared" si="55"/>
        <v>787.12790190867702</v>
      </c>
      <c r="X171" s="12">
        <f>原始输入与口径!CP171</f>
        <v>787.12790190867702</v>
      </c>
      <c r="Y171" s="19">
        <f t="shared" si="56"/>
        <v>0</v>
      </c>
      <c r="Z171" s="12" t="str">
        <f t="shared" si="68"/>
        <v>次日冻结计划复原</v>
      </c>
      <c r="AA171" s="12">
        <f>IF(原始输入与口径!AW171,1,0)</f>
        <v>1</v>
      </c>
      <c r="AB171" s="12">
        <f>IF(原始输入与口径!AY171,1,0)</f>
        <v>1</v>
      </c>
      <c r="AC171" s="12">
        <f>原始输入与口径!$F$5</f>
        <v>0.25</v>
      </c>
      <c r="AD171" s="18">
        <f>原始输入与口径!CG171</f>
        <v>0.3125</v>
      </c>
      <c r="AE171" s="18">
        <f>原始输入与口径!BQ171</f>
        <v>0.13714285714285715</v>
      </c>
      <c r="AF171" s="18">
        <f t="shared" si="58"/>
        <v>0.10260571428571429</v>
      </c>
      <c r="AG171" s="18">
        <f t="shared" si="59"/>
        <v>1.5314285714285716E-3</v>
      </c>
      <c r="AH171" s="12">
        <f>IF(ISNUMBER(原始输入与口径!T171),原始输入与口径!T171,"缺失")</f>
        <v>175</v>
      </c>
      <c r="AI171" s="12">
        <f>IF(ISNUMBER(原始输入与口径!Y171),原始输入与口径!Y171,"缺失")</f>
        <v>175</v>
      </c>
      <c r="AJ171" s="12">
        <f>IF(ISNUMBER(原始输入与口径!AI171),原始输入与口径!AI171,"缺失")</f>
        <v>4.4889999999999999</v>
      </c>
      <c r="AK171" s="12">
        <f>IF(ISNUMBER(原始输入与口径!AL171),原始输入与口径!AL171,"缺失")</f>
        <v>6.7000000000000004E-2</v>
      </c>
      <c r="AL171" s="12">
        <f>IF(ISNUMBER(原始输入与口径!O171),原始输入与口径!O171,"缺失")</f>
        <v>71.936000000000007</v>
      </c>
      <c r="AM171" s="12">
        <f>SUMIFS(相位SOC复算!$N$9:$N$929,相位SOC复算!$S$9:$S$929,163)</f>
        <v>3.2893236221158834E-3</v>
      </c>
      <c r="AN171" s="12">
        <f>SUMIFS(相位SOC复算!$Q$9:$Q$929,相位SOC复算!$S$9:$S$929,163)</f>
        <v>0.64576320363825768</v>
      </c>
      <c r="AO171" s="12">
        <f>SUMIFS(相位SOC复算!$R$9:$R$929,相位SOC复算!$S$9:$S$929,163)</f>
        <v>0.54285000808535933</v>
      </c>
      <c r="AP171" s="12">
        <f>相位SOC复算!J397</f>
        <v>171.59459487911658</v>
      </c>
      <c r="AQ171" s="19">
        <f t="shared" si="60"/>
        <v>0</v>
      </c>
      <c r="AR171" s="12">
        <f>IF(ISBLANK(原始输入与口径!M171),"",原始输入与口径!M171)</f>
        <v>5.2473000000000001</v>
      </c>
      <c r="AS171" s="14">
        <f>IF(ISBLANK(原始输入与口径!L171),"",原始输入与口径!L171)</f>
        <v>46234</v>
      </c>
      <c r="AT171" s="13">
        <f>IF(ISBLANK(原始输入与口径!A171),"",原始输入与口径!A171)</f>
        <v>46236.5625</v>
      </c>
      <c r="AU171" s="12" t="str">
        <f>IF(ISBLANK(原始输入与口径!I171),"",原始输入与口径!I171)</f>
        <v>2026-08-02_63</v>
      </c>
      <c r="AV171" s="12">
        <f>IF(ISBLANK(原始输入与口径!J171),"",原始输入与口径!J171)</f>
        <v>15</v>
      </c>
      <c r="AW171" s="12" t="str">
        <f>IF(ISBLANK(原始输入与口径!BB171),"",原始输入与口径!BB171)</f>
        <v>OK</v>
      </c>
      <c r="AX171" s="12">
        <f>原始输入与口径!CI171</f>
        <v>128</v>
      </c>
      <c r="AY171" s="12">
        <f>原始输入与口径!BS171</f>
        <v>175</v>
      </c>
      <c r="AZ171" s="12">
        <f>原始输入与口径!BI171</f>
        <v>175</v>
      </c>
      <c r="BA171" s="12">
        <f>原始输入与口径!CM171</f>
        <v>40</v>
      </c>
      <c r="BB171" s="12">
        <f>原始输入与口径!BV171</f>
        <v>24</v>
      </c>
      <c r="BC171" s="12">
        <f>原始输入与口径!BL171</f>
        <v>24</v>
      </c>
      <c r="BD171" s="14">
        <f>46235</f>
        <v>46235</v>
      </c>
      <c r="BE171" s="1" t="str">
        <f t="shared" si="61"/>
        <v>-2.837436 MW × 7.940000 × 0.250000 h = -5.632310 EUR</v>
      </c>
      <c r="BF171" s="1" t="str">
        <f t="shared" si="62"/>
        <v>40.000000 MW × 66.224535 × 0.250000 h = 662.245345 EUR</v>
      </c>
      <c r="BG171" s="1" t="str">
        <f t="shared" si="63"/>
        <v>24.000000 MW × 5.299869 × 0.250000 h = 31.799211 EUR</v>
      </c>
      <c r="BH171" s="1" t="str">
        <f t="shared" si="64"/>
        <v>24.000000 MW × 3.007261 × 0.250000 h = 18.043565 EUR</v>
      </c>
      <c r="BI171" s="1" t="str">
        <f t="shared" si="65"/>
        <v>0.615634 MWh × 132.176739 = 81.372532 EUR</v>
      </c>
      <c r="BJ171" s="1" t="str">
        <f t="shared" si="66"/>
        <v>−(0.009189 MWh × 76.229680) = -0.700442 EUR</v>
      </c>
      <c r="BK171" s="1" t="str">
        <f t="shared" si="67"/>
        <v>-5.632310 + 662.245345 + 31.799211 + 18.043565 + 81.372532 + -0.700442 = 787.127902 EUR</v>
      </c>
    </row>
    <row r="172" spans="1:63" ht="21" customHeight="1" x14ac:dyDescent="0.45">
      <c r="A172" s="13">
        <f>原始输入与口径!C172</f>
        <v>46236.697916666664</v>
      </c>
      <c r="B172" s="15">
        <f>IF(ISNUMBER(原始输入与口径!H172),原始输入与口径!H172,"缺失")</f>
        <v>8.4700000000000006</v>
      </c>
      <c r="C172" s="15">
        <f>IF(ISNUMBER(原始输入与口径!R172),原始输入与口径!R172,"缺失")</f>
        <v>66.224534522516336</v>
      </c>
      <c r="D172" s="15">
        <f>IF(ISNUMBER(原始输入与口径!W172),原始输入与口径!W172,"缺失")</f>
        <v>5.2998685038019548</v>
      </c>
      <c r="E172" s="15">
        <f>IF(ISNUMBER(原始输入与口径!AB172),原始输入与口径!AB172,"缺失")</f>
        <v>3.0072608770224685</v>
      </c>
      <c r="F172" s="15">
        <f>IF(ISNUMBER(原始输入与口径!AG172),原始输入与口径!AG172,"缺失")</f>
        <v>109.33889809997522</v>
      </c>
      <c r="G172" s="15">
        <f>IF(ISNUMBER(原始输入与口径!AJ172),原始输入与口径!AJ172,"缺失")</f>
        <v>76.229680025918086</v>
      </c>
      <c r="H172" s="15" t="str">
        <f t="shared" si="46"/>
        <v>未模拟</v>
      </c>
      <c r="I172" s="16">
        <f>原始输入与口径!CD172</f>
        <v>171.59459487911656</v>
      </c>
      <c r="J172" s="16">
        <f>原始输入与口径!CE172</f>
        <v>171.57098014626055</v>
      </c>
      <c r="K172" s="16">
        <f>原始输入与口径!BZ172</f>
        <v>-0.47971414569927678</v>
      </c>
      <c r="L172" s="16">
        <f>原始输入与口径!CK172</f>
        <v>40</v>
      </c>
      <c r="M172" s="16">
        <f>原始输入与口径!BT172</f>
        <v>24</v>
      </c>
      <c r="N172" s="16">
        <f>原始输入与口径!BJ172</f>
        <v>24</v>
      </c>
      <c r="O172" s="16">
        <f t="shared" si="47"/>
        <v>0.12850285714285714</v>
      </c>
      <c r="P172" s="16">
        <f t="shared" si="48"/>
        <v>5.7600000000000004E-3</v>
      </c>
      <c r="Q172" s="17">
        <f t="shared" si="49"/>
        <v>-1.0157947035182187</v>
      </c>
      <c r="R172" s="17">
        <f t="shared" si="50"/>
        <v>662.24534522516342</v>
      </c>
      <c r="S172" s="17">
        <f t="shared" si="51"/>
        <v>31.799211022811729</v>
      </c>
      <c r="T172" s="17">
        <f t="shared" si="52"/>
        <v>18.043565262134813</v>
      </c>
      <c r="U172" s="17">
        <f t="shared" si="53"/>
        <v>14.050360802698531</v>
      </c>
      <c r="V172" s="17">
        <f t="shared" si="54"/>
        <v>-0.43908295694928823</v>
      </c>
      <c r="W172" s="17">
        <f t="shared" si="55"/>
        <v>724.68360465234105</v>
      </c>
      <c r="X172" s="12">
        <f>原始输入与口径!CP172</f>
        <v>724.68360465234093</v>
      </c>
      <c r="Y172" s="19">
        <f t="shared" si="56"/>
        <v>0</v>
      </c>
      <c r="Z172" s="12" t="str">
        <f t="shared" si="68"/>
        <v>次日冻结计划复原</v>
      </c>
      <c r="AA172" s="12">
        <f>IF(原始输入与口径!AW172,1,0)</f>
        <v>1</v>
      </c>
      <c r="AB172" s="12">
        <f>IF(原始输入与口径!AY172,1,0)</f>
        <v>1</v>
      </c>
      <c r="AC172" s="12">
        <f>原始输入与口径!$F$5</f>
        <v>0.25</v>
      </c>
      <c r="AD172" s="18">
        <f>原始输入与口径!CG172</f>
        <v>0.3125</v>
      </c>
      <c r="AE172" s="18">
        <f>原始输入与口径!BQ172</f>
        <v>0.13714285714285715</v>
      </c>
      <c r="AF172" s="18">
        <f t="shared" si="58"/>
        <v>2.1417142857142857E-2</v>
      </c>
      <c r="AG172" s="18">
        <f t="shared" si="59"/>
        <v>9.6000000000000002E-4</v>
      </c>
      <c r="AH172" s="12">
        <f>IF(ISNUMBER(原始输入与口径!T172),原始输入与口径!T172,"缺失")</f>
        <v>175</v>
      </c>
      <c r="AI172" s="12">
        <f>IF(ISNUMBER(原始输入与口径!Y172),原始输入与口径!Y172,"缺失")</f>
        <v>175</v>
      </c>
      <c r="AJ172" s="12">
        <f>IF(ISNUMBER(原始输入与口径!AI172),原始输入与口径!AI172,"缺失")</f>
        <v>0.93700000000000006</v>
      </c>
      <c r="AK172" s="12">
        <f>IF(ISNUMBER(原始输入与口径!AL172),原始输入与口径!AL172,"缺失")</f>
        <v>4.2000000000000003E-2</v>
      </c>
      <c r="AL172" s="12">
        <f>IF(ISNUMBER(原始输入与口径!O172),原始输入与口径!O172,"缺失")</f>
        <v>71.936000000000007</v>
      </c>
      <c r="AM172" s="12">
        <f>SUMIFS(相位SOC复算!$N$9:$N$929,相位SOC复算!$S$9:$S$929,164)</f>
        <v>6.9487653038540517E-4</v>
      </c>
      <c r="AN172" s="12">
        <f>SUMIFS(相位SOC复算!$Q$9:$Q$929,相位SOC复算!$S$9:$S$929,164)</f>
        <v>0.1231200098275608</v>
      </c>
      <c r="AO172" s="12">
        <f>SUMIFS(相位SOC复算!$R$9:$R$929,相位SOC复算!$S$9:$S$929,164)</f>
        <v>0.12593433054559874</v>
      </c>
      <c r="AP172" s="12">
        <f>相位SOC复算!J400</f>
        <v>171.57098014626058</v>
      </c>
      <c r="AQ172" s="19">
        <f t="shared" si="60"/>
        <v>0</v>
      </c>
      <c r="AR172" s="12">
        <f>IF(ISBLANK(原始输入与口径!M172),"",原始输入与口径!M172)</f>
        <v>5.2473000000000001</v>
      </c>
      <c r="AS172" s="14">
        <f>IF(ISBLANK(原始输入与口径!L172),"",原始输入与口径!L172)</f>
        <v>46234</v>
      </c>
      <c r="AT172" s="13">
        <f>IF(ISBLANK(原始输入与口径!A172),"",原始输入与口径!A172)</f>
        <v>46236.572916666664</v>
      </c>
      <c r="AU172" s="12" t="str">
        <f>IF(ISBLANK(原始输入与口径!I172),"",原始输入与口径!I172)</f>
        <v>2026-08-02_64</v>
      </c>
      <c r="AV172" s="12">
        <f>IF(ISBLANK(原始输入与口径!J172),"",原始输入与口径!J172)</f>
        <v>15</v>
      </c>
      <c r="AW172" s="12" t="str">
        <f>IF(ISBLANK(原始输入与口径!BB172),"",原始输入与口径!BB172)</f>
        <v>OK</v>
      </c>
      <c r="AX172" s="12">
        <f>原始输入与口径!CI172</f>
        <v>128</v>
      </c>
      <c r="AY172" s="12">
        <f>原始输入与口径!BS172</f>
        <v>175</v>
      </c>
      <c r="AZ172" s="12">
        <f>原始输入与口径!BI172</f>
        <v>175</v>
      </c>
      <c r="BA172" s="12">
        <f>原始输入与口径!CM172</f>
        <v>40</v>
      </c>
      <c r="BB172" s="12">
        <f>原始输入与口径!BV172</f>
        <v>24</v>
      </c>
      <c r="BC172" s="12">
        <f>原始输入与口径!BL172</f>
        <v>24</v>
      </c>
      <c r="BD172" s="14">
        <f>46235</f>
        <v>46235</v>
      </c>
      <c r="BE172" s="1" t="str">
        <f t="shared" si="61"/>
        <v>-0.479714 MW × 8.470000 × 0.250000 h = -1.015795 EUR</v>
      </c>
      <c r="BF172" s="1" t="str">
        <f t="shared" si="62"/>
        <v>40.000000 MW × 66.224535 × 0.250000 h = 662.245345 EUR</v>
      </c>
      <c r="BG172" s="1" t="str">
        <f t="shared" si="63"/>
        <v>24.000000 MW × 5.299869 × 0.250000 h = 31.799211 EUR</v>
      </c>
      <c r="BH172" s="1" t="str">
        <f t="shared" si="64"/>
        <v>24.000000 MW × 3.007261 × 0.250000 h = 18.043565 EUR</v>
      </c>
      <c r="BI172" s="1" t="str">
        <f t="shared" si="65"/>
        <v>0.128503 MWh × 109.338898 = 14.050361 EUR</v>
      </c>
      <c r="BJ172" s="1" t="str">
        <f t="shared" si="66"/>
        <v>−(0.005760 MWh × 76.229680) = -0.439083 EUR</v>
      </c>
      <c r="BK172" s="1" t="str">
        <f t="shared" si="67"/>
        <v>-1.015795 + 662.245345 + 31.799211 + 18.043565 + 14.050361 + -0.439083 = 724.683605 EUR</v>
      </c>
    </row>
    <row r="173" spans="1:63" ht="21" customHeight="1" x14ac:dyDescent="0.45">
      <c r="A173" s="13">
        <f>原始输入与口径!C173</f>
        <v>46236.708333333336</v>
      </c>
      <c r="B173" s="15">
        <f>IF(ISNUMBER(原始输入与口径!H173),原始输入与口径!H173,"缺失")</f>
        <v>12.63</v>
      </c>
      <c r="C173" s="15">
        <f>IF(ISNUMBER(原始输入与口径!R173),原始输入与口径!R173,"缺失")</f>
        <v>60.030873020410496</v>
      </c>
      <c r="D173" s="15">
        <f>IF(ISNUMBER(原始输入与口径!W173),原始输入与口径!W173,"缺失")</f>
        <v>6.0335791740514164</v>
      </c>
      <c r="E173" s="15">
        <f>IF(ISNUMBER(原始输入与口径!AB173),原始输入与口径!AB173,"缺失")</f>
        <v>3.0072608770224685</v>
      </c>
      <c r="F173" s="15">
        <f>IF(ISNUMBER(原始输入与口径!AG173),原始输入与口径!AG173,"缺失")</f>
        <v>133.21136584529185</v>
      </c>
      <c r="G173" s="15">
        <f>IF(ISNUMBER(原始输入与口径!AJ173),原始输入与口径!AJ173,"缺失")</f>
        <v>76.229680025918086</v>
      </c>
      <c r="H173" s="15" t="str">
        <f t="shared" si="46"/>
        <v>未模拟</v>
      </c>
      <c r="I173" s="16">
        <f>原始输入与口径!CD173</f>
        <v>171.57098014626055</v>
      </c>
      <c r="J173" s="16">
        <f>原始输入与口径!CE173</f>
        <v>171.53194687003597</v>
      </c>
      <c r="K173" s="16">
        <f>原始输入与口径!BZ173</f>
        <v>0.20654795542531273</v>
      </c>
      <c r="L173" s="16">
        <f>原始输入与口径!CK173</f>
        <v>40</v>
      </c>
      <c r="M173" s="16">
        <f>原始输入与口径!BT173</f>
        <v>24</v>
      </c>
      <c r="N173" s="16">
        <f>原始输入与口径!BJ173</f>
        <v>24</v>
      </c>
      <c r="O173" s="16">
        <f t="shared" si="47"/>
        <v>1.1245714285714286E-2</v>
      </c>
      <c r="P173" s="16">
        <f t="shared" si="48"/>
        <v>3.1817142857142856E-2</v>
      </c>
      <c r="Q173" s="17">
        <f t="shared" si="49"/>
        <v>0.65217516925542496</v>
      </c>
      <c r="R173" s="17">
        <f t="shared" si="50"/>
        <v>600.3087302041049</v>
      </c>
      <c r="S173" s="17">
        <f t="shared" si="51"/>
        <v>36.201475044308495</v>
      </c>
      <c r="T173" s="17">
        <f t="shared" si="52"/>
        <v>18.043565262134813</v>
      </c>
      <c r="U173" s="17">
        <f t="shared" si="53"/>
        <v>1.4980569599059106</v>
      </c>
      <c r="V173" s="17">
        <f t="shared" si="54"/>
        <v>-2.4254106193389249</v>
      </c>
      <c r="W173" s="17">
        <f t="shared" si="55"/>
        <v>654.27859202037075</v>
      </c>
      <c r="X173" s="12">
        <f>原始输入与口径!CP173</f>
        <v>654.27859202037064</v>
      </c>
      <c r="Y173" s="19">
        <f t="shared" si="56"/>
        <v>0</v>
      </c>
      <c r="Z173" s="12" t="str">
        <f t="shared" si="68"/>
        <v>次日冻结计划复原</v>
      </c>
      <c r="AA173" s="12">
        <f>IF(原始输入与口径!AW173,1,0)</f>
        <v>1</v>
      </c>
      <c r="AB173" s="12">
        <f>IF(原始输入与口径!AY173,1,0)</f>
        <v>1</v>
      </c>
      <c r="AC173" s="12">
        <f>原始输入与口径!$F$5</f>
        <v>0.25</v>
      </c>
      <c r="AD173" s="18">
        <f>原始输入与口径!CG173</f>
        <v>0.3125</v>
      </c>
      <c r="AE173" s="18">
        <f>原始输入与口径!BQ173</f>
        <v>0.13714285714285715</v>
      </c>
      <c r="AF173" s="18">
        <f t="shared" si="58"/>
        <v>1.8742857142857144E-3</v>
      </c>
      <c r="AG173" s="18">
        <f t="shared" si="59"/>
        <v>5.302857142857143E-3</v>
      </c>
      <c r="AH173" s="12">
        <f>IF(ISNUMBER(原始输入与口径!T173),原始输入与口径!T173,"缺失")</f>
        <v>175</v>
      </c>
      <c r="AI173" s="12">
        <f>IF(ISNUMBER(原始输入与口径!Y173),原始输入与口径!Y173,"缺失")</f>
        <v>175</v>
      </c>
      <c r="AJ173" s="12">
        <f>IF(ISNUMBER(原始输入与口径!AI173),原始输入与口径!AI173,"缺失")</f>
        <v>8.2000000000000003E-2</v>
      </c>
      <c r="AK173" s="12">
        <f>IF(ISNUMBER(原始输入与口径!AL173),原始输入与口径!AL173,"缺失")</f>
        <v>0.23200000000000001</v>
      </c>
      <c r="AL173" s="12">
        <f>IF(ISNUMBER(原始输入与口径!O173),原始输入与口径!O173,"缺失")</f>
        <v>51.968000000000004</v>
      </c>
      <c r="AM173" s="12">
        <f>SUMIFS(相位SOC复算!$N$9:$N$929,相位SOC复算!$S$9:$S$929,165)</f>
        <v>2.6964717695378293E-4</v>
      </c>
      <c r="AN173" s="12">
        <f>SUMIFS(相位SOC复算!$Q$9:$Q$929,相位SOC复算!$S$9:$S$929,165)</f>
        <v>3.1543319281950442E-2</v>
      </c>
      <c r="AO173" s="12">
        <f>SUMIFS(相位SOC复算!$R$9:$R$929,相位SOC复算!$S$9:$S$929,165)</f>
        <v>6.2608879566850045E-2</v>
      </c>
      <c r="AP173" s="12">
        <f>相位SOC复算!J403</f>
        <v>171.53194687003599</v>
      </c>
      <c r="AQ173" s="19">
        <f t="shared" si="60"/>
        <v>0</v>
      </c>
      <c r="AR173" s="12">
        <f>IF(ISBLANK(原始输入与口径!M173),"",原始输入与口径!M173)</f>
        <v>5.2473000000000001</v>
      </c>
      <c r="AS173" s="14">
        <f>IF(ISBLANK(原始输入与口径!L173),"",原始输入与口径!L173)</f>
        <v>46234</v>
      </c>
      <c r="AT173" s="13">
        <f>IF(ISBLANK(原始输入与口径!A173),"",原始输入与口径!A173)</f>
        <v>46236.583333333336</v>
      </c>
      <c r="AU173" s="12" t="str">
        <f>IF(ISBLANK(原始输入与口径!I173),"",原始输入与口径!I173)</f>
        <v>2026-08-02_65</v>
      </c>
      <c r="AV173" s="12">
        <f>IF(ISBLANK(原始输入与口径!J173),"",原始输入与口径!J173)</f>
        <v>15</v>
      </c>
      <c r="AW173" s="12" t="str">
        <f>IF(ISBLANK(原始输入与口径!BB173),"",原始输入与口径!BB173)</f>
        <v>OK</v>
      </c>
      <c r="AX173" s="12">
        <f>原始输入与口径!CI173</f>
        <v>128</v>
      </c>
      <c r="AY173" s="12">
        <f>原始输入与口径!BS173</f>
        <v>175</v>
      </c>
      <c r="AZ173" s="12">
        <f>原始输入与口径!BI173</f>
        <v>175</v>
      </c>
      <c r="BA173" s="12">
        <f>原始输入与口径!CM173</f>
        <v>40</v>
      </c>
      <c r="BB173" s="12">
        <f>原始输入与口径!BV173</f>
        <v>24</v>
      </c>
      <c r="BC173" s="12">
        <f>原始输入与口径!BL173</f>
        <v>24</v>
      </c>
      <c r="BD173" s="14">
        <f>46235</f>
        <v>46235</v>
      </c>
      <c r="BE173" s="1" t="str">
        <f t="shared" si="61"/>
        <v>0.206548 MW × 12.630000 × 0.250000 h = 0.652175 EUR</v>
      </c>
      <c r="BF173" s="1" t="str">
        <f t="shared" si="62"/>
        <v>40.000000 MW × 60.030873 × 0.250000 h = 600.308730 EUR</v>
      </c>
      <c r="BG173" s="1" t="str">
        <f t="shared" si="63"/>
        <v>24.000000 MW × 6.033579 × 0.250000 h = 36.201475 EUR</v>
      </c>
      <c r="BH173" s="1" t="str">
        <f t="shared" si="64"/>
        <v>24.000000 MW × 3.007261 × 0.250000 h = 18.043565 EUR</v>
      </c>
      <c r="BI173" s="1" t="str">
        <f t="shared" si="65"/>
        <v>0.011246 MWh × 133.211366 = 1.498057 EUR</v>
      </c>
      <c r="BJ173" s="1" t="str">
        <f t="shared" si="66"/>
        <v>−(0.031817 MWh × 76.229680) = -2.425411 EUR</v>
      </c>
      <c r="BK173" s="1" t="str">
        <f t="shared" si="67"/>
        <v>0.652175 + 600.308730 + 36.201475 + 18.043565 + 1.498057 + -2.425411 = 654.278592 EUR</v>
      </c>
    </row>
    <row r="174" spans="1:63" ht="21" customHeight="1" x14ac:dyDescent="0.45">
      <c r="A174" s="13">
        <f>原始输入与口径!C174</f>
        <v>46236.71875</v>
      </c>
      <c r="B174" s="15">
        <f>IF(ISNUMBER(原始输入与口径!H174),原始输入与口径!H174,"缺失")</f>
        <v>15.51</v>
      </c>
      <c r="C174" s="15">
        <f>IF(ISNUMBER(原始输入与口径!R174),原始输入与口径!R174,"缺失")</f>
        <v>60.030873020410496</v>
      </c>
      <c r="D174" s="15">
        <f>IF(ISNUMBER(原始输入与口径!W174),原始输入与口径!W174,"缺失")</f>
        <v>6.0335791740514164</v>
      </c>
      <c r="E174" s="15">
        <f>IF(ISNUMBER(原始输入与口径!AB174),原始输入与口径!AB174,"缺失")</f>
        <v>3.0072608770224685</v>
      </c>
      <c r="F174" s="15">
        <f>IF(ISNUMBER(原始输入与口径!AG174),原始输入与口径!AG174,"缺失")</f>
        <v>172.34920816419873</v>
      </c>
      <c r="G174" s="15">
        <f>IF(ISNUMBER(原始输入与口径!AJ174),原始输入与口径!AJ174,"缺失")</f>
        <v>61.614354048748886</v>
      </c>
      <c r="H174" s="15" t="str">
        <f t="shared" si="46"/>
        <v>未模拟</v>
      </c>
      <c r="I174" s="16">
        <f>原始输入与口径!CD174</f>
        <v>171.53194687003597</v>
      </c>
      <c r="J174" s="16">
        <f>原始输入与口径!CE174</f>
        <v>171.59999999999994</v>
      </c>
      <c r="K174" s="16">
        <f>原始输入与口径!BZ174</f>
        <v>-3.195144646727063</v>
      </c>
      <c r="L174" s="16">
        <f>原始输入与口径!CK174</f>
        <v>40</v>
      </c>
      <c r="M174" s="16">
        <f>原始输入与口径!BT174</f>
        <v>24</v>
      </c>
      <c r="N174" s="16">
        <f>原始输入与口径!BJ174</f>
        <v>24</v>
      </c>
      <c r="O174" s="16">
        <f t="shared" si="47"/>
        <v>0.68269714285714289</v>
      </c>
      <c r="P174" s="16">
        <f t="shared" si="48"/>
        <v>6.5279999999999991E-2</v>
      </c>
      <c r="Q174" s="17">
        <f t="shared" si="49"/>
        <v>-12.389173367684187</v>
      </c>
      <c r="R174" s="17">
        <f t="shared" si="50"/>
        <v>600.3087302041049</v>
      </c>
      <c r="S174" s="17">
        <f t="shared" si="51"/>
        <v>36.201475044308495</v>
      </c>
      <c r="T174" s="17">
        <f t="shared" si="52"/>
        <v>18.043565262134813</v>
      </c>
      <c r="U174" s="17">
        <f t="shared" si="53"/>
        <v>117.66231198738944</v>
      </c>
      <c r="V174" s="17">
        <f t="shared" si="54"/>
        <v>-4.0221850323023265</v>
      </c>
      <c r="W174" s="17">
        <f t="shared" si="55"/>
        <v>755.80472409795118</v>
      </c>
      <c r="X174" s="12">
        <f>原始输入与口径!CP174</f>
        <v>755.80472409795118</v>
      </c>
      <c r="Y174" s="19">
        <f t="shared" si="56"/>
        <v>0</v>
      </c>
      <c r="Z174" s="12" t="str">
        <f t="shared" si="68"/>
        <v>次日冻结计划复原</v>
      </c>
      <c r="AA174" s="12">
        <f>IF(原始输入与口径!AW174,1,0)</f>
        <v>1</v>
      </c>
      <c r="AB174" s="12">
        <f>IF(原始输入与口径!AY174,1,0)</f>
        <v>1</v>
      </c>
      <c r="AC174" s="12">
        <f>原始输入与口径!$F$5</f>
        <v>0.25</v>
      </c>
      <c r="AD174" s="18">
        <f>原始输入与口径!CG174</f>
        <v>0.3125</v>
      </c>
      <c r="AE174" s="18">
        <f>原始输入与口径!BQ174</f>
        <v>0.13714285714285715</v>
      </c>
      <c r="AF174" s="18">
        <f t="shared" si="58"/>
        <v>0.11378285714285714</v>
      </c>
      <c r="AG174" s="18">
        <f t="shared" si="59"/>
        <v>1.0879999999999999E-2</v>
      </c>
      <c r="AH174" s="12">
        <f>IF(ISNUMBER(原始输入与口径!T174),原始输入与口径!T174,"缺失")</f>
        <v>175</v>
      </c>
      <c r="AI174" s="12">
        <f>IF(ISNUMBER(原始输入与口径!Y174),原始输入与口径!Y174,"缺失")</f>
        <v>175</v>
      </c>
      <c r="AJ174" s="12">
        <f>IF(ISNUMBER(原始输入与口径!AI174),原始输入与口径!AI174,"缺失")</f>
        <v>4.9779999999999998</v>
      </c>
      <c r="AK174" s="12">
        <f>IF(ISNUMBER(原始输入与口径!AL174),原始输入与口径!AL174,"缺失")</f>
        <v>0.47599999999999998</v>
      </c>
      <c r="AL174" s="12">
        <f>IF(ISNUMBER(原始输入与口径!O174),原始输入与口径!O174,"缺失")</f>
        <v>51.968000000000004</v>
      </c>
      <c r="AM174" s="12">
        <f>SUMIFS(相位SOC复算!$N$9:$N$929,相位SOC复算!$S$9:$S$929,166)</f>
        <v>3.7627621432260983E-3</v>
      </c>
      <c r="AN174" s="12">
        <f>SUMIFS(相位SOC复算!$Q$9:$Q$929,相位SOC复算!$S$9:$S$929,166)</f>
        <v>0.77317798995943821</v>
      </c>
      <c r="AO174" s="12">
        <f>SUMIFS(相位SOC复算!$R$9:$R$929,相位SOC复算!$S$9:$S$929,166)</f>
        <v>0.59180897113481534</v>
      </c>
      <c r="AP174" s="12">
        <f>相位SOC复算!J406</f>
        <v>171.59999999999997</v>
      </c>
      <c r="AQ174" s="19">
        <f t="shared" si="60"/>
        <v>0</v>
      </c>
      <c r="AR174" s="12">
        <f>IF(ISBLANK(原始输入与口径!M174),"",原始输入与口径!M174)</f>
        <v>5.2473000000000001</v>
      </c>
      <c r="AS174" s="14">
        <f>IF(ISBLANK(原始输入与口径!L174),"",原始输入与口径!L174)</f>
        <v>46234</v>
      </c>
      <c r="AT174" s="13">
        <f>IF(ISBLANK(原始输入与口径!A174),"",原始输入与口径!A174)</f>
        <v>46236.59375</v>
      </c>
      <c r="AU174" s="12" t="str">
        <f>IF(ISBLANK(原始输入与口径!I174),"",原始输入与口径!I174)</f>
        <v>2026-08-02_66</v>
      </c>
      <c r="AV174" s="12">
        <f>IF(ISBLANK(原始输入与口径!J174),"",原始输入与口径!J174)</f>
        <v>15</v>
      </c>
      <c r="AW174" s="12" t="str">
        <f>IF(ISBLANK(原始输入与口径!BB174),"",原始输入与口径!BB174)</f>
        <v>OK</v>
      </c>
      <c r="AX174" s="12">
        <f>原始输入与口径!CI174</f>
        <v>128</v>
      </c>
      <c r="AY174" s="12">
        <f>原始输入与口径!BS174</f>
        <v>175</v>
      </c>
      <c r="AZ174" s="12">
        <f>原始输入与口径!BI174</f>
        <v>175</v>
      </c>
      <c r="BA174" s="12">
        <f>原始输入与口径!CM174</f>
        <v>40</v>
      </c>
      <c r="BB174" s="12">
        <f>原始输入与口径!BV174</f>
        <v>24</v>
      </c>
      <c r="BC174" s="12">
        <f>原始输入与口径!BL174</f>
        <v>24</v>
      </c>
      <c r="BD174" s="14">
        <f>46235</f>
        <v>46235</v>
      </c>
      <c r="BE174" s="1" t="str">
        <f t="shared" si="61"/>
        <v>-3.195145 MW × 15.510000 × 0.250000 h = -12.389173 EUR</v>
      </c>
      <c r="BF174" s="1" t="str">
        <f t="shared" si="62"/>
        <v>40.000000 MW × 60.030873 × 0.250000 h = 600.308730 EUR</v>
      </c>
      <c r="BG174" s="1" t="str">
        <f t="shared" si="63"/>
        <v>24.000000 MW × 6.033579 × 0.250000 h = 36.201475 EUR</v>
      </c>
      <c r="BH174" s="1" t="str">
        <f t="shared" si="64"/>
        <v>24.000000 MW × 3.007261 × 0.250000 h = 18.043565 EUR</v>
      </c>
      <c r="BI174" s="1" t="str">
        <f t="shared" si="65"/>
        <v>0.682697 MWh × 172.349208 = 117.662312 EUR</v>
      </c>
      <c r="BJ174" s="1" t="str">
        <f t="shared" si="66"/>
        <v>−(0.065280 MWh × 61.614354) = -4.022185 EUR</v>
      </c>
      <c r="BK174" s="1" t="str">
        <f t="shared" si="67"/>
        <v>-12.389173 + 600.308730 + 36.201475 + 18.043565 + 117.662312 + -4.022185 = 755.804724 EUR</v>
      </c>
    </row>
    <row r="175" spans="1:63" ht="21" customHeight="1" x14ac:dyDescent="0.45">
      <c r="A175" s="13">
        <f>原始输入与口径!C175</f>
        <v>46236.729166666664</v>
      </c>
      <c r="B175" s="15">
        <f>IF(ISNUMBER(原始输入与口径!H175),原始输入与口径!H175,"缺失")</f>
        <v>101.95</v>
      </c>
      <c r="C175" s="15">
        <f>IF(ISNUMBER(原始输入与口径!R175),原始输入与口径!R175,"缺失")</f>
        <v>60.030873020410496</v>
      </c>
      <c r="D175" s="15">
        <f>IF(ISNUMBER(原始输入与口径!W175),原始输入与口径!W175,"缺失")</f>
        <v>6.0335791740514164</v>
      </c>
      <c r="E175" s="15">
        <f>IF(ISNUMBER(原始输入与口径!AB175),原始输入与口径!AB175,"缺失")</f>
        <v>3.0072608770224685</v>
      </c>
      <c r="F175" s="15">
        <f>IF(ISNUMBER(原始输入与口径!AG175),原始输入与口径!AG175,"缺失")</f>
        <v>180.66319821622548</v>
      </c>
      <c r="G175" s="15">
        <f>IF(ISNUMBER(原始输入与口径!AJ175),原始输入与口径!AJ175,"缺失")</f>
        <v>0</v>
      </c>
      <c r="H175" s="15" t="str">
        <f t="shared" si="46"/>
        <v>未模拟</v>
      </c>
      <c r="I175" s="16">
        <f>原始输入与口径!CD175</f>
        <v>171.59999999999994</v>
      </c>
      <c r="J175" s="16">
        <f>原始输入与口径!CE175</f>
        <v>170.67224233223922</v>
      </c>
      <c r="K175" s="16">
        <f>原始输入与口径!BZ175</f>
        <v>-5.3278247767648477</v>
      </c>
      <c r="L175" s="16">
        <f>原始输入与口径!CK175</f>
        <v>40</v>
      </c>
      <c r="M175" s="16">
        <f>原始输入与口径!BT175</f>
        <v>24</v>
      </c>
      <c r="N175" s="16">
        <f>原始输入与口径!BJ175</f>
        <v>24</v>
      </c>
      <c r="O175" s="16">
        <f t="shared" si="47"/>
        <v>2.0508342857142861</v>
      </c>
      <c r="P175" s="16">
        <f t="shared" si="48"/>
        <v>0</v>
      </c>
      <c r="Q175" s="17">
        <f t="shared" si="49"/>
        <v>-135.79293399779405</v>
      </c>
      <c r="R175" s="17">
        <f t="shared" si="50"/>
        <v>600.3087302041049</v>
      </c>
      <c r="S175" s="17">
        <f t="shared" si="51"/>
        <v>36.201475044308495</v>
      </c>
      <c r="T175" s="17">
        <f t="shared" si="52"/>
        <v>18.043565262134813</v>
      </c>
      <c r="U175" s="17">
        <f t="shared" si="53"/>
        <v>370.51028106863129</v>
      </c>
      <c r="V175" s="17">
        <f t="shared" si="54"/>
        <v>0</v>
      </c>
      <c r="W175" s="17">
        <f t="shared" si="55"/>
        <v>889.2711175813854</v>
      </c>
      <c r="X175" s="12">
        <f>原始输入与口径!CP175</f>
        <v>889.2711175813854</v>
      </c>
      <c r="Y175" s="19">
        <f t="shared" si="56"/>
        <v>0</v>
      </c>
      <c r="Z175" s="12" t="str">
        <f t="shared" si="68"/>
        <v>次日冻结计划复原</v>
      </c>
      <c r="AA175" s="12">
        <f>IF(原始输入与口径!AW175,1,0)</f>
        <v>1</v>
      </c>
      <c r="AB175" s="12">
        <f>IF(原始输入与口径!AY175,1,0)</f>
        <v>1</v>
      </c>
      <c r="AC175" s="12">
        <f>原始输入与口径!$F$5</f>
        <v>0.25</v>
      </c>
      <c r="AD175" s="18">
        <f>原始输入与口径!CG175</f>
        <v>0.3125</v>
      </c>
      <c r="AE175" s="18">
        <f>原始输入与口径!BQ175</f>
        <v>0.13714285714285715</v>
      </c>
      <c r="AF175" s="18">
        <f t="shared" si="58"/>
        <v>0.34180571428571432</v>
      </c>
      <c r="AG175" s="18">
        <f t="shared" si="59"/>
        <v>0</v>
      </c>
      <c r="AH175" s="12">
        <f>IF(ISNUMBER(原始输入与口径!T175),原始输入与口径!T175,"缺失")</f>
        <v>175</v>
      </c>
      <c r="AI175" s="12">
        <f>IF(ISNUMBER(原始输入与口径!Y175),原始输入与口径!Y175,"缺失")</f>
        <v>175</v>
      </c>
      <c r="AJ175" s="12">
        <f>IF(ISNUMBER(原始输入与口径!AI175),原始输入与口径!AI175,"缺失")</f>
        <v>14.954000000000001</v>
      </c>
      <c r="AK175" s="12">
        <f>IF(ISNUMBER(原始输入与口径!AL175),原始输入与口径!AL175,"缺失")</f>
        <v>0</v>
      </c>
      <c r="AL175" s="12">
        <f>IF(ISNUMBER(原始输入与口径!O175),原始输入与口径!O175,"缺失")</f>
        <v>51.968000000000004</v>
      </c>
      <c r="AM175" s="12">
        <f>SUMIFS(相位SOC复算!$N$9:$N$929,相位SOC复算!$S$9:$S$929,167)</f>
        <v>7.0579439625093636E-3</v>
      </c>
      <c r="AN175" s="12">
        <f>SUMIFS(相位SOC复算!$Q$9:$Q$929,相位SOC复算!$S$9:$S$929,167)</f>
        <v>0.87668595583840314</v>
      </c>
      <c r="AO175" s="12">
        <f>SUMIFS(相位SOC复算!$R$9:$R$929,相位SOC复算!$S$9:$S$929,167)</f>
        <v>1.5955640473614769</v>
      </c>
      <c r="AP175" s="12">
        <f>相位SOC复算!J408</f>
        <v>170.67224233223925</v>
      </c>
      <c r="AQ175" s="19">
        <f t="shared" si="60"/>
        <v>0</v>
      </c>
      <c r="AR175" s="12">
        <f>IF(ISBLANK(原始输入与口径!M175),"",原始输入与口径!M175)</f>
        <v>5.2473000000000001</v>
      </c>
      <c r="AS175" s="14">
        <f>IF(ISBLANK(原始输入与口径!L175),"",原始输入与口径!L175)</f>
        <v>46234</v>
      </c>
      <c r="AT175" s="13">
        <f>IF(ISBLANK(原始输入与口径!A175),"",原始输入与口径!A175)</f>
        <v>46236.604166666664</v>
      </c>
      <c r="AU175" s="12" t="str">
        <f>IF(ISBLANK(原始输入与口径!I175),"",原始输入与口径!I175)</f>
        <v>2026-08-02_67</v>
      </c>
      <c r="AV175" s="12">
        <f>IF(ISBLANK(原始输入与口径!J175),"",原始输入与口径!J175)</f>
        <v>15</v>
      </c>
      <c r="AW175" s="12" t="str">
        <f>IF(ISBLANK(原始输入与口径!BB175),"",原始输入与口径!BB175)</f>
        <v>OK</v>
      </c>
      <c r="AX175" s="12">
        <f>原始输入与口径!CI175</f>
        <v>128</v>
      </c>
      <c r="AY175" s="12">
        <f>原始输入与口径!BS175</f>
        <v>175</v>
      </c>
      <c r="AZ175" s="12">
        <f>原始输入与口径!BI175</f>
        <v>175</v>
      </c>
      <c r="BA175" s="12">
        <f>原始输入与口径!CM175</f>
        <v>40</v>
      </c>
      <c r="BB175" s="12">
        <f>原始输入与口径!BV175</f>
        <v>24</v>
      </c>
      <c r="BC175" s="12">
        <f>原始输入与口径!BL175</f>
        <v>24</v>
      </c>
      <c r="BD175" s="14">
        <f>46235</f>
        <v>46235</v>
      </c>
      <c r="BE175" s="1" t="str">
        <f t="shared" si="61"/>
        <v>-5.327825 MW × 101.950000 × 0.250000 h = -135.792934 EUR</v>
      </c>
      <c r="BF175" s="1" t="str">
        <f t="shared" si="62"/>
        <v>40.000000 MW × 60.030873 × 0.250000 h = 600.308730 EUR</v>
      </c>
      <c r="BG175" s="1" t="str">
        <f t="shared" si="63"/>
        <v>24.000000 MW × 6.033579 × 0.250000 h = 36.201475 EUR</v>
      </c>
      <c r="BH175" s="1" t="str">
        <f t="shared" si="64"/>
        <v>24.000000 MW × 3.007261 × 0.250000 h = 18.043565 EUR</v>
      </c>
      <c r="BI175" s="1" t="str">
        <f t="shared" si="65"/>
        <v>2.050834 MWh × 180.663198 = 370.510281 EUR</v>
      </c>
      <c r="BJ175" s="1" t="str">
        <f t="shared" si="66"/>
        <v>零下调激活电量</v>
      </c>
      <c r="BK175" s="1" t="str">
        <f t="shared" si="67"/>
        <v>-135.792934 + 600.308730 + 36.201475 + 18.043565 + 370.510281 + 0.000000 = 889.271118 EUR</v>
      </c>
    </row>
    <row r="176" spans="1:63" ht="21" customHeight="1" x14ac:dyDescent="0.45">
      <c r="A176" s="13">
        <f>原始输入与口径!C176</f>
        <v>46236.739583333336</v>
      </c>
      <c r="B176" s="15">
        <f>IF(ISNUMBER(原始输入与口径!H176),原始输入与口径!H176,"缺失")</f>
        <v>157.36000000000001</v>
      </c>
      <c r="C176" s="15">
        <f>IF(ISNUMBER(原始输入与口径!R176),原始输入与口径!R176,"缺失")</f>
        <v>60.030873020410496</v>
      </c>
      <c r="D176" s="15">
        <f>IF(ISNUMBER(原始输入与口径!W176),原始输入与口径!W176,"缺失")</f>
        <v>6.0335791740514164</v>
      </c>
      <c r="E176" s="15">
        <f>IF(ISNUMBER(原始输入与口径!AB176),原始输入与口径!AB176,"缺失")</f>
        <v>3.0072608770224685</v>
      </c>
      <c r="F176" s="15">
        <f>IF(ISNUMBER(原始输入与口径!AG176),原始输入与口径!AG176,"缺失")</f>
        <v>183.34629237893773</v>
      </c>
      <c r="G176" s="15">
        <f>IF(ISNUMBER(原始输入与口径!AJ176),原始输入与口径!AJ176,"缺失")</f>
        <v>60.98374402073447</v>
      </c>
      <c r="H176" s="15" t="str">
        <f t="shared" si="46"/>
        <v>未模拟</v>
      </c>
      <c r="I176" s="16">
        <f>原始输入与口径!CD176</f>
        <v>170.67224233223922</v>
      </c>
      <c r="J176" s="16">
        <f>原始输入与口径!CE176</f>
        <v>157.84461500304667</v>
      </c>
      <c r="K176" s="16">
        <f>原始输入与口径!BZ176</f>
        <v>35.999999999999993</v>
      </c>
      <c r="L176" s="16">
        <f>原始输入与口径!CK176</f>
        <v>40</v>
      </c>
      <c r="M176" s="16">
        <f>原始输入与口径!BT176</f>
        <v>24</v>
      </c>
      <c r="N176" s="16">
        <f>原始输入与口径!BJ176</f>
        <v>24</v>
      </c>
      <c r="O176" s="16">
        <f t="shared" si="47"/>
        <v>2.8075885714285715</v>
      </c>
      <c r="P176" s="16">
        <f t="shared" si="48"/>
        <v>6.1714285714285716E-3</v>
      </c>
      <c r="Q176" s="17">
        <f t="shared" si="49"/>
        <v>1416.2399999999998</v>
      </c>
      <c r="R176" s="17">
        <f t="shared" si="50"/>
        <v>600.3087302041049</v>
      </c>
      <c r="S176" s="17">
        <f t="shared" si="51"/>
        <v>36.201475044308495</v>
      </c>
      <c r="T176" s="17">
        <f t="shared" si="52"/>
        <v>18.043565262134813</v>
      </c>
      <c r="U176" s="17">
        <f t="shared" si="53"/>
        <v>514.76095509690697</v>
      </c>
      <c r="V176" s="17">
        <f t="shared" si="54"/>
        <v>-0.37635682024224704</v>
      </c>
      <c r="W176" s="17">
        <f t="shared" si="55"/>
        <v>2585.178368787213</v>
      </c>
      <c r="X176" s="12">
        <f>原始输入与口径!CP176</f>
        <v>2585.1783687872125</v>
      </c>
      <c r="Y176" s="19">
        <f t="shared" si="56"/>
        <v>0</v>
      </c>
      <c r="Z176" s="12" t="str">
        <f t="shared" si="68"/>
        <v>次日冻结计划复原</v>
      </c>
      <c r="AA176" s="12">
        <f>IF(原始输入与口径!AW176,1,0)</f>
        <v>1</v>
      </c>
      <c r="AB176" s="12">
        <f>IF(原始输入与口径!AY176,1,0)</f>
        <v>1</v>
      </c>
      <c r="AC176" s="12">
        <f>原始输入与口径!$F$5</f>
        <v>0.25</v>
      </c>
      <c r="AD176" s="18">
        <f>原始输入与口径!CG176</f>
        <v>0.3125</v>
      </c>
      <c r="AE176" s="18">
        <f>原始输入与口径!BQ176</f>
        <v>0.13714285714285715</v>
      </c>
      <c r="AF176" s="18">
        <f t="shared" si="58"/>
        <v>0.46793142857142861</v>
      </c>
      <c r="AG176" s="18">
        <f t="shared" si="59"/>
        <v>1.0285714285714286E-3</v>
      </c>
      <c r="AH176" s="12">
        <f>IF(ISNUMBER(原始输入与口径!T176),原始输入与口径!T176,"缺失")</f>
        <v>175</v>
      </c>
      <c r="AI176" s="12">
        <f>IF(ISNUMBER(原始输入与口径!Y176),原始输入与口径!Y176,"缺失")</f>
        <v>175</v>
      </c>
      <c r="AJ176" s="12">
        <f>IF(ISNUMBER(原始输入与口径!AI176),原始输入与口径!AI176,"缺失")</f>
        <v>20.472000000000001</v>
      </c>
      <c r="AK176" s="12">
        <f>IF(ISNUMBER(原始输入与口径!AL176),原始输入与口径!AL176,"缺失")</f>
        <v>4.4999999999999998E-2</v>
      </c>
      <c r="AL176" s="12">
        <f>IF(ISNUMBER(原始输入与口径!O176),原始输入与口径!O176,"缺失")</f>
        <v>51.968000000000004</v>
      </c>
      <c r="AM176" s="12">
        <f>SUMIFS(相位SOC复算!$N$9:$N$929,相位SOC复算!$S$9:$S$929,168)</f>
        <v>3.5632298136645958E-2</v>
      </c>
      <c r="AN176" s="12">
        <f>SUMIFS(相位SOC复算!$Q$9:$Q$929,相位SOC复算!$S$9:$S$929,168)</f>
        <v>0</v>
      </c>
      <c r="AO176" s="12">
        <f>SUMIFS(相位SOC复算!$R$9:$R$929,相位SOC复算!$S$9:$S$929,168)</f>
        <v>11.801417142857142</v>
      </c>
      <c r="AP176" s="12">
        <f>相位SOC复算!J411</f>
        <v>157.8446150030467</v>
      </c>
      <c r="AQ176" s="19">
        <f t="shared" si="60"/>
        <v>0</v>
      </c>
      <c r="AR176" s="12">
        <f>IF(ISBLANK(原始输入与口径!M176),"",原始输入与口径!M176)</f>
        <v>5.2473000000000001</v>
      </c>
      <c r="AS176" s="14">
        <f>IF(ISBLANK(原始输入与口径!L176),"",原始输入与口径!L176)</f>
        <v>46234</v>
      </c>
      <c r="AT176" s="13">
        <f>IF(ISBLANK(原始输入与口径!A176),"",原始输入与口径!A176)</f>
        <v>46236.614583333336</v>
      </c>
      <c r="AU176" s="12" t="str">
        <f>IF(ISBLANK(原始输入与口径!I176),"",原始输入与口径!I176)</f>
        <v>2026-08-02_68</v>
      </c>
      <c r="AV176" s="12">
        <f>IF(ISBLANK(原始输入与口径!J176),"",原始输入与口径!J176)</f>
        <v>15</v>
      </c>
      <c r="AW176" s="12" t="str">
        <f>IF(ISBLANK(原始输入与口径!BB176),"",原始输入与口径!BB176)</f>
        <v>OK</v>
      </c>
      <c r="AX176" s="12">
        <f>原始输入与口径!CI176</f>
        <v>128</v>
      </c>
      <c r="AY176" s="12">
        <f>原始输入与口径!BS176</f>
        <v>175</v>
      </c>
      <c r="AZ176" s="12">
        <f>原始输入与口径!BI176</f>
        <v>175</v>
      </c>
      <c r="BA176" s="12">
        <f>原始输入与口径!CM176</f>
        <v>40</v>
      </c>
      <c r="BB176" s="12">
        <f>原始输入与口径!BV176</f>
        <v>24</v>
      </c>
      <c r="BC176" s="12">
        <f>原始输入与口径!BL176</f>
        <v>24</v>
      </c>
      <c r="BD176" s="14">
        <f>46235</f>
        <v>46235</v>
      </c>
      <c r="BE176" s="1" t="str">
        <f t="shared" si="61"/>
        <v>36.000000 MW × 157.360000 × 0.250000 h = 1416.240000 EUR</v>
      </c>
      <c r="BF176" s="1" t="str">
        <f t="shared" si="62"/>
        <v>40.000000 MW × 60.030873 × 0.250000 h = 600.308730 EUR</v>
      </c>
      <c r="BG176" s="1" t="str">
        <f t="shared" si="63"/>
        <v>24.000000 MW × 6.033579 × 0.250000 h = 36.201475 EUR</v>
      </c>
      <c r="BH176" s="1" t="str">
        <f t="shared" si="64"/>
        <v>24.000000 MW × 3.007261 × 0.250000 h = 18.043565 EUR</v>
      </c>
      <c r="BI176" s="1" t="str">
        <f t="shared" si="65"/>
        <v>2.807589 MWh × 183.346292 = 514.760955 EUR</v>
      </c>
      <c r="BJ176" s="1" t="str">
        <f t="shared" si="66"/>
        <v>−(0.006171 MWh × 60.983744) = -0.376357 EUR</v>
      </c>
      <c r="BK176" s="1" t="str">
        <f t="shared" si="67"/>
        <v>1416.240000 + 600.308730 + 36.201475 + 18.043565 + 514.760955 + -0.376357 = 2585.178369 EUR</v>
      </c>
    </row>
    <row r="177" spans="1:63" ht="21" customHeight="1" x14ac:dyDescent="0.45">
      <c r="A177" s="13">
        <f>原始输入与口径!C177</f>
        <v>46236.75</v>
      </c>
      <c r="B177" s="15">
        <f>IF(ISNUMBER(原始输入与口径!H177),原始输入与口径!H177,"缺失")</f>
        <v>60.92</v>
      </c>
      <c r="C177" s="15">
        <f>IF(ISNUMBER(原始输入与口径!R177),原始输入与口径!R177,"缺失")</f>
        <v>60.030873020410496</v>
      </c>
      <c r="D177" s="15">
        <f>IF(ISNUMBER(原始输入与口径!W177),原始输入与口径!W177,"缺失")</f>
        <v>7.1274750824233415</v>
      </c>
      <c r="E177" s="15">
        <f>IF(ISNUMBER(原始输入与口径!AB177),原始输入与口径!AB177,"缺失")</f>
        <v>2.595620604882511</v>
      </c>
      <c r="F177" s="15">
        <f>IF(ISNUMBER(原始输入与口径!AG177),原始输入与口径!AG177,"缺失")</f>
        <v>166.16316963009547</v>
      </c>
      <c r="G177" s="15">
        <f>IF(ISNUMBER(原始输入与口径!AJ177),原始输入与口径!AJ177,"缺失")</f>
        <v>72.075924761305814</v>
      </c>
      <c r="H177" s="15" t="str">
        <f t="shared" si="46"/>
        <v>未模拟</v>
      </c>
      <c r="I177" s="16">
        <f>原始输入与口径!CD177</f>
        <v>157.84461500304667</v>
      </c>
      <c r="J177" s="16">
        <f>原始输入与口径!CE177</f>
        <v>171.5950296316181</v>
      </c>
      <c r="K177" s="16">
        <f>原始输入与口径!BZ177</f>
        <v>-60</v>
      </c>
      <c r="L177" s="16">
        <f>原始输入与口径!CK177</f>
        <v>40</v>
      </c>
      <c r="M177" s="16">
        <f>原始输入与口径!BT177</f>
        <v>24</v>
      </c>
      <c r="N177" s="16">
        <f>原始输入与口径!BJ177</f>
        <v>0</v>
      </c>
      <c r="O177" s="16">
        <f t="shared" si="47"/>
        <v>5.3897142857142859E-2</v>
      </c>
      <c r="P177" s="16">
        <f t="shared" si="48"/>
        <v>0</v>
      </c>
      <c r="Q177" s="17">
        <f t="shared" si="49"/>
        <v>-913.80000000000007</v>
      </c>
      <c r="R177" s="17">
        <f t="shared" si="50"/>
        <v>600.3087302041049</v>
      </c>
      <c r="S177" s="17">
        <f t="shared" si="51"/>
        <v>42.764850494540049</v>
      </c>
      <c r="T177" s="17">
        <f t="shared" si="52"/>
        <v>0</v>
      </c>
      <c r="U177" s="17">
        <f t="shared" si="53"/>
        <v>8.9557200911489172</v>
      </c>
      <c r="V177" s="17">
        <f t="shared" si="54"/>
        <v>0</v>
      </c>
      <c r="W177" s="17">
        <f t="shared" si="55"/>
        <v>-261.7706992102062</v>
      </c>
      <c r="X177" s="12">
        <f>原始输入与口径!CP177</f>
        <v>-261.7706992102062</v>
      </c>
      <c r="Y177" s="19">
        <f t="shared" si="56"/>
        <v>0</v>
      </c>
      <c r="Z177" s="12" t="str">
        <f t="shared" si="68"/>
        <v>次日冻结计划复原</v>
      </c>
      <c r="AA177" s="12">
        <f>IF(原始输入与口径!AW177,1,0)</f>
        <v>1</v>
      </c>
      <c r="AB177" s="12">
        <f>IF(原始输入与口径!AY177,1,0)</f>
        <v>1</v>
      </c>
      <c r="AC177" s="12">
        <f>原始输入与口径!$F$5</f>
        <v>0.25</v>
      </c>
      <c r="AD177" s="18">
        <f>原始输入与口径!CG177</f>
        <v>0.3125</v>
      </c>
      <c r="AE177" s="18">
        <f>原始输入与口径!BQ177</f>
        <v>0.13714285714285715</v>
      </c>
      <c r="AF177" s="18">
        <f t="shared" si="58"/>
        <v>8.9828571428571431E-3</v>
      </c>
      <c r="AG177" s="18">
        <f t="shared" si="59"/>
        <v>1.5611428571428573E-2</v>
      </c>
      <c r="AH177" s="12">
        <f>IF(ISNUMBER(原始输入与口径!T177),原始输入与口径!T177,"缺失")</f>
        <v>175</v>
      </c>
      <c r="AI177" s="12">
        <f>IF(ISNUMBER(原始输入与口径!Y177),原始输入与口径!Y177,"缺失")</f>
        <v>175</v>
      </c>
      <c r="AJ177" s="12">
        <f>IF(ISNUMBER(原始输入与口径!AI177),原始输入与口径!AI177,"缺失")</f>
        <v>0.39300000000000002</v>
      </c>
      <c r="AK177" s="12">
        <f>IF(ISNUMBER(原始输入与口径!AL177),原始输入与口径!AL177,"缺失")</f>
        <v>0.68300000000000005</v>
      </c>
      <c r="AL177" s="12">
        <f>IF(ISNUMBER(原始输入与口径!O177),原始输入与口径!O177,"缺失")</f>
        <v>51.968000000000004</v>
      </c>
      <c r="AM177" s="12">
        <f>SUMIFS(相位SOC复算!$N$9:$N$929,相位SOC复算!$S$9:$S$929,169)</f>
        <v>3.8195596190476189E-2</v>
      </c>
      <c r="AN177" s="12">
        <f>SUMIFS(相位SOC复算!$Q$9:$Q$929,相位SOC复算!$S$9:$S$929,169)</f>
        <v>14.946102857142856</v>
      </c>
      <c r="AO177" s="12">
        <f>SUMIFS(相位SOC复算!$R$9:$R$929,相位SOC复算!$S$9:$S$929,169)</f>
        <v>0</v>
      </c>
      <c r="AP177" s="12">
        <f>相位SOC复算!J414</f>
        <v>171.59502963161813</v>
      </c>
      <c r="AQ177" s="19">
        <f t="shared" si="60"/>
        <v>0</v>
      </c>
      <c r="AR177" s="12">
        <f>IF(ISBLANK(原始输入与口径!M177),"",原始输入与口径!M177)</f>
        <v>5.2473000000000001</v>
      </c>
      <c r="AS177" s="14">
        <f>IF(ISBLANK(原始输入与口径!L177),"",原始输入与口径!L177)</f>
        <v>46234</v>
      </c>
      <c r="AT177" s="13">
        <f>IF(ISBLANK(原始输入与口径!A177),"",原始输入与口径!A177)</f>
        <v>46236.625</v>
      </c>
      <c r="AU177" s="12" t="str">
        <f>IF(ISBLANK(原始输入与口径!I177),"",原始输入与口径!I177)</f>
        <v>2026-08-02_69</v>
      </c>
      <c r="AV177" s="12">
        <f>IF(ISBLANK(原始输入与口径!J177),"",原始输入与口径!J177)</f>
        <v>15</v>
      </c>
      <c r="AW177" s="12" t="str">
        <f>IF(ISBLANK(原始输入与口径!BB177),"",原始输入与口径!BB177)</f>
        <v>OK</v>
      </c>
      <c r="AX177" s="12">
        <f>原始输入与口径!CI177</f>
        <v>128</v>
      </c>
      <c r="AY177" s="12">
        <f>原始输入与口径!BS177</f>
        <v>175</v>
      </c>
      <c r="AZ177" s="12">
        <f>原始输入与口径!BI177</f>
        <v>175</v>
      </c>
      <c r="BA177" s="12">
        <f>原始输入与口径!CM177</f>
        <v>40</v>
      </c>
      <c r="BB177" s="12">
        <f>原始输入与口径!BV177</f>
        <v>24</v>
      </c>
      <c r="BC177" s="12">
        <f>原始输入与口径!BL177</f>
        <v>24</v>
      </c>
      <c r="BD177" s="14">
        <f>46235</f>
        <v>46235</v>
      </c>
      <c r="BE177" s="1" t="str">
        <f t="shared" si="61"/>
        <v>-60.000000 MW × 60.920000 × 0.250000 h = -913.800000 EUR</v>
      </c>
      <c r="BF177" s="1" t="str">
        <f t="shared" si="62"/>
        <v>40.000000 MW × 60.030873 × 0.250000 h = 600.308730 EUR</v>
      </c>
      <c r="BG177" s="1" t="str">
        <f t="shared" si="63"/>
        <v>24.000000 MW × 7.127475 × 0.250000 h = 42.764850 EUR</v>
      </c>
      <c r="BH177" s="1" t="str">
        <f t="shared" si="64"/>
        <v>零头寸，无结算现金</v>
      </c>
      <c r="BI177" s="1" t="str">
        <f t="shared" si="65"/>
        <v>0.053897 MWh × 166.163170 = 8.955720 EUR</v>
      </c>
      <c r="BJ177" s="1" t="str">
        <f t="shared" si="66"/>
        <v>零下调激活电量</v>
      </c>
      <c r="BK177" s="1" t="str">
        <f t="shared" si="67"/>
        <v>-913.800000 + 600.308730 + 42.764850 + 0.000000 + 8.955720 + 0.000000 = -261.770699 EUR</v>
      </c>
    </row>
    <row r="178" spans="1:63" ht="21" customHeight="1" x14ac:dyDescent="0.45">
      <c r="A178" s="13">
        <f>原始输入与口径!C178</f>
        <v>46236.760416666664</v>
      </c>
      <c r="B178" s="15">
        <f>IF(ISNUMBER(原始输入与口径!H178),原始输入与口径!H178,"缺失")</f>
        <v>132.66</v>
      </c>
      <c r="C178" s="15">
        <f>IF(ISNUMBER(原始输入与口径!R178),原始输入与口径!R178,"缺失")</f>
        <v>60.030873020410496</v>
      </c>
      <c r="D178" s="15">
        <f>IF(ISNUMBER(原始输入与口径!W178),原始输入与口径!W178,"缺失")</f>
        <v>7.1274750824233415</v>
      </c>
      <c r="E178" s="15">
        <f>IF(ISNUMBER(原始输入与口径!AB178),原始输入与口径!AB178,"缺失")</f>
        <v>2.595620604882511</v>
      </c>
      <c r="F178" s="15">
        <f>IF(ISNUMBER(原始输入与口径!AG178),原始输入与口径!AG178,"缺失")</f>
        <v>226.09456291807214</v>
      </c>
      <c r="G178" s="15">
        <f>IF(ISNUMBER(原始输入与口径!AJ178),原始输入与口径!AJ178,"缺失")</f>
        <v>76.420254225982887</v>
      </c>
      <c r="H178" s="15" t="str">
        <f t="shared" si="46"/>
        <v>未模拟</v>
      </c>
      <c r="I178" s="16">
        <f>原始输入与口径!CD178</f>
        <v>171.5950296316181</v>
      </c>
      <c r="J178" s="16">
        <f>原始输入与口径!CE178</f>
        <v>171.59999999999994</v>
      </c>
      <c r="K178" s="16">
        <f>原始输入与口径!BZ178</f>
        <v>-4.8734562237868522</v>
      </c>
      <c r="L178" s="16">
        <f>原始输入与口径!CK178</f>
        <v>40</v>
      </c>
      <c r="M178" s="16">
        <f>原始输入与口径!BT178</f>
        <v>24</v>
      </c>
      <c r="N178" s="16">
        <f>原始输入与口径!BJ178</f>
        <v>0</v>
      </c>
      <c r="O178" s="16">
        <f t="shared" si="47"/>
        <v>1.0597028571428573</v>
      </c>
      <c r="P178" s="16">
        <f t="shared" si="48"/>
        <v>0</v>
      </c>
      <c r="Q178" s="17">
        <f t="shared" si="49"/>
        <v>-161.62817566189094</v>
      </c>
      <c r="R178" s="17">
        <f t="shared" si="50"/>
        <v>600.3087302041049</v>
      </c>
      <c r="S178" s="17">
        <f t="shared" si="51"/>
        <v>42.764850494540049</v>
      </c>
      <c r="T178" s="17">
        <f t="shared" si="52"/>
        <v>0</v>
      </c>
      <c r="U178" s="17">
        <f t="shared" si="53"/>
        <v>239.59305430874656</v>
      </c>
      <c r="V178" s="17">
        <f t="shared" si="54"/>
        <v>0</v>
      </c>
      <c r="W178" s="17">
        <f t="shared" si="55"/>
        <v>721.03845934550054</v>
      </c>
      <c r="X178" s="12">
        <f>原始输入与口径!CP178</f>
        <v>721.03845934550054</v>
      </c>
      <c r="Y178" s="19">
        <f t="shared" si="56"/>
        <v>0</v>
      </c>
      <c r="Z178" s="12" t="str">
        <f t="shared" si="68"/>
        <v>次日冻结计划复原</v>
      </c>
      <c r="AA178" s="12">
        <f>IF(原始输入与口径!AW178,1,0)</f>
        <v>1</v>
      </c>
      <c r="AB178" s="12">
        <f>IF(原始输入与口径!AY178,1,0)</f>
        <v>1</v>
      </c>
      <c r="AC178" s="12">
        <f>原始输入与口径!$F$5</f>
        <v>0.25</v>
      </c>
      <c r="AD178" s="18">
        <f>原始输入与口径!CG178</f>
        <v>0.3125</v>
      </c>
      <c r="AE178" s="18">
        <f>原始输入与口径!BQ178</f>
        <v>0.13714285714285715</v>
      </c>
      <c r="AF178" s="18">
        <f t="shared" si="58"/>
        <v>0.17661714285714286</v>
      </c>
      <c r="AG178" s="18">
        <f t="shared" si="59"/>
        <v>4.4342857142857144E-3</v>
      </c>
      <c r="AH178" s="12">
        <f>IF(ISNUMBER(原始输入与口径!T178),原始输入与口径!T178,"缺失")</f>
        <v>175</v>
      </c>
      <c r="AI178" s="12">
        <f>IF(ISNUMBER(原始输入与口径!Y178),原始输入与口径!Y178,"缺失")</f>
        <v>175</v>
      </c>
      <c r="AJ178" s="12">
        <f>IF(ISNUMBER(原始输入与口径!AI178),原始输入与口径!AI178,"缺失")</f>
        <v>7.7270000000000003</v>
      </c>
      <c r="AK178" s="12">
        <f>IF(ISNUMBER(原始输入与口径!AL178),原始输入与口径!AL178,"缺失")</f>
        <v>0.19400000000000001</v>
      </c>
      <c r="AL178" s="12">
        <f>IF(ISNUMBER(原始输入与口径!O178),原始输入与口径!O178,"缺失")</f>
        <v>51.968000000000004</v>
      </c>
      <c r="AM178" s="12">
        <f>SUMIFS(相位SOC复算!$N$9:$N$929,相位SOC复算!$S$9:$S$929,170)</f>
        <v>5.1135582613366735E-3</v>
      </c>
      <c r="AN178" s="12">
        <f>SUMIFS(相位SOC复算!$Q$9:$Q$929,相位SOC复算!$S$9:$S$929,170)</f>
        <v>1.0031800774255646</v>
      </c>
      <c r="AO178" s="12">
        <f>SUMIFS(相位SOC复算!$R$9:$R$929,相位SOC复算!$S$9:$S$929,170)</f>
        <v>0.84451887862170849</v>
      </c>
      <c r="AP178" s="12">
        <f>相位SOC复算!J417</f>
        <v>171.59999999999997</v>
      </c>
      <c r="AQ178" s="19">
        <f t="shared" si="60"/>
        <v>0</v>
      </c>
      <c r="AR178" s="12">
        <f>IF(ISBLANK(原始输入与口径!M178),"",原始输入与口径!M178)</f>
        <v>5.2473000000000001</v>
      </c>
      <c r="AS178" s="14">
        <f>IF(ISBLANK(原始输入与口径!L178),"",原始输入与口径!L178)</f>
        <v>46234</v>
      </c>
      <c r="AT178" s="13">
        <f>IF(ISBLANK(原始输入与口径!A178),"",原始输入与口径!A178)</f>
        <v>46236.635416666664</v>
      </c>
      <c r="AU178" s="12" t="str">
        <f>IF(ISBLANK(原始输入与口径!I178),"",原始输入与口径!I178)</f>
        <v>2026-08-02_70</v>
      </c>
      <c r="AV178" s="12">
        <f>IF(ISBLANK(原始输入与口径!J178),"",原始输入与口径!J178)</f>
        <v>15</v>
      </c>
      <c r="AW178" s="12" t="str">
        <f>IF(ISBLANK(原始输入与口径!BB178),"",原始输入与口径!BB178)</f>
        <v>OK</v>
      </c>
      <c r="AX178" s="12">
        <f>原始输入与口径!CI178</f>
        <v>128</v>
      </c>
      <c r="AY178" s="12">
        <f>原始输入与口径!BS178</f>
        <v>175</v>
      </c>
      <c r="AZ178" s="12">
        <f>原始输入与口径!BI178</f>
        <v>175</v>
      </c>
      <c r="BA178" s="12">
        <f>原始输入与口径!CM178</f>
        <v>40</v>
      </c>
      <c r="BB178" s="12">
        <f>原始输入与口径!BV178</f>
        <v>24</v>
      </c>
      <c r="BC178" s="12">
        <f>原始输入与口径!BL178</f>
        <v>24</v>
      </c>
      <c r="BD178" s="14">
        <f>46235</f>
        <v>46235</v>
      </c>
      <c r="BE178" s="1" t="str">
        <f t="shared" si="61"/>
        <v>-4.873456 MW × 132.660000 × 0.250000 h = -161.628176 EUR</v>
      </c>
      <c r="BF178" s="1" t="str">
        <f t="shared" si="62"/>
        <v>40.000000 MW × 60.030873 × 0.250000 h = 600.308730 EUR</v>
      </c>
      <c r="BG178" s="1" t="str">
        <f t="shared" si="63"/>
        <v>24.000000 MW × 7.127475 × 0.250000 h = 42.764850 EUR</v>
      </c>
      <c r="BH178" s="1" t="str">
        <f t="shared" si="64"/>
        <v>零头寸，无结算现金</v>
      </c>
      <c r="BI178" s="1" t="str">
        <f t="shared" si="65"/>
        <v>1.059703 MWh × 226.094563 = 239.593054 EUR</v>
      </c>
      <c r="BJ178" s="1" t="str">
        <f t="shared" si="66"/>
        <v>零下调激活电量</v>
      </c>
      <c r="BK178" s="1" t="str">
        <f t="shared" si="67"/>
        <v>-161.628176 + 600.308730 + 42.764850 + 0.000000 + 239.593054 + 0.000000 = 721.038459 EUR</v>
      </c>
    </row>
    <row r="179" spans="1:63" ht="21" customHeight="1" x14ac:dyDescent="0.45">
      <c r="A179" s="13">
        <f>原始输入与口径!C179</f>
        <v>46236.770833333336</v>
      </c>
      <c r="B179" s="15">
        <f>IF(ISNUMBER(原始输入与口径!H179),原始输入与口径!H179,"缺失")</f>
        <v>145.74</v>
      </c>
      <c r="C179" s="15">
        <f>IF(ISNUMBER(原始输入与口径!R179),原始输入与口径!R179,"缺失")</f>
        <v>60.030873020410496</v>
      </c>
      <c r="D179" s="15">
        <f>IF(ISNUMBER(原始输入与口径!W179),原始输入与口径!W179,"缺失")</f>
        <v>7.1274750824233415</v>
      </c>
      <c r="E179" s="15">
        <f>IF(ISNUMBER(原始输入与口径!AB179),原始输入与口径!AB179,"缺失")</f>
        <v>2.595620604882511</v>
      </c>
      <c r="F179" s="15">
        <f>IF(ISNUMBER(原始输入与口径!AG179),原始输入与口径!AG179,"缺失")</f>
        <v>228.65225925714176</v>
      </c>
      <c r="G179" s="15">
        <f>IF(ISNUMBER(原始输入与口径!AJ179),原始输入与口径!AJ179,"缺失")</f>
        <v>0</v>
      </c>
      <c r="H179" s="15" t="str">
        <f t="shared" si="46"/>
        <v>未模拟</v>
      </c>
      <c r="I179" s="16">
        <f>原始输入与口径!CD179</f>
        <v>171.59999999999994</v>
      </c>
      <c r="J179" s="16">
        <f>原始输入与口径!CE179</f>
        <v>171.59999999999994</v>
      </c>
      <c r="K179" s="16">
        <f>原始输入与口径!BZ179</f>
        <v>-13.717014268942636</v>
      </c>
      <c r="L179" s="16">
        <f>原始输入与口径!CK179</f>
        <v>40</v>
      </c>
      <c r="M179" s="16">
        <f>原始输入与口径!BT179</f>
        <v>24</v>
      </c>
      <c r="N179" s="16">
        <f>原始输入与口径!BJ179</f>
        <v>0</v>
      </c>
      <c r="O179" s="16">
        <f t="shared" si="47"/>
        <v>3.181851428571429</v>
      </c>
      <c r="P179" s="16">
        <f t="shared" si="48"/>
        <v>0</v>
      </c>
      <c r="Q179" s="17">
        <f t="shared" si="49"/>
        <v>-499.77941488892498</v>
      </c>
      <c r="R179" s="17">
        <f t="shared" si="50"/>
        <v>600.3087302041049</v>
      </c>
      <c r="S179" s="17">
        <f t="shared" si="51"/>
        <v>42.764850494540049</v>
      </c>
      <c r="T179" s="17">
        <f t="shared" si="52"/>
        <v>0</v>
      </c>
      <c r="U179" s="17">
        <f t="shared" si="53"/>
        <v>727.53751776342131</v>
      </c>
      <c r="V179" s="17">
        <f t="shared" si="54"/>
        <v>0</v>
      </c>
      <c r="W179" s="17">
        <f t="shared" si="55"/>
        <v>870.83168357314128</v>
      </c>
      <c r="X179" s="12">
        <f>原始输入与口径!CP179</f>
        <v>870.83168357314128</v>
      </c>
      <c r="Y179" s="19">
        <f t="shared" si="56"/>
        <v>0</v>
      </c>
      <c r="Z179" s="12" t="str">
        <f t="shared" si="68"/>
        <v>次日冻结计划复原</v>
      </c>
      <c r="AA179" s="12">
        <f>IF(原始输入与口径!AW179,1,0)</f>
        <v>1</v>
      </c>
      <c r="AB179" s="12">
        <f>IF(原始输入与口径!AY179,1,0)</f>
        <v>1</v>
      </c>
      <c r="AC179" s="12">
        <f>原始输入与口径!$F$5</f>
        <v>0.25</v>
      </c>
      <c r="AD179" s="18">
        <f>原始输入与口径!CG179</f>
        <v>0.3125</v>
      </c>
      <c r="AE179" s="18">
        <f>原始输入与口径!BQ179</f>
        <v>0.13714285714285715</v>
      </c>
      <c r="AF179" s="18">
        <f t="shared" si="58"/>
        <v>0.53030857142857146</v>
      </c>
      <c r="AG179" s="18">
        <f t="shared" si="59"/>
        <v>0</v>
      </c>
      <c r="AH179" s="12">
        <f>IF(ISNUMBER(原始输入与口径!T179),原始输入与口径!T179,"缺失")</f>
        <v>175</v>
      </c>
      <c r="AI179" s="12">
        <f>IF(ISNUMBER(原始输入与口径!Y179),原始输入与口径!Y179,"缺失")</f>
        <v>175</v>
      </c>
      <c r="AJ179" s="12">
        <f>IF(ISNUMBER(原始输入与口径!AI179),原始输入与口径!AI179,"缺失")</f>
        <v>23.201000000000001</v>
      </c>
      <c r="AK179" s="12">
        <f>IF(ISNUMBER(原始输入与口径!AL179),原始输入与口径!AL179,"缺失")</f>
        <v>0</v>
      </c>
      <c r="AL179" s="12">
        <f>IF(ISNUMBER(原始输入与口径!O179),原始输入与口径!O179,"缺失")</f>
        <v>51.968000000000004</v>
      </c>
      <c r="AM179" s="12">
        <f>SUMIFS(相位SOC复算!$N$9:$N$929,相位SOC复算!$S$9:$S$929,171)</f>
        <v>8.23242070207943E-3</v>
      </c>
      <c r="AN179" s="12">
        <f>SUMIFS(相位SOC复算!$Q$9:$Q$929,相位SOC复算!$S$9:$S$929,171)</f>
        <v>1.610691006928584</v>
      </c>
      <c r="AO179" s="12">
        <f>SUMIFS(相位SOC复算!$R$9:$R$929,相位SOC复算!$S$9:$S$929,171)</f>
        <v>1.3632888682643538</v>
      </c>
      <c r="AP179" s="12">
        <f>相位SOC复算!J419</f>
        <v>171.59999999999997</v>
      </c>
      <c r="AQ179" s="19">
        <f t="shared" si="60"/>
        <v>0</v>
      </c>
      <c r="AR179" s="12">
        <f>IF(ISBLANK(原始输入与口径!M179),"",原始输入与口径!M179)</f>
        <v>5.2473000000000001</v>
      </c>
      <c r="AS179" s="14">
        <f>IF(ISBLANK(原始输入与口径!L179),"",原始输入与口径!L179)</f>
        <v>46234</v>
      </c>
      <c r="AT179" s="13">
        <f>IF(ISBLANK(原始输入与口径!A179),"",原始输入与口径!A179)</f>
        <v>46236.645833333336</v>
      </c>
      <c r="AU179" s="12" t="str">
        <f>IF(ISBLANK(原始输入与口径!I179),"",原始输入与口径!I179)</f>
        <v>2026-08-02_71</v>
      </c>
      <c r="AV179" s="12">
        <f>IF(ISBLANK(原始输入与口径!J179),"",原始输入与口径!J179)</f>
        <v>15</v>
      </c>
      <c r="AW179" s="12" t="str">
        <f>IF(ISBLANK(原始输入与口径!BB179),"",原始输入与口径!BB179)</f>
        <v>OK</v>
      </c>
      <c r="AX179" s="12">
        <f>原始输入与口径!CI179</f>
        <v>128</v>
      </c>
      <c r="AY179" s="12">
        <f>原始输入与口径!BS179</f>
        <v>175</v>
      </c>
      <c r="AZ179" s="12">
        <f>原始输入与口径!BI179</f>
        <v>175</v>
      </c>
      <c r="BA179" s="12">
        <f>原始输入与口径!CM179</f>
        <v>40</v>
      </c>
      <c r="BB179" s="12">
        <f>原始输入与口径!BV179</f>
        <v>24</v>
      </c>
      <c r="BC179" s="12">
        <f>原始输入与口径!BL179</f>
        <v>24</v>
      </c>
      <c r="BD179" s="14">
        <f>46235</f>
        <v>46235</v>
      </c>
      <c r="BE179" s="1" t="str">
        <f t="shared" si="61"/>
        <v>-13.717014 MW × 145.740000 × 0.250000 h = -499.779415 EUR</v>
      </c>
      <c r="BF179" s="1" t="str">
        <f t="shared" si="62"/>
        <v>40.000000 MW × 60.030873 × 0.250000 h = 600.308730 EUR</v>
      </c>
      <c r="BG179" s="1" t="str">
        <f t="shared" si="63"/>
        <v>24.000000 MW × 7.127475 × 0.250000 h = 42.764850 EUR</v>
      </c>
      <c r="BH179" s="1" t="str">
        <f t="shared" si="64"/>
        <v>零头寸，无结算现金</v>
      </c>
      <c r="BI179" s="1" t="str">
        <f t="shared" si="65"/>
        <v>3.181851 MWh × 228.652259 = 727.537518 EUR</v>
      </c>
      <c r="BJ179" s="1" t="str">
        <f t="shared" si="66"/>
        <v>零下调激活电量</v>
      </c>
      <c r="BK179" s="1" t="str">
        <f t="shared" si="67"/>
        <v>-499.779415 + 600.308730 + 42.764850 + 0.000000 + 727.537518 + 0.000000 = 870.831684 EUR</v>
      </c>
    </row>
    <row r="180" spans="1:63" ht="21" customHeight="1" x14ac:dyDescent="0.45">
      <c r="A180" s="13">
        <f>原始输入与口径!C180</f>
        <v>46236.78125</v>
      </c>
      <c r="B180" s="15">
        <f>IF(ISNUMBER(原始输入与口径!H180),原始输入与口径!H180,"缺失")</f>
        <v>181.46</v>
      </c>
      <c r="C180" s="15">
        <f>IF(ISNUMBER(原始输入与口径!R180),原始输入与口径!R180,"缺失")</f>
        <v>60.030873020410496</v>
      </c>
      <c r="D180" s="15">
        <f>IF(ISNUMBER(原始输入与口径!W180),原始输入与口径!W180,"缺失")</f>
        <v>7.1274750824233415</v>
      </c>
      <c r="E180" s="15">
        <f>IF(ISNUMBER(原始输入与口径!AB180),原始输入与口径!AB180,"缺失")</f>
        <v>2.595620604882511</v>
      </c>
      <c r="F180" s="15">
        <f>IF(ISNUMBER(原始输入与口径!AG180),原始输入与口径!AG180,"缺失")</f>
        <v>223.7312522630686</v>
      </c>
      <c r="G180" s="15">
        <f>IF(ISNUMBER(原始输入与口径!AJ180),原始输入与口径!AJ180,"缺失")</f>
        <v>0</v>
      </c>
      <c r="H180" s="15" t="str">
        <f t="shared" si="46"/>
        <v>未模拟</v>
      </c>
      <c r="I180" s="16">
        <f>原始输入与口径!CD180</f>
        <v>171.59999999999994</v>
      </c>
      <c r="J180" s="16">
        <f>原始输入与口径!CE180</f>
        <v>171.5851117714285</v>
      </c>
      <c r="K180" s="16">
        <f>原始输入与口径!BZ180</f>
        <v>-7.5110131205901158</v>
      </c>
      <c r="L180" s="16">
        <f>原始输入与口径!CK180</f>
        <v>40</v>
      </c>
      <c r="M180" s="16">
        <f>原始输入与口径!BT180</f>
        <v>24</v>
      </c>
      <c r="N180" s="16">
        <f>原始输入与口径!BJ180</f>
        <v>0</v>
      </c>
      <c r="O180" s="16">
        <f t="shared" si="47"/>
        <v>1.6839771428571431</v>
      </c>
      <c r="P180" s="16">
        <f t="shared" si="48"/>
        <v>0</v>
      </c>
      <c r="Q180" s="17">
        <f t="shared" si="49"/>
        <v>-340.73711021557062</v>
      </c>
      <c r="R180" s="17">
        <f t="shared" si="50"/>
        <v>600.3087302041049</v>
      </c>
      <c r="S180" s="17">
        <f t="shared" si="51"/>
        <v>42.764850494540049</v>
      </c>
      <c r="T180" s="17">
        <f t="shared" si="52"/>
        <v>0</v>
      </c>
      <c r="U180" s="17">
        <f t="shared" si="53"/>
        <v>376.758314953813</v>
      </c>
      <c r="V180" s="17">
        <f t="shared" si="54"/>
        <v>0</v>
      </c>
      <c r="W180" s="17">
        <f t="shared" si="55"/>
        <v>679.09478543688738</v>
      </c>
      <c r="X180" s="12">
        <f>原始输入与口径!CP180</f>
        <v>679.09478543688738</v>
      </c>
      <c r="Y180" s="19">
        <f t="shared" si="56"/>
        <v>0</v>
      </c>
      <c r="Z180" s="12" t="str">
        <f t="shared" si="68"/>
        <v>次日冻结计划复原</v>
      </c>
      <c r="AA180" s="12">
        <f>IF(原始输入与口径!AW180,1,0)</f>
        <v>1</v>
      </c>
      <c r="AB180" s="12">
        <f>IF(原始输入与口径!AY180,1,0)</f>
        <v>1</v>
      </c>
      <c r="AC180" s="12">
        <f>原始输入与口径!$F$5</f>
        <v>0.25</v>
      </c>
      <c r="AD180" s="18">
        <f>原始输入与口径!CG180</f>
        <v>0.3125</v>
      </c>
      <c r="AE180" s="18">
        <f>原始输入与口径!BQ180</f>
        <v>0.13714285714285715</v>
      </c>
      <c r="AF180" s="18">
        <f t="shared" si="58"/>
        <v>0.28066285714285716</v>
      </c>
      <c r="AG180" s="18">
        <f t="shared" si="59"/>
        <v>0</v>
      </c>
      <c r="AH180" s="12">
        <f>IF(ISNUMBER(原始输入与口径!T180),原始输入与口径!T180,"缺失")</f>
        <v>175</v>
      </c>
      <c r="AI180" s="12">
        <f>IF(ISNUMBER(原始输入与口径!Y180),原始输入与口径!Y180,"缺失")</f>
        <v>175</v>
      </c>
      <c r="AJ180" s="12">
        <f>IF(ISNUMBER(原始输入与口径!AI180),原始输入与口径!AI180,"缺失")</f>
        <v>12.279</v>
      </c>
      <c r="AK180" s="12">
        <f>IF(ISNUMBER(原始输入与口径!AL180),原始输入与口径!AL180,"缺失")</f>
        <v>0</v>
      </c>
      <c r="AL180" s="12">
        <f>IF(ISNUMBER(原始输入与口径!O180),原始输入与口径!O180,"缺失")</f>
        <v>51.968000000000004</v>
      </c>
      <c r="AM180" s="12">
        <f>SUMIFS(相位SOC复算!$N$9:$N$929,相位SOC复算!$S$9:$S$929,172)</f>
        <v>6.9451265525284104E-3</v>
      </c>
      <c r="AN180" s="12">
        <f>SUMIFS(相位SOC复算!$Q$9:$Q$929,相位SOC复算!$S$9:$S$929,172)</f>
        <v>1.3507376795319517</v>
      </c>
      <c r="AO180" s="12">
        <f>SUMIFS(相位SOC复算!$R$9:$R$929,相位SOC复算!$S$9:$S$929,172)</f>
        <v>1.1569615422415658</v>
      </c>
      <c r="AP180" s="12">
        <f>相位SOC复算!J421</f>
        <v>171.58511177142853</v>
      </c>
      <c r="AQ180" s="19">
        <f t="shared" si="60"/>
        <v>0</v>
      </c>
      <c r="AR180" s="12">
        <f>IF(ISBLANK(原始输入与口径!M180),"",原始输入与口径!M180)</f>
        <v>5.2473000000000001</v>
      </c>
      <c r="AS180" s="14">
        <f>IF(ISBLANK(原始输入与口径!L180),"",原始输入与口径!L180)</f>
        <v>46234</v>
      </c>
      <c r="AT180" s="13">
        <f>IF(ISBLANK(原始输入与口径!A180),"",原始输入与口径!A180)</f>
        <v>46236.65625</v>
      </c>
      <c r="AU180" s="12" t="str">
        <f>IF(ISBLANK(原始输入与口径!I180),"",原始输入与口径!I180)</f>
        <v>2026-08-02_72</v>
      </c>
      <c r="AV180" s="12">
        <f>IF(ISBLANK(原始输入与口径!J180),"",原始输入与口径!J180)</f>
        <v>15</v>
      </c>
      <c r="AW180" s="12" t="str">
        <f>IF(ISBLANK(原始输入与口径!BB180),"",原始输入与口径!BB180)</f>
        <v>OK</v>
      </c>
      <c r="AX180" s="12">
        <f>原始输入与口径!CI180</f>
        <v>128</v>
      </c>
      <c r="AY180" s="12">
        <f>原始输入与口径!BS180</f>
        <v>175</v>
      </c>
      <c r="AZ180" s="12">
        <f>原始输入与口径!BI180</f>
        <v>175</v>
      </c>
      <c r="BA180" s="12">
        <f>原始输入与口径!CM180</f>
        <v>40</v>
      </c>
      <c r="BB180" s="12">
        <f>原始输入与口径!BV180</f>
        <v>24</v>
      </c>
      <c r="BC180" s="12">
        <f>原始输入与口径!BL180</f>
        <v>24</v>
      </c>
      <c r="BD180" s="14">
        <f>46235</f>
        <v>46235</v>
      </c>
      <c r="BE180" s="1" t="str">
        <f t="shared" si="61"/>
        <v>-7.511013 MW × 181.460000 × 0.250000 h = -340.737110 EUR</v>
      </c>
      <c r="BF180" s="1" t="str">
        <f t="shared" si="62"/>
        <v>40.000000 MW × 60.030873 × 0.250000 h = 600.308730 EUR</v>
      </c>
      <c r="BG180" s="1" t="str">
        <f t="shared" si="63"/>
        <v>24.000000 MW × 7.127475 × 0.250000 h = 42.764850 EUR</v>
      </c>
      <c r="BH180" s="1" t="str">
        <f t="shared" si="64"/>
        <v>零头寸，无结算现金</v>
      </c>
      <c r="BI180" s="1" t="str">
        <f t="shared" si="65"/>
        <v>1.683977 MWh × 223.731252 = 376.758315 EUR</v>
      </c>
      <c r="BJ180" s="1" t="str">
        <f t="shared" si="66"/>
        <v>零下调激活电量</v>
      </c>
      <c r="BK180" s="1" t="str">
        <f t="shared" si="67"/>
        <v>-340.737110 + 600.308730 + 42.764850 + 0.000000 + 376.758315 + 0.000000 = 679.094785 EUR</v>
      </c>
    </row>
    <row r="181" spans="1:63" ht="21" customHeight="1" x14ac:dyDescent="0.45">
      <c r="A181" s="13">
        <f>原始输入与口径!C181</f>
        <v>46236.791666666664</v>
      </c>
      <c r="B181" s="15">
        <f>IF(ISNUMBER(原始输入与口径!H181),原始输入与口径!H181,"缺失")</f>
        <v>186.08</v>
      </c>
      <c r="C181" s="15">
        <f>IF(ISNUMBER(原始输入与口径!R181),原始输入与口径!R181,"缺失")</f>
        <v>60.030873020410496</v>
      </c>
      <c r="D181" s="15">
        <f>IF(ISNUMBER(原始输入与口径!W181),原始输入与口径!W181,"缺失")</f>
        <v>7.1027004364149189</v>
      </c>
      <c r="E181" s="15">
        <f>IF(ISNUMBER(原始输入与口径!AB181),原始输入与口径!AB181,"缺失")</f>
        <v>2.850990032969337</v>
      </c>
      <c r="F181" s="15">
        <f>IF(ISNUMBER(原始输入与口径!AG181),原始输入与口径!AG181,"缺失")</f>
        <v>217.59857450498353</v>
      </c>
      <c r="G181" s="15">
        <f>IF(ISNUMBER(原始输入与口径!AJ181),原始输入与口径!AJ181,"缺失")</f>
        <v>80.041164027213995</v>
      </c>
      <c r="H181" s="15" t="str">
        <f t="shared" si="46"/>
        <v>未模拟</v>
      </c>
      <c r="I181" s="16">
        <f>原始输入与口径!CD181</f>
        <v>171.5851117714285</v>
      </c>
      <c r="J181" s="16">
        <f>原始输入与口径!CE181</f>
        <v>171.30439751552788</v>
      </c>
      <c r="K181" s="16">
        <f>原始输入与口径!BZ181</f>
        <v>0</v>
      </c>
      <c r="L181" s="16">
        <f>原始输入与口径!CK181</f>
        <v>40</v>
      </c>
      <c r="M181" s="16">
        <f>原始输入与口径!BT181</f>
        <v>24</v>
      </c>
      <c r="N181" s="16">
        <f>原始输入与口径!BJ181</f>
        <v>24</v>
      </c>
      <c r="O181" s="16">
        <f t="shared" si="47"/>
        <v>0.2719542857142857</v>
      </c>
      <c r="P181" s="16">
        <f t="shared" si="48"/>
        <v>1.6182857142857145E-2</v>
      </c>
      <c r="Q181" s="17">
        <f t="shared" si="49"/>
        <v>0</v>
      </c>
      <c r="R181" s="17">
        <f t="shared" si="50"/>
        <v>600.3087302041049</v>
      </c>
      <c r="S181" s="17">
        <f t="shared" si="51"/>
        <v>42.61620261848951</v>
      </c>
      <c r="T181" s="17">
        <f t="shared" si="52"/>
        <v>17.105940197816022</v>
      </c>
      <c r="U181" s="17">
        <f t="shared" si="53"/>
        <v>59.176864901949578</v>
      </c>
      <c r="V181" s="17">
        <f t="shared" si="54"/>
        <v>-1.2952947230004004</v>
      </c>
      <c r="W181" s="17">
        <f t="shared" si="55"/>
        <v>717.91244319935959</v>
      </c>
      <c r="X181" s="12">
        <f>原始输入与口径!CP181</f>
        <v>717.91244319935959</v>
      </c>
      <c r="Y181" s="19">
        <f t="shared" si="56"/>
        <v>0</v>
      </c>
      <c r="Z181" s="12" t="str">
        <f t="shared" si="68"/>
        <v>次日冻结计划复原</v>
      </c>
      <c r="AA181" s="12">
        <f>IF(原始输入与口径!AW181,1,0)</f>
        <v>1</v>
      </c>
      <c r="AB181" s="12">
        <f>IF(原始输入与口径!AY181,1,0)</f>
        <v>1</v>
      </c>
      <c r="AC181" s="12">
        <f>原始输入与口径!$F$5</f>
        <v>0.25</v>
      </c>
      <c r="AD181" s="18">
        <f>原始输入与口径!CG181</f>
        <v>0.3125</v>
      </c>
      <c r="AE181" s="18">
        <f>原始输入与口径!BQ181</f>
        <v>0.13714285714285715</v>
      </c>
      <c r="AF181" s="18">
        <f t="shared" si="58"/>
        <v>4.5325714285714289E-2</v>
      </c>
      <c r="AG181" s="18">
        <f t="shared" si="59"/>
        <v>2.6971428571428572E-3</v>
      </c>
      <c r="AH181" s="12">
        <f>IF(ISNUMBER(原始输入与口径!T181),原始输入与口径!T181,"缺失")</f>
        <v>175</v>
      </c>
      <c r="AI181" s="12">
        <f>IF(ISNUMBER(原始输入与口径!Y181),原始输入与口径!Y181,"缺失")</f>
        <v>175</v>
      </c>
      <c r="AJ181" s="12">
        <f>IF(ISNUMBER(原始输入与口径!AI181),原始输入与口径!AI181,"缺失")</f>
        <v>1.9830000000000001</v>
      </c>
      <c r="AK181" s="12">
        <f>IF(ISNUMBER(原始输入与口径!AL181),原始输入与口径!AL181,"缺失")</f>
        <v>0.11799999999999999</v>
      </c>
      <c r="AL181" s="12">
        <f>IF(ISNUMBER(原始输入与口径!O181),原始输入与口径!O181,"缺失")</f>
        <v>91.903999999999996</v>
      </c>
      <c r="AM181" s="12">
        <f>SUMIFS(相位SOC复算!$N$9:$N$929,相位SOC复算!$S$9:$S$929,173)</f>
        <v>8.6247420289855073E-4</v>
      </c>
      <c r="AN181" s="12">
        <f>SUMIFS(相位SOC复算!$Q$9:$Q$929,相位SOC复算!$S$9:$S$929,173)</f>
        <v>1.6182857142857145E-2</v>
      </c>
      <c r="AO181" s="12">
        <f>SUMIFS(相位SOC复算!$R$9:$R$929,相位SOC复算!$S$9:$S$929,173)</f>
        <v>0.2719542857142857</v>
      </c>
      <c r="AP181" s="12">
        <f>相位SOC复算!J424</f>
        <v>171.30439751552791</v>
      </c>
      <c r="AQ181" s="19">
        <f t="shared" si="60"/>
        <v>0</v>
      </c>
      <c r="AR181" s="12">
        <f>IF(ISBLANK(原始输入与口径!M181),"",原始输入与口径!M181)</f>
        <v>5.2473000000000001</v>
      </c>
      <c r="AS181" s="14">
        <f>IF(ISBLANK(原始输入与口径!L181),"",原始输入与口径!L181)</f>
        <v>46234</v>
      </c>
      <c r="AT181" s="13">
        <f>IF(ISBLANK(原始输入与口径!A181),"",原始输入与口径!A181)</f>
        <v>46236.666666666664</v>
      </c>
      <c r="AU181" s="12" t="str">
        <f>IF(ISBLANK(原始输入与口径!I181),"",原始输入与口径!I181)</f>
        <v>2026-08-02_73</v>
      </c>
      <c r="AV181" s="12">
        <f>IF(ISBLANK(原始输入与口径!J181),"",原始输入与口径!J181)</f>
        <v>15</v>
      </c>
      <c r="AW181" s="12" t="str">
        <f>IF(ISBLANK(原始输入与口径!BB181),"",原始输入与口径!BB181)</f>
        <v>OK</v>
      </c>
      <c r="AX181" s="12">
        <f>原始输入与口径!CI181</f>
        <v>128</v>
      </c>
      <c r="AY181" s="12">
        <f>原始输入与口径!BS181</f>
        <v>175</v>
      </c>
      <c r="AZ181" s="12">
        <f>原始输入与口径!BI181</f>
        <v>175</v>
      </c>
      <c r="BA181" s="12">
        <f>原始输入与口径!CM181</f>
        <v>40</v>
      </c>
      <c r="BB181" s="12">
        <f>原始输入与口径!BV181</f>
        <v>24</v>
      </c>
      <c r="BC181" s="12">
        <f>原始输入与口径!BL181</f>
        <v>24</v>
      </c>
      <c r="BD181" s="14">
        <f>46235</f>
        <v>46235</v>
      </c>
      <c r="BE181" s="1" t="str">
        <f t="shared" si="61"/>
        <v>零头寸，无结算现金</v>
      </c>
      <c r="BF181" s="1" t="str">
        <f t="shared" si="62"/>
        <v>40.000000 MW × 60.030873 × 0.250000 h = 600.308730 EUR</v>
      </c>
      <c r="BG181" s="1" t="str">
        <f t="shared" si="63"/>
        <v>24.000000 MW × 7.102700 × 0.250000 h = 42.616203 EUR</v>
      </c>
      <c r="BH181" s="1" t="str">
        <f t="shared" si="64"/>
        <v>24.000000 MW × 2.850990 × 0.250000 h = 17.105940 EUR</v>
      </c>
      <c r="BI181" s="1" t="str">
        <f t="shared" si="65"/>
        <v>0.271954 MWh × 217.598575 = 59.176865 EUR</v>
      </c>
      <c r="BJ181" s="1" t="str">
        <f t="shared" si="66"/>
        <v>−(0.016183 MWh × 80.041164) = -1.295295 EUR</v>
      </c>
      <c r="BK181" s="1" t="str">
        <f t="shared" si="67"/>
        <v>0.000000 + 600.308730 + 42.616203 + 17.105940 + 59.176865 + -1.295295 = 717.912443 EUR</v>
      </c>
    </row>
    <row r="182" spans="1:63" ht="21" customHeight="1" x14ac:dyDescent="0.45">
      <c r="A182" s="13">
        <f>原始输入与口径!C182</f>
        <v>46236.802083333336</v>
      </c>
      <c r="B182" s="15">
        <f>IF(ISNUMBER(原始输入与口径!H182),原始输入与口径!H182,"缺失")</f>
        <v>212.63</v>
      </c>
      <c r="C182" s="15">
        <f>IF(ISNUMBER(原始输入与口径!R182),原始输入与口径!R182,"缺失")</f>
        <v>60.030873020410496</v>
      </c>
      <c r="D182" s="15">
        <f>IF(ISNUMBER(原始输入与口径!W182),原始输入与口径!W182,"缺失")</f>
        <v>7.1027004364149189</v>
      </c>
      <c r="E182" s="15">
        <f>IF(ISNUMBER(原始输入与口径!AB182),原始输入与口径!AB182,"缺失")</f>
        <v>2.850990032969337</v>
      </c>
      <c r="F182" s="15">
        <f>IF(ISNUMBER(原始输入与口径!AG182),原始输入与口径!AG182,"缺失")</f>
        <v>239.53423665504161</v>
      </c>
      <c r="G182" s="15">
        <f>IF(ISNUMBER(原始输入与口径!AJ182),原始输入与口径!AJ182,"缺失")</f>
        <v>80.041164027213995</v>
      </c>
      <c r="H182" s="15" t="str">
        <f t="shared" si="46"/>
        <v>未模拟</v>
      </c>
      <c r="I182" s="16">
        <f>原始输入与口径!CD182</f>
        <v>171.30439751552788</v>
      </c>
      <c r="J182" s="16">
        <f>原始输入与口径!CE182</f>
        <v>160.9027080745341</v>
      </c>
      <c r="K182" s="16">
        <f>原始输入与口径!BZ182</f>
        <v>36</v>
      </c>
      <c r="L182" s="16">
        <f>原始输入与口径!CK182</f>
        <v>40</v>
      </c>
      <c r="M182" s="16">
        <f>原始输入与口径!BT182</f>
        <v>24</v>
      </c>
      <c r="N182" s="16">
        <f>原始输入与口径!BJ182</f>
        <v>24</v>
      </c>
      <c r="O182" s="16">
        <f t="shared" si="47"/>
        <v>0.57284571428571418</v>
      </c>
      <c r="P182" s="16">
        <f t="shared" si="48"/>
        <v>3.291428571428571E-3</v>
      </c>
      <c r="Q182" s="17">
        <f t="shared" si="49"/>
        <v>1913.67</v>
      </c>
      <c r="R182" s="17">
        <f t="shared" si="50"/>
        <v>600.3087302041049</v>
      </c>
      <c r="S182" s="17">
        <f t="shared" si="51"/>
        <v>42.61620261848951</v>
      </c>
      <c r="T182" s="17">
        <f t="shared" si="52"/>
        <v>17.105940197816022</v>
      </c>
      <c r="U182" s="17">
        <f t="shared" si="53"/>
        <v>137.21616089254061</v>
      </c>
      <c r="V182" s="17">
        <f t="shared" si="54"/>
        <v>-0.26344977416957288</v>
      </c>
      <c r="W182" s="17">
        <f t="shared" si="55"/>
        <v>2710.6535841387813</v>
      </c>
      <c r="X182" s="12">
        <f>原始输入与口径!CP182</f>
        <v>2710.6535841387818</v>
      </c>
      <c r="Y182" s="19">
        <f t="shared" si="56"/>
        <v>0</v>
      </c>
      <c r="Z182" s="12" t="str">
        <f t="shared" si="68"/>
        <v>次日冻结计划复原</v>
      </c>
      <c r="AA182" s="12">
        <f>IF(原始输入与口径!AW182,1,0)</f>
        <v>1</v>
      </c>
      <c r="AB182" s="12">
        <f>IF(原始输入与口径!AY182,1,0)</f>
        <v>1</v>
      </c>
      <c r="AC182" s="12">
        <f>原始输入与口径!$F$5</f>
        <v>0.25</v>
      </c>
      <c r="AD182" s="18">
        <f>原始输入与口径!CG182</f>
        <v>0.3125</v>
      </c>
      <c r="AE182" s="18">
        <f>原始输入与口径!BQ182</f>
        <v>0.13714285714285715</v>
      </c>
      <c r="AF182" s="18">
        <f t="shared" si="58"/>
        <v>9.5474285714285706E-2</v>
      </c>
      <c r="AG182" s="18">
        <f t="shared" si="59"/>
        <v>5.4857142857142854E-4</v>
      </c>
      <c r="AH182" s="12">
        <f>IF(ISNUMBER(原始输入与口径!T182),原始输入与口径!T182,"缺失")</f>
        <v>175</v>
      </c>
      <c r="AI182" s="12">
        <f>IF(ISNUMBER(原始输入与口径!Y182),原始输入与口径!Y182,"缺失")</f>
        <v>175</v>
      </c>
      <c r="AJ182" s="12">
        <f>IF(ISNUMBER(原始输入与口径!AI182),原始输入与口径!AI182,"缺失")</f>
        <v>4.1769999999999996</v>
      </c>
      <c r="AK182" s="12">
        <f>IF(ISNUMBER(原始输入与口径!AL182),原始输入与口径!AL182,"缺失")</f>
        <v>2.4E-2</v>
      </c>
      <c r="AL182" s="12">
        <f>IF(ISNUMBER(原始输入与口径!O182),原始输入与口径!O182,"缺失")</f>
        <v>91.903999999999996</v>
      </c>
      <c r="AM182" s="12">
        <f>SUMIFS(相位SOC复算!$N$9:$N$929,相位SOC复算!$S$9:$S$929,174)</f>
        <v>2.8893581780538299E-2</v>
      </c>
      <c r="AN182" s="12">
        <f>SUMIFS(相位SOC复算!$Q$9:$Q$929,相位SOC复算!$S$9:$S$929,174)</f>
        <v>0</v>
      </c>
      <c r="AO182" s="12">
        <f>SUMIFS(相位SOC复算!$R$9:$R$929,相位SOC复算!$S$9:$S$929,174)</f>
        <v>9.5695542857142843</v>
      </c>
      <c r="AP182" s="12">
        <f>相位SOC复算!J427</f>
        <v>160.90270807453413</v>
      </c>
      <c r="AQ182" s="19">
        <f t="shared" si="60"/>
        <v>0</v>
      </c>
      <c r="AR182" s="12">
        <f>IF(ISBLANK(原始输入与口径!M182),"",原始输入与口径!M182)</f>
        <v>5.2473000000000001</v>
      </c>
      <c r="AS182" s="14">
        <f>IF(ISBLANK(原始输入与口径!L182),"",原始输入与口径!L182)</f>
        <v>46234</v>
      </c>
      <c r="AT182" s="13">
        <f>IF(ISBLANK(原始输入与口径!A182),"",原始输入与口径!A182)</f>
        <v>46236.677083333336</v>
      </c>
      <c r="AU182" s="12" t="str">
        <f>IF(ISBLANK(原始输入与口径!I182),"",原始输入与口径!I182)</f>
        <v>2026-08-02_74</v>
      </c>
      <c r="AV182" s="12">
        <f>IF(ISBLANK(原始输入与口径!J182),"",原始输入与口径!J182)</f>
        <v>15</v>
      </c>
      <c r="AW182" s="12" t="str">
        <f>IF(ISBLANK(原始输入与口径!BB182),"",原始输入与口径!BB182)</f>
        <v>OK</v>
      </c>
      <c r="AX182" s="12">
        <f>原始输入与口径!CI182</f>
        <v>128</v>
      </c>
      <c r="AY182" s="12">
        <f>原始输入与口径!BS182</f>
        <v>175</v>
      </c>
      <c r="AZ182" s="12">
        <f>原始输入与口径!BI182</f>
        <v>175</v>
      </c>
      <c r="BA182" s="12">
        <f>原始输入与口径!CM182</f>
        <v>40</v>
      </c>
      <c r="BB182" s="12">
        <f>原始输入与口径!BV182</f>
        <v>24</v>
      </c>
      <c r="BC182" s="12">
        <f>原始输入与口径!BL182</f>
        <v>24</v>
      </c>
      <c r="BD182" s="14">
        <f>46235</f>
        <v>46235</v>
      </c>
      <c r="BE182" s="1" t="str">
        <f t="shared" si="61"/>
        <v>36.000000 MW × 212.630000 × 0.250000 h = 1913.670000 EUR</v>
      </c>
      <c r="BF182" s="1" t="str">
        <f t="shared" si="62"/>
        <v>40.000000 MW × 60.030873 × 0.250000 h = 600.308730 EUR</v>
      </c>
      <c r="BG182" s="1" t="str">
        <f t="shared" si="63"/>
        <v>24.000000 MW × 7.102700 × 0.250000 h = 42.616203 EUR</v>
      </c>
      <c r="BH182" s="1" t="str">
        <f t="shared" si="64"/>
        <v>24.000000 MW × 2.850990 × 0.250000 h = 17.105940 EUR</v>
      </c>
      <c r="BI182" s="1" t="str">
        <f t="shared" si="65"/>
        <v>0.572846 MWh × 239.534237 = 137.216161 EUR</v>
      </c>
      <c r="BJ182" s="1" t="str">
        <f t="shared" si="66"/>
        <v>−(0.003291 MWh × 80.041164) = -0.263450 EUR</v>
      </c>
      <c r="BK182" s="1" t="str">
        <f t="shared" si="67"/>
        <v>1913.670000 + 600.308730 + 42.616203 + 17.105940 + 137.216161 + -0.263450 = 2710.653584 EUR</v>
      </c>
    </row>
    <row r="183" spans="1:63" ht="21" customHeight="1" x14ac:dyDescent="0.45">
      <c r="A183" s="13">
        <f>原始输入与口径!C183</f>
        <v>46236.8125</v>
      </c>
      <c r="B183" s="15">
        <f>IF(ISNUMBER(原始输入与口径!H183),原始输入与口径!H183,"缺失")</f>
        <v>197.63</v>
      </c>
      <c r="C183" s="15">
        <f>IF(ISNUMBER(原始输入与口径!R183),原始输入与口径!R183,"缺失")</f>
        <v>60.030873020410496</v>
      </c>
      <c r="D183" s="15">
        <f>IF(ISNUMBER(原始输入与口径!W183),原始输入与口径!W183,"缺失")</f>
        <v>7.1027004364149189</v>
      </c>
      <c r="E183" s="15">
        <f>IF(ISNUMBER(原始输入与口径!AB183),原始输入与口径!AB183,"缺失")</f>
        <v>2.850990032969337</v>
      </c>
      <c r="F183" s="15">
        <f>IF(ISNUMBER(原始输入与口径!AG183),原始输入与口径!AG183,"缺失")</f>
        <v>242.48337240104436</v>
      </c>
      <c r="G183" s="15">
        <f>IF(ISNUMBER(原始输入与口径!AJ183),原始输入与口径!AJ183,"缺失")</f>
        <v>0</v>
      </c>
      <c r="H183" s="15" t="str">
        <f t="shared" si="46"/>
        <v>未模拟</v>
      </c>
      <c r="I183" s="16">
        <f>原始输入与口径!CD183</f>
        <v>160.9027080745341</v>
      </c>
      <c r="J183" s="16">
        <f>原始输入与口径!CE183</f>
        <v>159.62176397515523</v>
      </c>
      <c r="K183" s="16">
        <f>原始输入与口径!BZ183</f>
        <v>0</v>
      </c>
      <c r="L183" s="16">
        <f>原始输入与口径!CK183</f>
        <v>40</v>
      </c>
      <c r="M183" s="16">
        <f>原始输入与口径!BT183</f>
        <v>24</v>
      </c>
      <c r="N183" s="16">
        <f>原始输入与口径!BJ183</f>
        <v>24</v>
      </c>
      <c r="O183" s="16">
        <f t="shared" si="47"/>
        <v>1.1784685714285714</v>
      </c>
      <c r="P183" s="16">
        <f t="shared" si="48"/>
        <v>0</v>
      </c>
      <c r="Q183" s="17">
        <f t="shared" si="49"/>
        <v>0</v>
      </c>
      <c r="R183" s="17">
        <f t="shared" si="50"/>
        <v>600.3087302041049</v>
      </c>
      <c r="S183" s="17">
        <f t="shared" si="51"/>
        <v>42.61620261848951</v>
      </c>
      <c r="T183" s="17">
        <f t="shared" si="52"/>
        <v>17.105940197816022</v>
      </c>
      <c r="U183" s="17">
        <f t="shared" si="53"/>
        <v>285.75903346864101</v>
      </c>
      <c r="V183" s="17">
        <f t="shared" si="54"/>
        <v>0</v>
      </c>
      <c r="W183" s="17">
        <f t="shared" si="55"/>
        <v>945.78990648905142</v>
      </c>
      <c r="X183" s="12">
        <f>原始输入与口径!CP183</f>
        <v>945.78990648905142</v>
      </c>
      <c r="Y183" s="19">
        <f t="shared" si="56"/>
        <v>0</v>
      </c>
      <c r="Z183" s="12" t="str">
        <f t="shared" si="68"/>
        <v>次日冻结计划复原</v>
      </c>
      <c r="AA183" s="12">
        <f>IF(原始输入与口径!AW183,1,0)</f>
        <v>1</v>
      </c>
      <c r="AB183" s="12">
        <f>IF(原始输入与口径!AY183,1,0)</f>
        <v>1</v>
      </c>
      <c r="AC183" s="12">
        <f>原始输入与口径!$F$5</f>
        <v>0.25</v>
      </c>
      <c r="AD183" s="18">
        <f>原始输入与口径!CG183</f>
        <v>0.3125</v>
      </c>
      <c r="AE183" s="18">
        <f>原始输入与口径!BQ183</f>
        <v>0.13714285714285715</v>
      </c>
      <c r="AF183" s="18">
        <f t="shared" si="58"/>
        <v>0.19641142857142857</v>
      </c>
      <c r="AG183" s="18">
        <f t="shared" si="59"/>
        <v>0</v>
      </c>
      <c r="AH183" s="12">
        <f>IF(ISNUMBER(原始输入与口径!T183),原始输入与口径!T183,"缺失")</f>
        <v>175</v>
      </c>
      <c r="AI183" s="12">
        <f>IF(ISNUMBER(原始输入与口径!Y183),原始输入与口径!Y183,"缺失")</f>
        <v>175</v>
      </c>
      <c r="AJ183" s="12">
        <f>IF(ISNUMBER(原始输入与口径!AI183),原始输入与口径!AI183,"缺失")</f>
        <v>8.593</v>
      </c>
      <c r="AK183" s="12">
        <f>IF(ISNUMBER(原始输入与口径!AL183),原始输入与口径!AL183,"缺失")</f>
        <v>0</v>
      </c>
      <c r="AL183" s="12">
        <f>IF(ISNUMBER(原始输入与口径!O183),原始输入与口径!O183,"缺失")</f>
        <v>91.903999999999996</v>
      </c>
      <c r="AM183" s="12">
        <f>SUMIFS(相位SOC复算!$N$9:$N$929,相位SOC复算!$S$9:$S$929,175)</f>
        <v>3.5581780538302276E-3</v>
      </c>
      <c r="AN183" s="12">
        <f>SUMIFS(相位SOC复算!$Q$9:$Q$929,相位SOC复算!$S$9:$S$929,175)</f>
        <v>0</v>
      </c>
      <c r="AO183" s="12">
        <f>SUMIFS(相位SOC复算!$R$9:$R$929,相位SOC复算!$S$9:$S$929,175)</f>
        <v>1.1784685714285714</v>
      </c>
      <c r="AP183" s="12">
        <f>相位SOC复算!J429</f>
        <v>159.62176397515526</v>
      </c>
      <c r="AQ183" s="19">
        <f t="shared" si="60"/>
        <v>0</v>
      </c>
      <c r="AR183" s="12">
        <f>IF(ISBLANK(原始输入与口径!M183),"",原始输入与口径!M183)</f>
        <v>5.2473000000000001</v>
      </c>
      <c r="AS183" s="14">
        <f>IF(ISBLANK(原始输入与口径!L183),"",原始输入与口径!L183)</f>
        <v>46234</v>
      </c>
      <c r="AT183" s="13">
        <f>IF(ISBLANK(原始输入与口径!A183),"",原始输入与口径!A183)</f>
        <v>46236.6875</v>
      </c>
      <c r="AU183" s="12" t="str">
        <f>IF(ISBLANK(原始输入与口径!I183),"",原始输入与口径!I183)</f>
        <v>2026-08-02_75</v>
      </c>
      <c r="AV183" s="12">
        <f>IF(ISBLANK(原始输入与口径!J183),"",原始输入与口径!J183)</f>
        <v>15</v>
      </c>
      <c r="AW183" s="12" t="str">
        <f>IF(ISBLANK(原始输入与口径!BB183),"",原始输入与口径!BB183)</f>
        <v>OK</v>
      </c>
      <c r="AX183" s="12">
        <f>原始输入与口径!CI183</f>
        <v>128</v>
      </c>
      <c r="AY183" s="12">
        <f>原始输入与口径!BS183</f>
        <v>175</v>
      </c>
      <c r="AZ183" s="12">
        <f>原始输入与口径!BI183</f>
        <v>175</v>
      </c>
      <c r="BA183" s="12">
        <f>原始输入与口径!CM183</f>
        <v>40</v>
      </c>
      <c r="BB183" s="12">
        <f>原始输入与口径!BV183</f>
        <v>24</v>
      </c>
      <c r="BC183" s="12">
        <f>原始输入与口径!BL183</f>
        <v>24</v>
      </c>
      <c r="BD183" s="14">
        <f>46235</f>
        <v>46235</v>
      </c>
      <c r="BE183" s="1" t="str">
        <f t="shared" si="61"/>
        <v>零头寸，无结算现金</v>
      </c>
      <c r="BF183" s="1" t="str">
        <f t="shared" si="62"/>
        <v>40.000000 MW × 60.030873 × 0.250000 h = 600.308730 EUR</v>
      </c>
      <c r="BG183" s="1" t="str">
        <f t="shared" si="63"/>
        <v>24.000000 MW × 7.102700 × 0.250000 h = 42.616203 EUR</v>
      </c>
      <c r="BH183" s="1" t="str">
        <f t="shared" si="64"/>
        <v>24.000000 MW × 2.850990 × 0.250000 h = 17.105940 EUR</v>
      </c>
      <c r="BI183" s="1" t="str">
        <f t="shared" si="65"/>
        <v>1.178469 MWh × 242.483372 = 285.759033 EUR</v>
      </c>
      <c r="BJ183" s="1" t="str">
        <f t="shared" si="66"/>
        <v>零下调激活电量</v>
      </c>
      <c r="BK183" s="1" t="str">
        <f t="shared" si="67"/>
        <v>0.000000 + 600.308730 + 42.616203 + 17.105940 + 285.759033 + 0.000000 = 945.789906 EUR</v>
      </c>
    </row>
    <row r="184" spans="1:63" ht="21" customHeight="1" x14ac:dyDescent="0.45">
      <c r="A184" s="13">
        <f>原始输入与口径!C184</f>
        <v>46236.822916666664</v>
      </c>
      <c r="B184" s="15">
        <f>IF(ISNUMBER(原始输入与口径!H184),原始输入与口径!H184,"缺失")</f>
        <v>215.78</v>
      </c>
      <c r="C184" s="15">
        <f>IF(ISNUMBER(原始输入与口径!R184),原始输入与口径!R184,"缺失")</f>
        <v>60.030873020410496</v>
      </c>
      <c r="D184" s="15">
        <f>IF(ISNUMBER(原始输入与口径!W184),原始输入与口径!W184,"缺失")</f>
        <v>7.1027004364149189</v>
      </c>
      <c r="E184" s="15">
        <f>IF(ISNUMBER(原始输入与口径!AB184),原始输入与口径!AB184,"缺失")</f>
        <v>2.850990032969337</v>
      </c>
      <c r="F184" s="15">
        <f>IF(ISNUMBER(原始输入与口径!AG184),原始输入与口径!AG184,"缺失")</f>
        <v>228.97490137785147</v>
      </c>
      <c r="G184" s="15">
        <f>IF(ISNUMBER(原始输入与口径!AJ184),原始输入与口径!AJ184,"缺失")</f>
        <v>0</v>
      </c>
      <c r="H184" s="15" t="str">
        <f t="shared" si="46"/>
        <v>未模拟</v>
      </c>
      <c r="I184" s="16">
        <f>原始输入与口径!CD184</f>
        <v>159.62176397515523</v>
      </c>
      <c r="J184" s="16">
        <f>原始输入与口径!CE184</f>
        <v>148.16154037267077</v>
      </c>
      <c r="K184" s="16">
        <f>原始输入与口径!BZ184</f>
        <v>36</v>
      </c>
      <c r="L184" s="16">
        <f>原始输入与口径!CK184</f>
        <v>40</v>
      </c>
      <c r="M184" s="16">
        <f>原始输入与口径!BT184</f>
        <v>24</v>
      </c>
      <c r="N184" s="16">
        <f>原始输入与口径!BJ184</f>
        <v>24</v>
      </c>
      <c r="O184" s="16">
        <f t="shared" si="47"/>
        <v>1.543405714285714</v>
      </c>
      <c r="P184" s="16">
        <f t="shared" si="48"/>
        <v>0</v>
      </c>
      <c r="Q184" s="17">
        <f t="shared" si="49"/>
        <v>1942.02</v>
      </c>
      <c r="R184" s="17">
        <f t="shared" si="50"/>
        <v>600.3087302041049</v>
      </c>
      <c r="S184" s="17">
        <f t="shared" si="51"/>
        <v>42.61620261848951</v>
      </c>
      <c r="T184" s="17">
        <f t="shared" si="52"/>
        <v>17.105940197816022</v>
      </c>
      <c r="U184" s="17">
        <f t="shared" si="53"/>
        <v>353.40117121458377</v>
      </c>
      <c r="V184" s="17">
        <f t="shared" si="54"/>
        <v>0</v>
      </c>
      <c r="W184" s="17">
        <f t="shared" si="55"/>
        <v>2955.452044234994</v>
      </c>
      <c r="X184" s="12">
        <f>原始输入与口径!CP184</f>
        <v>2955.452044234994</v>
      </c>
      <c r="Y184" s="19">
        <f t="shared" si="56"/>
        <v>0</v>
      </c>
      <c r="Z184" s="12" t="str">
        <f t="shared" si="68"/>
        <v>次日冻结计划复原</v>
      </c>
      <c r="AA184" s="12">
        <f>IF(原始输入与口径!AW184,1,0)</f>
        <v>1</v>
      </c>
      <c r="AB184" s="12">
        <f>IF(原始输入与口径!AY184,1,0)</f>
        <v>1</v>
      </c>
      <c r="AC184" s="12">
        <f>原始输入与口径!$F$5</f>
        <v>0.25</v>
      </c>
      <c r="AD184" s="18">
        <f>原始输入与口径!CG184</f>
        <v>0.3125</v>
      </c>
      <c r="AE184" s="18">
        <f>原始输入与口径!BQ184</f>
        <v>0.13714285714285715</v>
      </c>
      <c r="AF184" s="18">
        <f t="shared" si="58"/>
        <v>0.25723428571428569</v>
      </c>
      <c r="AG184" s="18">
        <f t="shared" si="59"/>
        <v>0</v>
      </c>
      <c r="AH184" s="12">
        <f>IF(ISNUMBER(原始输入与口径!T184),原始输入与口径!T184,"缺失")</f>
        <v>175</v>
      </c>
      <c r="AI184" s="12">
        <f>IF(ISNUMBER(原始输入与口径!Y184),原始输入与口径!Y184,"缺失")</f>
        <v>175</v>
      </c>
      <c r="AJ184" s="12">
        <f>IF(ISNUMBER(原始输入与口径!AI184),原始输入与口径!AI184,"缺失")</f>
        <v>11.254</v>
      </c>
      <c r="AK184" s="12">
        <f>IF(ISNUMBER(原始输入与口径!AL184),原始输入与口径!AL184,"缺失")</f>
        <v>0</v>
      </c>
      <c r="AL184" s="12">
        <f>IF(ISNUMBER(原始输入与口径!O184),原始输入与口径!O184,"缺失")</f>
        <v>91.903999999999996</v>
      </c>
      <c r="AM184" s="12">
        <f>SUMIFS(相位SOC复算!$N$9:$N$929,相位SOC复算!$S$9:$S$929,176)</f>
        <v>3.183395445134575E-2</v>
      </c>
      <c r="AN184" s="12">
        <f>SUMIFS(相位SOC复算!$Q$9:$Q$929,相位SOC复算!$S$9:$S$929,176)</f>
        <v>0</v>
      </c>
      <c r="AO184" s="12">
        <f>SUMIFS(相位SOC复算!$R$9:$R$929,相位SOC复算!$S$9:$S$929,176)</f>
        <v>10.543405714285715</v>
      </c>
      <c r="AP184" s="12">
        <f>相位SOC复算!J431</f>
        <v>148.1615403726708</v>
      </c>
      <c r="AQ184" s="19">
        <f t="shared" si="60"/>
        <v>0</v>
      </c>
      <c r="AR184" s="12">
        <f>IF(ISBLANK(原始输入与口径!M184),"",原始输入与口径!M184)</f>
        <v>5.2473000000000001</v>
      </c>
      <c r="AS184" s="14">
        <f>IF(ISBLANK(原始输入与口径!L184),"",原始输入与口径!L184)</f>
        <v>46234</v>
      </c>
      <c r="AT184" s="13">
        <f>IF(ISBLANK(原始输入与口径!A184),"",原始输入与口径!A184)</f>
        <v>46236.697916666664</v>
      </c>
      <c r="AU184" s="12" t="str">
        <f>IF(ISBLANK(原始输入与口径!I184),"",原始输入与口径!I184)</f>
        <v>2026-08-02_76</v>
      </c>
      <c r="AV184" s="12">
        <f>IF(ISBLANK(原始输入与口径!J184),"",原始输入与口径!J184)</f>
        <v>15</v>
      </c>
      <c r="AW184" s="12" t="str">
        <f>IF(ISBLANK(原始输入与口径!BB184),"",原始输入与口径!BB184)</f>
        <v>OK</v>
      </c>
      <c r="AX184" s="12">
        <f>原始输入与口径!CI184</f>
        <v>128</v>
      </c>
      <c r="AY184" s="12">
        <f>原始输入与口径!BS184</f>
        <v>175</v>
      </c>
      <c r="AZ184" s="12">
        <f>原始输入与口径!BI184</f>
        <v>175</v>
      </c>
      <c r="BA184" s="12">
        <f>原始输入与口径!CM184</f>
        <v>40</v>
      </c>
      <c r="BB184" s="12">
        <f>原始输入与口径!BV184</f>
        <v>24</v>
      </c>
      <c r="BC184" s="12">
        <f>原始输入与口径!BL184</f>
        <v>24</v>
      </c>
      <c r="BD184" s="14">
        <f>46235</f>
        <v>46235</v>
      </c>
      <c r="BE184" s="1" t="str">
        <f t="shared" si="61"/>
        <v>36.000000 MW × 215.780000 × 0.250000 h = 1942.020000 EUR</v>
      </c>
      <c r="BF184" s="1" t="str">
        <f t="shared" si="62"/>
        <v>40.000000 MW × 60.030873 × 0.250000 h = 600.308730 EUR</v>
      </c>
      <c r="BG184" s="1" t="str">
        <f t="shared" si="63"/>
        <v>24.000000 MW × 7.102700 × 0.250000 h = 42.616203 EUR</v>
      </c>
      <c r="BH184" s="1" t="str">
        <f t="shared" si="64"/>
        <v>24.000000 MW × 2.850990 × 0.250000 h = 17.105940 EUR</v>
      </c>
      <c r="BI184" s="1" t="str">
        <f t="shared" si="65"/>
        <v>1.543406 MWh × 228.974901 = 353.401171 EUR</v>
      </c>
      <c r="BJ184" s="1" t="str">
        <f t="shared" si="66"/>
        <v>零下调激活电量</v>
      </c>
      <c r="BK184" s="1" t="str">
        <f t="shared" si="67"/>
        <v>1942.020000 + 600.308730 + 42.616203 + 17.105940 + 353.401171 + 0.000000 = 2955.452044 EUR</v>
      </c>
    </row>
    <row r="185" spans="1:63" ht="21" customHeight="1" x14ac:dyDescent="0.45">
      <c r="A185" s="13">
        <f>原始输入与口径!C185</f>
        <v>46236.833333333336</v>
      </c>
      <c r="B185" s="15">
        <f>IF(ISNUMBER(原始输入与口径!H185),原始输入与口径!H185,"缺失")</f>
        <v>212.83</v>
      </c>
      <c r="C185" s="15">
        <f>IF(ISNUMBER(原始输入与口径!R185),原始输入与口径!R185,"缺失")</f>
        <v>60.030873020410496</v>
      </c>
      <c r="D185" s="15">
        <f>IF(ISNUMBER(原始输入与口径!W185),原始输入与口径!W185,"缺失")</f>
        <v>3.9143940693308936</v>
      </c>
      <c r="E185" s="15">
        <f>IF(ISNUMBER(原始输入与口径!AB185),原始输入与口径!AB185,"缺失")</f>
        <v>2.850990032969337</v>
      </c>
      <c r="F185" s="15">
        <f>IF(ISNUMBER(原始输入与口径!AG185),原始输入与口径!AG185,"缺失")</f>
        <v>218.46130390867685</v>
      </c>
      <c r="G185" s="15">
        <f>IF(ISNUMBER(原始输入与口径!AJ185),原始输入与口径!AJ185,"缺失")</f>
        <v>80.041164027213995</v>
      </c>
      <c r="H185" s="15" t="str">
        <f t="shared" si="46"/>
        <v>未模拟</v>
      </c>
      <c r="I185" s="16">
        <f>原始输入与口径!CD185</f>
        <v>148.16154037267077</v>
      </c>
      <c r="J185" s="16">
        <f>原始输入与口径!CE185</f>
        <v>131.86121739130428</v>
      </c>
      <c r="K185" s="16">
        <f>原始输入与口径!BZ185</f>
        <v>60</v>
      </c>
      <c r="L185" s="16">
        <f>原始输入与口径!CK185</f>
        <v>40</v>
      </c>
      <c r="M185" s="16">
        <f>原始输入与口径!BT185</f>
        <v>0</v>
      </c>
      <c r="N185" s="16">
        <f>原始输入与口径!BJ185</f>
        <v>24</v>
      </c>
      <c r="O185" s="16">
        <f t="shared" si="47"/>
        <v>0</v>
      </c>
      <c r="P185" s="16">
        <f t="shared" si="48"/>
        <v>3.7028571428571427E-3</v>
      </c>
      <c r="Q185" s="17">
        <f t="shared" si="49"/>
        <v>3192.4500000000003</v>
      </c>
      <c r="R185" s="17">
        <f t="shared" si="50"/>
        <v>600.3087302041049</v>
      </c>
      <c r="S185" s="17">
        <f t="shared" si="51"/>
        <v>0</v>
      </c>
      <c r="T185" s="17">
        <f t="shared" si="52"/>
        <v>17.105940197816022</v>
      </c>
      <c r="U185" s="17">
        <f t="shared" si="53"/>
        <v>0</v>
      </c>
      <c r="V185" s="17">
        <f t="shared" si="54"/>
        <v>-0.2963809959407695</v>
      </c>
      <c r="W185" s="17">
        <f t="shared" si="55"/>
        <v>3809.5682894059805</v>
      </c>
      <c r="X185" s="12">
        <f>原始输入与口径!CP185</f>
        <v>3809.5682894059805</v>
      </c>
      <c r="Y185" s="19">
        <f t="shared" si="56"/>
        <v>0</v>
      </c>
      <c r="Z185" s="12" t="str">
        <f t="shared" si="68"/>
        <v>次日冻结计划复原</v>
      </c>
      <c r="AA185" s="12">
        <f>IF(原始输入与口径!AW185,1,0)</f>
        <v>1</v>
      </c>
      <c r="AB185" s="12">
        <f>IF(原始输入与口径!AY185,1,0)</f>
        <v>1</v>
      </c>
      <c r="AC185" s="12">
        <f>原始输入与口径!$F$5</f>
        <v>0.25</v>
      </c>
      <c r="AD185" s="18">
        <f>原始输入与口径!CG185</f>
        <v>0.3125</v>
      </c>
      <c r="AE185" s="18">
        <f>原始输入与口径!BQ185</f>
        <v>0.13714285714285715</v>
      </c>
      <c r="AF185" s="18">
        <f t="shared" si="58"/>
        <v>5.6457142857142859E-2</v>
      </c>
      <c r="AG185" s="18">
        <f t="shared" si="59"/>
        <v>6.1714285714285712E-4</v>
      </c>
      <c r="AH185" s="12">
        <f>IF(ISNUMBER(原始输入与口径!T185),原始输入与口径!T185,"缺失")</f>
        <v>175</v>
      </c>
      <c r="AI185" s="12">
        <f>IF(ISNUMBER(原始输入与口径!Y185),原始输入与口径!Y185,"缺失")</f>
        <v>175</v>
      </c>
      <c r="AJ185" s="12">
        <f>IF(ISNUMBER(原始输入与口径!AI185),原始输入与口径!AI185,"缺失")</f>
        <v>2.4700000000000002</v>
      </c>
      <c r="AK185" s="12">
        <f>IF(ISNUMBER(原始输入与口径!AL185),原始输入与口径!AL185,"缺失")</f>
        <v>2.7E-2</v>
      </c>
      <c r="AL185" s="12">
        <f>IF(ISNUMBER(原始输入与口径!O185),原始输入与口径!O185,"缺失")</f>
        <v>91.903999999999996</v>
      </c>
      <c r="AM185" s="12">
        <f>SUMIFS(相位SOC复算!$N$9:$N$929,相位SOC复算!$S$9:$S$929,177)</f>
        <v>4.5278674948240165E-2</v>
      </c>
      <c r="AN185" s="12">
        <f>SUMIFS(相位SOC复算!$Q$9:$Q$929,相位SOC复算!$S$9:$S$929,177)</f>
        <v>0</v>
      </c>
      <c r="AO185" s="12">
        <f>SUMIFS(相位SOC复算!$R$9:$R$929,相位SOC复算!$S$9:$S$929,177)</f>
        <v>14.996297142857143</v>
      </c>
      <c r="AP185" s="12">
        <f>相位SOC复算!J434</f>
        <v>131.86121739130431</v>
      </c>
      <c r="AQ185" s="19">
        <f t="shared" si="60"/>
        <v>0</v>
      </c>
      <c r="AR185" s="12">
        <f>IF(ISBLANK(原始输入与口径!M185),"",原始输入与口径!M185)</f>
        <v>5.2473000000000001</v>
      </c>
      <c r="AS185" s="14">
        <f>IF(ISBLANK(原始输入与口径!L185),"",原始输入与口径!L185)</f>
        <v>46234</v>
      </c>
      <c r="AT185" s="13">
        <f>IF(ISBLANK(原始输入与口径!A185),"",原始输入与口径!A185)</f>
        <v>46236.708333333336</v>
      </c>
      <c r="AU185" s="12" t="str">
        <f>IF(ISBLANK(原始输入与口径!I185),"",原始输入与口径!I185)</f>
        <v>2026-08-02_77</v>
      </c>
      <c r="AV185" s="12">
        <f>IF(ISBLANK(原始输入与口径!J185),"",原始输入与口径!J185)</f>
        <v>15</v>
      </c>
      <c r="AW185" s="12" t="str">
        <f>IF(ISBLANK(原始输入与口径!BB185),"",原始输入与口径!BB185)</f>
        <v>OK</v>
      </c>
      <c r="AX185" s="12">
        <f>原始输入与口径!CI185</f>
        <v>128</v>
      </c>
      <c r="AY185" s="12">
        <f>原始输入与口径!BS185</f>
        <v>175</v>
      </c>
      <c r="AZ185" s="12">
        <f>原始输入与口径!BI185</f>
        <v>175</v>
      </c>
      <c r="BA185" s="12">
        <f>原始输入与口径!CM185</f>
        <v>40</v>
      </c>
      <c r="BB185" s="12">
        <f>原始输入与口径!BV185</f>
        <v>24</v>
      </c>
      <c r="BC185" s="12">
        <f>原始输入与口径!BL185</f>
        <v>24</v>
      </c>
      <c r="BD185" s="14">
        <f>46235</f>
        <v>46235</v>
      </c>
      <c r="BE185" s="1" t="str">
        <f t="shared" si="61"/>
        <v>60.000000 MW × 212.830000 × 0.250000 h = 3192.450000 EUR</v>
      </c>
      <c r="BF185" s="1" t="str">
        <f t="shared" si="62"/>
        <v>40.000000 MW × 60.030873 × 0.250000 h = 600.308730 EUR</v>
      </c>
      <c r="BG185" s="1" t="str">
        <f t="shared" si="63"/>
        <v>零头寸，无结算现金</v>
      </c>
      <c r="BH185" s="1" t="str">
        <f t="shared" si="64"/>
        <v>24.000000 MW × 2.850990 × 0.250000 h = 17.105940 EUR</v>
      </c>
      <c r="BI185" s="1" t="str">
        <f t="shared" si="65"/>
        <v>零上调激活电量</v>
      </c>
      <c r="BJ185" s="1" t="str">
        <f t="shared" si="66"/>
        <v>−(0.003703 MWh × 80.041164) = -0.296381 EUR</v>
      </c>
      <c r="BK185" s="1" t="str">
        <f t="shared" si="67"/>
        <v>3192.450000 + 600.308730 + 0.000000 + 17.105940 + 0.000000 + -0.296381 = 3809.568289 EUR</v>
      </c>
    </row>
    <row r="186" spans="1:63" ht="21" customHeight="1" x14ac:dyDescent="0.45">
      <c r="A186" s="13">
        <f>原始输入与口径!C186</f>
        <v>46236.84375</v>
      </c>
      <c r="B186" s="15">
        <f>IF(ISNUMBER(原始输入与口径!H186),原始输入与口径!H186,"缺失")</f>
        <v>215.16</v>
      </c>
      <c r="C186" s="15">
        <f>IF(ISNUMBER(原始输入与口径!R186),原始输入与口径!R186,"缺失")</f>
        <v>60.030873020410496</v>
      </c>
      <c r="D186" s="15">
        <f>IF(ISNUMBER(原始输入与口径!W186),原始输入与口径!W186,"缺失")</f>
        <v>3.9143940693308936</v>
      </c>
      <c r="E186" s="15">
        <f>IF(ISNUMBER(原始输入与口径!AB186),原始输入与口径!AB186,"缺失")</f>
        <v>2.850990032969337</v>
      </c>
      <c r="F186" s="15">
        <f>IF(ISNUMBER(原始输入与口径!AG186),原始输入与口径!AG186,"缺失")</f>
        <v>225.58172774569778</v>
      </c>
      <c r="G186" s="15">
        <f>IF(ISNUMBER(原始输入与口径!AJ186),原始输入与口径!AJ186,"缺失")</f>
        <v>71.936805595258505</v>
      </c>
      <c r="H186" s="15" t="str">
        <f t="shared" si="46"/>
        <v>未模拟</v>
      </c>
      <c r="I186" s="16">
        <f>原始输入与口径!CD186</f>
        <v>131.86121739130428</v>
      </c>
      <c r="J186" s="16">
        <f>原始输入与口径!CE186</f>
        <v>116.02673291925457</v>
      </c>
      <c r="K186" s="16">
        <f>原始输入与口径!BZ186</f>
        <v>60</v>
      </c>
      <c r="L186" s="16">
        <f>原始输入与口径!CK186</f>
        <v>40</v>
      </c>
      <c r="M186" s="16">
        <f>原始输入与口径!BT186</f>
        <v>0</v>
      </c>
      <c r="N186" s="16">
        <f>原始输入与口径!BJ186</f>
        <v>24</v>
      </c>
      <c r="O186" s="16">
        <f t="shared" si="47"/>
        <v>0</v>
      </c>
      <c r="P186" s="16">
        <f t="shared" si="48"/>
        <v>0.43227428571428572</v>
      </c>
      <c r="Q186" s="17">
        <f t="shared" si="49"/>
        <v>3227.4</v>
      </c>
      <c r="R186" s="17">
        <f t="shared" si="50"/>
        <v>600.3087302041049</v>
      </c>
      <c r="S186" s="17">
        <f t="shared" si="51"/>
        <v>0</v>
      </c>
      <c r="T186" s="17">
        <f t="shared" si="52"/>
        <v>17.105940197816022</v>
      </c>
      <c r="U186" s="17">
        <f t="shared" si="53"/>
        <v>0</v>
      </c>
      <c r="V186" s="17">
        <f t="shared" si="54"/>
        <v>-31.096431255257801</v>
      </c>
      <c r="W186" s="17">
        <f t="shared" si="55"/>
        <v>3813.7182391466631</v>
      </c>
      <c r="X186" s="12">
        <f>原始输入与口径!CP186</f>
        <v>3813.7182391466631</v>
      </c>
      <c r="Y186" s="19">
        <f t="shared" si="56"/>
        <v>0</v>
      </c>
      <c r="Z186" s="12" t="str">
        <f t="shared" si="68"/>
        <v>次日冻结计划复原</v>
      </c>
      <c r="AA186" s="12">
        <f>IF(原始输入与口径!AW186,1,0)</f>
        <v>1</v>
      </c>
      <c r="AB186" s="12">
        <f>IF(原始输入与口径!AY186,1,0)</f>
        <v>1</v>
      </c>
      <c r="AC186" s="12">
        <f>原始输入与口径!$F$5</f>
        <v>0.25</v>
      </c>
      <c r="AD186" s="18">
        <f>原始输入与口径!CG186</f>
        <v>0.3125</v>
      </c>
      <c r="AE186" s="18">
        <f>原始输入与口径!BQ186</f>
        <v>0.13714285714285715</v>
      </c>
      <c r="AF186" s="18">
        <f t="shared" si="58"/>
        <v>2.6354285714285716E-2</v>
      </c>
      <c r="AG186" s="18">
        <f t="shared" si="59"/>
        <v>7.2045714285714282E-2</v>
      </c>
      <c r="AH186" s="12">
        <f>IF(ISNUMBER(原始输入与口径!T186),原始输入与口径!T186,"缺失")</f>
        <v>175</v>
      </c>
      <c r="AI186" s="12">
        <f>IF(ISNUMBER(原始输入与口径!Y186),原始输入与口径!Y186,"缺失")</f>
        <v>175</v>
      </c>
      <c r="AJ186" s="12">
        <f>IF(ISNUMBER(原始输入与口径!AI186),原始输入与口径!AI186,"缺失")</f>
        <v>1.153</v>
      </c>
      <c r="AK186" s="12">
        <f>IF(ISNUMBER(原始输入与口径!AL186),原始输入与口径!AL186,"缺失")</f>
        <v>3.1520000000000001</v>
      </c>
      <c r="AL186" s="12">
        <f>IF(ISNUMBER(原始输入与口径!O186),原始输入与口径!O186,"缺失")</f>
        <v>91.903999999999996</v>
      </c>
      <c r="AM186" s="12">
        <f>SUMIFS(相位SOC复算!$N$9:$N$929,相位SOC复算!$S$9:$S$929,178)</f>
        <v>4.3984679089026923E-2</v>
      </c>
      <c r="AN186" s="12">
        <f>SUMIFS(相位SOC复算!$Q$9:$Q$929,相位SOC复算!$S$9:$S$929,178)</f>
        <v>0</v>
      </c>
      <c r="AO186" s="12">
        <f>SUMIFS(相位SOC复算!$R$9:$R$929,相位SOC复算!$S$9:$S$929,178)</f>
        <v>14.567725714285714</v>
      </c>
      <c r="AP186" s="12">
        <f>相位SOC复算!J437</f>
        <v>116.0267329192546</v>
      </c>
      <c r="AQ186" s="19">
        <f t="shared" si="60"/>
        <v>0</v>
      </c>
      <c r="AR186" s="12">
        <f>IF(ISBLANK(原始输入与口径!M186),"",原始输入与口径!M186)</f>
        <v>5.2473000000000001</v>
      </c>
      <c r="AS186" s="14">
        <f>IF(ISBLANK(原始输入与口径!L186),"",原始输入与口径!L186)</f>
        <v>46234</v>
      </c>
      <c r="AT186" s="13">
        <f>IF(ISBLANK(原始输入与口径!A186),"",原始输入与口径!A186)</f>
        <v>46236.71875</v>
      </c>
      <c r="AU186" s="12" t="str">
        <f>IF(ISBLANK(原始输入与口径!I186),"",原始输入与口径!I186)</f>
        <v>2026-08-02_78</v>
      </c>
      <c r="AV186" s="12">
        <f>IF(ISBLANK(原始输入与口径!J186),"",原始输入与口径!J186)</f>
        <v>15</v>
      </c>
      <c r="AW186" s="12" t="str">
        <f>IF(ISBLANK(原始输入与口径!BB186),"",原始输入与口径!BB186)</f>
        <v>OK</v>
      </c>
      <c r="AX186" s="12">
        <f>原始输入与口径!CI186</f>
        <v>128</v>
      </c>
      <c r="AY186" s="12">
        <f>原始输入与口径!BS186</f>
        <v>175</v>
      </c>
      <c r="AZ186" s="12">
        <f>原始输入与口径!BI186</f>
        <v>175</v>
      </c>
      <c r="BA186" s="12">
        <f>原始输入与口径!CM186</f>
        <v>40</v>
      </c>
      <c r="BB186" s="12">
        <f>原始输入与口径!BV186</f>
        <v>24</v>
      </c>
      <c r="BC186" s="12">
        <f>原始输入与口径!BL186</f>
        <v>24</v>
      </c>
      <c r="BD186" s="14">
        <f>46235</f>
        <v>46235</v>
      </c>
      <c r="BE186" s="1" t="str">
        <f t="shared" si="61"/>
        <v>60.000000 MW × 215.160000 × 0.250000 h = 3227.400000 EUR</v>
      </c>
      <c r="BF186" s="1" t="str">
        <f t="shared" si="62"/>
        <v>40.000000 MW × 60.030873 × 0.250000 h = 600.308730 EUR</v>
      </c>
      <c r="BG186" s="1" t="str">
        <f t="shared" si="63"/>
        <v>零头寸，无结算现金</v>
      </c>
      <c r="BH186" s="1" t="str">
        <f t="shared" si="64"/>
        <v>24.000000 MW × 2.850990 × 0.250000 h = 17.105940 EUR</v>
      </c>
      <c r="BI186" s="1" t="str">
        <f t="shared" si="65"/>
        <v>零上调激活电量</v>
      </c>
      <c r="BJ186" s="1" t="str">
        <f t="shared" si="66"/>
        <v>−(0.432274 MWh × 71.936806) = -31.096431 EUR</v>
      </c>
      <c r="BK186" s="1" t="str">
        <f t="shared" si="67"/>
        <v>3227.400000 + 600.308730 + 0.000000 + 17.105940 + 0.000000 + -31.096431 = 3813.718239 EUR</v>
      </c>
    </row>
    <row r="187" spans="1:63" ht="21" customHeight="1" x14ac:dyDescent="0.45">
      <c r="A187" s="13">
        <f>原始输入与口径!C187</f>
        <v>46236.854166666664</v>
      </c>
      <c r="B187" s="15">
        <f>IF(ISNUMBER(原始输入与口径!H187),原始输入与口径!H187,"缺失")</f>
        <v>215.16</v>
      </c>
      <c r="C187" s="15">
        <f>IF(ISNUMBER(原始输入与口径!R187),原始输入与口径!R187,"缺失")</f>
        <v>60.030873020410496</v>
      </c>
      <c r="D187" s="15">
        <f>IF(ISNUMBER(原始输入与口径!W187),原始输入与口径!W187,"缺失")</f>
        <v>3.9143940693308936</v>
      </c>
      <c r="E187" s="15">
        <f>IF(ISNUMBER(原始输入与口径!AB187),原始输入与口径!AB187,"缺失")</f>
        <v>2.850990032969337</v>
      </c>
      <c r="F187" s="15">
        <f>IF(ISNUMBER(原始输入与口径!AG187),原始输入与口径!AG187,"缺失")</f>
        <v>176.4547481561946</v>
      </c>
      <c r="G187" s="15">
        <f>IF(ISNUMBER(原始输入与口径!AJ187),原始输入与口径!AJ187,"缺失")</f>
        <v>80.041164027213995</v>
      </c>
      <c r="H187" s="15" t="str">
        <f t="shared" si="46"/>
        <v>未模拟</v>
      </c>
      <c r="I187" s="16">
        <f>原始输入与口径!CD187</f>
        <v>116.02673291925457</v>
      </c>
      <c r="J187" s="16">
        <f>原始输入与口径!CE187</f>
        <v>99.724322981366385</v>
      </c>
      <c r="K187" s="16">
        <f>原始输入与口径!BZ187</f>
        <v>60</v>
      </c>
      <c r="L187" s="16">
        <f>原始输入与口径!CK187</f>
        <v>40</v>
      </c>
      <c r="M187" s="16">
        <f>原始输入与口径!BT187</f>
        <v>0</v>
      </c>
      <c r="N187" s="16">
        <f>原始输入与口径!BJ187</f>
        <v>24</v>
      </c>
      <c r="O187" s="16">
        <f t="shared" si="47"/>
        <v>0</v>
      </c>
      <c r="P187" s="16">
        <f t="shared" si="48"/>
        <v>1.7828571428571429E-3</v>
      </c>
      <c r="Q187" s="17">
        <f t="shared" si="49"/>
        <v>3227.4</v>
      </c>
      <c r="R187" s="17">
        <f t="shared" si="50"/>
        <v>600.3087302041049</v>
      </c>
      <c r="S187" s="17">
        <f t="shared" si="51"/>
        <v>0</v>
      </c>
      <c r="T187" s="17">
        <f t="shared" si="52"/>
        <v>17.105940197816022</v>
      </c>
      <c r="U187" s="17">
        <f t="shared" si="53"/>
        <v>0</v>
      </c>
      <c r="V187" s="17">
        <f t="shared" si="54"/>
        <v>-0.14270196100851867</v>
      </c>
      <c r="W187" s="17">
        <f t="shared" si="55"/>
        <v>3844.6719684409122</v>
      </c>
      <c r="X187" s="12">
        <f>原始输入与口径!CP187</f>
        <v>3844.6719684409127</v>
      </c>
      <c r="Y187" s="19">
        <f t="shared" si="56"/>
        <v>0</v>
      </c>
      <c r="Z187" s="12" t="str">
        <f t="shared" si="68"/>
        <v>次日冻结计划复原</v>
      </c>
      <c r="AA187" s="12">
        <f>IF(原始输入与口径!AW187,1,0)</f>
        <v>1</v>
      </c>
      <c r="AB187" s="12">
        <f>IF(原始输入与口径!AY187,1,0)</f>
        <v>1</v>
      </c>
      <c r="AC187" s="12">
        <f>原始输入与口径!$F$5</f>
        <v>0.25</v>
      </c>
      <c r="AD187" s="18">
        <f>原始输入与口径!CG187</f>
        <v>0.3125</v>
      </c>
      <c r="AE187" s="18">
        <f>原始输入与口径!BQ187</f>
        <v>0.13714285714285715</v>
      </c>
      <c r="AF187" s="18">
        <f t="shared" si="58"/>
        <v>1.1291428571428572E-2</v>
      </c>
      <c r="AG187" s="18">
        <f t="shared" si="59"/>
        <v>2.9714285714285715E-4</v>
      </c>
      <c r="AH187" s="12">
        <f>IF(ISNUMBER(原始输入与口径!T187),原始输入与口径!T187,"缺失")</f>
        <v>175</v>
      </c>
      <c r="AI187" s="12">
        <f>IF(ISNUMBER(原始输入与口径!Y187),原始输入与口径!Y187,"缺失")</f>
        <v>175</v>
      </c>
      <c r="AJ187" s="12">
        <f>IF(ISNUMBER(原始输入与口径!AI187),原始输入与口径!AI187,"缺失")</f>
        <v>0.49399999999999999</v>
      </c>
      <c r="AK187" s="12">
        <f>IF(ISNUMBER(原始输入与口径!AL187),原始输入与口径!AL187,"缺失")</f>
        <v>1.2999999999999999E-2</v>
      </c>
      <c r="AL187" s="12">
        <f>IF(ISNUMBER(原始输入与口径!O187),原始输入与口径!O187,"缺失")</f>
        <v>91.903999999999996</v>
      </c>
      <c r="AM187" s="12">
        <f>SUMIFS(相位SOC复算!$N$9:$N$929,相位SOC复算!$S$9:$S$929,179)</f>
        <v>4.5284472049689439E-2</v>
      </c>
      <c r="AN187" s="12">
        <f>SUMIFS(相位SOC复算!$Q$9:$Q$929,相位SOC复算!$S$9:$S$929,179)</f>
        <v>0</v>
      </c>
      <c r="AO187" s="12">
        <f>SUMIFS(相位SOC复算!$R$9:$R$929,相位SOC复算!$S$9:$S$929,179)</f>
        <v>14.998217142857142</v>
      </c>
      <c r="AP187" s="12">
        <f>相位SOC复算!J440</f>
        <v>99.724322981366413</v>
      </c>
      <c r="AQ187" s="19">
        <f t="shared" si="60"/>
        <v>0</v>
      </c>
      <c r="AR187" s="12">
        <f>IF(ISBLANK(原始输入与口径!M187),"",原始输入与口径!M187)</f>
        <v>5.2473000000000001</v>
      </c>
      <c r="AS187" s="14">
        <f>IF(ISBLANK(原始输入与口径!L187),"",原始输入与口径!L187)</f>
        <v>46234</v>
      </c>
      <c r="AT187" s="13">
        <f>IF(ISBLANK(原始输入与口径!A187),"",原始输入与口径!A187)</f>
        <v>46236.729166666664</v>
      </c>
      <c r="AU187" s="12" t="str">
        <f>IF(ISBLANK(原始输入与口径!I187),"",原始输入与口径!I187)</f>
        <v>2026-08-02_79</v>
      </c>
      <c r="AV187" s="12">
        <f>IF(ISBLANK(原始输入与口径!J187),"",原始输入与口径!J187)</f>
        <v>15</v>
      </c>
      <c r="AW187" s="12" t="str">
        <f>IF(ISBLANK(原始输入与口径!BB187),"",原始输入与口径!BB187)</f>
        <v>OK</v>
      </c>
      <c r="AX187" s="12">
        <f>原始输入与口径!CI187</f>
        <v>128</v>
      </c>
      <c r="AY187" s="12">
        <f>原始输入与口径!BS187</f>
        <v>175</v>
      </c>
      <c r="AZ187" s="12">
        <f>原始输入与口径!BI187</f>
        <v>175</v>
      </c>
      <c r="BA187" s="12">
        <f>原始输入与口径!CM187</f>
        <v>40</v>
      </c>
      <c r="BB187" s="12">
        <f>原始输入与口径!BV187</f>
        <v>24</v>
      </c>
      <c r="BC187" s="12">
        <f>原始输入与口径!BL187</f>
        <v>24</v>
      </c>
      <c r="BD187" s="14">
        <f>46235</f>
        <v>46235</v>
      </c>
      <c r="BE187" s="1" t="str">
        <f t="shared" si="61"/>
        <v>60.000000 MW × 215.160000 × 0.250000 h = 3227.400000 EUR</v>
      </c>
      <c r="BF187" s="1" t="str">
        <f t="shared" si="62"/>
        <v>40.000000 MW × 60.030873 × 0.250000 h = 600.308730 EUR</v>
      </c>
      <c r="BG187" s="1" t="str">
        <f t="shared" si="63"/>
        <v>零头寸，无结算现金</v>
      </c>
      <c r="BH187" s="1" t="str">
        <f t="shared" si="64"/>
        <v>24.000000 MW × 2.850990 × 0.250000 h = 17.105940 EUR</v>
      </c>
      <c r="BI187" s="1" t="str">
        <f t="shared" si="65"/>
        <v>零上调激活电量</v>
      </c>
      <c r="BJ187" s="1" t="str">
        <f t="shared" si="66"/>
        <v>−(0.001783 MWh × 80.041164) = -0.142702 EUR</v>
      </c>
      <c r="BK187" s="1" t="str">
        <f t="shared" si="67"/>
        <v>3227.400000 + 600.308730 + 0.000000 + 17.105940 + 0.000000 + -0.142702 = 3844.671968 EUR</v>
      </c>
    </row>
    <row r="188" spans="1:63" ht="21" customHeight="1" x14ac:dyDescent="0.45">
      <c r="A188" s="13">
        <f>原始输入与口径!C188</f>
        <v>46236.864583333336</v>
      </c>
      <c r="B188" s="15">
        <f>IF(ISNUMBER(原始输入与口径!H188),原始输入与口径!H188,"缺失")</f>
        <v>219.92</v>
      </c>
      <c r="C188" s="15">
        <f>IF(ISNUMBER(原始输入与口径!R188),原始输入与口径!R188,"缺失")</f>
        <v>60.030873020410496</v>
      </c>
      <c r="D188" s="15">
        <f>IF(ISNUMBER(原始输入与口径!W188),原始输入与口径!W188,"缺失")</f>
        <v>3.9143940693308936</v>
      </c>
      <c r="E188" s="15">
        <f>IF(ISNUMBER(原始输入与口径!AB188),原始输入与口径!AB188,"缺失")</f>
        <v>2.850990032969337</v>
      </c>
      <c r="F188" s="15">
        <f>IF(ISNUMBER(原始输入与口径!AG188),原始输入与口径!AG188,"缺失")</f>
        <v>222.13347816972541</v>
      </c>
      <c r="G188" s="15">
        <f>IF(ISNUMBER(原始输入与口径!AJ188),原始输入与口径!AJ188,"缺失")</f>
        <v>80.041164027213995</v>
      </c>
      <c r="H188" s="15" t="str">
        <f t="shared" si="46"/>
        <v>未模拟</v>
      </c>
      <c r="I188" s="16">
        <f>原始输入与口径!CD188</f>
        <v>99.724322981366385</v>
      </c>
      <c r="J188" s="16">
        <f>原始输入与口径!CE188</f>
        <v>83.424596273291854</v>
      </c>
      <c r="K188" s="16">
        <f>原始输入与口径!BZ188</f>
        <v>60</v>
      </c>
      <c r="L188" s="16">
        <f>原始输入与口径!CK188</f>
        <v>40</v>
      </c>
      <c r="M188" s="16">
        <f>原始输入与口径!BT188</f>
        <v>0</v>
      </c>
      <c r="N188" s="16">
        <f>原始输入与口径!BJ188</f>
        <v>24</v>
      </c>
      <c r="O188" s="16">
        <f t="shared" si="47"/>
        <v>0</v>
      </c>
      <c r="P188" s="16">
        <f t="shared" si="48"/>
        <v>4.2514285714285709E-3</v>
      </c>
      <c r="Q188" s="17">
        <f t="shared" si="49"/>
        <v>3298.7999999999997</v>
      </c>
      <c r="R188" s="17">
        <f t="shared" si="50"/>
        <v>600.3087302041049</v>
      </c>
      <c r="S188" s="17">
        <f t="shared" si="51"/>
        <v>0</v>
      </c>
      <c r="T188" s="17">
        <f t="shared" si="52"/>
        <v>17.105940197816022</v>
      </c>
      <c r="U188" s="17">
        <f t="shared" si="53"/>
        <v>0</v>
      </c>
      <c r="V188" s="17">
        <f t="shared" si="54"/>
        <v>-0.34028929163569832</v>
      </c>
      <c r="W188" s="17">
        <f t="shared" si="55"/>
        <v>3915.874381110285</v>
      </c>
      <c r="X188" s="12">
        <f>原始输入与口径!CP188</f>
        <v>3915.874381110285</v>
      </c>
      <c r="Y188" s="19">
        <f t="shared" si="56"/>
        <v>0</v>
      </c>
      <c r="Z188" s="12" t="str">
        <f t="shared" si="68"/>
        <v>次日冻结计划复原</v>
      </c>
      <c r="AA188" s="12">
        <f>IF(原始输入与口径!AW188,1,0)</f>
        <v>1</v>
      </c>
      <c r="AB188" s="12">
        <f>IF(原始输入与口径!AY188,1,0)</f>
        <v>1</v>
      </c>
      <c r="AC188" s="12">
        <f>原始输入与口径!$F$5</f>
        <v>0.25</v>
      </c>
      <c r="AD188" s="18">
        <f>原始输入与口径!CG188</f>
        <v>0.3125</v>
      </c>
      <c r="AE188" s="18">
        <f>原始输入与口径!BQ188</f>
        <v>0.13714285714285715</v>
      </c>
      <c r="AF188" s="18">
        <f t="shared" si="58"/>
        <v>5.4354285714285716E-2</v>
      </c>
      <c r="AG188" s="18">
        <f t="shared" si="59"/>
        <v>7.0857142857142852E-4</v>
      </c>
      <c r="AH188" s="12">
        <f>IF(ISNUMBER(原始输入与口径!T188),原始输入与口径!T188,"缺失")</f>
        <v>175</v>
      </c>
      <c r="AI188" s="12">
        <f>IF(ISNUMBER(原始输入与口径!Y188),原始输入与口径!Y188,"缺失")</f>
        <v>175</v>
      </c>
      <c r="AJ188" s="12">
        <f>IF(ISNUMBER(原始输入与口径!AI188),原始输入与口径!AI188,"缺失")</f>
        <v>2.3780000000000001</v>
      </c>
      <c r="AK188" s="12">
        <f>IF(ISNUMBER(原始输入与口径!AL188),原始输入与口径!AL188,"缺失")</f>
        <v>3.1E-2</v>
      </c>
      <c r="AL188" s="12">
        <f>IF(ISNUMBER(原始输入与口径!O188),原始输入与口径!O188,"缺失")</f>
        <v>91.903999999999996</v>
      </c>
      <c r="AM188" s="12">
        <f>SUMIFS(相位SOC复算!$N$9:$N$929,相位SOC复算!$S$9:$S$929,180)</f>
        <v>4.5277018633540375E-2</v>
      </c>
      <c r="AN188" s="12">
        <f>SUMIFS(相位SOC复算!$Q$9:$Q$929,相位SOC复算!$S$9:$S$929,180)</f>
        <v>0</v>
      </c>
      <c r="AO188" s="12">
        <f>SUMIFS(相位SOC复算!$R$9:$R$929,相位SOC复算!$S$9:$S$929,180)</f>
        <v>14.995748571428573</v>
      </c>
      <c r="AP188" s="12">
        <f>相位SOC复算!J443</f>
        <v>83.424596273291883</v>
      </c>
      <c r="AQ188" s="19">
        <f t="shared" si="60"/>
        <v>0</v>
      </c>
      <c r="AR188" s="12">
        <f>IF(ISBLANK(原始输入与口径!M188),"",原始输入与口径!M188)</f>
        <v>5.2473000000000001</v>
      </c>
      <c r="AS188" s="14">
        <f>IF(ISBLANK(原始输入与口径!L188),"",原始输入与口径!L188)</f>
        <v>46234</v>
      </c>
      <c r="AT188" s="13">
        <f>IF(ISBLANK(原始输入与口径!A188),"",原始输入与口径!A188)</f>
        <v>46236.739583333336</v>
      </c>
      <c r="AU188" s="12" t="str">
        <f>IF(ISBLANK(原始输入与口径!I188),"",原始输入与口径!I188)</f>
        <v>2026-08-02_80</v>
      </c>
      <c r="AV188" s="12">
        <f>IF(ISBLANK(原始输入与口径!J188),"",原始输入与口径!J188)</f>
        <v>15</v>
      </c>
      <c r="AW188" s="12" t="str">
        <f>IF(ISBLANK(原始输入与口径!BB188),"",原始输入与口径!BB188)</f>
        <v>OK</v>
      </c>
      <c r="AX188" s="12">
        <f>原始输入与口径!CI188</f>
        <v>128</v>
      </c>
      <c r="AY188" s="12">
        <f>原始输入与口径!BS188</f>
        <v>175</v>
      </c>
      <c r="AZ188" s="12">
        <f>原始输入与口径!BI188</f>
        <v>175</v>
      </c>
      <c r="BA188" s="12">
        <f>原始输入与口径!CM188</f>
        <v>40</v>
      </c>
      <c r="BB188" s="12">
        <f>原始输入与口径!BV188</f>
        <v>24</v>
      </c>
      <c r="BC188" s="12">
        <f>原始输入与口径!BL188</f>
        <v>24</v>
      </c>
      <c r="BD188" s="14">
        <f>46235</f>
        <v>46235</v>
      </c>
      <c r="BE188" s="1" t="str">
        <f t="shared" si="61"/>
        <v>60.000000 MW × 219.920000 × 0.250000 h = 3298.800000 EUR</v>
      </c>
      <c r="BF188" s="1" t="str">
        <f t="shared" si="62"/>
        <v>40.000000 MW × 60.030873 × 0.250000 h = 600.308730 EUR</v>
      </c>
      <c r="BG188" s="1" t="str">
        <f t="shared" si="63"/>
        <v>零头寸，无结算现金</v>
      </c>
      <c r="BH188" s="1" t="str">
        <f t="shared" si="64"/>
        <v>24.000000 MW × 2.850990 × 0.250000 h = 17.105940 EUR</v>
      </c>
      <c r="BI188" s="1" t="str">
        <f t="shared" si="65"/>
        <v>零上调激活电量</v>
      </c>
      <c r="BJ188" s="1" t="str">
        <f t="shared" si="66"/>
        <v>−(0.004251 MWh × 80.041164) = -0.340289 EUR</v>
      </c>
      <c r="BK188" s="1" t="str">
        <f t="shared" si="67"/>
        <v>3298.800000 + 600.308730 + 0.000000 + 17.105940 + 0.000000 + -0.340289 = 3915.874381 EUR</v>
      </c>
    </row>
    <row r="189" spans="1:63" ht="21" customHeight="1" x14ac:dyDescent="0.45">
      <c r="A189" s="13">
        <f>原始输入与口径!C189</f>
        <v>46236.875</v>
      </c>
      <c r="B189" s="15">
        <f>IF(ISNUMBER(原始输入与口径!H189),原始输入与口径!H189,"缺失")</f>
        <v>215.16</v>
      </c>
      <c r="C189" s="15">
        <f>IF(ISNUMBER(原始输入与口径!R189),原始输入与口径!R189,"缺失")</f>
        <v>60.030873020410496</v>
      </c>
      <c r="D189" s="15">
        <f>IF(ISNUMBER(原始输入与口径!W189),原始输入与口径!W189,"缺失")</f>
        <v>7.0245650143883518</v>
      </c>
      <c r="E189" s="15">
        <f>IF(ISNUMBER(原始输入与口径!AB189),原始输入与口径!AB189,"缺失")</f>
        <v>2.850990032969337</v>
      </c>
      <c r="F189" s="15">
        <f>IF(ISNUMBER(原始输入与口径!AG189),原始输入与口径!AG189,"缺失")</f>
        <v>228.68904007775427</v>
      </c>
      <c r="G189" s="15">
        <f>IF(ISNUMBER(原始输入与口径!AJ189),原始输入与口径!AJ189,"缺失")</f>
        <v>0</v>
      </c>
      <c r="H189" s="15" t="str">
        <f t="shared" si="46"/>
        <v>未模拟</v>
      </c>
      <c r="I189" s="16">
        <f>原始输入与口径!CD189</f>
        <v>83.424596273291854</v>
      </c>
      <c r="J189" s="16">
        <f>原始输入与口径!CE189</f>
        <v>72.632795031055821</v>
      </c>
      <c r="K189" s="16">
        <f>原始输入与口径!BZ189</f>
        <v>36</v>
      </c>
      <c r="L189" s="16">
        <f>原始输入与口径!CK189</f>
        <v>40</v>
      </c>
      <c r="M189" s="16">
        <f>原始输入与口径!BT189</f>
        <v>24</v>
      </c>
      <c r="N189" s="16">
        <f>原始输入与口径!BJ189</f>
        <v>24</v>
      </c>
      <c r="O189" s="16">
        <f t="shared" si="47"/>
        <v>0.92845714285714276</v>
      </c>
      <c r="P189" s="16">
        <f t="shared" si="48"/>
        <v>0</v>
      </c>
      <c r="Q189" s="17">
        <f t="shared" si="49"/>
        <v>1936.44</v>
      </c>
      <c r="R189" s="17">
        <f t="shared" si="50"/>
        <v>600.3087302041049</v>
      </c>
      <c r="S189" s="17">
        <f t="shared" si="51"/>
        <v>42.147390086330113</v>
      </c>
      <c r="T189" s="17">
        <f t="shared" si="52"/>
        <v>17.105940197816022</v>
      </c>
      <c r="U189" s="17">
        <f t="shared" si="53"/>
        <v>212.32797275333434</v>
      </c>
      <c r="V189" s="17">
        <f t="shared" si="54"/>
        <v>0</v>
      </c>
      <c r="W189" s="17">
        <f t="shared" si="55"/>
        <v>2808.3300332415856</v>
      </c>
      <c r="X189" s="12">
        <f>原始输入与口径!CP189</f>
        <v>2808.3300332415856</v>
      </c>
      <c r="Y189" s="19">
        <f t="shared" si="56"/>
        <v>0</v>
      </c>
      <c r="Z189" s="12" t="str">
        <f t="shared" si="68"/>
        <v>次日冻结计划复原</v>
      </c>
      <c r="AA189" s="12">
        <f>IF(原始输入与口径!AW189,1,0)</f>
        <v>1</v>
      </c>
      <c r="AB189" s="12">
        <f>IF(原始输入与口径!AY189,1,0)</f>
        <v>1</v>
      </c>
      <c r="AC189" s="12">
        <f>原始输入与口径!$F$5</f>
        <v>0.25</v>
      </c>
      <c r="AD189" s="18">
        <f>原始输入与口径!CG189</f>
        <v>0.3125</v>
      </c>
      <c r="AE189" s="18">
        <f>原始输入与口径!BQ189</f>
        <v>0.13714285714285715</v>
      </c>
      <c r="AF189" s="18">
        <f t="shared" si="58"/>
        <v>0.15474285714285713</v>
      </c>
      <c r="AG189" s="18">
        <f t="shared" si="59"/>
        <v>0</v>
      </c>
      <c r="AH189" s="12">
        <f>IF(ISNUMBER(原始输入与口径!T189),原始输入与口径!T189,"缺失")</f>
        <v>175</v>
      </c>
      <c r="AI189" s="12">
        <f>IF(ISNUMBER(原始输入与口径!Y189),原始输入与口径!Y189,"缺失")</f>
        <v>175</v>
      </c>
      <c r="AJ189" s="12">
        <f>IF(ISNUMBER(原始输入与口径!AI189),原始输入与口径!AI189,"缺失")</f>
        <v>6.77</v>
      </c>
      <c r="AK189" s="12">
        <f>IF(ISNUMBER(原始输入与口径!AL189),原始输入与口径!AL189,"缺失")</f>
        <v>0</v>
      </c>
      <c r="AL189" s="12">
        <f>IF(ISNUMBER(原始输入与口径!O189),原始输入与口径!O189,"缺失")</f>
        <v>91.903999999999996</v>
      </c>
      <c r="AM189" s="12">
        <f>SUMIFS(相位SOC复算!$N$9:$N$929,相位SOC复算!$S$9:$S$929,181)</f>
        <v>2.9977225672877847E-2</v>
      </c>
      <c r="AN189" s="12">
        <f>SUMIFS(相位SOC复算!$Q$9:$Q$929,相位SOC复算!$S$9:$S$929,181)</f>
        <v>0</v>
      </c>
      <c r="AO189" s="12">
        <f>SUMIFS(相位SOC复算!$R$9:$R$929,相位SOC复算!$S$9:$S$929,181)</f>
        <v>9.9284571428571429</v>
      </c>
      <c r="AP189" s="12">
        <f>相位SOC复算!J445</f>
        <v>72.632795031055849</v>
      </c>
      <c r="AQ189" s="19">
        <f t="shared" si="60"/>
        <v>0</v>
      </c>
      <c r="AR189" s="12">
        <f>IF(ISBLANK(原始输入与口径!M189),"",原始输入与口径!M189)</f>
        <v>5.2473000000000001</v>
      </c>
      <c r="AS189" s="14">
        <f>IF(ISBLANK(原始输入与口径!L189),"",原始输入与口径!L189)</f>
        <v>46234</v>
      </c>
      <c r="AT189" s="13">
        <f>IF(ISBLANK(原始输入与口径!A189),"",原始输入与口径!A189)</f>
        <v>46236.75</v>
      </c>
      <c r="AU189" s="12" t="str">
        <f>IF(ISBLANK(原始输入与口径!I189),"",原始输入与口径!I189)</f>
        <v>2026-08-02_81</v>
      </c>
      <c r="AV189" s="12">
        <f>IF(ISBLANK(原始输入与口径!J189),"",原始输入与口径!J189)</f>
        <v>15</v>
      </c>
      <c r="AW189" s="12" t="str">
        <f>IF(ISBLANK(原始输入与口径!BB189),"",原始输入与口径!BB189)</f>
        <v>OK</v>
      </c>
      <c r="AX189" s="12">
        <f>原始输入与口径!CI189</f>
        <v>128</v>
      </c>
      <c r="AY189" s="12">
        <f>原始输入与口径!BS189</f>
        <v>175</v>
      </c>
      <c r="AZ189" s="12">
        <f>原始输入与口径!BI189</f>
        <v>175</v>
      </c>
      <c r="BA189" s="12">
        <f>原始输入与口径!CM189</f>
        <v>40</v>
      </c>
      <c r="BB189" s="12">
        <f>原始输入与口径!BV189</f>
        <v>24</v>
      </c>
      <c r="BC189" s="12">
        <f>原始输入与口径!BL189</f>
        <v>24</v>
      </c>
      <c r="BD189" s="14">
        <f>46235</f>
        <v>46235</v>
      </c>
      <c r="BE189" s="1" t="str">
        <f t="shared" si="61"/>
        <v>36.000000 MW × 215.160000 × 0.250000 h = 1936.440000 EUR</v>
      </c>
      <c r="BF189" s="1" t="str">
        <f t="shared" si="62"/>
        <v>40.000000 MW × 60.030873 × 0.250000 h = 600.308730 EUR</v>
      </c>
      <c r="BG189" s="1" t="str">
        <f t="shared" si="63"/>
        <v>24.000000 MW × 7.024565 × 0.250000 h = 42.147390 EUR</v>
      </c>
      <c r="BH189" s="1" t="str">
        <f t="shared" si="64"/>
        <v>24.000000 MW × 2.850990 × 0.250000 h = 17.105940 EUR</v>
      </c>
      <c r="BI189" s="1" t="str">
        <f t="shared" si="65"/>
        <v>0.928457 MWh × 228.689040 = 212.327973 EUR</v>
      </c>
      <c r="BJ189" s="1" t="str">
        <f t="shared" si="66"/>
        <v>零下调激活电量</v>
      </c>
      <c r="BK189" s="1" t="str">
        <f t="shared" si="67"/>
        <v>1936.440000 + 600.308730 + 42.147390 + 17.105940 + 212.327973 + 0.000000 = 2808.330033 EUR</v>
      </c>
    </row>
    <row r="190" spans="1:63" ht="21" customHeight="1" x14ac:dyDescent="0.45">
      <c r="A190" s="13">
        <f>原始输入与口径!C190</f>
        <v>46236.885416666664</v>
      </c>
      <c r="B190" s="15">
        <f>IF(ISNUMBER(原始输入与口径!H190),原始输入与口径!H190,"缺失")</f>
        <v>217.54</v>
      </c>
      <c r="C190" s="15">
        <f>IF(ISNUMBER(原始输入与口径!R190),原始输入与口径!R190,"缺失")</f>
        <v>60.030873020410496</v>
      </c>
      <c r="D190" s="15">
        <f>IF(ISNUMBER(原始输入与口径!W190),原始输入与口径!W190,"缺失")</f>
        <v>7.0245650143883518</v>
      </c>
      <c r="E190" s="15">
        <f>IF(ISNUMBER(原始输入与口径!AB190),原始输入与口径!AB190,"缺失")</f>
        <v>2.850990032969337</v>
      </c>
      <c r="F190" s="15">
        <f>IF(ISNUMBER(原始输入与口径!AG190),原始输入与口径!AG190,"缺失")</f>
        <v>228.68904007775427</v>
      </c>
      <c r="G190" s="15">
        <f>IF(ISNUMBER(原始输入与口径!AJ190),原始输入与口径!AJ190,"缺失")</f>
        <v>0</v>
      </c>
      <c r="H190" s="15" t="str">
        <f t="shared" si="46"/>
        <v>未模拟</v>
      </c>
      <c r="I190" s="16">
        <f>原始输入与口径!CD190</f>
        <v>72.632795031055821</v>
      </c>
      <c r="J190" s="16">
        <f>原始输入与口径!CE190</f>
        <v>61.188968944099301</v>
      </c>
      <c r="K190" s="16">
        <f>原始输入与口径!BZ190</f>
        <v>36</v>
      </c>
      <c r="L190" s="16">
        <f>原始输入与口径!CK190</f>
        <v>40</v>
      </c>
      <c r="M190" s="16">
        <f>原始输入与口径!BT190</f>
        <v>24</v>
      </c>
      <c r="N190" s="16">
        <f>原始输入与口径!BJ190</f>
        <v>24</v>
      </c>
      <c r="O190" s="16">
        <f t="shared" si="47"/>
        <v>1.5283199999999999</v>
      </c>
      <c r="P190" s="16">
        <f t="shared" si="48"/>
        <v>0</v>
      </c>
      <c r="Q190" s="17">
        <f t="shared" si="49"/>
        <v>1957.86</v>
      </c>
      <c r="R190" s="17">
        <f t="shared" si="50"/>
        <v>600.3087302041049</v>
      </c>
      <c r="S190" s="17">
        <f t="shared" si="51"/>
        <v>42.147390086330113</v>
      </c>
      <c r="T190" s="17">
        <f t="shared" si="52"/>
        <v>17.105940197816022</v>
      </c>
      <c r="U190" s="17">
        <f t="shared" si="53"/>
        <v>349.51003373163337</v>
      </c>
      <c r="V190" s="17">
        <f t="shared" si="54"/>
        <v>0</v>
      </c>
      <c r="W190" s="17">
        <f t="shared" si="55"/>
        <v>2966.9320942198842</v>
      </c>
      <c r="X190" s="12">
        <f>原始输入与口径!CP190</f>
        <v>2966.9320942198842</v>
      </c>
      <c r="Y190" s="19">
        <f t="shared" si="56"/>
        <v>0</v>
      </c>
      <c r="Z190" s="12" t="str">
        <f t="shared" si="68"/>
        <v>次日冻结计划复原</v>
      </c>
      <c r="AA190" s="12">
        <f>IF(原始输入与口径!AW190,1,0)</f>
        <v>1</v>
      </c>
      <c r="AB190" s="12">
        <f>IF(原始输入与口径!AY190,1,0)</f>
        <v>1</v>
      </c>
      <c r="AC190" s="12">
        <f>原始输入与口径!$F$5</f>
        <v>0.25</v>
      </c>
      <c r="AD190" s="18">
        <f>原始输入与口径!CG190</f>
        <v>0.3125</v>
      </c>
      <c r="AE190" s="18">
        <f>原始输入与口径!BQ190</f>
        <v>0.13714285714285715</v>
      </c>
      <c r="AF190" s="18">
        <f t="shared" si="58"/>
        <v>0.25472</v>
      </c>
      <c r="AG190" s="18">
        <f t="shared" si="59"/>
        <v>0</v>
      </c>
      <c r="AH190" s="12">
        <f>IF(ISNUMBER(原始输入与口径!T190),原始输入与口径!T190,"缺失")</f>
        <v>175</v>
      </c>
      <c r="AI190" s="12">
        <f>IF(ISNUMBER(原始输入与口径!Y190),原始输入与口径!Y190,"缺失")</f>
        <v>175</v>
      </c>
      <c r="AJ190" s="12">
        <f>IF(ISNUMBER(原始输入与口径!AI190),原始输入与口径!AI190,"缺失")</f>
        <v>11.144</v>
      </c>
      <c r="AK190" s="12">
        <f>IF(ISNUMBER(原始输入与口径!AL190),原始输入与口径!AL190,"缺失")</f>
        <v>0</v>
      </c>
      <c r="AL190" s="12">
        <f>IF(ISNUMBER(原始输入与口径!O190),原始输入与口径!O190,"缺失")</f>
        <v>91.903999999999996</v>
      </c>
      <c r="AM190" s="12">
        <f>SUMIFS(相位SOC复算!$N$9:$N$929,相位SOC复算!$S$9:$S$929,182)</f>
        <v>3.1788405797101446E-2</v>
      </c>
      <c r="AN190" s="12">
        <f>SUMIFS(相位SOC复算!$Q$9:$Q$929,相位SOC复算!$S$9:$S$929,182)</f>
        <v>0</v>
      </c>
      <c r="AO190" s="12">
        <f>SUMIFS(相位SOC复算!$R$9:$R$929,相位SOC复算!$S$9:$S$929,182)</f>
        <v>10.528320000000001</v>
      </c>
      <c r="AP190" s="12">
        <f>相位SOC复算!J447</f>
        <v>61.188968944099329</v>
      </c>
      <c r="AQ190" s="19">
        <f t="shared" si="60"/>
        <v>0</v>
      </c>
      <c r="AR190" s="12">
        <f>IF(ISBLANK(原始输入与口径!M190),"",原始输入与口径!M190)</f>
        <v>5.2473000000000001</v>
      </c>
      <c r="AS190" s="14">
        <f>IF(ISBLANK(原始输入与口径!L190),"",原始输入与口径!L190)</f>
        <v>46234</v>
      </c>
      <c r="AT190" s="13">
        <f>IF(ISBLANK(原始输入与口径!A190),"",原始输入与口径!A190)</f>
        <v>46236.760416666664</v>
      </c>
      <c r="AU190" s="12" t="str">
        <f>IF(ISBLANK(原始输入与口径!I190),"",原始输入与口径!I190)</f>
        <v>2026-08-02_82</v>
      </c>
      <c r="AV190" s="12">
        <f>IF(ISBLANK(原始输入与口径!J190),"",原始输入与口径!J190)</f>
        <v>15</v>
      </c>
      <c r="AW190" s="12" t="str">
        <f>IF(ISBLANK(原始输入与口径!BB190),"",原始输入与口径!BB190)</f>
        <v>OK</v>
      </c>
      <c r="AX190" s="12">
        <f>原始输入与口径!CI190</f>
        <v>128</v>
      </c>
      <c r="AY190" s="12">
        <f>原始输入与口径!BS190</f>
        <v>175</v>
      </c>
      <c r="AZ190" s="12">
        <f>原始输入与口径!BI190</f>
        <v>175</v>
      </c>
      <c r="BA190" s="12">
        <f>原始输入与口径!CM190</f>
        <v>40</v>
      </c>
      <c r="BB190" s="12">
        <f>原始输入与口径!BV190</f>
        <v>24</v>
      </c>
      <c r="BC190" s="12">
        <f>原始输入与口径!BL190</f>
        <v>24</v>
      </c>
      <c r="BD190" s="14">
        <f>46235</f>
        <v>46235</v>
      </c>
      <c r="BE190" s="1" t="str">
        <f t="shared" si="61"/>
        <v>36.000000 MW × 217.540000 × 0.250000 h = 1957.860000 EUR</v>
      </c>
      <c r="BF190" s="1" t="str">
        <f t="shared" si="62"/>
        <v>40.000000 MW × 60.030873 × 0.250000 h = 600.308730 EUR</v>
      </c>
      <c r="BG190" s="1" t="str">
        <f t="shared" si="63"/>
        <v>24.000000 MW × 7.024565 × 0.250000 h = 42.147390 EUR</v>
      </c>
      <c r="BH190" s="1" t="str">
        <f t="shared" si="64"/>
        <v>24.000000 MW × 2.850990 × 0.250000 h = 17.105940 EUR</v>
      </c>
      <c r="BI190" s="1" t="str">
        <f t="shared" si="65"/>
        <v>1.528320 MWh × 228.689040 = 349.510034 EUR</v>
      </c>
      <c r="BJ190" s="1" t="str">
        <f t="shared" si="66"/>
        <v>零下调激活电量</v>
      </c>
      <c r="BK190" s="1" t="str">
        <f t="shared" si="67"/>
        <v>1957.860000 + 600.308730 + 42.147390 + 17.105940 + 349.510034 + 0.000000 = 2966.932094 EUR</v>
      </c>
    </row>
    <row r="191" spans="1:63" ht="21" customHeight="1" x14ac:dyDescent="0.45">
      <c r="A191" s="13">
        <f>原始输入与口径!C191</f>
        <v>46236.895833333336</v>
      </c>
      <c r="B191" s="15">
        <f>IF(ISNUMBER(原始输入与口径!H191),原始输入与口径!H191,"缺失")</f>
        <v>208.75</v>
      </c>
      <c r="C191" s="15">
        <f>IF(ISNUMBER(原始输入与口径!R191),原始输入与口径!R191,"缺失")</f>
        <v>60.030873020410496</v>
      </c>
      <c r="D191" s="15">
        <f>IF(ISNUMBER(原始输入与口径!W191),原始输入与口径!W191,"缺失")</f>
        <v>7.0245650143883518</v>
      </c>
      <c r="E191" s="15">
        <f>IF(ISNUMBER(原始输入与口径!AB191),原始输入与口径!AB191,"缺失")</f>
        <v>2.850990032969337</v>
      </c>
      <c r="F191" s="15">
        <f>IF(ISNUMBER(原始输入与口径!AG191),原始输入与口径!AG191,"缺失")</f>
        <v>219.41932041240256</v>
      </c>
      <c r="G191" s="15">
        <f>IF(ISNUMBER(原始输入与口径!AJ191),原始输入与口径!AJ191,"缺失")</f>
        <v>80.041164027213995</v>
      </c>
      <c r="H191" s="15" t="str">
        <f t="shared" si="46"/>
        <v>未模拟</v>
      </c>
      <c r="I191" s="16">
        <f>原始输入与口径!CD191</f>
        <v>61.188968944099301</v>
      </c>
      <c r="J191" s="16">
        <f>原始输入与口径!CE191</f>
        <v>50.891478260869491</v>
      </c>
      <c r="K191" s="16">
        <f>原始输入与口径!BZ191</f>
        <v>36</v>
      </c>
      <c r="L191" s="16">
        <f>原始输入与口径!CK191</f>
        <v>40</v>
      </c>
      <c r="M191" s="16">
        <f>原始输入与口径!BT191</f>
        <v>24</v>
      </c>
      <c r="N191" s="16">
        <f>原始输入与口径!BJ191</f>
        <v>24</v>
      </c>
      <c r="O191" s="16">
        <f t="shared" si="47"/>
        <v>0.47423999999999999</v>
      </c>
      <c r="P191" s="16">
        <f t="shared" si="48"/>
        <v>5.4857142857142865E-4</v>
      </c>
      <c r="Q191" s="17">
        <f t="shared" si="49"/>
        <v>1878.75</v>
      </c>
      <c r="R191" s="17">
        <f t="shared" si="50"/>
        <v>600.3087302041049</v>
      </c>
      <c r="S191" s="17">
        <f t="shared" si="51"/>
        <v>42.147390086330113</v>
      </c>
      <c r="T191" s="17">
        <f t="shared" si="52"/>
        <v>17.105940197816022</v>
      </c>
      <c r="U191" s="17">
        <f t="shared" si="53"/>
        <v>104.05741851237779</v>
      </c>
      <c r="V191" s="17">
        <f t="shared" si="54"/>
        <v>-4.3908295694928823E-2</v>
      </c>
      <c r="W191" s="17">
        <f t="shared" si="55"/>
        <v>2642.3255707049339</v>
      </c>
      <c r="X191" s="12">
        <f>原始输入与口径!CP191</f>
        <v>2642.3255707049339</v>
      </c>
      <c r="Y191" s="19">
        <f t="shared" si="56"/>
        <v>0</v>
      </c>
      <c r="Z191" s="12" t="str">
        <f t="shared" si="68"/>
        <v>次日冻结计划复原</v>
      </c>
      <c r="AA191" s="12">
        <f>IF(原始输入与口径!AW191,1,0)</f>
        <v>1</v>
      </c>
      <c r="AB191" s="12">
        <f>IF(原始输入与口径!AY191,1,0)</f>
        <v>1</v>
      </c>
      <c r="AC191" s="12">
        <f>原始输入与口径!$F$5</f>
        <v>0.25</v>
      </c>
      <c r="AD191" s="18">
        <f>原始输入与口径!CG191</f>
        <v>0.3125</v>
      </c>
      <c r="AE191" s="18">
        <f>原始输入与口径!BQ191</f>
        <v>0.13714285714285715</v>
      </c>
      <c r="AF191" s="18">
        <f t="shared" si="58"/>
        <v>7.9039999999999999E-2</v>
      </c>
      <c r="AG191" s="18">
        <f t="shared" si="59"/>
        <v>9.1428571428571432E-5</v>
      </c>
      <c r="AH191" s="12">
        <f>IF(ISNUMBER(原始输入与口径!T191),原始输入与口径!T191,"缺失")</f>
        <v>175</v>
      </c>
      <c r="AI191" s="12">
        <f>IF(ISNUMBER(原始输入与口径!Y191),原始输入与口径!Y191,"缺失")</f>
        <v>175</v>
      </c>
      <c r="AJ191" s="12">
        <f>IF(ISNUMBER(原始输入与口径!AI191),原始输入与口径!AI191,"缺失")</f>
        <v>3.4580000000000002</v>
      </c>
      <c r="AK191" s="12">
        <f>IF(ISNUMBER(原始输入与口径!AL191),原始输入与口径!AL191,"缺失")</f>
        <v>4.0000000000000001E-3</v>
      </c>
      <c r="AL191" s="12">
        <f>IF(ISNUMBER(原始输入与口径!O191),原始输入与口径!O191,"缺失")</f>
        <v>91.903999999999996</v>
      </c>
      <c r="AM191" s="12">
        <f>SUMIFS(相位SOC复算!$N$9:$N$929,相位SOC复算!$S$9:$S$929,183)</f>
        <v>2.8604140786749485E-2</v>
      </c>
      <c r="AN191" s="12">
        <f>SUMIFS(相位SOC复算!$Q$9:$Q$929,相位SOC复算!$S$9:$S$929,183)</f>
        <v>0</v>
      </c>
      <c r="AO191" s="12">
        <f>SUMIFS(相位SOC复算!$R$9:$R$929,相位SOC复算!$S$9:$S$929,183)</f>
        <v>9.4736914285714295</v>
      </c>
      <c r="AP191" s="12">
        <f>相位SOC复算!J450</f>
        <v>50.891478260869519</v>
      </c>
      <c r="AQ191" s="19">
        <f t="shared" si="60"/>
        <v>0</v>
      </c>
      <c r="AR191" s="12">
        <f>IF(ISBLANK(原始输入与口径!M191),"",原始输入与口径!M191)</f>
        <v>5.2473000000000001</v>
      </c>
      <c r="AS191" s="14">
        <f>IF(ISBLANK(原始输入与口径!L191),"",原始输入与口径!L191)</f>
        <v>46234</v>
      </c>
      <c r="AT191" s="13">
        <f>IF(ISBLANK(原始输入与口径!A191),"",原始输入与口径!A191)</f>
        <v>46236.770833333336</v>
      </c>
      <c r="AU191" s="12" t="str">
        <f>IF(ISBLANK(原始输入与口径!I191),"",原始输入与口径!I191)</f>
        <v>2026-08-02_83</v>
      </c>
      <c r="AV191" s="12">
        <f>IF(ISBLANK(原始输入与口径!J191),"",原始输入与口径!J191)</f>
        <v>15</v>
      </c>
      <c r="AW191" s="12" t="str">
        <f>IF(ISBLANK(原始输入与口径!BB191),"",原始输入与口径!BB191)</f>
        <v>OK</v>
      </c>
      <c r="AX191" s="12">
        <f>原始输入与口径!CI191</f>
        <v>128</v>
      </c>
      <c r="AY191" s="12">
        <f>原始输入与口径!BS191</f>
        <v>175</v>
      </c>
      <c r="AZ191" s="12">
        <f>原始输入与口径!BI191</f>
        <v>175</v>
      </c>
      <c r="BA191" s="12">
        <f>原始输入与口径!CM191</f>
        <v>40</v>
      </c>
      <c r="BB191" s="12">
        <f>原始输入与口径!BV191</f>
        <v>24</v>
      </c>
      <c r="BC191" s="12">
        <f>原始输入与口径!BL191</f>
        <v>24</v>
      </c>
      <c r="BD191" s="14">
        <f>46235</f>
        <v>46235</v>
      </c>
      <c r="BE191" s="1" t="str">
        <f t="shared" si="61"/>
        <v>36.000000 MW × 208.750000 × 0.250000 h = 1878.750000 EUR</v>
      </c>
      <c r="BF191" s="1" t="str">
        <f t="shared" si="62"/>
        <v>40.000000 MW × 60.030873 × 0.250000 h = 600.308730 EUR</v>
      </c>
      <c r="BG191" s="1" t="str">
        <f t="shared" si="63"/>
        <v>24.000000 MW × 7.024565 × 0.250000 h = 42.147390 EUR</v>
      </c>
      <c r="BH191" s="1" t="str">
        <f t="shared" si="64"/>
        <v>24.000000 MW × 2.850990 × 0.250000 h = 17.105940 EUR</v>
      </c>
      <c r="BI191" s="1" t="str">
        <f t="shared" si="65"/>
        <v>0.474240 MWh × 219.419320 = 104.057419 EUR</v>
      </c>
      <c r="BJ191" s="1" t="str">
        <f t="shared" si="66"/>
        <v>−(0.000549 MWh × 80.041164) = -0.043908 EUR</v>
      </c>
      <c r="BK191" s="1" t="str">
        <f t="shared" si="67"/>
        <v>1878.750000 + 600.308730 + 42.147390 + 17.105940 + 104.057419 + -0.043908 = 2642.325571 EUR</v>
      </c>
    </row>
    <row r="192" spans="1:63" ht="21" customHeight="1" x14ac:dyDescent="0.45">
      <c r="A192" s="13">
        <f>原始输入与口径!C192</f>
        <v>46236.90625</v>
      </c>
      <c r="B192" s="15">
        <f>IF(ISNUMBER(原始输入与口径!H192),原始输入与口径!H192,"缺失")</f>
        <v>197.01</v>
      </c>
      <c r="C192" s="15">
        <f>IF(ISNUMBER(原始输入与口径!R192),原始输入与口径!R192,"缺失")</f>
        <v>60.030873020410496</v>
      </c>
      <c r="D192" s="15">
        <f>IF(ISNUMBER(原始输入与口径!W192),原始输入与口径!W192,"缺失")</f>
        <v>7.0245650143883518</v>
      </c>
      <c r="E192" s="15">
        <f>IF(ISNUMBER(原始输入与口径!AB192),原始输入与口径!AB192,"缺失")</f>
        <v>2.850990032969337</v>
      </c>
      <c r="F192" s="15">
        <f>IF(ISNUMBER(原始输入与口径!AG192),原始输入与口径!AG192,"缺失")</f>
        <v>184.64696129437996</v>
      </c>
      <c r="G192" s="15">
        <f>IF(ISNUMBER(原始输入与口径!AJ192),原始输入与口径!AJ192,"缺失")</f>
        <v>72.255445657766856</v>
      </c>
      <c r="H192" s="15" t="str">
        <f t="shared" si="46"/>
        <v>未模拟</v>
      </c>
      <c r="I192" s="16">
        <f>原始输入与口径!CD192</f>
        <v>50.891478260869491</v>
      </c>
      <c r="J192" s="16">
        <f>原始输入与口径!CE192</f>
        <v>51.127647324223531</v>
      </c>
      <c r="K192" s="16">
        <f>原始输入与口径!BZ192</f>
        <v>0</v>
      </c>
      <c r="L192" s="16">
        <f>原始输入与口径!CK192</f>
        <v>40</v>
      </c>
      <c r="M192" s="16">
        <f>原始输入与口径!BT192</f>
        <v>24</v>
      </c>
      <c r="N192" s="16">
        <f>原始输入与口径!BJ192</f>
        <v>24</v>
      </c>
      <c r="O192" s="16">
        <f t="shared" si="47"/>
        <v>6.9668571428571427E-2</v>
      </c>
      <c r="P192" s="16">
        <f t="shared" si="48"/>
        <v>0.33901714285714285</v>
      </c>
      <c r="Q192" s="17">
        <f t="shared" si="49"/>
        <v>0</v>
      </c>
      <c r="R192" s="17">
        <f t="shared" si="50"/>
        <v>600.3087302041049</v>
      </c>
      <c r="S192" s="17">
        <f t="shared" si="51"/>
        <v>42.147390086330113</v>
      </c>
      <c r="T192" s="17">
        <f t="shared" si="52"/>
        <v>17.105940197816022</v>
      </c>
      <c r="U192" s="17">
        <f t="shared" si="53"/>
        <v>12.864090012006175</v>
      </c>
      <c r="V192" s="17">
        <f t="shared" si="54"/>
        <v>-24.49583474276567</v>
      </c>
      <c r="W192" s="17">
        <f t="shared" si="55"/>
        <v>647.9303157574916</v>
      </c>
      <c r="X192" s="12">
        <f>原始输入与口径!CP192</f>
        <v>647.9303157574916</v>
      </c>
      <c r="Y192" s="19">
        <f t="shared" si="56"/>
        <v>0</v>
      </c>
      <c r="Z192" s="12" t="str">
        <f t="shared" si="68"/>
        <v>次日冻结计划复原</v>
      </c>
      <c r="AA192" s="12">
        <f>IF(原始输入与口径!AW192,1,0)</f>
        <v>1</v>
      </c>
      <c r="AB192" s="12">
        <f>IF(原始输入与口径!AY192,1,0)</f>
        <v>1</v>
      </c>
      <c r="AC192" s="12">
        <f>原始输入与口径!$F$5</f>
        <v>0.25</v>
      </c>
      <c r="AD192" s="18">
        <f>原始输入与口径!CG192</f>
        <v>0.3125</v>
      </c>
      <c r="AE192" s="18">
        <f>原始输入与口径!BQ192</f>
        <v>0.13714285714285715</v>
      </c>
      <c r="AF192" s="18">
        <f t="shared" si="58"/>
        <v>1.1611428571428571E-2</v>
      </c>
      <c r="AG192" s="18">
        <f t="shared" si="59"/>
        <v>5.6502857142857139E-2</v>
      </c>
      <c r="AH192" s="12">
        <f>IF(ISNUMBER(原始输入与口径!T192),原始输入与口径!T192,"缺失")</f>
        <v>175</v>
      </c>
      <c r="AI192" s="12">
        <f>IF(ISNUMBER(原始输入与口径!Y192),原始输入与口径!Y192,"缺失")</f>
        <v>175</v>
      </c>
      <c r="AJ192" s="12">
        <f>IF(ISNUMBER(原始输入与口径!AI192),原始输入与口径!AI192,"缺失")</f>
        <v>0.50800000000000001</v>
      </c>
      <c r="AK192" s="12">
        <f>IF(ISNUMBER(原始输入与口径!AL192),原始输入与口径!AL192,"缺失")</f>
        <v>2.472</v>
      </c>
      <c r="AL192" s="12">
        <f>IF(ISNUMBER(原始输入与口径!O192),原始输入与口径!O192,"缺失")</f>
        <v>91.903999999999996</v>
      </c>
      <c r="AM192" s="12">
        <f>SUMIFS(相位SOC复算!$N$9:$N$929,相位SOC复算!$S$9:$S$929,184)</f>
        <v>1.0767291097308488E-3</v>
      </c>
      <c r="AN192" s="12">
        <f>SUMIFS(相位SOC复算!$Q$9:$Q$929,相位SOC复算!$S$9:$S$929,184)</f>
        <v>0.33901714285714285</v>
      </c>
      <c r="AO192" s="12">
        <f>SUMIFS(相位SOC复算!$R$9:$R$929,相位SOC复算!$S$9:$S$929,184)</f>
        <v>6.9668571428571427E-2</v>
      </c>
      <c r="AP192" s="12">
        <f>相位SOC复算!J453</f>
        <v>51.12764732422356</v>
      </c>
      <c r="AQ192" s="19">
        <f t="shared" si="60"/>
        <v>0</v>
      </c>
      <c r="AR192" s="12">
        <f>IF(ISBLANK(原始输入与口径!M192),"",原始输入与口径!M192)</f>
        <v>5.2473000000000001</v>
      </c>
      <c r="AS192" s="14">
        <f>IF(ISBLANK(原始输入与口径!L192),"",原始输入与口径!L192)</f>
        <v>46234</v>
      </c>
      <c r="AT192" s="13">
        <f>IF(ISBLANK(原始输入与口径!A192),"",原始输入与口径!A192)</f>
        <v>46236.78125</v>
      </c>
      <c r="AU192" s="12" t="str">
        <f>IF(ISBLANK(原始输入与口径!I192),"",原始输入与口径!I192)</f>
        <v>2026-08-02_84</v>
      </c>
      <c r="AV192" s="12">
        <f>IF(ISBLANK(原始输入与口径!J192),"",原始输入与口径!J192)</f>
        <v>15</v>
      </c>
      <c r="AW192" s="12" t="str">
        <f>IF(ISBLANK(原始输入与口径!BB192),"",原始输入与口径!BB192)</f>
        <v>OK</v>
      </c>
      <c r="AX192" s="12">
        <f>原始输入与口径!CI192</f>
        <v>128</v>
      </c>
      <c r="AY192" s="12">
        <f>原始输入与口径!BS192</f>
        <v>175</v>
      </c>
      <c r="AZ192" s="12">
        <f>原始输入与口径!BI192</f>
        <v>175</v>
      </c>
      <c r="BA192" s="12">
        <f>原始输入与口径!CM192</f>
        <v>40</v>
      </c>
      <c r="BB192" s="12">
        <f>原始输入与口径!BV192</f>
        <v>24</v>
      </c>
      <c r="BC192" s="12">
        <f>原始输入与口径!BL192</f>
        <v>24</v>
      </c>
      <c r="BD192" s="14">
        <f>46235</f>
        <v>46235</v>
      </c>
      <c r="BE192" s="1" t="str">
        <f t="shared" si="61"/>
        <v>零头寸，无结算现金</v>
      </c>
      <c r="BF192" s="1" t="str">
        <f t="shared" si="62"/>
        <v>40.000000 MW × 60.030873 × 0.250000 h = 600.308730 EUR</v>
      </c>
      <c r="BG192" s="1" t="str">
        <f t="shared" si="63"/>
        <v>24.000000 MW × 7.024565 × 0.250000 h = 42.147390 EUR</v>
      </c>
      <c r="BH192" s="1" t="str">
        <f t="shared" si="64"/>
        <v>24.000000 MW × 2.850990 × 0.250000 h = 17.105940 EUR</v>
      </c>
      <c r="BI192" s="1" t="str">
        <f t="shared" si="65"/>
        <v>0.069669 MWh × 184.646961 = 12.864090 EUR</v>
      </c>
      <c r="BJ192" s="1" t="str">
        <f t="shared" si="66"/>
        <v>−(0.339017 MWh × 72.255446) = -24.495835 EUR</v>
      </c>
      <c r="BK192" s="1" t="str">
        <f t="shared" si="67"/>
        <v>0.000000 + 600.308730 + 42.147390 + 17.105940 + 12.864090 + -24.495835 = 647.930316 EUR</v>
      </c>
    </row>
    <row r="193" spans="1:63" ht="21" customHeight="1" x14ac:dyDescent="0.45">
      <c r="A193" s="13">
        <f>原始输入与口径!C193</f>
        <v>46236.916666666664</v>
      </c>
      <c r="B193" s="15">
        <f>IF(ISNUMBER(原始输入与口径!H193),原始输入与口径!H193,"缺失")</f>
        <v>201.42</v>
      </c>
      <c r="C193" s="15">
        <f>IF(ISNUMBER(原始输入与口径!R193),原始输入与口径!R193,"缺失")</f>
        <v>66.224534522516336</v>
      </c>
      <c r="D193" s="15">
        <f>IF(ISNUMBER(原始输入与口径!W193),原始输入与口径!W193,"缺失")</f>
        <v>3.9143940693308936</v>
      </c>
      <c r="E193" s="15">
        <f>IF(ISNUMBER(原始输入与口径!AB193),原始输入与口径!AB193,"缺失")</f>
        <v>2.5937148628818627</v>
      </c>
      <c r="F193" s="15">
        <f>IF(ISNUMBER(原始输入与口径!AG193),原始输入与口径!AG193,"缺失")</f>
        <v>169.02330722466795</v>
      </c>
      <c r="G193" s="15">
        <f>IF(ISNUMBER(原始输入与口径!AJ193),原始输入与口径!AJ193,"缺失")</f>
        <v>76.420254225982887</v>
      </c>
      <c r="H193" s="15" t="str">
        <f t="shared" si="46"/>
        <v>未模拟</v>
      </c>
      <c r="I193" s="16">
        <f>原始输入与口径!CD193</f>
        <v>51.127647324223531</v>
      </c>
      <c r="J193" s="16">
        <f>原始输入与口径!CE193</f>
        <v>51.309228760248374</v>
      </c>
      <c r="K193" s="16">
        <f>原始输入与口径!BZ193</f>
        <v>0</v>
      </c>
      <c r="L193" s="16">
        <f>原始输入与口径!CK193</f>
        <v>40</v>
      </c>
      <c r="M193" s="16">
        <f>原始输入与口径!BT193</f>
        <v>24</v>
      </c>
      <c r="N193" s="16">
        <f>原始输入与口径!BJ193</f>
        <v>24</v>
      </c>
      <c r="O193" s="16">
        <f t="shared" si="47"/>
        <v>2.9348571428571432E-2</v>
      </c>
      <c r="P193" s="16">
        <f t="shared" si="48"/>
        <v>0.23204571428571424</v>
      </c>
      <c r="Q193" s="17">
        <f t="shared" si="49"/>
        <v>0</v>
      </c>
      <c r="R193" s="17">
        <f t="shared" si="50"/>
        <v>662.24534522516342</v>
      </c>
      <c r="S193" s="17">
        <f t="shared" si="51"/>
        <v>23.486364415985364</v>
      </c>
      <c r="T193" s="17">
        <f t="shared" si="52"/>
        <v>15.562289177291177</v>
      </c>
      <c r="U193" s="17">
        <f t="shared" si="53"/>
        <v>4.960592605176541</v>
      </c>
      <c r="V193" s="17">
        <f t="shared" si="54"/>
        <v>-17.732992477764071</v>
      </c>
      <c r="W193" s="17">
        <f t="shared" si="55"/>
        <v>688.52159894585247</v>
      </c>
      <c r="X193" s="12">
        <f>原始输入与口径!CP193</f>
        <v>688.52159894585247</v>
      </c>
      <c r="Y193" s="19">
        <f t="shared" si="56"/>
        <v>0</v>
      </c>
      <c r="Z193" s="12" t="str">
        <f t="shared" si="68"/>
        <v>次日冻结计划复原</v>
      </c>
      <c r="AA193" s="12">
        <f>IF(原始输入与口径!AW193,1,0)</f>
        <v>1</v>
      </c>
      <c r="AB193" s="12">
        <f>IF(原始输入与口径!AY193,1,0)</f>
        <v>1</v>
      </c>
      <c r="AC193" s="12">
        <f>原始输入与口径!$F$5</f>
        <v>0.25</v>
      </c>
      <c r="AD193" s="18">
        <f>原始输入与口径!CG193</f>
        <v>0.3125</v>
      </c>
      <c r="AE193" s="18">
        <f>原始输入与口径!BQ193</f>
        <v>0.13714285714285715</v>
      </c>
      <c r="AF193" s="18">
        <f t="shared" si="58"/>
        <v>4.8914285714285717E-3</v>
      </c>
      <c r="AG193" s="18">
        <f t="shared" si="59"/>
        <v>3.867428571428571E-2</v>
      </c>
      <c r="AH193" s="12">
        <f>IF(ISNUMBER(原始输入与口径!T193),原始输入与口径!T193,"缺失")</f>
        <v>175</v>
      </c>
      <c r="AI193" s="12">
        <f>IF(ISNUMBER(原始输入与口径!Y193),原始输入与口径!Y193,"缺失")</f>
        <v>175</v>
      </c>
      <c r="AJ193" s="12">
        <f>IF(ISNUMBER(原始输入与口径!AI193),原始输入与口径!AI193,"缺失")</f>
        <v>0.214</v>
      </c>
      <c r="AK193" s="12">
        <f>IF(ISNUMBER(原始输入与口径!AL193),原始输入与口径!AL193,"缺失")</f>
        <v>1.6919999999999999</v>
      </c>
      <c r="AL193" s="12">
        <f>IF(ISNUMBER(原始输入与口径!O193),原始输入与口径!O193,"缺失")</f>
        <v>131.96799999999999</v>
      </c>
      <c r="AM193" s="12">
        <f>SUMIFS(相位SOC复算!$N$9:$N$929,相位SOC复算!$S$9:$S$929,185)</f>
        <v>6.8161855072463771E-4</v>
      </c>
      <c r="AN193" s="12">
        <f>SUMIFS(相位SOC复算!$Q$9:$Q$929,相位SOC复算!$S$9:$S$929,185)</f>
        <v>0.23204571428571424</v>
      </c>
      <c r="AO193" s="12">
        <f>SUMIFS(相位SOC复算!$R$9:$R$929,相位SOC复算!$S$9:$S$929,185)</f>
        <v>2.9348571428571432E-2</v>
      </c>
      <c r="AP193" s="12">
        <f>相位SOC复算!J456</f>
        <v>51.309228760248402</v>
      </c>
      <c r="AQ193" s="19">
        <f t="shared" si="60"/>
        <v>0</v>
      </c>
      <c r="AR193" s="12">
        <f>IF(ISBLANK(原始输入与口径!M193),"",原始输入与口径!M193)</f>
        <v>5.2473000000000001</v>
      </c>
      <c r="AS193" s="14">
        <f>IF(ISBLANK(原始输入与口径!L193),"",原始输入与口径!L193)</f>
        <v>46234</v>
      </c>
      <c r="AT193" s="13">
        <f>IF(ISBLANK(原始输入与口径!A193),"",原始输入与口径!A193)</f>
        <v>46236.791666666664</v>
      </c>
      <c r="AU193" s="12" t="str">
        <f>IF(ISBLANK(原始输入与口径!I193),"",原始输入与口径!I193)</f>
        <v>2026-08-02_85</v>
      </c>
      <c r="AV193" s="12">
        <f>IF(ISBLANK(原始输入与口径!J193),"",原始输入与口径!J193)</f>
        <v>15</v>
      </c>
      <c r="AW193" s="12" t="str">
        <f>IF(ISBLANK(原始输入与口径!BB193),"",原始输入与口径!BB193)</f>
        <v>OK</v>
      </c>
      <c r="AX193" s="12">
        <f>原始输入与口径!CI193</f>
        <v>128</v>
      </c>
      <c r="AY193" s="12">
        <f>原始输入与口径!BS193</f>
        <v>175</v>
      </c>
      <c r="AZ193" s="12">
        <f>原始输入与口径!BI193</f>
        <v>175</v>
      </c>
      <c r="BA193" s="12">
        <f>原始输入与口径!CM193</f>
        <v>40</v>
      </c>
      <c r="BB193" s="12">
        <f>原始输入与口径!BV193</f>
        <v>24</v>
      </c>
      <c r="BC193" s="12">
        <f>原始输入与口径!BL193</f>
        <v>24</v>
      </c>
      <c r="BD193" s="14">
        <f>46235</f>
        <v>46235</v>
      </c>
      <c r="BE193" s="1" t="str">
        <f t="shared" si="61"/>
        <v>零头寸，无结算现金</v>
      </c>
      <c r="BF193" s="1" t="str">
        <f t="shared" si="62"/>
        <v>40.000000 MW × 66.224535 × 0.250000 h = 662.245345 EUR</v>
      </c>
      <c r="BG193" s="1" t="str">
        <f t="shared" si="63"/>
        <v>24.000000 MW × 3.914394 × 0.250000 h = 23.486364 EUR</v>
      </c>
      <c r="BH193" s="1" t="str">
        <f t="shared" si="64"/>
        <v>24.000000 MW × 2.593715 × 0.250000 h = 15.562289 EUR</v>
      </c>
      <c r="BI193" s="1" t="str">
        <f t="shared" si="65"/>
        <v>0.029349 MWh × 169.023307 = 4.960593 EUR</v>
      </c>
      <c r="BJ193" s="1" t="str">
        <f t="shared" si="66"/>
        <v>−(0.232046 MWh × 76.420254) = -17.732992 EUR</v>
      </c>
      <c r="BK193" s="1" t="str">
        <f t="shared" si="67"/>
        <v>0.000000 + 662.245345 + 23.486364 + 15.562289 + 4.960593 + -17.732992 = 688.521599 EUR</v>
      </c>
    </row>
    <row r="194" spans="1:63" ht="21" customHeight="1" x14ac:dyDescent="0.45">
      <c r="A194" s="13">
        <f>原始输入与口径!C194</f>
        <v>46236.927083333336</v>
      </c>
      <c r="B194" s="15">
        <f>IF(ISNUMBER(原始输入与口径!H194),原始输入与口径!H194,"缺失")</f>
        <v>204.65</v>
      </c>
      <c r="C194" s="15">
        <f>IF(ISNUMBER(原始输入与口径!R194),原始输入与口径!R194,"缺失")</f>
        <v>66.224534522516336</v>
      </c>
      <c r="D194" s="15">
        <f>IF(ISNUMBER(原始输入与口径!W194),原始输入与口径!W194,"缺失")</f>
        <v>3.9143940693308936</v>
      </c>
      <c r="E194" s="15">
        <f>IF(ISNUMBER(原始输入与口径!AB194),原始输入与口径!AB194,"缺失")</f>
        <v>2.5937148628818627</v>
      </c>
      <c r="F194" s="15">
        <f>IF(ISNUMBER(原始输入与口径!AG194),原始输入与口径!AG194,"缺失")</f>
        <v>152.45936005183617</v>
      </c>
      <c r="G194" s="15">
        <f>IF(ISNUMBER(原始输入与口径!AJ194),原始输入与口径!AJ194,"缺失")</f>
        <v>72.481085510643567</v>
      </c>
      <c r="H194" s="15" t="str">
        <f t="shared" si="46"/>
        <v>未模拟</v>
      </c>
      <c r="I194" s="16">
        <f>原始输入与口径!CD194</f>
        <v>51.309228760248374</v>
      </c>
      <c r="J194" s="16">
        <f>原始输入与口径!CE194</f>
        <v>51.723129480745271</v>
      </c>
      <c r="K194" s="16">
        <f>原始输入与口径!BZ194</f>
        <v>0</v>
      </c>
      <c r="L194" s="16">
        <f>原始输入与口径!CK194</f>
        <v>40</v>
      </c>
      <c r="M194" s="16">
        <f>原始输入与口径!BT194</f>
        <v>24</v>
      </c>
      <c r="N194" s="16">
        <f>原始输入与口径!BJ194</f>
        <v>24</v>
      </c>
      <c r="O194" s="16">
        <f t="shared" si="47"/>
        <v>3.4285714285714288E-3</v>
      </c>
      <c r="P194" s="16">
        <f t="shared" si="48"/>
        <v>0.45394285714285709</v>
      </c>
      <c r="Q194" s="17">
        <f t="shared" si="49"/>
        <v>0</v>
      </c>
      <c r="R194" s="17">
        <f t="shared" si="50"/>
        <v>662.24534522516342</v>
      </c>
      <c r="S194" s="17">
        <f t="shared" si="51"/>
        <v>23.486364415985364</v>
      </c>
      <c r="T194" s="17">
        <f t="shared" si="52"/>
        <v>15.562289177291177</v>
      </c>
      <c r="U194" s="17">
        <f t="shared" si="53"/>
        <v>0.52271780589200978</v>
      </c>
      <c r="V194" s="17">
        <f t="shared" si="54"/>
        <v>-32.902271045517281</v>
      </c>
      <c r="W194" s="17">
        <f t="shared" si="55"/>
        <v>668.91444557881471</v>
      </c>
      <c r="X194" s="12">
        <f>原始输入与口径!CP194</f>
        <v>668.91444557881471</v>
      </c>
      <c r="Y194" s="19">
        <f t="shared" si="56"/>
        <v>0</v>
      </c>
      <c r="Z194" s="12" t="str">
        <f t="shared" si="68"/>
        <v>次日冻结计划复原</v>
      </c>
      <c r="AA194" s="12">
        <f>IF(原始输入与口径!AW194,1,0)</f>
        <v>1</v>
      </c>
      <c r="AB194" s="12">
        <f>IF(原始输入与口径!AY194,1,0)</f>
        <v>1</v>
      </c>
      <c r="AC194" s="12">
        <f>原始输入与口径!$F$5</f>
        <v>0.25</v>
      </c>
      <c r="AD194" s="18">
        <f>原始输入与口径!CG194</f>
        <v>0.3125</v>
      </c>
      <c r="AE194" s="18">
        <f>原始输入与口径!BQ194</f>
        <v>0.13714285714285715</v>
      </c>
      <c r="AF194" s="18">
        <f t="shared" si="58"/>
        <v>5.7142857142857147E-4</v>
      </c>
      <c r="AG194" s="18">
        <f t="shared" si="59"/>
        <v>7.5657142857142853E-2</v>
      </c>
      <c r="AH194" s="12">
        <f>IF(ISNUMBER(原始输入与口径!T194),原始输入与口径!T194,"缺失")</f>
        <v>175</v>
      </c>
      <c r="AI194" s="12">
        <f>IF(ISNUMBER(原始输入与口径!Y194),原始输入与口径!Y194,"缺失")</f>
        <v>175</v>
      </c>
      <c r="AJ194" s="12">
        <f>IF(ISNUMBER(原始输入与口径!AI194),原始输入与口径!AI194,"缺失")</f>
        <v>2.5000000000000001E-2</v>
      </c>
      <c r="AK194" s="12">
        <f>IF(ISNUMBER(原始输入与口径!AL194),原始输入与口径!AL194,"缺失")</f>
        <v>3.31</v>
      </c>
      <c r="AL194" s="12">
        <f>IF(ISNUMBER(原始输入与口径!O194),原始输入与口径!O194,"缺失")</f>
        <v>131.96799999999999</v>
      </c>
      <c r="AM194" s="12">
        <f>SUMIFS(相位SOC复算!$N$9:$N$929,相位SOC复算!$S$9:$S$929,186)</f>
        <v>1.1704281573498964E-3</v>
      </c>
      <c r="AN194" s="12">
        <f>SUMIFS(相位SOC复算!$Q$9:$Q$929,相位SOC复算!$S$9:$S$929,186)</f>
        <v>0.45394285714285709</v>
      </c>
      <c r="AO194" s="12">
        <f>SUMIFS(相位SOC复算!$R$9:$R$929,相位SOC复算!$S$9:$S$929,186)</f>
        <v>3.4285714285714288E-3</v>
      </c>
      <c r="AP194" s="12">
        <f>相位SOC复算!J459</f>
        <v>51.7231294807453</v>
      </c>
      <c r="AQ194" s="19">
        <f t="shared" si="60"/>
        <v>0</v>
      </c>
      <c r="AR194" s="12">
        <f>IF(ISBLANK(原始输入与口径!M194),"",原始输入与口径!M194)</f>
        <v>5.2473000000000001</v>
      </c>
      <c r="AS194" s="14">
        <f>IF(ISBLANK(原始输入与口径!L194),"",原始输入与口径!L194)</f>
        <v>46234</v>
      </c>
      <c r="AT194" s="13">
        <f>IF(ISBLANK(原始输入与口径!A194),"",原始输入与口径!A194)</f>
        <v>46236.802083333336</v>
      </c>
      <c r="AU194" s="12" t="str">
        <f>IF(ISBLANK(原始输入与口径!I194),"",原始输入与口径!I194)</f>
        <v>2026-08-02_86</v>
      </c>
      <c r="AV194" s="12">
        <f>IF(ISBLANK(原始输入与口径!J194),"",原始输入与口径!J194)</f>
        <v>15</v>
      </c>
      <c r="AW194" s="12" t="str">
        <f>IF(ISBLANK(原始输入与口径!BB194),"",原始输入与口径!BB194)</f>
        <v>OK</v>
      </c>
      <c r="AX194" s="12">
        <f>原始输入与口径!CI194</f>
        <v>128</v>
      </c>
      <c r="AY194" s="12">
        <f>原始输入与口径!BS194</f>
        <v>175</v>
      </c>
      <c r="AZ194" s="12">
        <f>原始输入与口径!BI194</f>
        <v>175</v>
      </c>
      <c r="BA194" s="12">
        <f>原始输入与口径!CM194</f>
        <v>40</v>
      </c>
      <c r="BB194" s="12">
        <f>原始输入与口径!BV194</f>
        <v>24</v>
      </c>
      <c r="BC194" s="12">
        <f>原始输入与口径!BL194</f>
        <v>24</v>
      </c>
      <c r="BD194" s="14">
        <f>46235</f>
        <v>46235</v>
      </c>
      <c r="BE194" s="1" t="str">
        <f t="shared" si="61"/>
        <v>零头寸，无结算现金</v>
      </c>
      <c r="BF194" s="1" t="str">
        <f t="shared" si="62"/>
        <v>40.000000 MW × 66.224535 × 0.250000 h = 662.245345 EUR</v>
      </c>
      <c r="BG194" s="1" t="str">
        <f t="shared" si="63"/>
        <v>24.000000 MW × 3.914394 × 0.250000 h = 23.486364 EUR</v>
      </c>
      <c r="BH194" s="1" t="str">
        <f t="shared" si="64"/>
        <v>24.000000 MW × 2.593715 × 0.250000 h = 15.562289 EUR</v>
      </c>
      <c r="BI194" s="1" t="str">
        <f t="shared" si="65"/>
        <v>0.003429 MWh × 152.459360 = 0.522718 EUR</v>
      </c>
      <c r="BJ194" s="1" t="str">
        <f t="shared" si="66"/>
        <v>−(0.453943 MWh × 72.481086) = -32.902271 EUR</v>
      </c>
      <c r="BK194" s="1" t="str">
        <f t="shared" si="67"/>
        <v>0.000000 + 662.245345 + 23.486364 + 15.562289 + 0.522718 + -32.902271 = 668.914446 EUR</v>
      </c>
    </row>
    <row r="195" spans="1:63" ht="21" customHeight="1" x14ac:dyDescent="0.45">
      <c r="A195" s="13">
        <f>原始输入与口径!C195</f>
        <v>46236.9375</v>
      </c>
      <c r="B195" s="15">
        <f>IF(ISNUMBER(原始输入与口径!H195),原始输入与口径!H195,"缺失")</f>
        <v>206.96</v>
      </c>
      <c r="C195" s="15">
        <f>IF(ISNUMBER(原始输入与口径!R195),原始输入与口径!R195,"缺失")</f>
        <v>66.224534522516336</v>
      </c>
      <c r="D195" s="15">
        <f>IF(ISNUMBER(原始输入与口径!W195),原始输入与口径!W195,"缺失")</f>
        <v>3.9143940693308936</v>
      </c>
      <c r="E195" s="15">
        <f>IF(ISNUMBER(原始输入与口径!AB195),原始输入与口径!AB195,"缺失")</f>
        <v>2.5937148628818627</v>
      </c>
      <c r="F195" s="15">
        <f>IF(ISNUMBER(原始输入与口径!AG195),原始输入与口径!AG195,"缺失")</f>
        <v>189.78026794732529</v>
      </c>
      <c r="G195" s="15">
        <f>IF(ISNUMBER(原始输入与口径!AJ195),原始输入与口径!AJ195,"缺失")</f>
        <v>76.420254225982887</v>
      </c>
      <c r="H195" s="15" t="str">
        <f t="shared" si="46"/>
        <v>未模拟</v>
      </c>
      <c r="I195" s="16">
        <f>原始输入与口径!CD195</f>
        <v>51.723129480745271</v>
      </c>
      <c r="J195" s="16">
        <f>原始输入与口径!CE195</f>
        <v>51.633389873291854</v>
      </c>
      <c r="K195" s="16">
        <f>原始输入与口径!BZ195</f>
        <v>0</v>
      </c>
      <c r="L195" s="16">
        <f>原始输入与口径!CK195</f>
        <v>40</v>
      </c>
      <c r="M195" s="16">
        <f>原始输入与口径!BT195</f>
        <v>24</v>
      </c>
      <c r="N195" s="16">
        <f>原始输入与口径!BJ195</f>
        <v>24</v>
      </c>
      <c r="O195" s="16">
        <f t="shared" si="47"/>
        <v>0.15360000000000001</v>
      </c>
      <c r="P195" s="16">
        <f t="shared" si="48"/>
        <v>8.3931428571428573E-2</v>
      </c>
      <c r="Q195" s="17">
        <f t="shared" si="49"/>
        <v>0</v>
      </c>
      <c r="R195" s="17">
        <f t="shared" si="50"/>
        <v>662.24534522516342</v>
      </c>
      <c r="S195" s="17">
        <f t="shared" si="51"/>
        <v>23.486364415985364</v>
      </c>
      <c r="T195" s="17">
        <f t="shared" si="52"/>
        <v>15.562289177291177</v>
      </c>
      <c r="U195" s="17">
        <f t="shared" si="53"/>
        <v>29.150249156709165</v>
      </c>
      <c r="V195" s="17">
        <f t="shared" si="54"/>
        <v>-6.4140611089784949</v>
      </c>
      <c r="W195" s="17">
        <f t="shared" si="55"/>
        <v>724.03018686617065</v>
      </c>
      <c r="X195" s="12">
        <f>原始输入与口径!CP195</f>
        <v>724.03018686617065</v>
      </c>
      <c r="Y195" s="19">
        <f t="shared" si="56"/>
        <v>0</v>
      </c>
      <c r="Z195" s="12" t="str">
        <f t="shared" si="68"/>
        <v>次日冻结计划复原</v>
      </c>
      <c r="AA195" s="12">
        <f>IF(原始输入与口径!AW195,1,0)</f>
        <v>1</v>
      </c>
      <c r="AB195" s="12">
        <f>IF(原始输入与口径!AY195,1,0)</f>
        <v>1</v>
      </c>
      <c r="AC195" s="12">
        <f>原始输入与口径!$F$5</f>
        <v>0.25</v>
      </c>
      <c r="AD195" s="18">
        <f>原始输入与口径!CG195</f>
        <v>0.3125</v>
      </c>
      <c r="AE195" s="18">
        <f>原始输入与口径!BQ195</f>
        <v>0.13714285714285715</v>
      </c>
      <c r="AF195" s="18">
        <f t="shared" si="58"/>
        <v>2.5600000000000001E-2</v>
      </c>
      <c r="AG195" s="18">
        <f t="shared" si="59"/>
        <v>1.3988571428571428E-2</v>
      </c>
      <c r="AH195" s="12">
        <f>IF(ISNUMBER(原始输入与口径!T195),原始输入与口径!T195,"缺失")</f>
        <v>175</v>
      </c>
      <c r="AI195" s="12">
        <f>IF(ISNUMBER(原始输入与口径!Y195),原始输入与口径!Y195,"缺失")</f>
        <v>175</v>
      </c>
      <c r="AJ195" s="12">
        <f>IF(ISNUMBER(原始输入与口径!AI195),原始输入与口径!AI195,"缺失")</f>
        <v>1.1200000000000001</v>
      </c>
      <c r="AK195" s="12">
        <f>IF(ISNUMBER(原始输入与口径!AL195),原始输入与口径!AL195,"缺失")</f>
        <v>0.61199999999999999</v>
      </c>
      <c r="AL195" s="12">
        <f>IF(ISNUMBER(原始输入与口径!O195),原始输入与口径!O195,"缺失")</f>
        <v>131.96799999999999</v>
      </c>
      <c r="AM195" s="12">
        <f>SUMIFS(相位SOC复算!$N$9:$N$929,相位SOC复算!$S$9:$S$929,187)</f>
        <v>6.7825954451345761E-4</v>
      </c>
      <c r="AN195" s="12">
        <f>SUMIFS(相位SOC复算!$Q$9:$Q$929,相位SOC复算!$S$9:$S$929,187)</f>
        <v>8.3931428571428573E-2</v>
      </c>
      <c r="AO195" s="12">
        <f>SUMIFS(相位SOC复算!$R$9:$R$929,相位SOC复算!$S$9:$S$929,187)</f>
        <v>0.15360000000000001</v>
      </c>
      <c r="AP195" s="12">
        <f>相位SOC复算!J462</f>
        <v>51.633389873291883</v>
      </c>
      <c r="AQ195" s="19">
        <f t="shared" si="60"/>
        <v>0</v>
      </c>
      <c r="AR195" s="12">
        <f>IF(ISBLANK(原始输入与口径!M195),"",原始输入与口径!M195)</f>
        <v>5.2473000000000001</v>
      </c>
      <c r="AS195" s="14">
        <f>IF(ISBLANK(原始输入与口径!L195),"",原始输入与口径!L195)</f>
        <v>46234</v>
      </c>
      <c r="AT195" s="13">
        <f>IF(ISBLANK(原始输入与口径!A195),"",原始输入与口径!A195)</f>
        <v>46236.8125</v>
      </c>
      <c r="AU195" s="12" t="str">
        <f>IF(ISBLANK(原始输入与口径!I195),"",原始输入与口径!I195)</f>
        <v>2026-08-02_87</v>
      </c>
      <c r="AV195" s="12">
        <f>IF(ISBLANK(原始输入与口径!J195),"",原始输入与口径!J195)</f>
        <v>15</v>
      </c>
      <c r="AW195" s="12" t="str">
        <f>IF(ISBLANK(原始输入与口径!BB195),"",原始输入与口径!BB195)</f>
        <v>OK</v>
      </c>
      <c r="AX195" s="12">
        <f>原始输入与口径!CI195</f>
        <v>128</v>
      </c>
      <c r="AY195" s="12">
        <f>原始输入与口径!BS195</f>
        <v>175</v>
      </c>
      <c r="AZ195" s="12">
        <f>原始输入与口径!BI195</f>
        <v>175</v>
      </c>
      <c r="BA195" s="12">
        <f>原始输入与口径!CM195</f>
        <v>40</v>
      </c>
      <c r="BB195" s="12">
        <f>原始输入与口径!BV195</f>
        <v>24</v>
      </c>
      <c r="BC195" s="12">
        <f>原始输入与口径!BL195</f>
        <v>24</v>
      </c>
      <c r="BD195" s="14">
        <f>46235</f>
        <v>46235</v>
      </c>
      <c r="BE195" s="1" t="str">
        <f t="shared" si="61"/>
        <v>零头寸，无结算现金</v>
      </c>
      <c r="BF195" s="1" t="str">
        <f t="shared" si="62"/>
        <v>40.000000 MW × 66.224535 × 0.250000 h = 662.245345 EUR</v>
      </c>
      <c r="BG195" s="1" t="str">
        <f t="shared" si="63"/>
        <v>24.000000 MW × 3.914394 × 0.250000 h = 23.486364 EUR</v>
      </c>
      <c r="BH195" s="1" t="str">
        <f t="shared" si="64"/>
        <v>24.000000 MW × 2.593715 × 0.250000 h = 15.562289 EUR</v>
      </c>
      <c r="BI195" s="1" t="str">
        <f t="shared" si="65"/>
        <v>0.153600 MWh × 189.780268 = 29.150249 EUR</v>
      </c>
      <c r="BJ195" s="1" t="str">
        <f t="shared" si="66"/>
        <v>−(0.083931 MWh × 76.420254) = -6.414061 EUR</v>
      </c>
      <c r="BK195" s="1" t="str">
        <f t="shared" si="67"/>
        <v>0.000000 + 662.245345 + 23.486364 + 15.562289 + 29.150249 + -6.414061 = 724.030187 EUR</v>
      </c>
    </row>
    <row r="196" spans="1:63" ht="21" customHeight="1" x14ac:dyDescent="0.45">
      <c r="A196" s="13">
        <f>原始输入与口径!C196</f>
        <v>46236.947916666664</v>
      </c>
      <c r="B196" s="15">
        <f>IF(ISNUMBER(原始输入与口径!H196),原始输入与口径!H196,"缺失")</f>
        <v>208.16</v>
      </c>
      <c r="C196" s="15">
        <f>IF(ISNUMBER(原始输入与口径!R196),原始输入与口径!R196,"缺失")</f>
        <v>66.224534522516336</v>
      </c>
      <c r="D196" s="15">
        <f>IF(ISNUMBER(原始输入与口径!W196),原始输入与口径!W196,"缺失")</f>
        <v>3.9143940693308936</v>
      </c>
      <c r="E196" s="15">
        <f>IF(ISNUMBER(原始输入与口径!AB196),原始输入与口径!AB196,"缺失")</f>
        <v>2.5937148628818627</v>
      </c>
      <c r="F196" s="15">
        <f>IF(ISNUMBER(原始输入与口径!AG196),原始输入与口径!AG196,"缺失")</f>
        <v>217.5791359365769</v>
      </c>
      <c r="G196" s="15">
        <f>IF(ISNUMBER(原始输入与口径!AJ196),原始输入与口径!AJ196,"缺失")</f>
        <v>76.420254225982887</v>
      </c>
      <c r="H196" s="15" t="str">
        <f t="shared" si="46"/>
        <v>未模拟</v>
      </c>
      <c r="I196" s="16">
        <f>原始输入与口径!CD196</f>
        <v>51.633389873291854</v>
      </c>
      <c r="J196" s="16">
        <f>原始输入与口径!CE196</f>
        <v>47.104043488198684</v>
      </c>
      <c r="K196" s="16">
        <f>原始输入与口径!BZ196</f>
        <v>12.29386279910916</v>
      </c>
      <c r="L196" s="16">
        <f>原始输入与口径!CK196</f>
        <v>40</v>
      </c>
      <c r="M196" s="16">
        <f>原始输入与口径!BT196</f>
        <v>24</v>
      </c>
      <c r="N196" s="16">
        <f>原始输入与口径!BJ196</f>
        <v>24</v>
      </c>
      <c r="O196" s="16">
        <f t="shared" si="47"/>
        <v>1.1674971428571428</v>
      </c>
      <c r="P196" s="16">
        <f t="shared" si="48"/>
        <v>7.99542857142857E-2</v>
      </c>
      <c r="Q196" s="17">
        <f t="shared" si="49"/>
        <v>639.77262006564069</v>
      </c>
      <c r="R196" s="17">
        <f t="shared" si="50"/>
        <v>662.24534522516342</v>
      </c>
      <c r="S196" s="17">
        <f t="shared" si="51"/>
        <v>23.486364415985364</v>
      </c>
      <c r="T196" s="17">
        <f t="shared" si="52"/>
        <v>15.562289177291177</v>
      </c>
      <c r="U196" s="17">
        <f t="shared" si="53"/>
        <v>254.02301955127942</v>
      </c>
      <c r="V196" s="17">
        <f t="shared" si="54"/>
        <v>-6.1101268407425851</v>
      </c>
      <c r="W196" s="17">
        <f t="shared" si="55"/>
        <v>1588.9795115946176</v>
      </c>
      <c r="X196" s="12">
        <f>原始输入与口径!CP196</f>
        <v>1588.9795115946174</v>
      </c>
      <c r="Y196" s="19">
        <f t="shared" si="56"/>
        <v>0</v>
      </c>
      <c r="Z196" s="12" t="str">
        <f t="shared" si="68"/>
        <v>次日冻结计划复原</v>
      </c>
      <c r="AA196" s="12">
        <f>IF(原始输入与口径!AW196,1,0)</f>
        <v>1</v>
      </c>
      <c r="AB196" s="12">
        <f>IF(原始输入与口径!AY196,1,0)</f>
        <v>1</v>
      </c>
      <c r="AC196" s="12">
        <f>原始输入与口径!$F$5</f>
        <v>0.25</v>
      </c>
      <c r="AD196" s="18">
        <f>原始输入与口径!CG196</f>
        <v>0.3125</v>
      </c>
      <c r="AE196" s="18">
        <f>原始输入与口径!BQ196</f>
        <v>0.13714285714285715</v>
      </c>
      <c r="AF196" s="18">
        <f t="shared" si="58"/>
        <v>0.19458285714285714</v>
      </c>
      <c r="AG196" s="18">
        <f t="shared" si="59"/>
        <v>1.3325714285714284E-2</v>
      </c>
      <c r="AH196" s="12">
        <f>IF(ISNUMBER(原始输入与口径!T196),原始输入与口径!T196,"缺失")</f>
        <v>175</v>
      </c>
      <c r="AI196" s="12">
        <f>IF(ISNUMBER(原始输入与口径!Y196),原始输入与口径!Y196,"缺失")</f>
        <v>175</v>
      </c>
      <c r="AJ196" s="12">
        <f>IF(ISNUMBER(原始输入与口径!AI196),原始输入与口径!AI196,"缺失")</f>
        <v>8.5129999999999999</v>
      </c>
      <c r="AK196" s="12">
        <f>IF(ISNUMBER(原始输入与口径!AL196),原始输入与口径!AL196,"缺失")</f>
        <v>0.58299999999999996</v>
      </c>
      <c r="AL196" s="12">
        <f>IF(ISNUMBER(原始输入与口径!O196),原始输入与口径!O196,"缺失")</f>
        <v>131.96799999999999</v>
      </c>
      <c r="AM196" s="12">
        <f>SUMIFS(相位SOC复算!$N$9:$N$929,相位SOC复算!$S$9:$S$929,188)</f>
        <v>1.2780841664911825E-2</v>
      </c>
      <c r="AN196" s="12">
        <f>SUMIFS(相位SOC复算!$Q$9:$Q$929,相位SOC复算!$S$9:$S$929,188)</f>
        <v>3.8998159932110622E-2</v>
      </c>
      <c r="AO196" s="12">
        <f>SUMIFS(相位SOC复算!$R$9:$R$929,相位SOC复算!$S$9:$S$929,188)</f>
        <v>4.2000067168522577</v>
      </c>
      <c r="AP196" s="12">
        <f>相位SOC复算!J465</f>
        <v>47.104043488198705</v>
      </c>
      <c r="AQ196" s="19">
        <f t="shared" si="60"/>
        <v>0</v>
      </c>
      <c r="AR196" s="12">
        <f>IF(ISBLANK(原始输入与口径!M196),"",原始输入与口径!M196)</f>
        <v>5.2473000000000001</v>
      </c>
      <c r="AS196" s="14">
        <f>IF(ISBLANK(原始输入与口径!L196),"",原始输入与口径!L196)</f>
        <v>46234</v>
      </c>
      <c r="AT196" s="13">
        <f>IF(ISBLANK(原始输入与口径!A196),"",原始输入与口径!A196)</f>
        <v>46236.822916666664</v>
      </c>
      <c r="AU196" s="12" t="str">
        <f>IF(ISBLANK(原始输入与口径!I196),"",原始输入与口径!I196)</f>
        <v>2026-08-02_88</v>
      </c>
      <c r="AV196" s="12">
        <f>IF(ISBLANK(原始输入与口径!J196),"",原始输入与口径!J196)</f>
        <v>15</v>
      </c>
      <c r="AW196" s="12" t="str">
        <f>IF(ISBLANK(原始输入与口径!BB196),"",原始输入与口径!BB196)</f>
        <v>OK</v>
      </c>
      <c r="AX196" s="12">
        <f>原始输入与口径!CI196</f>
        <v>128</v>
      </c>
      <c r="AY196" s="12">
        <f>原始输入与口径!BS196</f>
        <v>175</v>
      </c>
      <c r="AZ196" s="12">
        <f>原始输入与口径!BI196</f>
        <v>175</v>
      </c>
      <c r="BA196" s="12">
        <f>原始输入与口径!CM196</f>
        <v>40</v>
      </c>
      <c r="BB196" s="12">
        <f>原始输入与口径!BV196</f>
        <v>24</v>
      </c>
      <c r="BC196" s="12">
        <f>原始输入与口径!BL196</f>
        <v>24</v>
      </c>
      <c r="BD196" s="14">
        <f>46235</f>
        <v>46235</v>
      </c>
      <c r="BE196" s="1" t="str">
        <f t="shared" si="61"/>
        <v>12.293863 MW × 208.160000 × 0.250000 h = 639.772620 EUR</v>
      </c>
      <c r="BF196" s="1" t="str">
        <f t="shared" si="62"/>
        <v>40.000000 MW × 66.224535 × 0.250000 h = 662.245345 EUR</v>
      </c>
      <c r="BG196" s="1" t="str">
        <f t="shared" si="63"/>
        <v>24.000000 MW × 3.914394 × 0.250000 h = 23.486364 EUR</v>
      </c>
      <c r="BH196" s="1" t="str">
        <f t="shared" si="64"/>
        <v>24.000000 MW × 2.593715 × 0.250000 h = 15.562289 EUR</v>
      </c>
      <c r="BI196" s="1" t="str">
        <f t="shared" si="65"/>
        <v>1.167497 MWh × 217.579136 = 254.023020 EUR</v>
      </c>
      <c r="BJ196" s="1" t="str">
        <f t="shared" si="66"/>
        <v>−(0.079954 MWh × 76.420254) = -6.110127 EUR</v>
      </c>
      <c r="BK196" s="1" t="str">
        <f t="shared" si="67"/>
        <v>639.772620 + 662.245345 + 23.486364 + 15.562289 + 254.023020 + -6.110127 = 1588.979512 EUR</v>
      </c>
    </row>
    <row r="197" spans="1:63" ht="21" customHeight="1" x14ac:dyDescent="0.45">
      <c r="A197" s="13">
        <f>原始输入与口径!C197</f>
        <v>46236.958333333336</v>
      </c>
      <c r="B197" s="15">
        <f>IF(ISNUMBER(原始输入与口径!H197),原始输入与口径!H197,"缺失")</f>
        <v>204.49</v>
      </c>
      <c r="C197" s="15">
        <f>IF(ISNUMBER(原始输入与口径!R197),原始输入与口径!R197,"缺失")</f>
        <v>66.224534522516336</v>
      </c>
      <c r="D197" s="15">
        <f>IF(ISNUMBER(原始输入与口径!W197),原始输入与口径!W197,"缺失")</f>
        <v>7.1274750824233415</v>
      </c>
      <c r="E197" s="15">
        <f>IF(ISNUMBER(原始输入与口径!AB197),原始输入与口径!AB197,"缺失")</f>
        <v>2.5937148628818627</v>
      </c>
      <c r="F197" s="15">
        <f>IF(ISNUMBER(原始输入与口径!AG197),原始输入与口径!AG197,"缺失")</f>
        <v>223.50885217159299</v>
      </c>
      <c r="G197" s="15">
        <f>IF(ISNUMBER(原始输入与口径!AJ197),原始输入与口径!AJ197,"缺失")</f>
        <v>76.420254225982887</v>
      </c>
      <c r="H197" s="15" t="str">
        <f t="shared" si="46"/>
        <v>未模拟</v>
      </c>
      <c r="I197" s="16">
        <f>原始输入与口径!CD197</f>
        <v>47.104043488198684</v>
      </c>
      <c r="J197" s="16">
        <f>原始输入与口径!CE197</f>
        <v>45.392961669565146</v>
      </c>
      <c r="K197" s="16">
        <f>原始输入与口径!BZ197</f>
        <v>0</v>
      </c>
      <c r="L197" s="16">
        <f>原始输入与口径!CK197</f>
        <v>40</v>
      </c>
      <c r="M197" s="16">
        <f>原始输入与口径!BT197</f>
        <v>24</v>
      </c>
      <c r="N197" s="16">
        <f>原始输入与口径!BJ197</f>
        <v>24</v>
      </c>
      <c r="O197" s="16">
        <f t="shared" si="47"/>
        <v>1.5889371428571428</v>
      </c>
      <c r="P197" s="16">
        <f t="shared" si="48"/>
        <v>1.7417142857142857E-2</v>
      </c>
      <c r="Q197" s="17">
        <f t="shared" si="49"/>
        <v>0</v>
      </c>
      <c r="R197" s="17">
        <f t="shared" si="50"/>
        <v>662.24534522516342</v>
      </c>
      <c r="S197" s="17">
        <f t="shared" si="51"/>
        <v>42.764850494540049</v>
      </c>
      <c r="T197" s="17">
        <f t="shared" si="52"/>
        <v>15.562289177291177</v>
      </c>
      <c r="U197" s="17">
        <f t="shared" si="53"/>
        <v>355.14151697281045</v>
      </c>
      <c r="V197" s="17">
        <f t="shared" si="54"/>
        <v>-1.3310224850331192</v>
      </c>
      <c r="W197" s="17">
        <f t="shared" si="55"/>
        <v>1074.3829793847719</v>
      </c>
      <c r="X197" s="12">
        <f>原始输入与口径!CP197</f>
        <v>1074.3829793847719</v>
      </c>
      <c r="Y197" s="19">
        <f t="shared" si="56"/>
        <v>0</v>
      </c>
      <c r="Z197" s="12" t="str">
        <f t="shared" si="68"/>
        <v>次日冻结计划复原</v>
      </c>
      <c r="AA197" s="12">
        <f>IF(原始输入与口径!AW197,1,0)</f>
        <v>1</v>
      </c>
      <c r="AB197" s="12">
        <f>IF(原始输入与口径!AY197,1,0)</f>
        <v>1</v>
      </c>
      <c r="AC197" s="12">
        <f>原始输入与口径!$F$5</f>
        <v>0.25</v>
      </c>
      <c r="AD197" s="18">
        <f>原始输入与口径!CG197</f>
        <v>0.3125</v>
      </c>
      <c r="AE197" s="18">
        <f>原始输入与口径!BQ197</f>
        <v>0.13714285714285715</v>
      </c>
      <c r="AF197" s="18">
        <f t="shared" si="58"/>
        <v>0.26482285714285714</v>
      </c>
      <c r="AG197" s="18">
        <f t="shared" si="59"/>
        <v>2.9028571428571428E-3</v>
      </c>
      <c r="AH197" s="12">
        <f>IF(ISNUMBER(原始输入与口径!T197),原始输入与口径!T197,"缺失")</f>
        <v>175</v>
      </c>
      <c r="AI197" s="12">
        <f>IF(ISNUMBER(原始输入与口径!Y197),原始输入与口径!Y197,"缺失")</f>
        <v>175</v>
      </c>
      <c r="AJ197" s="12">
        <f>IF(ISNUMBER(原始输入与口径!AI197),原始输入与口径!AI197,"缺失")</f>
        <v>11.586</v>
      </c>
      <c r="AK197" s="12">
        <f>IF(ISNUMBER(原始输入与口径!AL197),原始输入与口径!AL197,"缺失")</f>
        <v>0.127</v>
      </c>
      <c r="AL197" s="12">
        <f>IF(ISNUMBER(原始输入与口径!O197),原始输入与口径!O197,"缺失")</f>
        <v>131.96799999999999</v>
      </c>
      <c r="AM197" s="12">
        <f>SUMIFS(相位SOC复算!$N$9:$N$929,相位SOC复算!$S$9:$S$929,189)</f>
        <v>4.8420260041407868E-3</v>
      </c>
      <c r="AN197" s="12">
        <f>SUMIFS(相位SOC复算!$Q$9:$Q$929,相位SOC复算!$S$9:$S$929,189)</f>
        <v>1.7417142857142857E-2</v>
      </c>
      <c r="AO197" s="12">
        <f>SUMIFS(相位SOC复算!$R$9:$R$929,相位SOC复算!$S$9:$S$929,189)</f>
        <v>1.5889371428571428</v>
      </c>
      <c r="AP197" s="12">
        <f>相位SOC复算!J468</f>
        <v>45.392961669565167</v>
      </c>
      <c r="AQ197" s="19">
        <f t="shared" si="60"/>
        <v>0</v>
      </c>
      <c r="AR197" s="12">
        <f>IF(ISBLANK(原始输入与口径!M197),"",原始输入与口径!M197)</f>
        <v>5.2473000000000001</v>
      </c>
      <c r="AS197" s="14">
        <f>IF(ISBLANK(原始输入与口径!L197),"",原始输入与口径!L197)</f>
        <v>46234</v>
      </c>
      <c r="AT197" s="13">
        <f>IF(ISBLANK(原始输入与口径!A197),"",原始输入与口径!A197)</f>
        <v>46236.833333333336</v>
      </c>
      <c r="AU197" s="12" t="str">
        <f>IF(ISBLANK(原始输入与口径!I197),"",原始输入与口径!I197)</f>
        <v>2026-08-02_89</v>
      </c>
      <c r="AV197" s="12">
        <f>IF(ISBLANK(原始输入与口径!J197),"",原始输入与口径!J197)</f>
        <v>15</v>
      </c>
      <c r="AW197" s="12" t="str">
        <f>IF(ISBLANK(原始输入与口径!BB197),"",原始输入与口径!BB197)</f>
        <v>OK</v>
      </c>
      <c r="AX197" s="12">
        <f>原始输入与口径!CI197</f>
        <v>128</v>
      </c>
      <c r="AY197" s="12">
        <f>原始输入与口径!BS197</f>
        <v>175</v>
      </c>
      <c r="AZ197" s="12">
        <f>原始输入与口径!BI197</f>
        <v>175</v>
      </c>
      <c r="BA197" s="12">
        <f>原始输入与口径!CM197</f>
        <v>40</v>
      </c>
      <c r="BB197" s="12">
        <f>原始输入与口径!BV197</f>
        <v>24</v>
      </c>
      <c r="BC197" s="12">
        <f>原始输入与口径!BL197</f>
        <v>24</v>
      </c>
      <c r="BD197" s="14">
        <f>46235</f>
        <v>46235</v>
      </c>
      <c r="BE197" s="1" t="str">
        <f t="shared" si="61"/>
        <v>零头寸，无结算现金</v>
      </c>
      <c r="BF197" s="1" t="str">
        <f t="shared" si="62"/>
        <v>40.000000 MW × 66.224535 × 0.250000 h = 662.245345 EUR</v>
      </c>
      <c r="BG197" s="1" t="str">
        <f t="shared" si="63"/>
        <v>24.000000 MW × 7.127475 × 0.250000 h = 42.764850 EUR</v>
      </c>
      <c r="BH197" s="1" t="str">
        <f t="shared" si="64"/>
        <v>24.000000 MW × 2.593715 × 0.250000 h = 15.562289 EUR</v>
      </c>
      <c r="BI197" s="1" t="str">
        <f t="shared" si="65"/>
        <v>1.588937 MWh × 223.508852 = 355.141517 EUR</v>
      </c>
      <c r="BJ197" s="1" t="str">
        <f t="shared" si="66"/>
        <v>−(0.017417 MWh × 76.420254) = -1.331022 EUR</v>
      </c>
      <c r="BK197" s="1" t="str">
        <f t="shared" si="67"/>
        <v>0.000000 + 662.245345 + 42.764850 + 15.562289 + 355.141517 + -1.331022 = 1074.382979 EUR</v>
      </c>
    </row>
    <row r="198" spans="1:63" ht="21" customHeight="1" x14ac:dyDescent="0.45">
      <c r="A198" s="13">
        <f>原始输入与口径!C198</f>
        <v>46236.96875</v>
      </c>
      <c r="B198" s="15">
        <f>IF(ISNUMBER(原始输入与口径!H198),原始输入与口径!H198,"缺失")</f>
        <v>211.53</v>
      </c>
      <c r="C198" s="15">
        <f>IF(ISNUMBER(原始输入与口径!R198),原始输入与口径!R198,"缺失")</f>
        <v>66.224534522516336</v>
      </c>
      <c r="D198" s="15">
        <f>IF(ISNUMBER(原始输入与口径!W198),原始输入与口径!W198,"缺失")</f>
        <v>7.1274750824233415</v>
      </c>
      <c r="E198" s="15">
        <f>IF(ISNUMBER(原始输入与口径!AB198),原始输入与口径!AB198,"缺失")</f>
        <v>2.5937148628818627</v>
      </c>
      <c r="F198" s="15">
        <f>IF(ISNUMBER(原始输入与口径!AG198),原始输入与口径!AG198,"缺失")</f>
        <v>224.42837268690565</v>
      </c>
      <c r="G198" s="15">
        <f>IF(ISNUMBER(原始输入与口径!AJ198),原始输入与口径!AJ198,"缺失")</f>
        <v>0</v>
      </c>
      <c r="H198" s="15" t="str">
        <f t="shared" si="46"/>
        <v>未模拟</v>
      </c>
      <c r="I198" s="16">
        <f>原始输入与口径!CD198</f>
        <v>45.392961669565146</v>
      </c>
      <c r="J198" s="16">
        <f>原始输入与口径!CE198</f>
        <v>33.514899557763911</v>
      </c>
      <c r="K198" s="16">
        <f>原始输入与口径!BZ198</f>
        <v>36</v>
      </c>
      <c r="L198" s="16">
        <f>原始输入与口径!CK198</f>
        <v>40</v>
      </c>
      <c r="M198" s="16">
        <f>原始输入与口径!BT198</f>
        <v>24</v>
      </c>
      <c r="N198" s="16">
        <f>原始输入与口径!BJ198</f>
        <v>24</v>
      </c>
      <c r="O198" s="16">
        <f t="shared" si="47"/>
        <v>1.9278171428571431</v>
      </c>
      <c r="P198" s="16">
        <f t="shared" si="48"/>
        <v>0</v>
      </c>
      <c r="Q198" s="17">
        <f t="shared" si="49"/>
        <v>1903.77</v>
      </c>
      <c r="R198" s="17">
        <f t="shared" si="50"/>
        <v>662.24534522516342</v>
      </c>
      <c r="S198" s="17">
        <f t="shared" si="51"/>
        <v>42.764850494540049</v>
      </c>
      <c r="T198" s="17">
        <f t="shared" si="52"/>
        <v>15.562289177291177</v>
      </c>
      <c r="U198" s="17">
        <f t="shared" si="53"/>
        <v>432.65686420934856</v>
      </c>
      <c r="V198" s="17">
        <f t="shared" si="54"/>
        <v>0</v>
      </c>
      <c r="W198" s="17">
        <f t="shared" si="55"/>
        <v>3056.9993491063428</v>
      </c>
      <c r="X198" s="12">
        <f>原始输入与口径!CP198</f>
        <v>3056.9993491063433</v>
      </c>
      <c r="Y198" s="19">
        <f t="shared" si="56"/>
        <v>0</v>
      </c>
      <c r="Z198" s="12" t="str">
        <f t="shared" si="68"/>
        <v>次日冻结计划复原</v>
      </c>
      <c r="AA198" s="12">
        <f>IF(原始输入与口径!AW198,1,0)</f>
        <v>1</v>
      </c>
      <c r="AB198" s="12">
        <f>IF(原始输入与口径!AY198,1,0)</f>
        <v>1</v>
      </c>
      <c r="AC198" s="12">
        <f>原始输入与口径!$F$5</f>
        <v>0.25</v>
      </c>
      <c r="AD198" s="18">
        <f>原始输入与口径!CG198</f>
        <v>0.3125</v>
      </c>
      <c r="AE198" s="18">
        <f>原始输入与口径!BQ198</f>
        <v>0.13714285714285715</v>
      </c>
      <c r="AF198" s="18">
        <f t="shared" si="58"/>
        <v>0.32130285714285717</v>
      </c>
      <c r="AG198" s="18">
        <f t="shared" si="59"/>
        <v>0</v>
      </c>
      <c r="AH198" s="12">
        <f>IF(ISNUMBER(原始输入与口径!T198),原始输入与口径!T198,"缺失")</f>
        <v>175</v>
      </c>
      <c r="AI198" s="12">
        <f>IF(ISNUMBER(原始输入与口径!Y198),原始输入与口径!Y198,"缺失")</f>
        <v>175</v>
      </c>
      <c r="AJ198" s="12">
        <f>IF(ISNUMBER(原始输入与口径!AI198),原始输入与口径!AI198,"缺失")</f>
        <v>14.057</v>
      </c>
      <c r="AK198" s="12">
        <f>IF(ISNUMBER(原始输入与口径!AL198),原始输入与口径!AL198,"缺失")</f>
        <v>0</v>
      </c>
      <c r="AL198" s="12">
        <f>IF(ISNUMBER(原始输入与口径!O198),原始输入与口径!O198,"缺失")</f>
        <v>131.96799999999999</v>
      </c>
      <c r="AM198" s="12">
        <f>SUMIFS(相位SOC复算!$N$9:$N$929,相位SOC复算!$S$9:$S$929,190)</f>
        <v>3.2994616977225673E-2</v>
      </c>
      <c r="AN198" s="12">
        <f>SUMIFS(相位SOC复算!$Q$9:$Q$929,相位SOC复算!$S$9:$S$929,190)</f>
        <v>0</v>
      </c>
      <c r="AO198" s="12">
        <f>SUMIFS(相位SOC复算!$R$9:$R$929,相位SOC复算!$S$9:$S$929,190)</f>
        <v>10.927817142857144</v>
      </c>
      <c r="AP198" s="12">
        <f>相位SOC复算!J470</f>
        <v>33.514899557763918</v>
      </c>
      <c r="AQ198" s="19">
        <f t="shared" si="60"/>
        <v>0</v>
      </c>
      <c r="AR198" s="12">
        <f>IF(ISBLANK(原始输入与口径!M198),"",原始输入与口径!M198)</f>
        <v>5.2473000000000001</v>
      </c>
      <c r="AS198" s="14">
        <f>IF(ISBLANK(原始输入与口径!L198),"",原始输入与口径!L198)</f>
        <v>46234</v>
      </c>
      <c r="AT198" s="13">
        <f>IF(ISBLANK(原始输入与口径!A198),"",原始输入与口径!A198)</f>
        <v>46236.84375</v>
      </c>
      <c r="AU198" s="12" t="str">
        <f>IF(ISBLANK(原始输入与口径!I198),"",原始输入与口径!I198)</f>
        <v>2026-08-02_90</v>
      </c>
      <c r="AV198" s="12">
        <f>IF(ISBLANK(原始输入与口径!J198),"",原始输入与口径!J198)</f>
        <v>15</v>
      </c>
      <c r="AW198" s="12" t="str">
        <f>IF(ISBLANK(原始输入与口径!BB198),"",原始输入与口径!BB198)</f>
        <v>OK</v>
      </c>
      <c r="AX198" s="12">
        <f>原始输入与口径!CI198</f>
        <v>128</v>
      </c>
      <c r="AY198" s="12">
        <f>原始输入与口径!BS198</f>
        <v>175</v>
      </c>
      <c r="AZ198" s="12">
        <f>原始输入与口径!BI198</f>
        <v>175</v>
      </c>
      <c r="BA198" s="12">
        <f>原始输入与口径!CM198</f>
        <v>40</v>
      </c>
      <c r="BB198" s="12">
        <f>原始输入与口径!BV198</f>
        <v>24</v>
      </c>
      <c r="BC198" s="12">
        <f>原始输入与口径!BL198</f>
        <v>24</v>
      </c>
      <c r="BD198" s="14">
        <f>46235</f>
        <v>46235</v>
      </c>
      <c r="BE198" s="1" t="str">
        <f t="shared" si="61"/>
        <v>36.000000 MW × 211.530000 × 0.250000 h = 1903.770000 EUR</v>
      </c>
      <c r="BF198" s="1" t="str">
        <f t="shared" si="62"/>
        <v>40.000000 MW × 66.224535 × 0.250000 h = 662.245345 EUR</v>
      </c>
      <c r="BG198" s="1" t="str">
        <f t="shared" si="63"/>
        <v>24.000000 MW × 7.127475 × 0.250000 h = 42.764850 EUR</v>
      </c>
      <c r="BH198" s="1" t="str">
        <f t="shared" si="64"/>
        <v>24.000000 MW × 2.593715 × 0.250000 h = 15.562289 EUR</v>
      </c>
      <c r="BI198" s="1" t="str">
        <f t="shared" si="65"/>
        <v>1.927817 MWh × 224.428373 = 432.656864 EUR</v>
      </c>
      <c r="BJ198" s="1" t="str">
        <f t="shared" si="66"/>
        <v>零下调激活电量</v>
      </c>
      <c r="BK198" s="1" t="str">
        <f t="shared" si="67"/>
        <v>1903.770000 + 662.245345 + 42.764850 + 15.562289 + 432.656864 + 0.000000 = 3056.999349 EUR</v>
      </c>
    </row>
    <row r="199" spans="1:63" ht="21" customHeight="1" x14ac:dyDescent="0.45">
      <c r="A199" s="13">
        <f>原始输入与口径!C199</f>
        <v>46236.979166666664</v>
      </c>
      <c r="B199" s="15">
        <f>IF(ISNUMBER(原始输入与口径!H199),原始输入与口径!H199,"缺失")</f>
        <v>208.43</v>
      </c>
      <c r="C199" s="15">
        <f>IF(ISNUMBER(原始输入与口径!R199),原始输入与口径!R199,"缺失")</f>
        <v>66.224534522516336</v>
      </c>
      <c r="D199" s="15">
        <f>IF(ISNUMBER(原始输入与口径!W199),原始输入与口径!W199,"缺失")</f>
        <v>7.1274750824233415</v>
      </c>
      <c r="E199" s="15">
        <f>IF(ISNUMBER(原始输入与口径!AB199),原始输入与口径!AB199,"缺失")</f>
        <v>2.5937148628818627</v>
      </c>
      <c r="F199" s="15">
        <f>IF(ISNUMBER(原始输入与口径!AG199),原始输入与口径!AG199,"缺失")</f>
        <v>211.84513940502734</v>
      </c>
      <c r="G199" s="15">
        <f>IF(ISNUMBER(原始输入与口径!AJ199),原始输入与口径!AJ199,"缺失")</f>
        <v>0</v>
      </c>
      <c r="H199" s="15" t="str">
        <f t="shared" si="46"/>
        <v>未模拟</v>
      </c>
      <c r="I199" s="16">
        <f>原始输入与口径!CD199</f>
        <v>33.514899557763911</v>
      </c>
      <c r="J199" s="16">
        <f>原始输入与口径!CE199</f>
        <v>32.659843657142794</v>
      </c>
      <c r="K199" s="16">
        <f>原始输入与口径!BZ199</f>
        <v>0</v>
      </c>
      <c r="L199" s="16">
        <f>原始输入与口径!CK199</f>
        <v>40</v>
      </c>
      <c r="M199" s="16">
        <f>原始输入与口径!BT199</f>
        <v>24</v>
      </c>
      <c r="N199" s="16">
        <f>原始输入与口径!BJ199</f>
        <v>24</v>
      </c>
      <c r="O199" s="16">
        <f t="shared" si="47"/>
        <v>0.78665142857142856</v>
      </c>
      <c r="P199" s="16">
        <f t="shared" si="48"/>
        <v>0</v>
      </c>
      <c r="Q199" s="17">
        <f t="shared" si="49"/>
        <v>0</v>
      </c>
      <c r="R199" s="17">
        <f t="shared" si="50"/>
        <v>662.24534522516342</v>
      </c>
      <c r="S199" s="17">
        <f t="shared" si="51"/>
        <v>42.764850494540049</v>
      </c>
      <c r="T199" s="17">
        <f t="shared" si="52"/>
        <v>15.562289177291177</v>
      </c>
      <c r="U199" s="17">
        <f t="shared" si="53"/>
        <v>166.6482815488782</v>
      </c>
      <c r="V199" s="17">
        <f t="shared" si="54"/>
        <v>0</v>
      </c>
      <c r="W199" s="17">
        <f t="shared" si="55"/>
        <v>887.22076644587287</v>
      </c>
      <c r="X199" s="12">
        <f>原始输入与口径!CP199</f>
        <v>887.22076644587287</v>
      </c>
      <c r="Y199" s="19">
        <f t="shared" si="56"/>
        <v>0</v>
      </c>
      <c r="Z199" s="12" t="str">
        <f t="shared" si="68"/>
        <v>次日冻结计划复原</v>
      </c>
      <c r="AA199" s="12">
        <f>IF(原始输入与口径!AW199,1,0)</f>
        <v>1</v>
      </c>
      <c r="AB199" s="12">
        <f>IF(原始输入与口径!AY199,1,0)</f>
        <v>1</v>
      </c>
      <c r="AC199" s="12">
        <f>原始输入与口径!$F$5</f>
        <v>0.25</v>
      </c>
      <c r="AD199" s="18">
        <f>原始输入与口径!CG199</f>
        <v>0.3125</v>
      </c>
      <c r="AE199" s="18">
        <f>原始输入与口径!BQ199</f>
        <v>0.13714285714285715</v>
      </c>
      <c r="AF199" s="18">
        <f t="shared" si="58"/>
        <v>0.13110857142857144</v>
      </c>
      <c r="AG199" s="18">
        <f t="shared" si="59"/>
        <v>0</v>
      </c>
      <c r="AH199" s="12">
        <f>IF(ISNUMBER(原始输入与口径!T199),原始输入与口径!T199,"缺失")</f>
        <v>175</v>
      </c>
      <c r="AI199" s="12">
        <f>IF(ISNUMBER(原始输入与口径!Y199),原始输入与口径!Y199,"缺失")</f>
        <v>175</v>
      </c>
      <c r="AJ199" s="12">
        <f>IF(ISNUMBER(原始输入与口径!AI199),原始输入与口径!AI199,"缺失")</f>
        <v>5.7359999999999998</v>
      </c>
      <c r="AK199" s="12">
        <f>IF(ISNUMBER(原始输入与口径!AL199),原始输入与口径!AL199,"缺失")</f>
        <v>0</v>
      </c>
      <c r="AL199" s="12">
        <f>IF(ISNUMBER(原始输入与口径!O199),原始输入与口径!O199,"缺失")</f>
        <v>131.96799999999999</v>
      </c>
      <c r="AM199" s="12">
        <f>SUMIFS(相位SOC复算!$N$9:$N$929,相位SOC复算!$S$9:$S$929,191)</f>
        <v>2.3751552795031054E-3</v>
      </c>
      <c r="AN199" s="12">
        <f>SUMIFS(相位SOC复算!$Q$9:$Q$929,相位SOC复算!$S$9:$S$929,191)</f>
        <v>0</v>
      </c>
      <c r="AO199" s="12">
        <f>SUMIFS(相位SOC复算!$R$9:$R$929,相位SOC复算!$S$9:$S$929,191)</f>
        <v>0.78665142857142856</v>
      </c>
      <c r="AP199" s="12">
        <f>相位SOC复算!J472</f>
        <v>32.659843657142801</v>
      </c>
      <c r="AQ199" s="19">
        <f t="shared" si="60"/>
        <v>0</v>
      </c>
      <c r="AR199" s="12">
        <f>IF(ISBLANK(原始输入与口径!M199),"",原始输入与口径!M199)</f>
        <v>5.2473000000000001</v>
      </c>
      <c r="AS199" s="14">
        <f>IF(ISBLANK(原始输入与口径!L199),"",原始输入与口径!L199)</f>
        <v>46234</v>
      </c>
      <c r="AT199" s="13">
        <f>IF(ISBLANK(原始输入与口径!A199),"",原始输入与口径!A199)</f>
        <v>46236.854166666664</v>
      </c>
      <c r="AU199" s="12" t="str">
        <f>IF(ISBLANK(原始输入与口径!I199),"",原始输入与口径!I199)</f>
        <v>2026-08-02_91</v>
      </c>
      <c r="AV199" s="12">
        <f>IF(ISBLANK(原始输入与口径!J199),"",原始输入与口径!J199)</f>
        <v>15</v>
      </c>
      <c r="AW199" s="12" t="str">
        <f>IF(ISBLANK(原始输入与口径!BB199),"",原始输入与口径!BB199)</f>
        <v>OK</v>
      </c>
      <c r="AX199" s="12">
        <f>原始输入与口径!CI199</f>
        <v>128</v>
      </c>
      <c r="AY199" s="12">
        <f>原始输入与口径!BS199</f>
        <v>175</v>
      </c>
      <c r="AZ199" s="12">
        <f>原始输入与口径!BI199</f>
        <v>175</v>
      </c>
      <c r="BA199" s="12">
        <f>原始输入与口径!CM199</f>
        <v>40</v>
      </c>
      <c r="BB199" s="12">
        <f>原始输入与口径!BV199</f>
        <v>24</v>
      </c>
      <c r="BC199" s="12">
        <f>原始输入与口径!BL199</f>
        <v>24</v>
      </c>
      <c r="BD199" s="14">
        <f>46235</f>
        <v>46235</v>
      </c>
      <c r="BE199" s="1" t="str">
        <f t="shared" si="61"/>
        <v>零头寸，无结算现金</v>
      </c>
      <c r="BF199" s="1" t="str">
        <f t="shared" si="62"/>
        <v>40.000000 MW × 66.224535 × 0.250000 h = 662.245345 EUR</v>
      </c>
      <c r="BG199" s="1" t="str">
        <f t="shared" si="63"/>
        <v>24.000000 MW × 7.127475 × 0.250000 h = 42.764850 EUR</v>
      </c>
      <c r="BH199" s="1" t="str">
        <f t="shared" si="64"/>
        <v>24.000000 MW × 2.593715 × 0.250000 h = 15.562289 EUR</v>
      </c>
      <c r="BI199" s="1" t="str">
        <f t="shared" si="65"/>
        <v>0.786651 MWh × 211.845139 = 166.648282 EUR</v>
      </c>
      <c r="BJ199" s="1" t="str">
        <f t="shared" si="66"/>
        <v>零下调激活电量</v>
      </c>
      <c r="BK199" s="1" t="str">
        <f t="shared" si="67"/>
        <v>0.000000 + 662.245345 + 42.764850 + 15.562289 + 166.648282 + 0.000000 = 887.220766 EUR</v>
      </c>
    </row>
    <row r="200" spans="1:63" ht="21" customHeight="1" x14ac:dyDescent="0.45">
      <c r="A200" s="13">
        <f>原始输入与口径!C200</f>
        <v>46236.989583333336</v>
      </c>
      <c r="B200" s="15">
        <f>IF(ISNUMBER(原始输入与口径!H200),原始输入与口径!H200,"缺失")</f>
        <v>183.75</v>
      </c>
      <c r="C200" s="15">
        <f>IF(ISNUMBER(原始输入与口径!R200),原始输入与口径!R200,"缺失")</f>
        <v>66.224534522516336</v>
      </c>
      <c r="D200" s="15">
        <f>IF(ISNUMBER(原始输入与口径!W200),原始输入与口径!W200,"缺失")</f>
        <v>7.1274750824233415</v>
      </c>
      <c r="E200" s="15">
        <f>IF(ISNUMBER(原始输入与口径!AB200),原始输入与口径!AB200,"缺失")</f>
        <v>2.5937148628818627</v>
      </c>
      <c r="F200" s="15">
        <f>IF(ISNUMBER(原始输入与口径!AG200),原始输入与口径!AG200,"缺失")</f>
        <v>218.74849922817447</v>
      </c>
      <c r="G200" s="15">
        <f>IF(ISNUMBER(原始输入与口径!AJ200),原始输入与口径!AJ200,"缺失")</f>
        <v>76.420254225982887</v>
      </c>
      <c r="H200" s="15" t="str">
        <f t="shared" si="46"/>
        <v>未模拟</v>
      </c>
      <c r="I200" s="16">
        <f>原始输入与口径!CD200</f>
        <v>32.659843657142794</v>
      </c>
      <c r="J200" s="16">
        <f>原始输入与口径!CE200</f>
        <v>31.739130434782549</v>
      </c>
      <c r="K200" s="16">
        <f>原始输入与口径!BZ200</f>
        <v>0</v>
      </c>
      <c r="L200" s="16">
        <f>原始输入与口径!CK200</f>
        <v>40</v>
      </c>
      <c r="M200" s="16">
        <f>原始输入与口径!BT200</f>
        <v>24</v>
      </c>
      <c r="N200" s="16">
        <f>原始输入与口径!BJ200</f>
        <v>24</v>
      </c>
      <c r="O200" s="16">
        <f t="shared" si="47"/>
        <v>0.85193142857142856</v>
      </c>
      <c r="P200" s="16">
        <f t="shared" si="48"/>
        <v>5.7600000000000004E-3</v>
      </c>
      <c r="Q200" s="17">
        <f t="shared" si="49"/>
        <v>0</v>
      </c>
      <c r="R200" s="17">
        <f t="shared" si="50"/>
        <v>662.24534522516342</v>
      </c>
      <c r="S200" s="17">
        <f t="shared" si="51"/>
        <v>42.764850494540049</v>
      </c>
      <c r="T200" s="17">
        <f t="shared" si="52"/>
        <v>15.562289177291177</v>
      </c>
      <c r="U200" s="17">
        <f t="shared" si="53"/>
        <v>186.3587214453147</v>
      </c>
      <c r="V200" s="17">
        <f t="shared" si="54"/>
        <v>-0.44018066434166148</v>
      </c>
      <c r="W200" s="17">
        <f t="shared" si="55"/>
        <v>906.49102567796763</v>
      </c>
      <c r="X200" s="12">
        <f>原始输入与口径!CP200</f>
        <v>906.49102567796763</v>
      </c>
      <c r="Y200" s="19">
        <f t="shared" si="56"/>
        <v>0</v>
      </c>
      <c r="Z200" s="12" t="str">
        <f t="shared" si="68"/>
        <v>次日冻结计划复原</v>
      </c>
      <c r="AA200" s="12">
        <f>IF(原始输入与口径!AW200,1,0)</f>
        <v>1</v>
      </c>
      <c r="AB200" s="12">
        <f>IF(原始输入与口径!AY200,1,0)</f>
        <v>1</v>
      </c>
      <c r="AC200" s="12">
        <f>原始输入与口径!$F$5</f>
        <v>0.25</v>
      </c>
      <c r="AD200" s="18">
        <f>原始输入与口径!CG200</f>
        <v>0.3125</v>
      </c>
      <c r="AE200" s="18">
        <f>原始输入与口径!BQ200</f>
        <v>0.13714285714285715</v>
      </c>
      <c r="AF200" s="18">
        <f t="shared" si="58"/>
        <v>0.14198857142857144</v>
      </c>
      <c r="AG200" s="18">
        <f t="shared" si="59"/>
        <v>9.6000000000000002E-4</v>
      </c>
      <c r="AH200" s="12">
        <f>IF(ISNUMBER(原始输入与口径!T200),原始输入与口径!T200,"缺失")</f>
        <v>175</v>
      </c>
      <c r="AI200" s="12">
        <f>IF(ISNUMBER(原始输入与口径!Y200),原始输入与口径!Y200,"缺失")</f>
        <v>175</v>
      </c>
      <c r="AJ200" s="12">
        <f>IF(ISNUMBER(原始输入与口径!AI200),原始输入与口径!AI200,"缺失")</f>
        <v>6.2119999999999997</v>
      </c>
      <c r="AK200" s="12">
        <f>IF(ISNUMBER(原始输入与口径!AL200),原始输入与口径!AL200,"缺失")</f>
        <v>4.2000000000000003E-2</v>
      </c>
      <c r="AL200" s="12">
        <f>IF(ISNUMBER(原始输入与口径!O200),原始输入与口径!O200,"缺失")</f>
        <v>131.96799999999999</v>
      </c>
      <c r="AM200" s="12">
        <f>SUMIFS(相位SOC复算!$N$9:$N$929,相位SOC复算!$S$9:$S$929,192)</f>
        <v>2.5869767287784681E-3</v>
      </c>
      <c r="AN200" s="12">
        <f>SUMIFS(相位SOC复算!$Q$9:$Q$929,相位SOC复算!$S$9:$S$929,192)</f>
        <v>5.7600000000000004E-3</v>
      </c>
      <c r="AO200" s="12">
        <f>SUMIFS(相位SOC复算!$R$9:$R$929,相位SOC复算!$S$9:$S$929,192)</f>
        <v>0.85193142857142856</v>
      </c>
      <c r="AP200" s="12">
        <f>相位SOC复算!J475</f>
        <v>31.739130434782556</v>
      </c>
      <c r="AQ200" s="19">
        <f t="shared" si="60"/>
        <v>0</v>
      </c>
      <c r="AR200" s="12">
        <f>IF(ISBLANK(原始输入与口径!M200),"",原始输入与口径!M200)</f>
        <v>5.2473000000000001</v>
      </c>
      <c r="AS200" s="14">
        <f>IF(ISBLANK(原始输入与口径!L200),"",原始输入与口径!L200)</f>
        <v>46234</v>
      </c>
      <c r="AT200" s="13">
        <f>IF(ISBLANK(原始输入与口径!A200),"",原始输入与口径!A200)</f>
        <v>46236.864583333336</v>
      </c>
      <c r="AU200" s="12" t="str">
        <f>IF(ISBLANK(原始输入与口径!I200),"",原始输入与口径!I200)</f>
        <v>2026-08-02_92</v>
      </c>
      <c r="AV200" s="12">
        <f>IF(ISBLANK(原始输入与口径!J200),"",原始输入与口径!J200)</f>
        <v>15</v>
      </c>
      <c r="AW200" s="12" t="str">
        <f>IF(ISBLANK(原始输入与口径!BB200),"",原始输入与口径!BB200)</f>
        <v>OK</v>
      </c>
      <c r="AX200" s="12">
        <f>原始输入与口径!CI200</f>
        <v>128</v>
      </c>
      <c r="AY200" s="12">
        <f>原始输入与口径!BS200</f>
        <v>175</v>
      </c>
      <c r="AZ200" s="12">
        <f>原始输入与口径!BI200</f>
        <v>175</v>
      </c>
      <c r="BA200" s="12">
        <f>原始输入与口径!CM200</f>
        <v>40</v>
      </c>
      <c r="BB200" s="12">
        <f>原始输入与口径!BV200</f>
        <v>24</v>
      </c>
      <c r="BC200" s="12">
        <f>原始输入与口径!BL200</f>
        <v>24</v>
      </c>
      <c r="BD200" s="14">
        <f>46235</f>
        <v>46235</v>
      </c>
      <c r="BE200" s="1" t="str">
        <f t="shared" si="61"/>
        <v>零头寸，无结算现金</v>
      </c>
      <c r="BF200" s="1" t="str">
        <f t="shared" si="62"/>
        <v>40.000000 MW × 66.224535 × 0.250000 h = 662.245345 EUR</v>
      </c>
      <c r="BG200" s="1" t="str">
        <f t="shared" si="63"/>
        <v>24.000000 MW × 7.127475 × 0.250000 h = 42.764850 EUR</v>
      </c>
      <c r="BH200" s="1" t="str">
        <f t="shared" si="64"/>
        <v>24.000000 MW × 2.593715 × 0.250000 h = 15.562289 EUR</v>
      </c>
      <c r="BI200" s="1" t="str">
        <f t="shared" si="65"/>
        <v>0.851931 MWh × 218.748499 = 186.358721 EUR</v>
      </c>
      <c r="BJ200" s="1" t="str">
        <f t="shared" si="66"/>
        <v>−(0.005760 MWh × 76.420254) = -0.440181 EUR</v>
      </c>
      <c r="BK200" s="1" t="str">
        <f t="shared" si="67"/>
        <v>0.000000 + 662.245345 + 42.764850 + 15.562289 + 186.358721 + -0.440181 = 906.491026 EUR</v>
      </c>
    </row>
    <row r="201" spans="1:63" ht="21" customHeight="1" x14ac:dyDescent="0.45">
      <c r="A201" s="22">
        <f>原始输入与口径!C105</f>
        <v>46236</v>
      </c>
      <c r="B201" s="23">
        <f>IF(ISNUMBER(原始输入与口径!H105),原始输入与口径!H105,"缺失")</f>
        <v>172.11</v>
      </c>
      <c r="C201" s="23">
        <f>IF(ISNUMBER(原始输入与口径!R105),原始输入与口径!R105,"缺失")</f>
        <v>66.224534522516336</v>
      </c>
      <c r="D201" s="23">
        <f>IF(ISNUMBER(原始输入与口径!W105),原始输入与口径!W105,"缺失")</f>
        <v>7.1274750824233415</v>
      </c>
      <c r="E201" s="23">
        <f>IF(ISNUMBER(原始输入与口径!AB105),原始输入与口径!AB105,"缺失")</f>
        <v>2.7061536409200921</v>
      </c>
      <c r="F201" s="23">
        <f>IF(ISNUMBER(原始输入与口径!AG105),原始输入与口径!AG105,"缺失")</f>
        <v>184.11030434699751</v>
      </c>
      <c r="G201" s="23">
        <f>IF(ISNUMBER(原始输入与口径!AJ105),原始输入与口径!AJ105,"缺失")</f>
        <v>77.182551026242066</v>
      </c>
      <c r="H201" s="23" t="str">
        <f t="shared" ref="H201:H264" si="69">"未模拟"</f>
        <v>未模拟</v>
      </c>
      <c r="I201" s="24">
        <f>原始输入与口径!CD105</f>
        <v>31.739130434782815</v>
      </c>
      <c r="J201" s="24">
        <f>原始输入与口径!CE105</f>
        <v>35.728106323454419</v>
      </c>
      <c r="K201" s="24">
        <f>原始输入与口径!BZ105</f>
        <v>-18.458027330911214</v>
      </c>
      <c r="L201" s="24">
        <f>原始输入与口径!CK105</f>
        <v>40</v>
      </c>
      <c r="M201" s="24">
        <f>原始输入与口径!BT105</f>
        <v>24</v>
      </c>
      <c r="N201" s="24">
        <f>原始输入与口径!BJ105</f>
        <v>24</v>
      </c>
      <c r="O201" s="24">
        <f t="shared" ref="O201:O264" si="70">M201*AF201*AC201</f>
        <v>0.31392000000000003</v>
      </c>
      <c r="P201" s="24">
        <f t="shared" ref="P201:P264" si="71">N201*AG201*AC201</f>
        <v>4.8411428571428571E-2</v>
      </c>
      <c r="Q201" s="25">
        <f t="shared" ref="Q201:Q264" si="72">IF(K201=0,0,IF(ISNUMBER(B201),K201*B201*AC201,NA()))</f>
        <v>-794.20277098078236</v>
      </c>
      <c r="R201" s="25">
        <f t="shared" ref="R201:R264" si="73">IF(L201=0,0,IF(ISNUMBER(C201),L201*C201*AC201,NA()))</f>
        <v>662.24534522516342</v>
      </c>
      <c r="S201" s="25">
        <f t="shared" ref="S201:S264" si="74">IF(M201=0,0,IF(ISNUMBER(D201),M201*D201*AC201,NA()))</f>
        <v>42.764850494540049</v>
      </c>
      <c r="T201" s="25">
        <f t="shared" ref="T201:T264" si="75">IF(N201=0,0,IF(ISNUMBER(E201),N201*E201*AC201,NA()))</f>
        <v>16.236921845520552</v>
      </c>
      <c r="U201" s="25">
        <f t="shared" ref="U201:U264" si="76">IF(O201=0,0,O201*F201)</f>
        <v>57.795906740609468</v>
      </c>
      <c r="V201" s="25">
        <f t="shared" ref="V201:V264" si="77">IF(P201=0,0,-P201*G201)</f>
        <v>-3.7365175559675587</v>
      </c>
      <c r="W201" s="25">
        <f t="shared" ref="W201:W264" si="78">SUM(Q201:V201)</f>
        <v>-18.896264230916437</v>
      </c>
      <c r="X201" s="26">
        <f>原始输入与口径!CP105</f>
        <v>-18.896264230916433</v>
      </c>
      <c r="Y201" s="27">
        <f t="shared" ref="Y201:Y264" si="79">W201-X201</f>
        <v>0</v>
      </c>
      <c r="Z201" s="26" t="str">
        <f t="shared" ref="Z201:Z232" si="80">"当日执行"</f>
        <v>当日执行</v>
      </c>
      <c r="AA201" s="26">
        <f>IF(原始输入与口径!AW105,1,0)</f>
        <v>1</v>
      </c>
      <c r="AB201" s="26">
        <f>IF(原始输入与口径!AY105,1,0)</f>
        <v>1</v>
      </c>
      <c r="AC201" s="26">
        <f>原始输入与口径!$F$5</f>
        <v>0.25</v>
      </c>
      <c r="AD201" s="28">
        <f>原始输入与口径!CG105</f>
        <v>0.3125</v>
      </c>
      <c r="AE201" s="28">
        <f>原始输入与口径!BQ105</f>
        <v>0.13714285714285715</v>
      </c>
      <c r="AF201" s="28">
        <f t="shared" ref="AF201:AF264" si="81">IF(AA201=0,0,AJ201/(AH201*AC201))</f>
        <v>5.2320000000000005E-2</v>
      </c>
      <c r="AG201" s="28">
        <f t="shared" ref="AG201:AG264" si="82">IF(AA201=0,0,AK201/(AI201*AC201))</f>
        <v>8.0685714285714284E-3</v>
      </c>
      <c r="AH201" s="26">
        <f>IF(ISNUMBER(原始输入与口径!T105),原始输入与口径!T105,"缺失")</f>
        <v>175</v>
      </c>
      <c r="AI201" s="26">
        <f>IF(ISNUMBER(原始输入与口径!Y105),原始输入与口径!Y105,"缺失")</f>
        <v>175</v>
      </c>
      <c r="AJ201" s="26">
        <f>IF(ISNUMBER(原始输入与口径!AI105),原始输入与口径!AI105,"缺失")</f>
        <v>2.2890000000000001</v>
      </c>
      <c r="AK201" s="26">
        <f>IF(ISNUMBER(原始输入与口径!AL105),原始输入与口径!AL105,"缺失")</f>
        <v>0.35299999999999998</v>
      </c>
      <c r="AL201" s="26">
        <f>IF(ISNUMBER(原始输入与口径!O105),原始输入与口径!O105,"缺失")</f>
        <v>131.96799999999999</v>
      </c>
      <c r="AM201" s="26">
        <f>SUMIFS(相位SOC复算!$N$9:$N$929,相位SOC复算!$S$9:$S$929,193)</f>
        <v>1.1518224102056879E-2</v>
      </c>
      <c r="AN201" s="26">
        <f>SUMIFS(相位SOC复算!$Q$9:$Q$929,相位SOC复算!$S$9:$S$929,193)</f>
        <v>4.4214872638109135</v>
      </c>
      <c r="AO201" s="26">
        <f>SUMIFS(相位SOC复算!$R$9:$R$929,相位SOC复算!$S$9:$S$929,193)</f>
        <v>7.2489002511681319E-2</v>
      </c>
      <c r="AP201" s="26">
        <f>相位SOC复算!J478</f>
        <v>35.728106323454419</v>
      </c>
      <c r="AQ201" s="27">
        <f t="shared" ref="AQ201:AQ264" si="83">AP201-J201</f>
        <v>0</v>
      </c>
      <c r="AR201" s="26">
        <f>IF(ISBLANK(原始输入与口径!M105),"",原始输入与口径!M105)</f>
        <v>5.2473000000000001</v>
      </c>
      <c r="AS201" s="29">
        <f>IF(ISBLANK(原始输入与口径!L105),"",原始输入与口径!L105)</f>
        <v>46234</v>
      </c>
      <c r="AT201" s="22">
        <f>IF(ISBLANK(原始输入与口径!A105),"",原始输入与口径!A105)</f>
        <v>46235.875</v>
      </c>
      <c r="AU201" s="26" t="str">
        <f>IF(ISBLANK(原始输入与口径!I105),"",原始输入与口径!I105)</f>
        <v>2026-08-01_93</v>
      </c>
      <c r="AV201" s="26">
        <f>IF(ISBLANK(原始输入与口径!J105),"",原始输入与口径!J105)</f>
        <v>15</v>
      </c>
      <c r="AW201" s="26" t="str">
        <f>IF(ISBLANK(原始输入与口径!BB105),"",原始输入与口径!BB105)</f>
        <v>OK</v>
      </c>
      <c r="AX201" s="26">
        <f>原始输入与口径!CI105</f>
        <v>128</v>
      </c>
      <c r="AY201" s="26">
        <f>原始输入与口径!BS105</f>
        <v>175</v>
      </c>
      <c r="AZ201" s="26">
        <f>原始输入与口径!BI105</f>
        <v>175</v>
      </c>
      <c r="BA201" s="26">
        <f>原始输入与口径!CM105</f>
        <v>40</v>
      </c>
      <c r="BB201" s="26">
        <f>原始输入与口径!BV105</f>
        <v>24</v>
      </c>
      <c r="BC201" s="26">
        <f>原始输入与口径!BL105</f>
        <v>24</v>
      </c>
      <c r="BD201" s="29">
        <f>46236</f>
        <v>46236</v>
      </c>
      <c r="BE201" s="30" t="str">
        <f t="shared" ref="BE201:BE264" si="84">IF(K201=0,"零头寸，无结算现金",TEXT(K201,"0.000000")&amp;" MW × "&amp;TEXT(B201,"0.000000")&amp;" × "&amp;TEXT(AC201,"0.000000")&amp;" h = "&amp;TEXT(Q201,"0.000000")&amp;" EUR")</f>
        <v>-18.458027 MW × 172.110000 × 0.250000 h = -794.202771 EUR</v>
      </c>
      <c r="BF201" s="30" t="str">
        <f t="shared" ref="BF201:BF264" si="85">IF(L201=0,"零头寸，无结算现金",TEXT(L201,"0.000000")&amp;" MW × "&amp;TEXT(C201,"0.000000")&amp;" × "&amp;TEXT(AC201,"0.000000")&amp;" h = "&amp;TEXT(R201,"0.000000")&amp;" EUR")</f>
        <v>40.000000 MW × 66.224535 × 0.250000 h = 662.245345 EUR</v>
      </c>
      <c r="BG201" s="30" t="str">
        <f t="shared" ref="BG201:BG264" si="86">IF(M201=0,"零头寸，无结算现金",TEXT(M201,"0.000000")&amp;" MW × "&amp;TEXT(D201,"0.000000")&amp;" × "&amp;TEXT(AC201,"0.000000")&amp;" h = "&amp;TEXT(S201,"0.000000")&amp;" EUR")</f>
        <v>24.000000 MW × 7.127475 × 0.250000 h = 42.764850 EUR</v>
      </c>
      <c r="BH201" s="30" t="str">
        <f t="shared" ref="BH201:BH264" si="87">IF(N201=0,"零头寸，无结算现金",TEXT(N201,"0.000000")&amp;" MW × "&amp;TEXT(E201,"0.000000")&amp;" × "&amp;TEXT(AC201,"0.000000")&amp;" h = "&amp;TEXT(T201,"0.000000")&amp;" EUR")</f>
        <v>24.000000 MW × 2.706154 × 0.250000 h = 16.236922 EUR</v>
      </c>
      <c r="BI201" s="30" t="str">
        <f t="shared" ref="BI201:BI264" si="88">IF(O201=0,"零上调激活电量",TEXT(O201,"0.000000")&amp;" MWh × "&amp;TEXT(F201,"0.000000")&amp;" = "&amp;TEXT(U201,"0.000000")&amp;" EUR")</f>
        <v>0.313920 MWh × 184.110304 = 57.795907 EUR</v>
      </c>
      <c r="BJ201" s="30" t="str">
        <f t="shared" ref="BJ201:BJ264" si="89">IF(P201=0,"零下调激活电量","−("&amp;TEXT(P201,"0.000000")&amp;" MWh × "&amp;TEXT(G201,"0.000000")&amp;") = "&amp;TEXT(V201,"0.000000")&amp;" EUR")</f>
        <v>−(0.048411 MWh × 77.182551) = -3.736518 EUR</v>
      </c>
      <c r="BK201" s="30" t="str">
        <f t="shared" ref="BK201:BK264" si="90">TEXT(Q201,"0.000000")&amp;" + "&amp;TEXT(R201,"0.000000")&amp;" + "&amp;TEXT(S201,"0.000000")&amp;" + "&amp;TEXT(T201,"0.000000")&amp;" + "&amp;TEXT(U201,"0.000000")&amp;" + "&amp;TEXT(V201,"0.000000")&amp;" = "&amp;TEXT(W201,"0.000000")&amp;" EUR"</f>
        <v>-794.202771 + 662.245345 + 42.764850 + 16.236922 + 57.795907 + -3.736518 = -18.896264 EUR</v>
      </c>
    </row>
    <row r="202" spans="1:63" ht="21" customHeight="1" x14ac:dyDescent="0.45">
      <c r="A202" s="13">
        <f>原始输入与口径!C106</f>
        <v>46236.010416666664</v>
      </c>
      <c r="B202" s="15">
        <f>IF(ISNUMBER(原始输入与口径!H106),原始输入与口径!H106,"缺失")</f>
        <v>171.94</v>
      </c>
      <c r="C202" s="15">
        <f>IF(ISNUMBER(原始输入与口径!R106),原始输入与口径!R106,"缺失")</f>
        <v>66.224534522516336</v>
      </c>
      <c r="D202" s="15">
        <f>IF(ISNUMBER(原始输入与口径!W106),原始输入与口径!W106,"缺失")</f>
        <v>7.1274750824233415</v>
      </c>
      <c r="E202" s="15">
        <f>IF(ISNUMBER(原始输入与口径!AB106),原始输入与口径!AB106,"缺失")</f>
        <v>2.7061536409200921</v>
      </c>
      <c r="F202" s="15">
        <f>IF(ISNUMBER(原始输入与口径!AG106),原始输入与口径!AG106,"缺失")</f>
        <v>0</v>
      </c>
      <c r="G202" s="15">
        <f>IF(ISNUMBER(原始输入与口径!AJ106),原始输入与口径!AJ106,"缺失")</f>
        <v>70.316734320507692</v>
      </c>
      <c r="H202" s="15" t="str">
        <f t="shared" si="69"/>
        <v>未模拟</v>
      </c>
      <c r="I202" s="16">
        <f>原始输入与口径!CD106</f>
        <v>35.728106323454419</v>
      </c>
      <c r="J202" s="16">
        <f>原始输入与口径!CE106</f>
        <v>36.436685066311561</v>
      </c>
      <c r="K202" s="16">
        <f>原始输入与口径!BZ106</f>
        <v>0</v>
      </c>
      <c r="L202" s="16">
        <f>原始输入与口径!CK106</f>
        <v>40</v>
      </c>
      <c r="M202" s="16">
        <f>原始输入与口径!BT106</f>
        <v>24</v>
      </c>
      <c r="N202" s="16">
        <f>原始输入与口径!BJ106</f>
        <v>24</v>
      </c>
      <c r="O202" s="16">
        <f t="shared" si="70"/>
        <v>0</v>
      </c>
      <c r="P202" s="16">
        <f t="shared" si="71"/>
        <v>0.77019428571428561</v>
      </c>
      <c r="Q202" s="17">
        <f t="shared" si="72"/>
        <v>0</v>
      </c>
      <c r="R202" s="17">
        <f t="shared" si="73"/>
        <v>662.24534522516342</v>
      </c>
      <c r="S202" s="17">
        <f t="shared" si="74"/>
        <v>42.764850494540049</v>
      </c>
      <c r="T202" s="17">
        <f t="shared" si="75"/>
        <v>16.236921845520552</v>
      </c>
      <c r="U202" s="17">
        <f t="shared" si="76"/>
        <v>0</v>
      </c>
      <c r="V202" s="17">
        <f t="shared" si="77"/>
        <v>-54.157546963744615</v>
      </c>
      <c r="W202" s="17">
        <f t="shared" si="78"/>
        <v>667.08957060147941</v>
      </c>
      <c r="X202" s="12">
        <f>原始输入与口径!CP106</f>
        <v>667.08957060147941</v>
      </c>
      <c r="Y202" s="19">
        <f t="shared" si="79"/>
        <v>0</v>
      </c>
      <c r="Z202" s="12" t="str">
        <f t="shared" si="80"/>
        <v>当日执行</v>
      </c>
      <c r="AA202" s="12">
        <f>IF(原始输入与口径!AW106,1,0)</f>
        <v>1</v>
      </c>
      <c r="AB202" s="12">
        <f>IF(原始输入与口径!AY106,1,0)</f>
        <v>1</v>
      </c>
      <c r="AC202" s="12">
        <f>原始输入与口径!$F$5</f>
        <v>0.25</v>
      </c>
      <c r="AD202" s="18">
        <f>原始输入与口径!CG106</f>
        <v>0.3125</v>
      </c>
      <c r="AE202" s="18">
        <f>原始输入与口径!BQ106</f>
        <v>0.13714285714285715</v>
      </c>
      <c r="AF202" s="18">
        <f t="shared" si="81"/>
        <v>0</v>
      </c>
      <c r="AG202" s="18">
        <f t="shared" si="82"/>
        <v>0.12836571428571428</v>
      </c>
      <c r="AH202" s="12">
        <f>IF(ISNUMBER(原始输入与口径!T106),原始输入与口径!T106,"缺失")</f>
        <v>175</v>
      </c>
      <c r="AI202" s="12">
        <f>IF(ISNUMBER(原始输入与口径!Y106),原始输入与口径!Y106,"缺失")</f>
        <v>175</v>
      </c>
      <c r="AJ202" s="12">
        <f>IF(ISNUMBER(原始输入与口径!AI106),原始输入与口径!AI106,"缺失")</f>
        <v>0</v>
      </c>
      <c r="AK202" s="12">
        <f>IF(ISNUMBER(原始输入与口径!AL106),原始输入与口径!AL106,"缺失")</f>
        <v>5.6159999999999997</v>
      </c>
      <c r="AL202" s="12">
        <f>IF(ISNUMBER(原始输入与口径!O106),原始输入与口径!O106,"缺失")</f>
        <v>131.96799999999999</v>
      </c>
      <c r="AM202" s="12">
        <f>SUMIFS(相位SOC复算!$N$9:$N$929,相位SOC复算!$S$9:$S$929,194)</f>
        <v>1.9682742857142855E-3</v>
      </c>
      <c r="AN202" s="12">
        <f>SUMIFS(相位SOC复算!$Q$9:$Q$929,相位SOC复算!$S$9:$S$929,194)</f>
        <v>0.77019428571428561</v>
      </c>
      <c r="AO202" s="12">
        <f>SUMIFS(相位SOC复算!$R$9:$R$929,相位SOC复算!$S$9:$S$929,194)</f>
        <v>0</v>
      </c>
      <c r="AP202" s="12">
        <f>相位SOC复算!J480</f>
        <v>36.436685066311561</v>
      </c>
      <c r="AQ202" s="19">
        <f t="shared" si="83"/>
        <v>0</v>
      </c>
      <c r="AR202" s="12">
        <f>IF(ISBLANK(原始输入与口径!M106),"",原始输入与口径!M106)</f>
        <v>5.2473000000000001</v>
      </c>
      <c r="AS202" s="14">
        <f>IF(ISBLANK(原始输入与口径!L106),"",原始输入与口径!L106)</f>
        <v>46234</v>
      </c>
      <c r="AT202" s="13">
        <f>IF(ISBLANK(原始输入与口径!A106),"",原始输入与口径!A106)</f>
        <v>46235.885416666664</v>
      </c>
      <c r="AU202" s="12" t="str">
        <f>IF(ISBLANK(原始输入与口径!I106),"",原始输入与口径!I106)</f>
        <v>2026-08-01_94</v>
      </c>
      <c r="AV202" s="12">
        <f>IF(ISBLANK(原始输入与口径!J106),"",原始输入与口径!J106)</f>
        <v>15</v>
      </c>
      <c r="AW202" s="12" t="str">
        <f>IF(ISBLANK(原始输入与口径!BB106),"",原始输入与口径!BB106)</f>
        <v>OK</v>
      </c>
      <c r="AX202" s="12">
        <f>原始输入与口径!CI106</f>
        <v>128</v>
      </c>
      <c r="AY202" s="12">
        <f>原始输入与口径!BS106</f>
        <v>175</v>
      </c>
      <c r="AZ202" s="12">
        <f>原始输入与口径!BI106</f>
        <v>175</v>
      </c>
      <c r="BA202" s="12">
        <f>原始输入与口径!CM106</f>
        <v>40</v>
      </c>
      <c r="BB202" s="12">
        <f>原始输入与口径!BV106</f>
        <v>24</v>
      </c>
      <c r="BC202" s="12">
        <f>原始输入与口径!BL106</f>
        <v>24</v>
      </c>
      <c r="BD202" s="14">
        <f>46236</f>
        <v>46236</v>
      </c>
      <c r="BE202" s="1" t="str">
        <f t="shared" si="84"/>
        <v>零头寸，无结算现金</v>
      </c>
      <c r="BF202" s="1" t="str">
        <f t="shared" si="85"/>
        <v>40.000000 MW × 66.224535 × 0.250000 h = 662.245345 EUR</v>
      </c>
      <c r="BG202" s="1" t="str">
        <f t="shared" si="86"/>
        <v>24.000000 MW × 7.127475 × 0.250000 h = 42.764850 EUR</v>
      </c>
      <c r="BH202" s="1" t="str">
        <f t="shared" si="87"/>
        <v>24.000000 MW × 2.706154 × 0.250000 h = 16.236922 EUR</v>
      </c>
      <c r="BI202" s="1" t="str">
        <f t="shared" si="88"/>
        <v>零上调激活电量</v>
      </c>
      <c r="BJ202" s="1" t="str">
        <f t="shared" si="89"/>
        <v>−(0.770194 MWh × 70.316734) = -54.157547 EUR</v>
      </c>
      <c r="BK202" s="1" t="str">
        <f t="shared" si="90"/>
        <v>0.000000 + 662.245345 + 42.764850 + 16.236922 + 0.000000 + -54.157547 = 667.089571 EUR</v>
      </c>
    </row>
    <row r="203" spans="1:63" ht="21" customHeight="1" x14ac:dyDescent="0.45">
      <c r="A203" s="13">
        <f>原始输入与口径!C107</f>
        <v>46236.020833333336</v>
      </c>
      <c r="B203" s="15">
        <f>IF(ISNUMBER(原始输入与口径!H107),原始输入与口径!H107,"缺失")</f>
        <v>171.23</v>
      </c>
      <c r="C203" s="15">
        <f>IF(ISNUMBER(原始输入与口径!R107),原始输入与口径!R107,"缺失")</f>
        <v>66.224534522516336</v>
      </c>
      <c r="D203" s="15">
        <f>IF(ISNUMBER(原始输入与口径!W107),原始输入与口径!W107,"缺失")</f>
        <v>7.1274750824233415</v>
      </c>
      <c r="E203" s="15">
        <f>IF(ISNUMBER(原始输入与口径!AB107),原始输入与口径!AB107,"缺失")</f>
        <v>2.7061536409200921</v>
      </c>
      <c r="F203" s="15">
        <f>IF(ISNUMBER(原始输入与口径!AG107),原始输入与口径!AG107,"缺失")</f>
        <v>176.42482800678445</v>
      </c>
      <c r="G203" s="15">
        <f>IF(ISNUMBER(原始输入与口径!AJ107),原始输入与口径!AJ107,"缺失")</f>
        <v>70.125588397842705</v>
      </c>
      <c r="H203" s="15" t="str">
        <f t="shared" si="69"/>
        <v>未模拟</v>
      </c>
      <c r="I203" s="16">
        <f>原始输入与口径!CD107</f>
        <v>36.436685066311561</v>
      </c>
      <c r="J203" s="16">
        <f>原始输入与口径!CE107</f>
        <v>36.463172956994789</v>
      </c>
      <c r="K203" s="16">
        <f>原始输入与口径!BZ107</f>
        <v>0</v>
      </c>
      <c r="L203" s="16">
        <f>原始输入与口径!CK107</f>
        <v>40</v>
      </c>
      <c r="M203" s="16">
        <f>原始输入与口径!BT107</f>
        <v>24</v>
      </c>
      <c r="N203" s="16">
        <f>原始输入与口径!BJ107</f>
        <v>24</v>
      </c>
      <c r="O203" s="16">
        <f t="shared" si="70"/>
        <v>0.11945142857142857</v>
      </c>
      <c r="P203" s="16">
        <f t="shared" si="71"/>
        <v>0.16992000000000002</v>
      </c>
      <c r="Q203" s="17">
        <f t="shared" si="72"/>
        <v>0</v>
      </c>
      <c r="R203" s="17">
        <f t="shared" si="73"/>
        <v>662.24534522516342</v>
      </c>
      <c r="S203" s="17">
        <f t="shared" si="74"/>
        <v>42.764850494540049</v>
      </c>
      <c r="T203" s="17">
        <f t="shared" si="75"/>
        <v>16.236921845520552</v>
      </c>
      <c r="U203" s="17">
        <f t="shared" si="76"/>
        <v>21.074197740878983</v>
      </c>
      <c r="V203" s="17">
        <f t="shared" si="77"/>
        <v>-11.915739980561433</v>
      </c>
      <c r="W203" s="17">
        <f t="shared" si="78"/>
        <v>730.40557532554158</v>
      </c>
      <c r="X203" s="12">
        <f>原始输入与口径!CP107</f>
        <v>730.40557532554158</v>
      </c>
      <c r="Y203" s="19">
        <f t="shared" si="79"/>
        <v>0</v>
      </c>
      <c r="Z203" s="12" t="str">
        <f t="shared" si="80"/>
        <v>当日执行</v>
      </c>
      <c r="AA203" s="12">
        <f>IF(原始输入与口径!AW107,1,0)</f>
        <v>1</v>
      </c>
      <c r="AB203" s="12">
        <f>IF(原始输入与口径!AY107,1,0)</f>
        <v>1</v>
      </c>
      <c r="AC203" s="12">
        <f>原始输入与口径!$F$5</f>
        <v>0.25</v>
      </c>
      <c r="AD203" s="18">
        <f>原始输入与口径!CG107</f>
        <v>0.3125</v>
      </c>
      <c r="AE203" s="18">
        <f>原始输入与口径!BQ107</f>
        <v>0.13714285714285715</v>
      </c>
      <c r="AF203" s="18">
        <f t="shared" si="81"/>
        <v>1.9908571428571428E-2</v>
      </c>
      <c r="AG203" s="18">
        <f t="shared" si="82"/>
        <v>2.8320000000000001E-2</v>
      </c>
      <c r="AH203" s="12">
        <f>IF(ISNUMBER(原始输入与口径!T107),原始输入与口径!T107,"缺失")</f>
        <v>175</v>
      </c>
      <c r="AI203" s="12">
        <f>IF(ISNUMBER(原始输入与口径!Y107),原始输入与口径!Y107,"缺失")</f>
        <v>175</v>
      </c>
      <c r="AJ203" s="12">
        <f>IF(ISNUMBER(原始输入与口径!AI107),原始输入与口径!AI107,"缺失")</f>
        <v>0.871</v>
      </c>
      <c r="AK203" s="12">
        <f>IF(ISNUMBER(原始输入与口径!AL107),原始输入与口径!AL107,"缺失")</f>
        <v>1.2390000000000001</v>
      </c>
      <c r="AL203" s="12">
        <f>IF(ISNUMBER(原始输入与口径!O107),原始输入与口径!O107,"缺失")</f>
        <v>131.96799999999999</v>
      </c>
      <c r="AM203" s="12">
        <f>SUMIFS(相位SOC复算!$N$9:$N$929,相位SOC复算!$S$9:$S$929,195)</f>
        <v>7.949025258799172E-4</v>
      </c>
      <c r="AN203" s="12">
        <f>SUMIFS(相位SOC复算!$Q$9:$Q$929,相位SOC复算!$S$9:$S$929,195)</f>
        <v>0.16992000000000002</v>
      </c>
      <c r="AO203" s="12">
        <f>SUMIFS(相位SOC复算!$R$9:$R$929,相位SOC复算!$S$9:$S$929,195)</f>
        <v>0.11945142857142857</v>
      </c>
      <c r="AP203" s="12">
        <f>相位SOC复算!J483</f>
        <v>36.463172956994789</v>
      </c>
      <c r="AQ203" s="19">
        <f t="shared" si="83"/>
        <v>0</v>
      </c>
      <c r="AR203" s="12">
        <f>IF(ISBLANK(原始输入与口径!M107),"",原始输入与口径!M107)</f>
        <v>5.2473000000000001</v>
      </c>
      <c r="AS203" s="14">
        <f>IF(ISBLANK(原始输入与口径!L107),"",原始输入与口径!L107)</f>
        <v>46234</v>
      </c>
      <c r="AT203" s="13">
        <f>IF(ISBLANK(原始输入与口径!A107),"",原始输入与口径!A107)</f>
        <v>46235.895833333336</v>
      </c>
      <c r="AU203" s="12" t="str">
        <f>IF(ISBLANK(原始输入与口径!I107),"",原始输入与口径!I107)</f>
        <v>2026-08-01_95</v>
      </c>
      <c r="AV203" s="12">
        <f>IF(ISBLANK(原始输入与口径!J107),"",原始输入与口径!J107)</f>
        <v>15</v>
      </c>
      <c r="AW203" s="12" t="str">
        <f>IF(ISBLANK(原始输入与口径!BB107),"",原始输入与口径!BB107)</f>
        <v>OK</v>
      </c>
      <c r="AX203" s="12">
        <f>原始输入与口径!CI107</f>
        <v>128</v>
      </c>
      <c r="AY203" s="12">
        <f>原始输入与口径!BS107</f>
        <v>175</v>
      </c>
      <c r="AZ203" s="12">
        <f>原始输入与口径!BI107</f>
        <v>175</v>
      </c>
      <c r="BA203" s="12">
        <f>原始输入与口径!CM107</f>
        <v>40</v>
      </c>
      <c r="BB203" s="12">
        <f>原始输入与口径!BV107</f>
        <v>24</v>
      </c>
      <c r="BC203" s="12">
        <f>原始输入与口径!BL107</f>
        <v>24</v>
      </c>
      <c r="BD203" s="14">
        <f>46236</f>
        <v>46236</v>
      </c>
      <c r="BE203" s="1" t="str">
        <f t="shared" si="84"/>
        <v>零头寸，无结算现金</v>
      </c>
      <c r="BF203" s="1" t="str">
        <f t="shared" si="85"/>
        <v>40.000000 MW × 66.224535 × 0.250000 h = 662.245345 EUR</v>
      </c>
      <c r="BG203" s="1" t="str">
        <f t="shared" si="86"/>
        <v>24.000000 MW × 7.127475 × 0.250000 h = 42.764850 EUR</v>
      </c>
      <c r="BH203" s="1" t="str">
        <f t="shared" si="87"/>
        <v>24.000000 MW × 2.706154 × 0.250000 h = 16.236922 EUR</v>
      </c>
      <c r="BI203" s="1" t="str">
        <f t="shared" si="88"/>
        <v>0.119451 MWh × 176.424828 = 21.074198 EUR</v>
      </c>
      <c r="BJ203" s="1" t="str">
        <f t="shared" si="89"/>
        <v>−(0.169920 MWh × 70.125588) = -11.915740 EUR</v>
      </c>
      <c r="BK203" s="1" t="str">
        <f t="shared" si="90"/>
        <v>0.000000 + 662.245345 + 42.764850 + 16.236922 + 21.074198 + -11.915740 = 730.405575 EUR</v>
      </c>
    </row>
    <row r="204" spans="1:63" ht="21" customHeight="1" x14ac:dyDescent="0.45">
      <c r="A204" s="13">
        <f>原始输入与口径!C108</f>
        <v>46236.03125</v>
      </c>
      <c r="B204" s="15">
        <f>IF(ISNUMBER(原始输入与口径!H108),原始输入与口径!H108,"缺失")</f>
        <v>164.72</v>
      </c>
      <c r="C204" s="15">
        <f>IF(ISNUMBER(原始输入与口径!R108),原始输入与口径!R108,"缺失")</f>
        <v>66.224534522516336</v>
      </c>
      <c r="D204" s="15">
        <f>IF(ISNUMBER(原始输入与口径!W108),原始输入与口径!W108,"缺失")</f>
        <v>7.1274750824233415</v>
      </c>
      <c r="E204" s="15">
        <f>IF(ISNUMBER(原始输入与口径!AB108),原始输入与口径!AB108,"缺失")</f>
        <v>2.7061536409200921</v>
      </c>
      <c r="F204" s="15">
        <f>IF(ISNUMBER(原始输入与口径!AG108),原始输入与口径!AG108,"缺失")</f>
        <v>157.46479141653802</v>
      </c>
      <c r="G204" s="15">
        <f>IF(ISNUMBER(原始输入与口径!AJ108),原始输入与口径!AJ108,"缺失")</f>
        <v>76.98549730337507</v>
      </c>
      <c r="H204" s="15" t="str">
        <f t="shared" si="69"/>
        <v>未模拟</v>
      </c>
      <c r="I204" s="16">
        <f>原始输入与口径!CD108</f>
        <v>36.463172956994789</v>
      </c>
      <c r="J204" s="16">
        <f>原始输入与口径!CE108</f>
        <v>36.568693056373668</v>
      </c>
      <c r="K204" s="16">
        <f>原始输入与口径!BZ108</f>
        <v>0</v>
      </c>
      <c r="L204" s="16">
        <f>原始输入与口径!CK108</f>
        <v>40</v>
      </c>
      <c r="M204" s="16">
        <f>原始输入与口径!BT108</f>
        <v>24</v>
      </c>
      <c r="N204" s="16">
        <f>原始输入与口径!BJ108</f>
        <v>24</v>
      </c>
      <c r="O204" s="16">
        <f t="shared" si="70"/>
        <v>2.0159999999999997E-2</v>
      </c>
      <c r="P204" s="16">
        <f t="shared" si="71"/>
        <v>0.1385142857142857</v>
      </c>
      <c r="Q204" s="17">
        <f t="shared" si="72"/>
        <v>0</v>
      </c>
      <c r="R204" s="17">
        <f t="shared" si="73"/>
        <v>662.24534522516342</v>
      </c>
      <c r="S204" s="17">
        <f t="shared" si="74"/>
        <v>42.764850494540049</v>
      </c>
      <c r="T204" s="17">
        <f t="shared" si="75"/>
        <v>16.236921845520552</v>
      </c>
      <c r="U204" s="17">
        <f t="shared" si="76"/>
        <v>3.1744901949574063</v>
      </c>
      <c r="V204" s="17">
        <f t="shared" si="77"/>
        <v>-10.663591169336065</v>
      </c>
      <c r="W204" s="17">
        <f t="shared" si="78"/>
        <v>713.75801659084539</v>
      </c>
      <c r="X204" s="12">
        <f>原始输入与口径!CP108</f>
        <v>713.75801659084539</v>
      </c>
      <c r="Y204" s="19">
        <f t="shared" si="79"/>
        <v>0</v>
      </c>
      <c r="Z204" s="12" t="str">
        <f t="shared" si="80"/>
        <v>当日执行</v>
      </c>
      <c r="AA204" s="12">
        <f>IF(原始输入与口径!AW108,1,0)</f>
        <v>1</v>
      </c>
      <c r="AB204" s="12">
        <f>IF(原始输入与口径!AY108,1,0)</f>
        <v>1</v>
      </c>
      <c r="AC204" s="12">
        <f>原始输入与口径!$F$5</f>
        <v>0.25</v>
      </c>
      <c r="AD204" s="18">
        <f>原始输入与口径!CG108</f>
        <v>0.3125</v>
      </c>
      <c r="AE204" s="18">
        <f>原始输入与口径!BQ108</f>
        <v>0.13714285714285715</v>
      </c>
      <c r="AF204" s="18">
        <f t="shared" si="81"/>
        <v>3.3599999999999997E-3</v>
      </c>
      <c r="AG204" s="18">
        <f t="shared" si="82"/>
        <v>2.3085714285714286E-2</v>
      </c>
      <c r="AH204" s="12">
        <f>IF(ISNUMBER(原始输入与口径!T108),原始输入与口径!T108,"缺失")</f>
        <v>175</v>
      </c>
      <c r="AI204" s="12">
        <f>IF(ISNUMBER(原始输入与口径!Y108),原始输入与口径!Y108,"缺失")</f>
        <v>175</v>
      </c>
      <c r="AJ204" s="12">
        <f>IF(ISNUMBER(原始输入与口径!AI108),原始输入与口径!AI108,"缺失")</f>
        <v>0.14699999999999999</v>
      </c>
      <c r="AK204" s="12">
        <f>IF(ISNUMBER(原始输入与口径!AL108),原始输入与口径!AL108,"缺失")</f>
        <v>1.01</v>
      </c>
      <c r="AL204" s="12">
        <f>IF(ISNUMBER(原始输入与口径!O108),原始输入与口径!O108,"缺失")</f>
        <v>131.96799999999999</v>
      </c>
      <c r="AM204" s="12">
        <f>SUMIFS(相位SOC复算!$N$9:$N$929,相位SOC复算!$S$9:$S$929,196)</f>
        <v>4.1485051759834366E-4</v>
      </c>
      <c r="AN204" s="12">
        <f>SUMIFS(相位SOC复算!$Q$9:$Q$929,相位SOC复算!$S$9:$S$929,196)</f>
        <v>0.1385142857142857</v>
      </c>
      <c r="AO204" s="12">
        <f>SUMIFS(相位SOC复算!$R$9:$R$929,相位SOC复算!$S$9:$S$929,196)</f>
        <v>2.0159999999999997E-2</v>
      </c>
      <c r="AP204" s="12">
        <f>相位SOC复算!J486</f>
        <v>36.568693056373668</v>
      </c>
      <c r="AQ204" s="19">
        <f t="shared" si="83"/>
        <v>0</v>
      </c>
      <c r="AR204" s="12">
        <f>IF(ISBLANK(原始输入与口径!M108),"",原始输入与口径!M108)</f>
        <v>5.2473000000000001</v>
      </c>
      <c r="AS204" s="14">
        <f>IF(ISBLANK(原始输入与口径!L108),"",原始输入与口径!L108)</f>
        <v>46234</v>
      </c>
      <c r="AT204" s="13">
        <f>IF(ISBLANK(原始输入与口径!A108),"",原始输入与口径!A108)</f>
        <v>46235.90625</v>
      </c>
      <c r="AU204" s="12" t="str">
        <f>IF(ISBLANK(原始输入与口径!I108),"",原始输入与口径!I108)</f>
        <v>2026-08-01_96</v>
      </c>
      <c r="AV204" s="12">
        <f>IF(ISBLANK(原始输入与口径!J108),"",原始输入与口径!J108)</f>
        <v>15</v>
      </c>
      <c r="AW204" s="12" t="str">
        <f>IF(ISBLANK(原始输入与口径!BB108),"",原始输入与口径!BB108)</f>
        <v>OK</v>
      </c>
      <c r="AX204" s="12">
        <f>原始输入与口径!CI108</f>
        <v>128</v>
      </c>
      <c r="AY204" s="12">
        <f>原始输入与口径!BS108</f>
        <v>175</v>
      </c>
      <c r="AZ204" s="12">
        <f>原始输入与口径!BI108</f>
        <v>175</v>
      </c>
      <c r="BA204" s="12">
        <f>原始输入与口径!CM108</f>
        <v>40</v>
      </c>
      <c r="BB204" s="12">
        <f>原始输入与口径!BV108</f>
        <v>24</v>
      </c>
      <c r="BC204" s="12">
        <f>原始输入与口径!BL108</f>
        <v>24</v>
      </c>
      <c r="BD204" s="14">
        <f>46236</f>
        <v>46236</v>
      </c>
      <c r="BE204" s="1" t="str">
        <f t="shared" si="84"/>
        <v>零头寸，无结算现金</v>
      </c>
      <c r="BF204" s="1" t="str">
        <f t="shared" si="85"/>
        <v>40.000000 MW × 66.224535 × 0.250000 h = 662.245345 EUR</v>
      </c>
      <c r="BG204" s="1" t="str">
        <f t="shared" si="86"/>
        <v>24.000000 MW × 7.127475 × 0.250000 h = 42.764850 EUR</v>
      </c>
      <c r="BH204" s="1" t="str">
        <f t="shared" si="87"/>
        <v>24.000000 MW × 2.706154 × 0.250000 h = 16.236922 EUR</v>
      </c>
      <c r="BI204" s="1" t="str">
        <f t="shared" si="88"/>
        <v>0.020160 MWh × 157.464791 = 3.174490 EUR</v>
      </c>
      <c r="BJ204" s="1" t="str">
        <f t="shared" si="89"/>
        <v>−(0.138514 MWh × 76.985497) = -10.663591 EUR</v>
      </c>
      <c r="BK204" s="1" t="str">
        <f t="shared" si="90"/>
        <v>0.000000 + 662.245345 + 42.764850 + 16.236922 + 3.174490 + -10.663591 = 713.758017 EUR</v>
      </c>
    </row>
    <row r="205" spans="1:63" ht="21" customHeight="1" x14ac:dyDescent="0.45">
      <c r="A205" s="13">
        <f>原始输入与口径!C109</f>
        <v>46236.041666666664</v>
      </c>
      <c r="B205" s="15">
        <f>IF(ISNUMBER(原始输入与口径!H109),原始输入与口径!H109,"缺失")</f>
        <v>189.01</v>
      </c>
      <c r="C205" s="15">
        <f>IF(ISNUMBER(原始输入与口径!R109),原始输入与口径!R109,"缺失")</f>
        <v>66.224534522516336</v>
      </c>
      <c r="D205" s="15">
        <f>IF(ISNUMBER(原始输入与口径!W109),原始输入与口径!W109,"缺失")</f>
        <v>7.1274750824233415</v>
      </c>
      <c r="E205" s="15">
        <f>IF(ISNUMBER(原始输入与口径!AB109),原始输入与口径!AB109,"缺失")</f>
        <v>2.7061536409200921</v>
      </c>
      <c r="F205" s="15">
        <f>IF(ISNUMBER(原始输入与口径!AG109),原始输入与口径!AG109,"缺失")</f>
        <v>0</v>
      </c>
      <c r="G205" s="15">
        <f>IF(ISNUMBER(原始输入与口径!AJ109),原始输入与口径!AJ109,"缺失")</f>
        <v>76.829988756122191</v>
      </c>
      <c r="H205" s="15" t="str">
        <f t="shared" si="69"/>
        <v>未模拟</v>
      </c>
      <c r="I205" s="16">
        <f>原始输入与口径!CD109</f>
        <v>36.568693056373668</v>
      </c>
      <c r="J205" s="16">
        <f>原始输入与口径!CE109</f>
        <v>31.739130434782588</v>
      </c>
      <c r="K205" s="16">
        <f>原始输入与口径!BZ109</f>
        <v>21.150137638703697</v>
      </c>
      <c r="L205" s="16">
        <f>原始输入与口径!CK109</f>
        <v>40</v>
      </c>
      <c r="M205" s="16">
        <f>原始输入与口径!BT109</f>
        <v>24</v>
      </c>
      <c r="N205" s="16">
        <f>原始输入与口径!BJ109</f>
        <v>24</v>
      </c>
      <c r="O205" s="16">
        <f t="shared" si="70"/>
        <v>0</v>
      </c>
      <c r="P205" s="16">
        <f t="shared" si="71"/>
        <v>0.8600228571428572</v>
      </c>
      <c r="Q205" s="17">
        <f t="shared" si="72"/>
        <v>999.39687877284643</v>
      </c>
      <c r="R205" s="17">
        <f t="shared" si="73"/>
        <v>662.24534522516342</v>
      </c>
      <c r="S205" s="17">
        <f t="shared" si="74"/>
        <v>42.764850494540049</v>
      </c>
      <c r="T205" s="17">
        <f t="shared" si="75"/>
        <v>16.236921845520552</v>
      </c>
      <c r="U205" s="17">
        <f t="shared" si="76"/>
        <v>0</v>
      </c>
      <c r="V205" s="17">
        <f t="shared" si="77"/>
        <v>-66.075546444293806</v>
      </c>
      <c r="W205" s="17">
        <f t="shared" si="78"/>
        <v>1654.5684498937765</v>
      </c>
      <c r="X205" s="12">
        <f>原始输入与口径!CP109</f>
        <v>1654.5684498937767</v>
      </c>
      <c r="Y205" s="19">
        <f t="shared" si="79"/>
        <v>0</v>
      </c>
      <c r="Z205" s="12" t="str">
        <f t="shared" si="80"/>
        <v>当日执行</v>
      </c>
      <c r="AA205" s="12">
        <f>IF(原始输入与口径!AW109,1,0)</f>
        <v>1</v>
      </c>
      <c r="AB205" s="12">
        <f>IF(原始输入与口径!AY109,1,0)</f>
        <v>1</v>
      </c>
      <c r="AC205" s="12">
        <f>原始输入与口径!$F$5</f>
        <v>0.25</v>
      </c>
      <c r="AD205" s="18">
        <f>原始输入与口径!CG109</f>
        <v>0.3125</v>
      </c>
      <c r="AE205" s="18">
        <f>原始输入与口径!BQ109</f>
        <v>0.13714285714285715</v>
      </c>
      <c r="AF205" s="18">
        <f t="shared" si="81"/>
        <v>0</v>
      </c>
      <c r="AG205" s="18">
        <f t="shared" si="82"/>
        <v>0.14333714285714286</v>
      </c>
      <c r="AH205" s="12">
        <f>IF(ISNUMBER(原始输入与口径!T109),原始输入与口径!T109,"缺失")</f>
        <v>175</v>
      </c>
      <c r="AI205" s="12">
        <f>IF(ISNUMBER(原始输入与口径!Y109),原始输入与口径!Y109,"缺失")</f>
        <v>175</v>
      </c>
      <c r="AJ205" s="12">
        <f>IF(ISNUMBER(原始输入与口径!AI109),原始输入与口径!AI109,"缺失")</f>
        <v>0</v>
      </c>
      <c r="AK205" s="12">
        <f>IF(ISNUMBER(原始输入与口径!AL109),原始输入与口径!AL109,"缺失")</f>
        <v>6.2709999999999999</v>
      </c>
      <c r="AL205" s="12">
        <f>IF(ISNUMBER(原始输入与口径!O109),原始输入与口径!O109,"缺失")</f>
        <v>128</v>
      </c>
      <c r="AM205" s="12">
        <f>SUMIFS(相位SOC复算!$N$9:$N$929,相位SOC复算!$S$9:$S$929,197)</f>
        <v>1.39374126129363E-2</v>
      </c>
      <c r="AN205" s="12">
        <f>SUMIFS(相位SOC复算!$Q$9:$Q$929,相位SOC复算!$S$9:$S$929,197)</f>
        <v>0.10212278210108067</v>
      </c>
      <c r="AO205" s="12">
        <f>SUMIFS(相位SOC复算!$R$9:$R$929,相位SOC复算!$S$9:$S$929,197)</f>
        <v>4.5296343346341477</v>
      </c>
      <c r="AP205" s="12">
        <f>相位SOC复算!J488</f>
        <v>31.739130434782584</v>
      </c>
      <c r="AQ205" s="19">
        <f t="shared" si="83"/>
        <v>0</v>
      </c>
      <c r="AR205" s="12">
        <f>IF(ISBLANK(原始输入与口径!M109),"",原始输入与口径!M109)</f>
        <v>5.2473000000000001</v>
      </c>
      <c r="AS205" s="14">
        <f>IF(ISBLANK(原始输入与口径!L109),"",原始输入与口径!L109)</f>
        <v>46234</v>
      </c>
      <c r="AT205" s="13">
        <f>IF(ISBLANK(原始输入与口径!A109),"",原始输入与口径!A109)</f>
        <v>46235.916666666664</v>
      </c>
      <c r="AU205" s="12" t="str">
        <f>IF(ISBLANK(原始输入与口径!I109),"",原始输入与口径!I109)</f>
        <v>2026-08-02_1</v>
      </c>
      <c r="AV205" s="12">
        <f>IF(ISBLANK(原始输入与口径!J109),"",原始输入与口径!J109)</f>
        <v>15</v>
      </c>
      <c r="AW205" s="12" t="str">
        <f>IF(ISBLANK(原始输入与口径!BB109),"",原始输入与口径!BB109)</f>
        <v>OK</v>
      </c>
      <c r="AX205" s="12">
        <f>原始输入与口径!CI109</f>
        <v>128</v>
      </c>
      <c r="AY205" s="12">
        <f>原始输入与口径!BS109</f>
        <v>175</v>
      </c>
      <c r="AZ205" s="12">
        <f>原始输入与口径!BI109</f>
        <v>175</v>
      </c>
      <c r="BA205" s="12">
        <f>原始输入与口径!CM109</f>
        <v>40</v>
      </c>
      <c r="BB205" s="12">
        <f>原始输入与口径!BV109</f>
        <v>24</v>
      </c>
      <c r="BC205" s="12">
        <f>原始输入与口径!BL109</f>
        <v>24</v>
      </c>
      <c r="BD205" s="14">
        <f>46236</f>
        <v>46236</v>
      </c>
      <c r="BE205" s="1" t="str">
        <f t="shared" si="84"/>
        <v>21.150138 MW × 189.010000 × 0.250000 h = 999.396879 EUR</v>
      </c>
      <c r="BF205" s="1" t="str">
        <f t="shared" si="85"/>
        <v>40.000000 MW × 66.224535 × 0.250000 h = 662.245345 EUR</v>
      </c>
      <c r="BG205" s="1" t="str">
        <f t="shared" si="86"/>
        <v>24.000000 MW × 7.127475 × 0.250000 h = 42.764850 EUR</v>
      </c>
      <c r="BH205" s="1" t="str">
        <f t="shared" si="87"/>
        <v>24.000000 MW × 2.706154 × 0.250000 h = 16.236922 EUR</v>
      </c>
      <c r="BI205" s="1" t="str">
        <f t="shared" si="88"/>
        <v>零上调激活电量</v>
      </c>
      <c r="BJ205" s="1" t="str">
        <f t="shared" si="89"/>
        <v>−(0.860023 MWh × 76.829989) = -66.075546 EUR</v>
      </c>
      <c r="BK205" s="1" t="str">
        <f t="shared" si="90"/>
        <v>999.396879 + 662.245345 + 42.764850 + 16.236922 + 0.000000 + -66.075546 = 1654.568450 EUR</v>
      </c>
    </row>
    <row r="206" spans="1:63" ht="21" customHeight="1" x14ac:dyDescent="0.45">
      <c r="A206" s="13">
        <f>原始输入与口径!C110</f>
        <v>46236.052083333336</v>
      </c>
      <c r="B206" s="15">
        <f>IF(ISNUMBER(原始输入与口径!H110),原始输入与口径!H110,"缺失")</f>
        <v>171.26</v>
      </c>
      <c r="C206" s="15">
        <f>IF(ISNUMBER(原始输入与口径!R110),原始输入与口径!R110,"缺失")</f>
        <v>66.224534522516336</v>
      </c>
      <c r="D206" s="15">
        <f>IF(ISNUMBER(原始输入与口径!W110),原始输入与口径!W110,"缺失")</f>
        <v>7.1274750824233415</v>
      </c>
      <c r="E206" s="15">
        <f>IF(ISNUMBER(原始输入与口径!AB110),原始输入与口径!AB110,"缺失")</f>
        <v>2.7061536409200921</v>
      </c>
      <c r="F206" s="15">
        <f>IF(ISNUMBER(原始输入与口径!AG110),原始输入与口径!AG110,"缺失")</f>
        <v>152.45936005183617</v>
      </c>
      <c r="G206" s="15">
        <f>IF(ISNUMBER(原始输入与口径!AJ110),原始输入与口径!AJ110,"缺失")</f>
        <v>77.033712575991458</v>
      </c>
      <c r="H206" s="15" t="str">
        <f t="shared" si="69"/>
        <v>未模拟</v>
      </c>
      <c r="I206" s="16">
        <f>原始输入与口径!CD110</f>
        <v>31.739130434782588</v>
      </c>
      <c r="J206" s="16">
        <f>原始输入与口径!CE110</f>
        <v>31.891706275776375</v>
      </c>
      <c r="K206" s="16">
        <f>原始输入与口径!BZ110</f>
        <v>0</v>
      </c>
      <c r="L206" s="16">
        <f>原始输入与口径!CK110</f>
        <v>40</v>
      </c>
      <c r="M206" s="16">
        <f>原始输入与口径!BT110</f>
        <v>24</v>
      </c>
      <c r="N206" s="16">
        <f>原始输入与口径!BJ110</f>
        <v>24</v>
      </c>
      <c r="O206" s="16">
        <f t="shared" si="70"/>
        <v>5.4857142857142865E-4</v>
      </c>
      <c r="P206" s="16">
        <f t="shared" si="71"/>
        <v>0.16649142857142857</v>
      </c>
      <c r="Q206" s="17">
        <f t="shared" si="72"/>
        <v>0</v>
      </c>
      <c r="R206" s="17">
        <f t="shared" si="73"/>
        <v>662.24534522516342</v>
      </c>
      <c r="S206" s="17">
        <f t="shared" si="74"/>
        <v>42.764850494540049</v>
      </c>
      <c r="T206" s="17">
        <f t="shared" si="75"/>
        <v>16.236921845520552</v>
      </c>
      <c r="U206" s="17">
        <f t="shared" si="76"/>
        <v>8.3634848942721565E-2</v>
      </c>
      <c r="V206" s="17">
        <f t="shared" si="77"/>
        <v>-12.825452854937641</v>
      </c>
      <c r="W206" s="17">
        <f t="shared" si="78"/>
        <v>708.505299559229</v>
      </c>
      <c r="X206" s="12">
        <f>原始输入与口径!CP110</f>
        <v>708.50529955922912</v>
      </c>
      <c r="Y206" s="19">
        <f t="shared" si="79"/>
        <v>0</v>
      </c>
      <c r="Z206" s="12" t="str">
        <f t="shared" si="80"/>
        <v>当日执行</v>
      </c>
      <c r="AA206" s="12">
        <f>IF(原始输入与口径!AW110,1,0)</f>
        <v>1</v>
      </c>
      <c r="AB206" s="12">
        <f>IF(原始输入与口径!AY110,1,0)</f>
        <v>1</v>
      </c>
      <c r="AC206" s="12">
        <f>原始输入与口径!$F$5</f>
        <v>0.25</v>
      </c>
      <c r="AD206" s="18">
        <f>原始输入与口径!CG110</f>
        <v>0.3125</v>
      </c>
      <c r="AE206" s="18">
        <f>原始输入与口径!BQ110</f>
        <v>0.13714285714285715</v>
      </c>
      <c r="AF206" s="18">
        <f t="shared" si="81"/>
        <v>9.1428571428571432E-5</v>
      </c>
      <c r="AG206" s="18">
        <f t="shared" si="82"/>
        <v>2.7748571428571428E-2</v>
      </c>
      <c r="AH206" s="12">
        <f>IF(ISNUMBER(原始输入与口径!T110),原始输入与口径!T110,"缺失")</f>
        <v>175</v>
      </c>
      <c r="AI206" s="12">
        <f>IF(ISNUMBER(原始输入与口径!Y110),原始输入与口径!Y110,"缺失")</f>
        <v>175</v>
      </c>
      <c r="AJ206" s="12">
        <f>IF(ISNUMBER(原始输入与口径!AI110),原始输入与口径!AI110,"缺失")</f>
        <v>4.0000000000000001E-3</v>
      </c>
      <c r="AK206" s="12">
        <f>IF(ISNUMBER(原始输入与口径!AL110),原始输入与口径!AL110,"缺失")</f>
        <v>1.214</v>
      </c>
      <c r="AL206" s="12">
        <f>IF(ISNUMBER(原始输入与口径!O110),原始输入与口径!O110,"缺失")</f>
        <v>128</v>
      </c>
      <c r="AM206" s="12">
        <f>SUMIFS(相位SOC复算!$N$9:$N$929,相位SOC复算!$S$9:$S$929,198)</f>
        <v>4.2713440993788818E-4</v>
      </c>
      <c r="AN206" s="12">
        <f>SUMIFS(相位SOC复算!$Q$9:$Q$929,相位SOC复算!$S$9:$S$929,198)</f>
        <v>0.16649142857142857</v>
      </c>
      <c r="AO206" s="12">
        <f>SUMIFS(相位SOC复算!$R$9:$R$929,相位SOC复算!$S$9:$S$929,198)</f>
        <v>5.4857142857142865E-4</v>
      </c>
      <c r="AP206" s="12">
        <f>相位SOC复算!J491</f>
        <v>31.891706275776372</v>
      </c>
      <c r="AQ206" s="19">
        <f t="shared" si="83"/>
        <v>0</v>
      </c>
      <c r="AR206" s="12">
        <f>IF(ISBLANK(原始输入与口径!M110),"",原始输入与口径!M110)</f>
        <v>5.2473000000000001</v>
      </c>
      <c r="AS206" s="14">
        <f>IF(ISBLANK(原始输入与口径!L110),"",原始输入与口径!L110)</f>
        <v>46234</v>
      </c>
      <c r="AT206" s="13">
        <f>IF(ISBLANK(原始输入与口径!A110),"",原始输入与口径!A110)</f>
        <v>46235.927083333336</v>
      </c>
      <c r="AU206" s="12" t="str">
        <f>IF(ISBLANK(原始输入与口径!I110),"",原始输入与口径!I110)</f>
        <v>2026-08-02_2</v>
      </c>
      <c r="AV206" s="12">
        <f>IF(ISBLANK(原始输入与口径!J110),"",原始输入与口径!J110)</f>
        <v>15</v>
      </c>
      <c r="AW206" s="12" t="str">
        <f>IF(ISBLANK(原始输入与口径!BB110),"",原始输入与口径!BB110)</f>
        <v>OK</v>
      </c>
      <c r="AX206" s="12">
        <f>原始输入与口径!CI110</f>
        <v>128</v>
      </c>
      <c r="AY206" s="12">
        <f>原始输入与口径!BS110</f>
        <v>175</v>
      </c>
      <c r="AZ206" s="12">
        <f>原始输入与口径!BI110</f>
        <v>175</v>
      </c>
      <c r="BA206" s="12">
        <f>原始输入与口径!CM110</f>
        <v>40</v>
      </c>
      <c r="BB206" s="12">
        <f>原始输入与口径!BV110</f>
        <v>24</v>
      </c>
      <c r="BC206" s="12">
        <f>原始输入与口径!BL110</f>
        <v>24</v>
      </c>
      <c r="BD206" s="14">
        <f>46236</f>
        <v>46236</v>
      </c>
      <c r="BE206" s="1" t="str">
        <f t="shared" si="84"/>
        <v>零头寸，无结算现金</v>
      </c>
      <c r="BF206" s="1" t="str">
        <f t="shared" si="85"/>
        <v>40.000000 MW × 66.224535 × 0.250000 h = 662.245345 EUR</v>
      </c>
      <c r="BG206" s="1" t="str">
        <f t="shared" si="86"/>
        <v>24.000000 MW × 7.127475 × 0.250000 h = 42.764850 EUR</v>
      </c>
      <c r="BH206" s="1" t="str">
        <f t="shared" si="87"/>
        <v>24.000000 MW × 2.706154 × 0.250000 h = 16.236922 EUR</v>
      </c>
      <c r="BI206" s="1" t="str">
        <f t="shared" si="88"/>
        <v>0.000549 MWh × 152.459360 = 0.083635 EUR</v>
      </c>
      <c r="BJ206" s="1" t="str">
        <f t="shared" si="89"/>
        <v>−(0.166491 MWh × 77.033713) = -12.825453 EUR</v>
      </c>
      <c r="BK206" s="1" t="str">
        <f t="shared" si="90"/>
        <v>0.000000 + 662.245345 + 42.764850 + 16.236922 + 0.083635 + -12.825453 = 708.505300 EUR</v>
      </c>
    </row>
    <row r="207" spans="1:63" ht="21" customHeight="1" x14ac:dyDescent="0.45">
      <c r="A207" s="13">
        <f>原始输入与口径!C111</f>
        <v>46236.0625</v>
      </c>
      <c r="B207" s="15">
        <f>IF(ISNUMBER(原始输入与口径!H111),原始输入与口径!H111,"缺失")</f>
        <v>161.1</v>
      </c>
      <c r="C207" s="15">
        <f>IF(ISNUMBER(原始输入与口径!R111),原始输入与口径!R111,"缺失")</f>
        <v>66.224534522516336</v>
      </c>
      <c r="D207" s="15">
        <f>IF(ISNUMBER(原始输入与口径!W111),原始输入与口径!W111,"缺失")</f>
        <v>7.1274750824233415</v>
      </c>
      <c r="E207" s="15">
        <f>IF(ISNUMBER(原始输入与口径!AB111),原始输入与口径!AB111,"缺失")</f>
        <v>2.7061536409200921</v>
      </c>
      <c r="F207" s="15">
        <f>IF(ISNUMBER(原始输入与口径!AG111),原始输入与口径!AG111,"缺失")</f>
        <v>152.45936005183617</v>
      </c>
      <c r="G207" s="15">
        <f>IF(ISNUMBER(原始输入与口径!AJ111),原始输入与口径!AJ111,"缺失")</f>
        <v>77.182551026242066</v>
      </c>
      <c r="H207" s="15" t="str">
        <f t="shared" si="69"/>
        <v>未模拟</v>
      </c>
      <c r="I207" s="16">
        <f>原始输入与口径!CD111</f>
        <v>31.891706275776375</v>
      </c>
      <c r="J207" s="16">
        <f>原始输入与口径!CE111</f>
        <v>32.058692372670784</v>
      </c>
      <c r="K207" s="16">
        <f>原始输入与口径!BZ111</f>
        <v>0</v>
      </c>
      <c r="L207" s="16">
        <f>原始输入与口径!CK111</f>
        <v>40</v>
      </c>
      <c r="M207" s="16">
        <f>原始输入与口径!BT111</f>
        <v>24</v>
      </c>
      <c r="N207" s="16">
        <f>原始输入与口径!BJ111</f>
        <v>24</v>
      </c>
      <c r="O207" s="16">
        <f t="shared" si="70"/>
        <v>1.2479999999999998E-2</v>
      </c>
      <c r="P207" s="16">
        <f t="shared" si="71"/>
        <v>0.19625142857142858</v>
      </c>
      <c r="Q207" s="17">
        <f t="shared" si="72"/>
        <v>0</v>
      </c>
      <c r="R207" s="17">
        <f t="shared" si="73"/>
        <v>662.24534522516342</v>
      </c>
      <c r="S207" s="17">
        <f t="shared" si="74"/>
        <v>42.764850494540049</v>
      </c>
      <c r="T207" s="17">
        <f t="shared" si="75"/>
        <v>16.236921845520552</v>
      </c>
      <c r="U207" s="17">
        <f t="shared" si="76"/>
        <v>1.9026928134469152</v>
      </c>
      <c r="V207" s="17">
        <f t="shared" si="77"/>
        <v>-15.147185899687186</v>
      </c>
      <c r="W207" s="17">
        <f t="shared" si="78"/>
        <v>708.00262447898376</v>
      </c>
      <c r="X207" s="12">
        <f>原始输入与口径!CP111</f>
        <v>708.00262447898376</v>
      </c>
      <c r="Y207" s="19">
        <f t="shared" si="79"/>
        <v>0</v>
      </c>
      <c r="Z207" s="12" t="str">
        <f t="shared" si="80"/>
        <v>当日执行</v>
      </c>
      <c r="AA207" s="12">
        <f>IF(原始输入与口径!AW111,1,0)</f>
        <v>1</v>
      </c>
      <c r="AB207" s="12">
        <f>IF(原始输入与口径!AY111,1,0)</f>
        <v>1</v>
      </c>
      <c r="AC207" s="12">
        <f>原始输入与口径!$F$5</f>
        <v>0.25</v>
      </c>
      <c r="AD207" s="18">
        <f>原始输入与口径!CG111</f>
        <v>0.3125</v>
      </c>
      <c r="AE207" s="18">
        <f>原始输入与口径!BQ111</f>
        <v>0.13714285714285715</v>
      </c>
      <c r="AF207" s="18">
        <f t="shared" si="81"/>
        <v>2.0799999999999998E-3</v>
      </c>
      <c r="AG207" s="18">
        <f t="shared" si="82"/>
        <v>3.2708571428571427E-2</v>
      </c>
      <c r="AH207" s="12">
        <f>IF(ISNUMBER(原始输入与口径!T111),原始输入与口径!T111,"缺失")</f>
        <v>175</v>
      </c>
      <c r="AI207" s="12">
        <f>IF(ISNUMBER(原始输入与口径!Y111),原始输入与口径!Y111,"缺失")</f>
        <v>175</v>
      </c>
      <c r="AJ207" s="12">
        <f>IF(ISNUMBER(原始输入与口径!AI111),原始输入与口径!AI111,"缺失")</f>
        <v>9.0999999999999998E-2</v>
      </c>
      <c r="AK207" s="12">
        <f>IF(ISNUMBER(原始输入与口径!AL111),原始输入与口径!AL111,"缺失")</f>
        <v>1.431</v>
      </c>
      <c r="AL207" s="12">
        <f>IF(ISNUMBER(原始输入与口径!O111),原始输入与口径!O111,"缺失")</f>
        <v>128</v>
      </c>
      <c r="AM207" s="12">
        <f>SUMIFS(相位SOC复算!$N$9:$N$929,相位SOC复算!$S$9:$S$929,199)</f>
        <v>5.3921258799171843E-4</v>
      </c>
      <c r="AN207" s="12">
        <f>SUMIFS(相位SOC复算!$Q$9:$Q$929,相位SOC复算!$S$9:$S$929,199)</f>
        <v>0.19625142857142858</v>
      </c>
      <c r="AO207" s="12">
        <f>SUMIFS(相位SOC复算!$R$9:$R$929,相位SOC复算!$S$9:$S$929,199)</f>
        <v>1.2479999999999998E-2</v>
      </c>
      <c r="AP207" s="12">
        <f>相位SOC复算!J494</f>
        <v>32.058692372670784</v>
      </c>
      <c r="AQ207" s="19">
        <f t="shared" si="83"/>
        <v>0</v>
      </c>
      <c r="AR207" s="12">
        <f>IF(ISBLANK(原始输入与口径!M111),"",原始输入与口径!M111)</f>
        <v>5.2473000000000001</v>
      </c>
      <c r="AS207" s="14">
        <f>IF(ISBLANK(原始输入与口径!L111),"",原始输入与口径!L111)</f>
        <v>46234</v>
      </c>
      <c r="AT207" s="13">
        <f>IF(ISBLANK(原始输入与口径!A111),"",原始输入与口径!A111)</f>
        <v>46235.9375</v>
      </c>
      <c r="AU207" s="12" t="str">
        <f>IF(ISBLANK(原始输入与口径!I111),"",原始输入与口径!I111)</f>
        <v>2026-08-02_3</v>
      </c>
      <c r="AV207" s="12">
        <f>IF(ISBLANK(原始输入与口径!J111),"",原始输入与口径!J111)</f>
        <v>15</v>
      </c>
      <c r="AW207" s="12" t="str">
        <f>IF(ISBLANK(原始输入与口径!BB111),"",原始输入与口径!BB111)</f>
        <v>OK</v>
      </c>
      <c r="AX207" s="12">
        <f>原始输入与口径!CI111</f>
        <v>128</v>
      </c>
      <c r="AY207" s="12">
        <f>原始输入与口径!BS111</f>
        <v>175</v>
      </c>
      <c r="AZ207" s="12">
        <f>原始输入与口径!BI111</f>
        <v>175</v>
      </c>
      <c r="BA207" s="12">
        <f>原始输入与口径!CM111</f>
        <v>40</v>
      </c>
      <c r="BB207" s="12">
        <f>原始输入与口径!BV111</f>
        <v>24</v>
      </c>
      <c r="BC207" s="12">
        <f>原始输入与口径!BL111</f>
        <v>24</v>
      </c>
      <c r="BD207" s="14">
        <f>46236</f>
        <v>46236</v>
      </c>
      <c r="BE207" s="1" t="str">
        <f t="shared" si="84"/>
        <v>零头寸，无结算现金</v>
      </c>
      <c r="BF207" s="1" t="str">
        <f t="shared" si="85"/>
        <v>40.000000 MW × 66.224535 × 0.250000 h = 662.245345 EUR</v>
      </c>
      <c r="BG207" s="1" t="str">
        <f t="shared" si="86"/>
        <v>24.000000 MW × 7.127475 × 0.250000 h = 42.764850 EUR</v>
      </c>
      <c r="BH207" s="1" t="str">
        <f t="shared" si="87"/>
        <v>24.000000 MW × 2.706154 × 0.250000 h = 16.236922 EUR</v>
      </c>
      <c r="BI207" s="1" t="str">
        <f t="shared" si="88"/>
        <v>0.012480 MWh × 152.459360 = 1.902693 EUR</v>
      </c>
      <c r="BJ207" s="1" t="str">
        <f t="shared" si="89"/>
        <v>−(0.196251 MWh × 77.182551) = -15.147186 EUR</v>
      </c>
      <c r="BK207" s="1" t="str">
        <f t="shared" si="90"/>
        <v>0.000000 + 662.245345 + 42.764850 + 16.236922 + 1.902693 + -15.147186 = 708.002624 EUR</v>
      </c>
    </row>
    <row r="208" spans="1:63" ht="21" customHeight="1" x14ac:dyDescent="0.45">
      <c r="A208" s="13">
        <f>原始输入与口径!C112</f>
        <v>46236.072916666664</v>
      </c>
      <c r="B208" s="15">
        <f>IF(ISNUMBER(原始输入与口径!H112),原始输入与口径!H112,"缺失")</f>
        <v>160.43</v>
      </c>
      <c r="C208" s="15">
        <f>IF(ISNUMBER(原始输入与口径!R112),原始输入与口径!R112,"缺失")</f>
        <v>66.224534522516336</v>
      </c>
      <c r="D208" s="15">
        <f>IF(ISNUMBER(原始输入与口径!W112),原始输入与口径!W112,"缺失")</f>
        <v>7.1274750824233415</v>
      </c>
      <c r="E208" s="15">
        <f>IF(ISNUMBER(原始输入与口径!AB112),原始输入与口径!AB112,"缺失")</f>
        <v>2.7061536409200921</v>
      </c>
      <c r="F208" s="15">
        <f>IF(ISNUMBER(原始输入与口径!AG112),原始输入与口径!AG112,"缺失")</f>
        <v>165.0061936615021</v>
      </c>
      <c r="G208" s="15">
        <f>IF(ISNUMBER(原始输入与口径!AJ112),原始输入与口径!AJ112,"缺失")</f>
        <v>77.182551026242066</v>
      </c>
      <c r="H208" s="15" t="str">
        <f t="shared" si="69"/>
        <v>未模拟</v>
      </c>
      <c r="I208" s="16">
        <f>原始输入与口径!CD112</f>
        <v>32.058692372670784</v>
      </c>
      <c r="J208" s="16">
        <f>原始输入与口径!CE112</f>
        <v>32.085839503105568</v>
      </c>
      <c r="K208" s="16">
        <f>原始输入与口径!BZ112</f>
        <v>0</v>
      </c>
      <c r="L208" s="16">
        <f>原始输入与口径!CK112</f>
        <v>40</v>
      </c>
      <c r="M208" s="16">
        <f>原始输入与口径!BT112</f>
        <v>24</v>
      </c>
      <c r="N208" s="16">
        <f>原始输入与口径!BJ112</f>
        <v>24</v>
      </c>
      <c r="O208" s="16">
        <f t="shared" si="70"/>
        <v>2.784E-2</v>
      </c>
      <c r="P208" s="16">
        <f t="shared" si="71"/>
        <v>6.2399999999999997E-2</v>
      </c>
      <c r="Q208" s="17">
        <f t="shared" si="72"/>
        <v>0</v>
      </c>
      <c r="R208" s="17">
        <f t="shared" si="73"/>
        <v>662.24534522516342</v>
      </c>
      <c r="S208" s="17">
        <f t="shared" si="74"/>
        <v>42.764850494540049</v>
      </c>
      <c r="T208" s="17">
        <f t="shared" si="75"/>
        <v>16.236921845520552</v>
      </c>
      <c r="U208" s="17">
        <f t="shared" si="76"/>
        <v>4.5937724315362187</v>
      </c>
      <c r="V208" s="17">
        <f t="shared" si="77"/>
        <v>-4.8161911840375051</v>
      </c>
      <c r="W208" s="17">
        <f t="shared" si="78"/>
        <v>721.0246988127227</v>
      </c>
      <c r="X208" s="12">
        <f>原始输入与口径!CP112</f>
        <v>721.0246988127227</v>
      </c>
      <c r="Y208" s="19">
        <f t="shared" si="79"/>
        <v>0</v>
      </c>
      <c r="Z208" s="12" t="str">
        <f t="shared" si="80"/>
        <v>当日执行</v>
      </c>
      <c r="AA208" s="12">
        <f>IF(原始输入与口径!AW112,1,0)</f>
        <v>1</v>
      </c>
      <c r="AB208" s="12">
        <f>IF(原始输入与口径!AY112,1,0)</f>
        <v>1</v>
      </c>
      <c r="AC208" s="12">
        <f>原始输入与口径!$F$5</f>
        <v>0.25</v>
      </c>
      <c r="AD208" s="18">
        <f>原始输入与口径!CG112</f>
        <v>0.3125</v>
      </c>
      <c r="AE208" s="18">
        <f>原始输入与口径!BQ112</f>
        <v>0.13714285714285715</v>
      </c>
      <c r="AF208" s="18">
        <f t="shared" si="81"/>
        <v>4.64E-3</v>
      </c>
      <c r="AG208" s="18">
        <f t="shared" si="82"/>
        <v>1.04E-2</v>
      </c>
      <c r="AH208" s="12">
        <f>IF(ISNUMBER(原始输入与口径!T112),原始输入与口径!T112,"缺失")</f>
        <v>175</v>
      </c>
      <c r="AI208" s="12">
        <f>IF(ISNUMBER(原始输入与口径!Y112),原始输入与口径!Y112,"缺失")</f>
        <v>175</v>
      </c>
      <c r="AJ208" s="12">
        <f>IF(ISNUMBER(原始输入与口径!AI112),原始输入与口径!AI112,"缺失")</f>
        <v>0.20300000000000001</v>
      </c>
      <c r="AK208" s="12">
        <f>IF(ISNUMBER(原始输入与口径!AL112),原始输入与口径!AL112,"缺失")</f>
        <v>0.45500000000000002</v>
      </c>
      <c r="AL208" s="12">
        <f>IF(ISNUMBER(原始输入与口径!O112),原始输入与口径!O112,"缺失")</f>
        <v>128</v>
      </c>
      <c r="AM208" s="12">
        <f>SUMIFS(相位SOC复算!$N$9:$N$929,相位SOC复算!$S$9:$S$929,200)</f>
        <v>2.4352463768115943E-4</v>
      </c>
      <c r="AN208" s="12">
        <f>SUMIFS(相位SOC复算!$Q$9:$Q$929,相位SOC复算!$S$9:$S$929,200)</f>
        <v>6.2399999999999997E-2</v>
      </c>
      <c r="AO208" s="12">
        <f>SUMIFS(相位SOC复算!$R$9:$R$929,相位SOC复算!$S$9:$S$929,200)</f>
        <v>2.784E-2</v>
      </c>
      <c r="AP208" s="12">
        <f>相位SOC复算!J497</f>
        <v>32.085839503105568</v>
      </c>
      <c r="AQ208" s="19">
        <f t="shared" si="83"/>
        <v>0</v>
      </c>
      <c r="AR208" s="12">
        <f>IF(ISBLANK(原始输入与口径!M112),"",原始输入与口径!M112)</f>
        <v>5.2473000000000001</v>
      </c>
      <c r="AS208" s="14">
        <f>IF(ISBLANK(原始输入与口径!L112),"",原始输入与口径!L112)</f>
        <v>46234</v>
      </c>
      <c r="AT208" s="13">
        <f>IF(ISBLANK(原始输入与口径!A112),"",原始输入与口径!A112)</f>
        <v>46235.947916666664</v>
      </c>
      <c r="AU208" s="12" t="str">
        <f>IF(ISBLANK(原始输入与口径!I112),"",原始输入与口径!I112)</f>
        <v>2026-08-02_4</v>
      </c>
      <c r="AV208" s="12">
        <f>IF(ISBLANK(原始输入与口径!J112),"",原始输入与口径!J112)</f>
        <v>15</v>
      </c>
      <c r="AW208" s="12" t="str">
        <f>IF(ISBLANK(原始输入与口径!BB112),"",原始输入与口径!BB112)</f>
        <v>OK</v>
      </c>
      <c r="AX208" s="12">
        <f>原始输入与口径!CI112</f>
        <v>128</v>
      </c>
      <c r="AY208" s="12">
        <f>原始输入与口径!BS112</f>
        <v>175</v>
      </c>
      <c r="AZ208" s="12">
        <f>原始输入与口径!BI112</f>
        <v>175</v>
      </c>
      <c r="BA208" s="12">
        <f>原始输入与口径!CM112</f>
        <v>40</v>
      </c>
      <c r="BB208" s="12">
        <f>原始输入与口径!BV112</f>
        <v>24</v>
      </c>
      <c r="BC208" s="12">
        <f>原始输入与口径!BL112</f>
        <v>24</v>
      </c>
      <c r="BD208" s="14">
        <f>46236</f>
        <v>46236</v>
      </c>
      <c r="BE208" s="1" t="str">
        <f t="shared" si="84"/>
        <v>零头寸，无结算现金</v>
      </c>
      <c r="BF208" s="1" t="str">
        <f t="shared" si="85"/>
        <v>40.000000 MW × 66.224535 × 0.250000 h = 662.245345 EUR</v>
      </c>
      <c r="BG208" s="1" t="str">
        <f t="shared" si="86"/>
        <v>24.000000 MW × 7.127475 × 0.250000 h = 42.764850 EUR</v>
      </c>
      <c r="BH208" s="1" t="str">
        <f t="shared" si="87"/>
        <v>24.000000 MW × 2.706154 × 0.250000 h = 16.236922 EUR</v>
      </c>
      <c r="BI208" s="1" t="str">
        <f t="shared" si="88"/>
        <v>0.027840 MWh × 165.006194 = 4.593772 EUR</v>
      </c>
      <c r="BJ208" s="1" t="str">
        <f t="shared" si="89"/>
        <v>−(0.062400 MWh × 77.182551) = -4.816191 EUR</v>
      </c>
      <c r="BK208" s="1" t="str">
        <f t="shared" si="90"/>
        <v>0.000000 + 662.245345 + 42.764850 + 16.236922 + 4.593772 + -4.816191 = 721.024699 EUR</v>
      </c>
    </row>
    <row r="209" spans="1:63" ht="21" customHeight="1" x14ac:dyDescent="0.45">
      <c r="A209" s="13">
        <f>原始输入与口径!C113</f>
        <v>46236.083333333336</v>
      </c>
      <c r="B209" s="15">
        <f>IF(ISNUMBER(原始输入与口径!H113),原始输入与口径!H113,"缺失")</f>
        <v>160.86000000000001</v>
      </c>
      <c r="C209" s="15">
        <f>IF(ISNUMBER(原始输入与口径!R113),原始输入与口径!R113,"缺失")</f>
        <v>66.224534522516336</v>
      </c>
      <c r="D209" s="15">
        <f>IF(ISNUMBER(原始输入与口径!W113),原始输入与口径!W113,"缺失")</f>
        <v>7.1274750824233415</v>
      </c>
      <c r="E209" s="15">
        <f>IF(ISNUMBER(原始输入与口径!AB113),原始输入与口径!AB113,"缺失")</f>
        <v>2.7061536409200921</v>
      </c>
      <c r="F209" s="15">
        <f>IF(ISNUMBER(原始输入与口径!AG113),原始输入与口径!AG113,"缺失")</f>
        <v>178.91715739523184</v>
      </c>
      <c r="G209" s="15">
        <f>IF(ISNUMBER(原始输入与口径!AJ113),原始输入与口径!AJ113,"缺失")</f>
        <v>0</v>
      </c>
      <c r="H209" s="15" t="str">
        <f t="shared" si="69"/>
        <v>未模拟</v>
      </c>
      <c r="I209" s="16">
        <f>原始输入与口径!CD113</f>
        <v>32.085839503105568</v>
      </c>
      <c r="J209" s="16">
        <f>原始输入与口径!CE113</f>
        <v>31.801362415478895</v>
      </c>
      <c r="K209" s="16">
        <f>原始输入与口径!BZ113</f>
        <v>-0.18024801592258491</v>
      </c>
      <c r="L209" s="16">
        <f>原始输入与口径!CK113</f>
        <v>40</v>
      </c>
      <c r="M209" s="16">
        <f>原始输入与口径!BT113</f>
        <v>24</v>
      </c>
      <c r="N209" s="16">
        <f>原始输入与口径!BJ113</f>
        <v>24</v>
      </c>
      <c r="O209" s="16">
        <f t="shared" si="70"/>
        <v>0.3002057142857143</v>
      </c>
      <c r="P209" s="16">
        <f t="shared" si="71"/>
        <v>0</v>
      </c>
      <c r="Q209" s="17">
        <f t="shared" si="72"/>
        <v>-7.2486739603267525</v>
      </c>
      <c r="R209" s="17">
        <f t="shared" si="73"/>
        <v>662.24534522516342</v>
      </c>
      <c r="S209" s="17">
        <f t="shared" si="74"/>
        <v>42.764850494540049</v>
      </c>
      <c r="T209" s="17">
        <f t="shared" si="75"/>
        <v>16.236921845520552</v>
      </c>
      <c r="U209" s="17">
        <f t="shared" si="76"/>
        <v>53.711953033805145</v>
      </c>
      <c r="V209" s="17">
        <f t="shared" si="77"/>
        <v>0</v>
      </c>
      <c r="W209" s="17">
        <f t="shared" si="78"/>
        <v>767.71039663870238</v>
      </c>
      <c r="X209" s="12">
        <f>原始输入与口径!CP113</f>
        <v>767.71039663870238</v>
      </c>
      <c r="Y209" s="19">
        <f t="shared" si="79"/>
        <v>0</v>
      </c>
      <c r="Z209" s="12" t="str">
        <f t="shared" si="80"/>
        <v>当日执行</v>
      </c>
      <c r="AA209" s="12">
        <f>IF(原始输入与口径!AW113,1,0)</f>
        <v>1</v>
      </c>
      <c r="AB209" s="12">
        <f>IF(原始输入与口径!AY113,1,0)</f>
        <v>1</v>
      </c>
      <c r="AC209" s="12">
        <f>原始输入与口径!$F$5</f>
        <v>0.25</v>
      </c>
      <c r="AD209" s="18">
        <f>原始输入与口径!CG113</f>
        <v>0.3125</v>
      </c>
      <c r="AE209" s="18">
        <f>原始输入与口径!BQ113</f>
        <v>0.13714285714285715</v>
      </c>
      <c r="AF209" s="18">
        <f t="shared" si="81"/>
        <v>5.0034285714285719E-2</v>
      </c>
      <c r="AG209" s="18">
        <f t="shared" si="82"/>
        <v>0</v>
      </c>
      <c r="AH209" s="12">
        <f>IF(ISNUMBER(原始输入与口径!T113),原始输入与口径!T113,"缺失")</f>
        <v>175</v>
      </c>
      <c r="AI209" s="12">
        <f>IF(ISNUMBER(原始输入与口径!Y113),原始输入与口径!Y113,"缺失")</f>
        <v>175</v>
      </c>
      <c r="AJ209" s="12">
        <f>IF(ISNUMBER(原始输入与口径!AI113),原始输入与口径!AI113,"缺失")</f>
        <v>2.1890000000000001</v>
      </c>
      <c r="AK209" s="12">
        <f>IF(ISNUMBER(原始输入与口径!AL113),原始输入与口径!AL113,"缺失")</f>
        <v>0</v>
      </c>
      <c r="AL209" s="12">
        <f>IF(ISNUMBER(原始输入与口径!O113),原始输入与口径!O113,"缺失")</f>
        <v>128</v>
      </c>
      <c r="AM209" s="12">
        <f>SUMIFS(相位SOC复算!$N$9:$N$929,相位SOC复算!$S$9:$S$929,201)</f>
        <v>1.009007299489253E-3</v>
      </c>
      <c r="AN209" s="12">
        <f>SUMIFS(相位SOC复算!$Q$9:$Q$929,相位SOC复算!$S$9:$S$929,201)</f>
        <v>4.2807358798620292E-2</v>
      </c>
      <c r="AO209" s="12">
        <f>SUMIFS(相位SOC复算!$R$9:$R$929,相位SOC复算!$S$9:$S$929,201)</f>
        <v>0.29795106910368835</v>
      </c>
      <c r="AP209" s="12">
        <f>相位SOC复算!J499</f>
        <v>31.801362415478895</v>
      </c>
      <c r="AQ209" s="19">
        <f t="shared" si="83"/>
        <v>0</v>
      </c>
      <c r="AR209" s="12">
        <f>IF(ISBLANK(原始输入与口径!M113),"",原始输入与口径!M113)</f>
        <v>5.2473000000000001</v>
      </c>
      <c r="AS209" s="14">
        <f>IF(ISBLANK(原始输入与口径!L113),"",原始输入与口径!L113)</f>
        <v>46234</v>
      </c>
      <c r="AT209" s="13">
        <f>IF(ISBLANK(原始输入与口径!A113),"",原始输入与口径!A113)</f>
        <v>46235.958333333336</v>
      </c>
      <c r="AU209" s="12" t="str">
        <f>IF(ISBLANK(原始输入与口径!I113),"",原始输入与口径!I113)</f>
        <v>2026-08-02_5</v>
      </c>
      <c r="AV209" s="12">
        <f>IF(ISBLANK(原始输入与口径!J113),"",原始输入与口径!J113)</f>
        <v>15</v>
      </c>
      <c r="AW209" s="12" t="str">
        <f>IF(ISBLANK(原始输入与口径!BB113),"",原始输入与口径!BB113)</f>
        <v>OK</v>
      </c>
      <c r="AX209" s="12">
        <f>原始输入与口径!CI113</f>
        <v>128</v>
      </c>
      <c r="AY209" s="12">
        <f>原始输入与口径!BS113</f>
        <v>175</v>
      </c>
      <c r="AZ209" s="12">
        <f>原始输入与口径!BI113</f>
        <v>175</v>
      </c>
      <c r="BA209" s="12">
        <f>原始输入与口径!CM113</f>
        <v>40</v>
      </c>
      <c r="BB209" s="12">
        <f>原始输入与口径!BV113</f>
        <v>24</v>
      </c>
      <c r="BC209" s="12">
        <f>原始输入与口径!BL113</f>
        <v>24</v>
      </c>
      <c r="BD209" s="14">
        <f>46236</f>
        <v>46236</v>
      </c>
      <c r="BE209" s="1" t="str">
        <f t="shared" si="84"/>
        <v>-0.180248 MW × 160.860000 × 0.250000 h = -7.248674 EUR</v>
      </c>
      <c r="BF209" s="1" t="str">
        <f t="shared" si="85"/>
        <v>40.000000 MW × 66.224535 × 0.250000 h = 662.245345 EUR</v>
      </c>
      <c r="BG209" s="1" t="str">
        <f t="shared" si="86"/>
        <v>24.000000 MW × 7.127475 × 0.250000 h = 42.764850 EUR</v>
      </c>
      <c r="BH209" s="1" t="str">
        <f t="shared" si="87"/>
        <v>24.000000 MW × 2.706154 × 0.250000 h = 16.236922 EUR</v>
      </c>
      <c r="BI209" s="1" t="str">
        <f t="shared" si="88"/>
        <v>0.300206 MWh × 178.917157 = 53.711953 EUR</v>
      </c>
      <c r="BJ209" s="1" t="str">
        <f t="shared" si="89"/>
        <v>零下调激活电量</v>
      </c>
      <c r="BK209" s="1" t="str">
        <f t="shared" si="90"/>
        <v>-7.248674 + 662.245345 + 42.764850 + 16.236922 + 53.711953 + 0.000000 = 767.710397 EUR</v>
      </c>
    </row>
    <row r="210" spans="1:63" ht="21" customHeight="1" x14ac:dyDescent="0.45">
      <c r="A210" s="13">
        <f>原始输入与口径!C114</f>
        <v>46236.09375</v>
      </c>
      <c r="B210" s="15">
        <f>IF(ISNUMBER(原始输入与口径!H114),原始输入与口径!H114,"缺失")</f>
        <v>156.81</v>
      </c>
      <c r="C210" s="15">
        <f>IF(ISNUMBER(原始输入与口径!R114),原始输入与口径!R114,"缺失")</f>
        <v>66.224534522516336</v>
      </c>
      <c r="D210" s="15">
        <f>IF(ISNUMBER(原始输入与口径!W114),原始输入与口径!W114,"缺失")</f>
        <v>7.1274750824233415</v>
      </c>
      <c r="E210" s="15">
        <f>IF(ISNUMBER(原始输入与口径!AB114),原始输入与口径!AB114,"缺失")</f>
        <v>2.7061536409200921</v>
      </c>
      <c r="F210" s="15">
        <f>IF(ISNUMBER(原始输入与口径!AG114),原始输入与口径!AG114,"缺失")</f>
        <v>171.41329826768052</v>
      </c>
      <c r="G210" s="15">
        <f>IF(ISNUMBER(原始输入与口径!AJ114),原始输入与口径!AJ114,"缺失")</f>
        <v>76.94566729556152</v>
      </c>
      <c r="H210" s="15" t="str">
        <f t="shared" si="69"/>
        <v>未模拟</v>
      </c>
      <c r="I210" s="16">
        <f>原始输入与口径!CD114</f>
        <v>31.801362415478895</v>
      </c>
      <c r="J210" s="16">
        <f>原始输入与口径!CE114</f>
        <v>33.275638351632061</v>
      </c>
      <c r="K210" s="16">
        <f>原始输入与口径!BZ114</f>
        <v>-7.370332307693503</v>
      </c>
      <c r="L210" s="16">
        <f>原始输入与口径!CK114</f>
        <v>40</v>
      </c>
      <c r="M210" s="16">
        <f>原始输入与口径!BT114</f>
        <v>24</v>
      </c>
      <c r="N210" s="16">
        <f>原始输入与口径!BJ114</f>
        <v>24</v>
      </c>
      <c r="O210" s="16">
        <f t="shared" si="70"/>
        <v>0.37714285714285717</v>
      </c>
      <c r="P210" s="16">
        <f t="shared" si="71"/>
        <v>0.18445714285714285</v>
      </c>
      <c r="Q210" s="17">
        <f t="shared" si="72"/>
        <v>-288.93545229235457</v>
      </c>
      <c r="R210" s="17">
        <f t="shared" si="73"/>
        <v>662.24534522516342</v>
      </c>
      <c r="S210" s="17">
        <f t="shared" si="74"/>
        <v>42.764850494540049</v>
      </c>
      <c r="T210" s="17">
        <f t="shared" si="75"/>
        <v>16.236921845520552</v>
      </c>
      <c r="U210" s="17">
        <f t="shared" si="76"/>
        <v>64.647301060953794</v>
      </c>
      <c r="V210" s="17">
        <f t="shared" si="77"/>
        <v>-14.193177944575575</v>
      </c>
      <c r="W210" s="17">
        <f t="shared" si="78"/>
        <v>482.76578838924769</v>
      </c>
      <c r="X210" s="12">
        <f>原始输入与口径!CP114</f>
        <v>482.76578838924769</v>
      </c>
      <c r="Y210" s="19">
        <f t="shared" si="79"/>
        <v>0</v>
      </c>
      <c r="Z210" s="12" t="str">
        <f t="shared" si="80"/>
        <v>当日执行</v>
      </c>
      <c r="AA210" s="12">
        <f>IF(原始输入与口径!AW114,1,0)</f>
        <v>1</v>
      </c>
      <c r="AB210" s="12">
        <f>IF(原始输入与口径!AY114,1,0)</f>
        <v>1</v>
      </c>
      <c r="AC210" s="12">
        <f>原始输入与口径!$F$5</f>
        <v>0.25</v>
      </c>
      <c r="AD210" s="18">
        <f>原始输入与口径!CG114</f>
        <v>0.3125</v>
      </c>
      <c r="AE210" s="18">
        <f>原始输入与口径!BQ114</f>
        <v>0.13714285714285715</v>
      </c>
      <c r="AF210" s="18">
        <f t="shared" si="81"/>
        <v>6.2857142857142861E-2</v>
      </c>
      <c r="AG210" s="18">
        <f t="shared" si="82"/>
        <v>3.0742857142857141E-2</v>
      </c>
      <c r="AH210" s="12">
        <f>IF(ISNUMBER(原始输入与口径!T114),原始输入与口径!T114,"缺失")</f>
        <v>175</v>
      </c>
      <c r="AI210" s="12">
        <f>IF(ISNUMBER(原始输入与口径!Y114),原始输入与口径!Y114,"缺失")</f>
        <v>175</v>
      </c>
      <c r="AJ210" s="12">
        <f>IF(ISNUMBER(原始输入与口径!AI114),原始输入与口径!AI114,"缺失")</f>
        <v>2.75</v>
      </c>
      <c r="AK210" s="12">
        <f>IF(ISNUMBER(原始输入与口径!AL114),原始输入与口径!AL114,"缺失")</f>
        <v>1.345</v>
      </c>
      <c r="AL210" s="12">
        <f>IF(ISNUMBER(原始输入与口径!O114),原始输入与口径!O114,"缺失")</f>
        <v>128</v>
      </c>
      <c r="AM210" s="12">
        <f>SUMIFS(相位SOC复算!$N$9:$N$929,相位SOC复算!$S$9:$S$929,202)</f>
        <v>5.6732504835808476E-3</v>
      </c>
      <c r="AN210" s="12">
        <f>SUMIFS(相位SOC复算!$Q$9:$Q$929,相位SOC复算!$S$9:$S$929,202)</f>
        <v>1.9112207120881919</v>
      </c>
      <c r="AO210" s="12">
        <f>SUMIFS(相位SOC复算!$R$9:$R$929,相位SOC复算!$S$9:$S$929,202)</f>
        <v>0.26132334945053071</v>
      </c>
      <c r="AP210" s="12">
        <f>相位SOC复算!J502</f>
        <v>33.275638351632061</v>
      </c>
      <c r="AQ210" s="19">
        <f t="shared" si="83"/>
        <v>0</v>
      </c>
      <c r="AR210" s="12">
        <f>IF(ISBLANK(原始输入与口径!M114),"",原始输入与口径!M114)</f>
        <v>5.2473000000000001</v>
      </c>
      <c r="AS210" s="14">
        <f>IF(ISBLANK(原始输入与口径!L114),"",原始输入与口径!L114)</f>
        <v>46234</v>
      </c>
      <c r="AT210" s="13">
        <f>IF(ISBLANK(原始输入与口径!A114),"",原始输入与口径!A114)</f>
        <v>46235.96875</v>
      </c>
      <c r="AU210" s="12" t="str">
        <f>IF(ISBLANK(原始输入与口径!I114),"",原始输入与口径!I114)</f>
        <v>2026-08-02_6</v>
      </c>
      <c r="AV210" s="12">
        <f>IF(ISBLANK(原始输入与口径!J114),"",原始输入与口径!J114)</f>
        <v>15</v>
      </c>
      <c r="AW210" s="12" t="str">
        <f>IF(ISBLANK(原始输入与口径!BB114),"",原始输入与口径!BB114)</f>
        <v>OK</v>
      </c>
      <c r="AX210" s="12">
        <f>原始输入与口径!CI114</f>
        <v>128</v>
      </c>
      <c r="AY210" s="12">
        <f>原始输入与口径!BS114</f>
        <v>175</v>
      </c>
      <c r="AZ210" s="12">
        <f>原始输入与口径!BI114</f>
        <v>175</v>
      </c>
      <c r="BA210" s="12">
        <f>原始输入与口径!CM114</f>
        <v>40</v>
      </c>
      <c r="BB210" s="12">
        <f>原始输入与口径!BV114</f>
        <v>24</v>
      </c>
      <c r="BC210" s="12">
        <f>原始输入与口径!BL114</f>
        <v>24</v>
      </c>
      <c r="BD210" s="14">
        <f>46236</f>
        <v>46236</v>
      </c>
      <c r="BE210" s="1" t="str">
        <f t="shared" si="84"/>
        <v>-7.370332 MW × 156.810000 × 0.250000 h = -288.935452 EUR</v>
      </c>
      <c r="BF210" s="1" t="str">
        <f t="shared" si="85"/>
        <v>40.000000 MW × 66.224535 × 0.250000 h = 662.245345 EUR</v>
      </c>
      <c r="BG210" s="1" t="str">
        <f t="shared" si="86"/>
        <v>24.000000 MW × 7.127475 × 0.250000 h = 42.764850 EUR</v>
      </c>
      <c r="BH210" s="1" t="str">
        <f t="shared" si="87"/>
        <v>24.000000 MW × 2.706154 × 0.250000 h = 16.236922 EUR</v>
      </c>
      <c r="BI210" s="1" t="str">
        <f t="shared" si="88"/>
        <v>0.377143 MWh × 171.413298 = 64.647301 EUR</v>
      </c>
      <c r="BJ210" s="1" t="str">
        <f t="shared" si="89"/>
        <v>−(0.184457 MWh × 76.945667) = -14.193178 EUR</v>
      </c>
      <c r="BK210" s="1" t="str">
        <f t="shared" si="90"/>
        <v>-288.935452 + 662.245345 + 42.764850 + 16.236922 + 64.647301 + -14.193178 = 482.765788 EUR</v>
      </c>
    </row>
    <row r="211" spans="1:63" ht="21" customHeight="1" x14ac:dyDescent="0.45">
      <c r="A211" s="13">
        <f>原始输入与口径!C115</f>
        <v>46236.104166666664</v>
      </c>
      <c r="B211" s="15">
        <f>IF(ISNUMBER(原始输入与口径!H115),原始输入与口径!H115,"缺失")</f>
        <v>162.01</v>
      </c>
      <c r="C211" s="15">
        <f>IF(ISNUMBER(原始输入与口径!R115),原始输入与口径!R115,"缺失")</f>
        <v>66.224534522516336</v>
      </c>
      <c r="D211" s="15">
        <f>IF(ISNUMBER(原始输入与口径!W115),原始输入与口径!W115,"缺失")</f>
        <v>7.1274750824233415</v>
      </c>
      <c r="E211" s="15">
        <f>IF(ISNUMBER(原始输入与口径!AB115),原始输入与口径!AB115,"缺失")</f>
        <v>2.7061536409200921</v>
      </c>
      <c r="F211" s="15">
        <f>IF(ISNUMBER(原始输入与口径!AG115),原始输入与口径!AG115,"缺失")</f>
        <v>171.25702742362736</v>
      </c>
      <c r="G211" s="15">
        <f>IF(ISNUMBER(原始输入与口径!AJ115),原始输入与口径!AJ115,"缺失")</f>
        <v>77.182551026242066</v>
      </c>
      <c r="H211" s="15" t="str">
        <f t="shared" si="69"/>
        <v>未模拟</v>
      </c>
      <c r="I211" s="16">
        <f>原始输入与口径!CD115</f>
        <v>33.275638351632061</v>
      </c>
      <c r="J211" s="16">
        <f>原始输入与口径!CE115</f>
        <v>32.653186992625848</v>
      </c>
      <c r="K211" s="16">
        <f>原始输入与口径!BZ115</f>
        <v>0</v>
      </c>
      <c r="L211" s="16">
        <f>原始输入与口径!CK115</f>
        <v>40</v>
      </c>
      <c r="M211" s="16">
        <f>原始输入与口径!BT115</f>
        <v>24</v>
      </c>
      <c r="N211" s="16">
        <f>原始输入与口径!BJ115</f>
        <v>24</v>
      </c>
      <c r="O211" s="16">
        <f t="shared" si="70"/>
        <v>0.57462857142857149</v>
      </c>
      <c r="P211" s="16">
        <f t="shared" si="71"/>
        <v>2.3314285714285715E-3</v>
      </c>
      <c r="Q211" s="17">
        <f t="shared" si="72"/>
        <v>0</v>
      </c>
      <c r="R211" s="17">
        <f t="shared" si="73"/>
        <v>662.24534522516342</v>
      </c>
      <c r="S211" s="17">
        <f t="shared" si="74"/>
        <v>42.764850494540049</v>
      </c>
      <c r="T211" s="17">
        <f t="shared" si="75"/>
        <v>16.236921845520552</v>
      </c>
      <c r="U211" s="17">
        <f t="shared" si="76"/>
        <v>98.409181015542686</v>
      </c>
      <c r="V211" s="17">
        <f t="shared" si="77"/>
        <v>-0.17994560467832438</v>
      </c>
      <c r="W211" s="17">
        <f t="shared" si="78"/>
        <v>819.47635297608838</v>
      </c>
      <c r="X211" s="12">
        <f>原始输入与口径!CP115</f>
        <v>819.47635297608838</v>
      </c>
      <c r="Y211" s="19">
        <f t="shared" si="79"/>
        <v>0</v>
      </c>
      <c r="Z211" s="12" t="str">
        <f t="shared" si="80"/>
        <v>当日执行</v>
      </c>
      <c r="AA211" s="12">
        <f>IF(原始输入与口径!AW115,1,0)</f>
        <v>1</v>
      </c>
      <c r="AB211" s="12">
        <f>IF(原始输入与口径!AY115,1,0)</f>
        <v>1</v>
      </c>
      <c r="AC211" s="12">
        <f>原始输入与口径!$F$5</f>
        <v>0.25</v>
      </c>
      <c r="AD211" s="18">
        <f>原始输入与口径!CG115</f>
        <v>0.3125</v>
      </c>
      <c r="AE211" s="18">
        <f>原始输入与口径!BQ115</f>
        <v>0.13714285714285715</v>
      </c>
      <c r="AF211" s="18">
        <f t="shared" si="81"/>
        <v>9.5771428571428577E-2</v>
      </c>
      <c r="AG211" s="18">
        <f t="shared" si="82"/>
        <v>3.8857142857142861E-4</v>
      </c>
      <c r="AH211" s="12">
        <f>IF(ISNUMBER(原始输入与口径!T115),原始输入与口径!T115,"缺失")</f>
        <v>175</v>
      </c>
      <c r="AI211" s="12">
        <f>IF(ISNUMBER(原始输入与口径!Y115),原始输入与口径!Y115,"缺失")</f>
        <v>175</v>
      </c>
      <c r="AJ211" s="12">
        <f>IF(ISNUMBER(原始输入与口径!AI115),原始输入与口径!AI115,"缺失")</f>
        <v>4.1900000000000004</v>
      </c>
      <c r="AK211" s="12">
        <f>IF(ISNUMBER(原始输入与口径!AL115),原始输入与口径!AL115,"缺失")</f>
        <v>1.7000000000000001E-2</v>
      </c>
      <c r="AL211" s="12">
        <f>IF(ISNUMBER(原始输入与口径!O115),原始输入与口径!O115,"缺失")</f>
        <v>128</v>
      </c>
      <c r="AM211" s="12">
        <f>SUMIFS(相位SOC复算!$N$9:$N$929,相位SOC复算!$S$9:$S$929,203)</f>
        <v>1.7409477432712215E-3</v>
      </c>
      <c r="AN211" s="12">
        <f>SUMIFS(相位SOC复算!$Q$9:$Q$929,相位SOC复算!$S$9:$S$929,203)</f>
        <v>2.3314285714285715E-3</v>
      </c>
      <c r="AO211" s="12">
        <f>SUMIFS(相位SOC复算!$R$9:$R$929,相位SOC复算!$S$9:$S$929,203)</f>
        <v>0.57462857142857149</v>
      </c>
      <c r="AP211" s="12">
        <f>相位SOC复算!J505</f>
        <v>32.653186992625848</v>
      </c>
      <c r="AQ211" s="19">
        <f t="shared" si="83"/>
        <v>0</v>
      </c>
      <c r="AR211" s="12">
        <f>IF(ISBLANK(原始输入与口径!M115),"",原始输入与口径!M115)</f>
        <v>5.2473000000000001</v>
      </c>
      <c r="AS211" s="14">
        <f>IF(ISBLANK(原始输入与口径!L115),"",原始输入与口径!L115)</f>
        <v>46234</v>
      </c>
      <c r="AT211" s="13">
        <f>IF(ISBLANK(原始输入与口径!A115),"",原始输入与口径!A115)</f>
        <v>46235.979166666664</v>
      </c>
      <c r="AU211" s="12" t="str">
        <f>IF(ISBLANK(原始输入与口径!I115),"",原始输入与口径!I115)</f>
        <v>2026-08-02_7</v>
      </c>
      <c r="AV211" s="12">
        <f>IF(ISBLANK(原始输入与口径!J115),"",原始输入与口径!J115)</f>
        <v>15</v>
      </c>
      <c r="AW211" s="12" t="str">
        <f>IF(ISBLANK(原始输入与口径!BB115),"",原始输入与口径!BB115)</f>
        <v>OK</v>
      </c>
      <c r="AX211" s="12">
        <f>原始输入与口径!CI115</f>
        <v>128</v>
      </c>
      <c r="AY211" s="12">
        <f>原始输入与口径!BS115</f>
        <v>175</v>
      </c>
      <c r="AZ211" s="12">
        <f>原始输入与口径!BI115</f>
        <v>175</v>
      </c>
      <c r="BA211" s="12">
        <f>原始输入与口径!CM115</f>
        <v>40</v>
      </c>
      <c r="BB211" s="12">
        <f>原始输入与口径!BV115</f>
        <v>24</v>
      </c>
      <c r="BC211" s="12">
        <f>原始输入与口径!BL115</f>
        <v>24</v>
      </c>
      <c r="BD211" s="14">
        <f>46236</f>
        <v>46236</v>
      </c>
      <c r="BE211" s="1" t="str">
        <f t="shared" si="84"/>
        <v>零头寸，无结算现金</v>
      </c>
      <c r="BF211" s="1" t="str">
        <f t="shared" si="85"/>
        <v>40.000000 MW × 66.224535 × 0.250000 h = 662.245345 EUR</v>
      </c>
      <c r="BG211" s="1" t="str">
        <f t="shared" si="86"/>
        <v>24.000000 MW × 7.127475 × 0.250000 h = 42.764850 EUR</v>
      </c>
      <c r="BH211" s="1" t="str">
        <f t="shared" si="87"/>
        <v>24.000000 MW × 2.706154 × 0.250000 h = 16.236922 EUR</v>
      </c>
      <c r="BI211" s="1" t="str">
        <f t="shared" si="88"/>
        <v>0.574629 MWh × 171.257027 = 98.409181 EUR</v>
      </c>
      <c r="BJ211" s="1" t="str">
        <f t="shared" si="89"/>
        <v>−(0.002331 MWh × 77.182551) = -0.179946 EUR</v>
      </c>
      <c r="BK211" s="1" t="str">
        <f t="shared" si="90"/>
        <v>0.000000 + 662.245345 + 42.764850 + 16.236922 + 98.409181 + -0.179946 = 819.476353 EUR</v>
      </c>
    </row>
    <row r="212" spans="1:63" ht="21" customHeight="1" x14ac:dyDescent="0.45">
      <c r="A212" s="13">
        <f>原始输入与口径!C116</f>
        <v>46236.114583333336</v>
      </c>
      <c r="B212" s="15">
        <f>IF(ISNUMBER(原始输入与口径!H116),原始输入与口径!H116,"缺失")</f>
        <v>160.5</v>
      </c>
      <c r="C212" s="15">
        <f>IF(ISNUMBER(原始输入与口径!R116),原始输入与口径!R116,"缺失")</f>
        <v>66.224534522516336</v>
      </c>
      <c r="D212" s="15">
        <f>IF(ISNUMBER(原始输入与口径!W116),原始输入与口径!W116,"缺失")</f>
        <v>7.1274750824233415</v>
      </c>
      <c r="E212" s="15">
        <f>IF(ISNUMBER(原始输入与口径!AB116),原始输入与口径!AB116,"缺失")</f>
        <v>2.7061536409200921</v>
      </c>
      <c r="F212" s="15">
        <f>IF(ISNUMBER(原始输入与口径!AG116),原始输入与口径!AG116,"缺失")</f>
        <v>161.23339622281935</v>
      </c>
      <c r="G212" s="15">
        <f>IF(ISNUMBER(原始输入与口径!AJ116),原始输入与口径!AJ116,"缺失")</f>
        <v>0</v>
      </c>
      <c r="H212" s="15" t="str">
        <f t="shared" si="69"/>
        <v>未模拟</v>
      </c>
      <c r="I212" s="16">
        <f>原始输入与口径!CD116</f>
        <v>32.653186992625848</v>
      </c>
      <c r="J212" s="16">
        <f>原始输入与口径!CE116</f>
        <v>32.604143514364978</v>
      </c>
      <c r="K212" s="16">
        <f>原始输入与口径!BZ116</f>
        <v>0</v>
      </c>
      <c r="L212" s="16">
        <f>原始输入与口径!CK116</f>
        <v>40</v>
      </c>
      <c r="M212" s="16">
        <f>原始输入与口径!BT116</f>
        <v>24</v>
      </c>
      <c r="N212" s="16">
        <f>原始输入与口径!BJ116</f>
        <v>24</v>
      </c>
      <c r="O212" s="16">
        <f t="shared" si="70"/>
        <v>4.5120000000000007E-2</v>
      </c>
      <c r="P212" s="16">
        <f t="shared" si="71"/>
        <v>0</v>
      </c>
      <c r="Q212" s="17">
        <f t="shared" si="72"/>
        <v>0</v>
      </c>
      <c r="R212" s="17">
        <f t="shared" si="73"/>
        <v>662.24534522516342</v>
      </c>
      <c r="S212" s="17">
        <f t="shared" si="74"/>
        <v>42.764850494540049</v>
      </c>
      <c r="T212" s="17">
        <f t="shared" si="75"/>
        <v>16.236921845520552</v>
      </c>
      <c r="U212" s="17">
        <f t="shared" si="76"/>
        <v>7.2748508375736103</v>
      </c>
      <c r="V212" s="17">
        <f t="shared" si="77"/>
        <v>0</v>
      </c>
      <c r="W212" s="17">
        <f t="shared" si="78"/>
        <v>728.5219684027976</v>
      </c>
      <c r="X212" s="12">
        <f>原始输入与口径!CP116</f>
        <v>728.5219684027976</v>
      </c>
      <c r="Y212" s="19">
        <f t="shared" si="79"/>
        <v>0</v>
      </c>
      <c r="Z212" s="12" t="str">
        <f t="shared" si="80"/>
        <v>当日执行</v>
      </c>
      <c r="AA212" s="12">
        <f>IF(原始输入与口径!AW116,1,0)</f>
        <v>1</v>
      </c>
      <c r="AB212" s="12">
        <f>IF(原始输入与口径!AY116,1,0)</f>
        <v>1</v>
      </c>
      <c r="AC212" s="12">
        <f>原始输入与口径!$F$5</f>
        <v>0.25</v>
      </c>
      <c r="AD212" s="18">
        <f>原始输入与口径!CG116</f>
        <v>0.3125</v>
      </c>
      <c r="AE212" s="18">
        <f>原始输入与口径!BQ116</f>
        <v>0.13714285714285715</v>
      </c>
      <c r="AF212" s="18">
        <f t="shared" si="81"/>
        <v>7.5200000000000006E-3</v>
      </c>
      <c r="AG212" s="18">
        <f t="shared" si="82"/>
        <v>0</v>
      </c>
      <c r="AH212" s="12">
        <f>IF(ISNUMBER(原始输入与口径!T116),原始输入与口径!T116,"缺失")</f>
        <v>175</v>
      </c>
      <c r="AI212" s="12">
        <f>IF(ISNUMBER(原始输入与口径!Y116),原始输入与口径!Y116,"缺失")</f>
        <v>175</v>
      </c>
      <c r="AJ212" s="12">
        <f>IF(ISNUMBER(原始输入与口径!AI116),原始输入与口径!AI116,"缺失")</f>
        <v>0.32900000000000001</v>
      </c>
      <c r="AK212" s="12">
        <f>IF(ISNUMBER(原始输入与口径!AL116),原始输入与口径!AL116,"缺失")</f>
        <v>0</v>
      </c>
      <c r="AL212" s="12">
        <f>IF(ISNUMBER(原始输入与口径!O116),原始输入与口径!O116,"缺失")</f>
        <v>128</v>
      </c>
      <c r="AM212" s="12">
        <f>SUMIFS(相位SOC复算!$N$9:$N$929,相位SOC复算!$S$9:$S$929,204)</f>
        <v>1.3623188405797101E-4</v>
      </c>
      <c r="AN212" s="12">
        <f>SUMIFS(相位SOC复算!$Q$9:$Q$929,相位SOC复算!$S$9:$S$929,204)</f>
        <v>0</v>
      </c>
      <c r="AO212" s="12">
        <f>SUMIFS(相位SOC复算!$R$9:$R$929,相位SOC复算!$S$9:$S$929,204)</f>
        <v>4.5120000000000007E-2</v>
      </c>
      <c r="AP212" s="12">
        <f>相位SOC复算!J507</f>
        <v>32.604143514364978</v>
      </c>
      <c r="AQ212" s="19">
        <f t="shared" si="83"/>
        <v>0</v>
      </c>
      <c r="AR212" s="12">
        <f>IF(ISBLANK(原始输入与口径!M116),"",原始输入与口径!M116)</f>
        <v>5.2473000000000001</v>
      </c>
      <c r="AS212" s="14">
        <f>IF(ISBLANK(原始输入与口径!L116),"",原始输入与口径!L116)</f>
        <v>46234</v>
      </c>
      <c r="AT212" s="13">
        <f>IF(ISBLANK(原始输入与口径!A116),"",原始输入与口径!A116)</f>
        <v>46235.989583333336</v>
      </c>
      <c r="AU212" s="12" t="str">
        <f>IF(ISBLANK(原始输入与口径!I116),"",原始输入与口径!I116)</f>
        <v>2026-08-02_8</v>
      </c>
      <c r="AV212" s="12">
        <f>IF(ISBLANK(原始输入与口径!J116),"",原始输入与口径!J116)</f>
        <v>15</v>
      </c>
      <c r="AW212" s="12" t="str">
        <f>IF(ISBLANK(原始输入与口径!BB116),"",原始输入与口径!BB116)</f>
        <v>OK</v>
      </c>
      <c r="AX212" s="12">
        <f>原始输入与口径!CI116</f>
        <v>128</v>
      </c>
      <c r="AY212" s="12">
        <f>原始输入与口径!BS116</f>
        <v>175</v>
      </c>
      <c r="AZ212" s="12">
        <f>原始输入与口径!BI116</f>
        <v>175</v>
      </c>
      <c r="BA212" s="12">
        <f>原始输入与口径!CM116</f>
        <v>40</v>
      </c>
      <c r="BB212" s="12">
        <f>原始输入与口径!BV116</f>
        <v>24</v>
      </c>
      <c r="BC212" s="12">
        <f>原始输入与口径!BL116</f>
        <v>24</v>
      </c>
      <c r="BD212" s="14">
        <f>46236</f>
        <v>46236</v>
      </c>
      <c r="BE212" s="1" t="str">
        <f t="shared" si="84"/>
        <v>零头寸，无结算现金</v>
      </c>
      <c r="BF212" s="1" t="str">
        <f t="shared" si="85"/>
        <v>40.000000 MW × 66.224535 × 0.250000 h = 662.245345 EUR</v>
      </c>
      <c r="BG212" s="1" t="str">
        <f t="shared" si="86"/>
        <v>24.000000 MW × 7.127475 × 0.250000 h = 42.764850 EUR</v>
      </c>
      <c r="BH212" s="1" t="str">
        <f t="shared" si="87"/>
        <v>24.000000 MW × 2.706154 × 0.250000 h = 16.236922 EUR</v>
      </c>
      <c r="BI212" s="1" t="str">
        <f t="shared" si="88"/>
        <v>0.045120 MWh × 161.233396 = 7.274851 EUR</v>
      </c>
      <c r="BJ212" s="1" t="str">
        <f t="shared" si="89"/>
        <v>零下调激活电量</v>
      </c>
      <c r="BK212" s="1" t="str">
        <f t="shared" si="90"/>
        <v>0.000000 + 662.245345 + 42.764850 + 16.236922 + 7.274851 + 0.000000 = 728.521968 EUR</v>
      </c>
    </row>
    <row r="213" spans="1:63" ht="21" customHeight="1" x14ac:dyDescent="0.45">
      <c r="A213" s="13">
        <f>原始输入与口径!C117</f>
        <v>46236.125</v>
      </c>
      <c r="B213" s="15">
        <f>IF(ISNUMBER(原始输入与口径!H117),原始输入与口径!H117,"缺失")</f>
        <v>159.1</v>
      </c>
      <c r="C213" s="15">
        <f>IF(ISNUMBER(原始输入与口径!R117),原始输入与口径!R117,"缺失")</f>
        <v>66.224534522516336</v>
      </c>
      <c r="D213" s="15">
        <f>IF(ISNUMBER(原始输入与口径!W117),原始输入与口径!W117,"缺失")</f>
        <v>7.1274750824233415</v>
      </c>
      <c r="E213" s="15">
        <f>IF(ISNUMBER(原始输入与口径!AB117),原始输入与口径!AB117,"缺失")</f>
        <v>4.2097840794313264</v>
      </c>
      <c r="F213" s="15">
        <f>IF(ISNUMBER(原始输入与口径!AG117),原始输入与口径!AG117,"缺失")</f>
        <v>168.15162083357154</v>
      </c>
      <c r="G213" s="15">
        <f>IF(ISNUMBER(原始输入与口径!AJ117),原始输入与口径!AJ117,"缺失")</f>
        <v>0</v>
      </c>
      <c r="H213" s="15" t="str">
        <f t="shared" si="69"/>
        <v>未模拟</v>
      </c>
      <c r="I213" s="16">
        <f>原始输入与口径!CD117</f>
        <v>32.604143514364978</v>
      </c>
      <c r="J213" s="16">
        <f>原始输入与口径!CE117</f>
        <v>32.445534818712801</v>
      </c>
      <c r="K213" s="16">
        <f>原始输入与口径!BZ117</f>
        <v>0</v>
      </c>
      <c r="L213" s="16">
        <f>原始输入与口径!CK117</f>
        <v>40</v>
      </c>
      <c r="M213" s="16">
        <f>原始输入与口径!BT117</f>
        <v>24</v>
      </c>
      <c r="N213" s="16">
        <f>原始输入与口径!BJ117</f>
        <v>24</v>
      </c>
      <c r="O213" s="16">
        <f t="shared" si="70"/>
        <v>0.14591999999999999</v>
      </c>
      <c r="P213" s="16">
        <f t="shared" si="71"/>
        <v>0</v>
      </c>
      <c r="Q213" s="17">
        <f t="shared" si="72"/>
        <v>0</v>
      </c>
      <c r="R213" s="17">
        <f t="shared" si="73"/>
        <v>662.24534522516342</v>
      </c>
      <c r="S213" s="17">
        <f t="shared" si="74"/>
        <v>42.764850494540049</v>
      </c>
      <c r="T213" s="17">
        <f t="shared" si="75"/>
        <v>25.258704476587958</v>
      </c>
      <c r="U213" s="17">
        <f t="shared" si="76"/>
        <v>24.536684512034757</v>
      </c>
      <c r="V213" s="17">
        <f t="shared" si="77"/>
        <v>0</v>
      </c>
      <c r="W213" s="17">
        <f t="shared" si="78"/>
        <v>754.80558470832614</v>
      </c>
      <c r="X213" s="12">
        <f>原始输入与口径!CP117</f>
        <v>754.80558470832614</v>
      </c>
      <c r="Y213" s="19">
        <f t="shared" si="79"/>
        <v>0</v>
      </c>
      <c r="Z213" s="12" t="str">
        <f t="shared" si="80"/>
        <v>当日执行</v>
      </c>
      <c r="AA213" s="12">
        <f>IF(原始输入与口径!AW117,1,0)</f>
        <v>1</v>
      </c>
      <c r="AB213" s="12">
        <f>IF(原始输入与口径!AY117,1,0)</f>
        <v>1</v>
      </c>
      <c r="AC213" s="12">
        <f>原始输入与口径!$F$5</f>
        <v>0.25</v>
      </c>
      <c r="AD213" s="18">
        <f>原始输入与口径!CG117</f>
        <v>0.3125</v>
      </c>
      <c r="AE213" s="18">
        <f>原始输入与口径!BQ117</f>
        <v>0.13714285714285715</v>
      </c>
      <c r="AF213" s="18">
        <f t="shared" si="81"/>
        <v>2.4320000000000001E-2</v>
      </c>
      <c r="AG213" s="18">
        <f t="shared" si="82"/>
        <v>0</v>
      </c>
      <c r="AH213" s="12">
        <f>IF(ISNUMBER(原始输入与口径!T117),原始输入与口径!T117,"缺失")</f>
        <v>175</v>
      </c>
      <c r="AI213" s="12">
        <f>IF(ISNUMBER(原始输入与口径!Y117),原始输入与口径!Y117,"缺失")</f>
        <v>175</v>
      </c>
      <c r="AJ213" s="12">
        <f>IF(ISNUMBER(原始输入与口径!AI117),原始输入与口径!AI117,"缺失")</f>
        <v>1.0640000000000001</v>
      </c>
      <c r="AK213" s="12">
        <f>IF(ISNUMBER(原始输入与口径!AL117),原始输入与口径!AL117,"缺失")</f>
        <v>0</v>
      </c>
      <c r="AL213" s="12">
        <f>IF(ISNUMBER(原始输入与口径!O117),原始输入与口径!O117,"缺失")</f>
        <v>128</v>
      </c>
      <c r="AM213" s="12">
        <f>SUMIFS(相位SOC复算!$N$9:$N$929,相位SOC复算!$S$9:$S$929,205)</f>
        <v>4.4057971014492753E-4</v>
      </c>
      <c r="AN213" s="12">
        <f>SUMIFS(相位SOC复算!$Q$9:$Q$929,相位SOC复算!$S$9:$S$929,205)</f>
        <v>0</v>
      </c>
      <c r="AO213" s="12">
        <f>SUMIFS(相位SOC复算!$R$9:$R$929,相位SOC复算!$S$9:$S$929,205)</f>
        <v>0.14591999999999999</v>
      </c>
      <c r="AP213" s="12">
        <f>相位SOC复算!J509</f>
        <v>32.445534818712801</v>
      </c>
      <c r="AQ213" s="19">
        <f t="shared" si="83"/>
        <v>0</v>
      </c>
      <c r="AR213" s="12">
        <f>IF(ISBLANK(原始输入与口径!M117),"",原始输入与口径!M117)</f>
        <v>5.2473000000000001</v>
      </c>
      <c r="AS213" s="14">
        <f>IF(ISBLANK(原始输入与口径!L117),"",原始输入与口径!L117)</f>
        <v>46234</v>
      </c>
      <c r="AT213" s="13">
        <f>IF(ISBLANK(原始输入与口径!A117),"",原始输入与口径!A117)</f>
        <v>46236</v>
      </c>
      <c r="AU213" s="12" t="str">
        <f>IF(ISBLANK(原始输入与口径!I117),"",原始输入与口径!I117)</f>
        <v>2026-08-02_9</v>
      </c>
      <c r="AV213" s="12">
        <f>IF(ISBLANK(原始输入与口径!J117),"",原始输入与口径!J117)</f>
        <v>15</v>
      </c>
      <c r="AW213" s="12" t="str">
        <f>IF(ISBLANK(原始输入与口径!BB117),"",原始输入与口径!BB117)</f>
        <v>OK</v>
      </c>
      <c r="AX213" s="12">
        <f>原始输入与口径!CI117</f>
        <v>128</v>
      </c>
      <c r="AY213" s="12">
        <f>原始输入与口径!BS117</f>
        <v>175</v>
      </c>
      <c r="AZ213" s="12">
        <f>原始输入与口径!BI117</f>
        <v>175</v>
      </c>
      <c r="BA213" s="12">
        <f>原始输入与口径!CM117</f>
        <v>40</v>
      </c>
      <c r="BB213" s="12">
        <f>原始输入与口径!BV117</f>
        <v>24</v>
      </c>
      <c r="BC213" s="12">
        <f>原始输入与口径!BL117</f>
        <v>24</v>
      </c>
      <c r="BD213" s="14">
        <f>46236</f>
        <v>46236</v>
      </c>
      <c r="BE213" s="1" t="str">
        <f t="shared" si="84"/>
        <v>零头寸，无结算现金</v>
      </c>
      <c r="BF213" s="1" t="str">
        <f t="shared" si="85"/>
        <v>40.000000 MW × 66.224535 × 0.250000 h = 662.245345 EUR</v>
      </c>
      <c r="BG213" s="1" t="str">
        <f t="shared" si="86"/>
        <v>24.000000 MW × 7.127475 × 0.250000 h = 42.764850 EUR</v>
      </c>
      <c r="BH213" s="1" t="str">
        <f t="shared" si="87"/>
        <v>24.000000 MW × 4.209784 × 0.250000 h = 25.258704 EUR</v>
      </c>
      <c r="BI213" s="1" t="str">
        <f t="shared" si="88"/>
        <v>0.145920 MWh × 168.151621 = 24.536685 EUR</v>
      </c>
      <c r="BJ213" s="1" t="str">
        <f t="shared" si="89"/>
        <v>零下调激活电量</v>
      </c>
      <c r="BK213" s="1" t="str">
        <f t="shared" si="90"/>
        <v>0.000000 + 662.245345 + 42.764850 + 25.258704 + 24.536685 + 0.000000 = 754.805585 EUR</v>
      </c>
    </row>
    <row r="214" spans="1:63" ht="21" customHeight="1" x14ac:dyDescent="0.45">
      <c r="A214" s="13">
        <f>原始输入与口径!C118</f>
        <v>46236.135416666664</v>
      </c>
      <c r="B214" s="15">
        <f>IF(ISNUMBER(原始输入与口径!H118),原始输入与口径!H118,"缺失")</f>
        <v>156.86000000000001</v>
      </c>
      <c r="C214" s="15">
        <f>IF(ISNUMBER(原始输入与口径!R118),原始输入与口径!R118,"缺失")</f>
        <v>66.224534522516336</v>
      </c>
      <c r="D214" s="15">
        <f>IF(ISNUMBER(原始输入与口径!W118),原始输入与口径!W118,"缺失")</f>
        <v>7.1274750824233415</v>
      </c>
      <c r="E214" s="15">
        <f>IF(ISNUMBER(原始输入与口径!AB118),原始输入与口径!AB118,"缺失")</f>
        <v>4.2097840794313264</v>
      </c>
      <c r="F214" s="15">
        <f>IF(ISNUMBER(原始输入与口径!AG118),原始输入与口径!AG118,"缺失")</f>
        <v>176.55403731442837</v>
      </c>
      <c r="G214" s="15">
        <f>IF(ISNUMBER(原始输入与口径!AJ118),原始输入与口径!AJ118,"缺失")</f>
        <v>0</v>
      </c>
      <c r="H214" s="15" t="str">
        <f t="shared" si="69"/>
        <v>未模拟</v>
      </c>
      <c r="I214" s="16">
        <f>原始输入与口径!CD118</f>
        <v>32.445534818712801</v>
      </c>
      <c r="J214" s="16">
        <f>原始输入与口径!CE118</f>
        <v>32.647448874363008</v>
      </c>
      <c r="K214" s="16">
        <f>原始输入与口径!BZ118</f>
        <v>-4.5587853311510811</v>
      </c>
      <c r="L214" s="16">
        <f>原始输入与口径!CK118</f>
        <v>40</v>
      </c>
      <c r="M214" s="16">
        <f>原始输入与口径!BT118</f>
        <v>24</v>
      </c>
      <c r="N214" s="16">
        <f>原始输入与口径!BJ118</f>
        <v>24</v>
      </c>
      <c r="O214" s="16">
        <f t="shared" si="70"/>
        <v>0.80228571428571427</v>
      </c>
      <c r="P214" s="16">
        <f t="shared" si="71"/>
        <v>0</v>
      </c>
      <c r="Q214" s="17">
        <f t="shared" si="72"/>
        <v>-178.77276676108966</v>
      </c>
      <c r="R214" s="17">
        <f t="shared" si="73"/>
        <v>662.24534522516342</v>
      </c>
      <c r="S214" s="17">
        <f t="shared" si="74"/>
        <v>42.764850494540049</v>
      </c>
      <c r="T214" s="17">
        <f t="shared" si="75"/>
        <v>25.258704476587958</v>
      </c>
      <c r="U214" s="17">
        <f t="shared" si="76"/>
        <v>141.64678193683281</v>
      </c>
      <c r="V214" s="17">
        <f t="shared" si="77"/>
        <v>0</v>
      </c>
      <c r="W214" s="17">
        <f t="shared" si="78"/>
        <v>693.14291537203451</v>
      </c>
      <c r="X214" s="12">
        <f>原始输入与口径!CP118</f>
        <v>693.14291537203462</v>
      </c>
      <c r="Y214" s="19">
        <f t="shared" si="79"/>
        <v>0</v>
      </c>
      <c r="Z214" s="12" t="str">
        <f t="shared" si="80"/>
        <v>当日执行</v>
      </c>
      <c r="AA214" s="12">
        <f>IF(原始输入与口径!AW118,1,0)</f>
        <v>1</v>
      </c>
      <c r="AB214" s="12">
        <f>IF(原始输入与口径!AY118,1,0)</f>
        <v>1</v>
      </c>
      <c r="AC214" s="12">
        <f>原始输入与口径!$F$5</f>
        <v>0.25</v>
      </c>
      <c r="AD214" s="18">
        <f>原始输入与口径!CG118</f>
        <v>0.3125</v>
      </c>
      <c r="AE214" s="18">
        <f>原始输入与口径!BQ118</f>
        <v>0.13714285714285715</v>
      </c>
      <c r="AF214" s="18">
        <f t="shared" si="81"/>
        <v>0.1337142857142857</v>
      </c>
      <c r="AG214" s="18">
        <f t="shared" si="82"/>
        <v>0</v>
      </c>
      <c r="AH214" s="12">
        <f>IF(ISNUMBER(原始输入与口径!T118),原始输入与口径!T118,"缺失")</f>
        <v>175</v>
      </c>
      <c r="AI214" s="12">
        <f>IF(ISNUMBER(原始输入与口径!Y118),原始输入与口径!Y118,"缺失")</f>
        <v>175</v>
      </c>
      <c r="AJ214" s="12">
        <f>IF(ISNUMBER(原始输入与口径!AI118),原始输入与口径!AI118,"缺失")</f>
        <v>5.85</v>
      </c>
      <c r="AK214" s="12">
        <f>IF(ISNUMBER(原始输入与口径!AL118),原始输入与口径!AL118,"缺失")</f>
        <v>0</v>
      </c>
      <c r="AL214" s="12">
        <f>IF(ISNUMBER(原始输入与口径!O118),原始输入与口径!O118,"缺失")</f>
        <v>128</v>
      </c>
      <c r="AM214" s="12">
        <f>SUMIFS(相位SOC复算!$N$9:$N$929,相位SOC复算!$S$9:$S$929,206)</f>
        <v>4.4853411764184956E-3</v>
      </c>
      <c r="AN214" s="12">
        <f>SUMIFS(相位SOC复算!$Q$9:$Q$929,相位SOC复算!$S$9:$S$929,206)</f>
        <v>0.9873026517178628</v>
      </c>
      <c r="AO214" s="12">
        <f>SUMIFS(相位SOC复算!$R$9:$R$929,相位SOC复算!$S$9:$S$929,206)</f>
        <v>0.64989203321580657</v>
      </c>
      <c r="AP214" s="12">
        <f>相位SOC复算!J511</f>
        <v>32.647448874363008</v>
      </c>
      <c r="AQ214" s="19">
        <f t="shared" si="83"/>
        <v>0</v>
      </c>
      <c r="AR214" s="12">
        <f>IF(ISBLANK(原始输入与口径!M118),"",原始输入与口径!M118)</f>
        <v>5.2473000000000001</v>
      </c>
      <c r="AS214" s="14">
        <f>IF(ISBLANK(原始输入与口径!L118),"",原始输入与口径!L118)</f>
        <v>46234</v>
      </c>
      <c r="AT214" s="13">
        <f>IF(ISBLANK(原始输入与口径!A118),"",原始输入与口径!A118)</f>
        <v>46236.010416666664</v>
      </c>
      <c r="AU214" s="12" t="str">
        <f>IF(ISBLANK(原始输入与口径!I118),"",原始输入与口径!I118)</f>
        <v>2026-08-02_10</v>
      </c>
      <c r="AV214" s="12">
        <f>IF(ISBLANK(原始输入与口径!J118),"",原始输入与口径!J118)</f>
        <v>15</v>
      </c>
      <c r="AW214" s="12" t="str">
        <f>IF(ISBLANK(原始输入与口径!BB118),"",原始输入与口径!BB118)</f>
        <v>OK</v>
      </c>
      <c r="AX214" s="12">
        <f>原始输入与口径!CI118</f>
        <v>128</v>
      </c>
      <c r="AY214" s="12">
        <f>原始输入与口径!BS118</f>
        <v>175</v>
      </c>
      <c r="AZ214" s="12">
        <f>原始输入与口径!BI118</f>
        <v>175</v>
      </c>
      <c r="BA214" s="12">
        <f>原始输入与口径!CM118</f>
        <v>40</v>
      </c>
      <c r="BB214" s="12">
        <f>原始输入与口径!BV118</f>
        <v>24</v>
      </c>
      <c r="BC214" s="12">
        <f>原始输入与口径!BL118</f>
        <v>24</v>
      </c>
      <c r="BD214" s="14">
        <f>46236</f>
        <v>46236</v>
      </c>
      <c r="BE214" s="1" t="str">
        <f t="shared" si="84"/>
        <v>-4.558785 MW × 156.860000 × 0.250000 h = -178.772767 EUR</v>
      </c>
      <c r="BF214" s="1" t="str">
        <f t="shared" si="85"/>
        <v>40.000000 MW × 66.224535 × 0.250000 h = 662.245345 EUR</v>
      </c>
      <c r="BG214" s="1" t="str">
        <f t="shared" si="86"/>
        <v>24.000000 MW × 7.127475 × 0.250000 h = 42.764850 EUR</v>
      </c>
      <c r="BH214" s="1" t="str">
        <f t="shared" si="87"/>
        <v>24.000000 MW × 4.209784 × 0.250000 h = 25.258704 EUR</v>
      </c>
      <c r="BI214" s="1" t="str">
        <f t="shared" si="88"/>
        <v>0.802286 MWh × 176.554037 = 141.646782 EUR</v>
      </c>
      <c r="BJ214" s="1" t="str">
        <f t="shared" si="89"/>
        <v>零下调激活电量</v>
      </c>
      <c r="BK214" s="1" t="str">
        <f t="shared" si="90"/>
        <v>-178.772767 + 662.245345 + 42.764850 + 25.258704 + 141.646782 + 0.000000 = 693.142915 EUR</v>
      </c>
    </row>
    <row r="215" spans="1:63" ht="21" customHeight="1" x14ac:dyDescent="0.45">
      <c r="A215" s="13">
        <f>原始输入与口径!C119</f>
        <v>46236.145833333336</v>
      </c>
      <c r="B215" s="15">
        <f>IF(ISNUMBER(原始输入与口径!H119),原始输入与口径!H119,"缺失")</f>
        <v>157.31</v>
      </c>
      <c r="C215" s="15">
        <f>IF(ISNUMBER(原始输入与口径!R119),原始输入与口径!R119,"缺失")</f>
        <v>66.224534522516336</v>
      </c>
      <c r="D215" s="15">
        <f>IF(ISNUMBER(原始输入与口径!W119),原始输入与口径!W119,"缺失")</f>
        <v>7.1274750824233415</v>
      </c>
      <c r="E215" s="15">
        <f>IF(ISNUMBER(原始输入与口径!AB119),原始输入与口径!AB119,"缺失")</f>
        <v>4.2097840794313264</v>
      </c>
      <c r="F215" s="15">
        <f>IF(ISNUMBER(原始输入与口径!AG119),原始输入与口径!AG119,"缺失")</f>
        <v>173.58984620662056</v>
      </c>
      <c r="G215" s="15">
        <f>IF(ISNUMBER(原始输入与口径!AJ119),原始输入与口径!AJ119,"缺失")</f>
        <v>0</v>
      </c>
      <c r="H215" s="15" t="str">
        <f t="shared" si="69"/>
        <v>未模拟</v>
      </c>
      <c r="I215" s="16">
        <f>原始输入与口径!CD119</f>
        <v>32.647448874363008</v>
      </c>
      <c r="J215" s="16">
        <f>原始输入与口径!CE119</f>
        <v>32.413073445217691</v>
      </c>
      <c r="K215" s="16">
        <f>原始输入与口径!BZ119</f>
        <v>-3.5010837156643779</v>
      </c>
      <c r="L215" s="16">
        <f>原始输入与口径!CK119</f>
        <v>40</v>
      </c>
      <c r="M215" s="16">
        <f>原始输入与口径!BT119</f>
        <v>24</v>
      </c>
      <c r="N215" s="16">
        <f>原始输入与口径!BJ119</f>
        <v>24</v>
      </c>
      <c r="O215" s="16">
        <f t="shared" si="70"/>
        <v>0.97837714285714283</v>
      </c>
      <c r="P215" s="16">
        <f t="shared" si="71"/>
        <v>0</v>
      </c>
      <c r="Q215" s="17">
        <f t="shared" si="72"/>
        <v>-137.68886982779082</v>
      </c>
      <c r="R215" s="17">
        <f t="shared" si="73"/>
        <v>662.24534522516342</v>
      </c>
      <c r="S215" s="17">
        <f t="shared" si="74"/>
        <v>42.764850494540049</v>
      </c>
      <c r="T215" s="17">
        <f t="shared" si="75"/>
        <v>25.258704476587958</v>
      </c>
      <c r="U215" s="17">
        <f t="shared" si="76"/>
        <v>169.83633776064426</v>
      </c>
      <c r="V215" s="17">
        <f t="shared" si="77"/>
        <v>0</v>
      </c>
      <c r="W215" s="17">
        <f t="shared" si="78"/>
        <v>762.41636812914487</v>
      </c>
      <c r="X215" s="12">
        <f>原始输入与口径!CP119</f>
        <v>762.41636812914487</v>
      </c>
      <c r="Y215" s="19">
        <f t="shared" si="79"/>
        <v>0</v>
      </c>
      <c r="Z215" s="12" t="str">
        <f t="shared" si="80"/>
        <v>当日执行</v>
      </c>
      <c r="AA215" s="12">
        <f>IF(原始输入与口径!AW119,1,0)</f>
        <v>1</v>
      </c>
      <c r="AB215" s="12">
        <f>IF(原始输入与口径!AY119,1,0)</f>
        <v>1</v>
      </c>
      <c r="AC215" s="12">
        <f>原始输入与口径!$F$5</f>
        <v>0.25</v>
      </c>
      <c r="AD215" s="18">
        <f>原始输入与口径!CG119</f>
        <v>0.3125</v>
      </c>
      <c r="AE215" s="18">
        <f>原始输入与口径!BQ119</f>
        <v>0.13714285714285715</v>
      </c>
      <c r="AF215" s="18">
        <f t="shared" si="81"/>
        <v>0.16306285714285715</v>
      </c>
      <c r="AG215" s="18">
        <f t="shared" si="82"/>
        <v>0</v>
      </c>
      <c r="AH215" s="12">
        <f>IF(ISNUMBER(原始输入与口径!T119),原始输入与口径!T119,"缺失")</f>
        <v>175</v>
      </c>
      <c r="AI215" s="12">
        <f>IF(ISNUMBER(原始输入与口径!Y119),原始输入与口径!Y119,"缺失")</f>
        <v>175</v>
      </c>
      <c r="AJ215" s="12">
        <f>IF(ISNUMBER(原始输入与口径!AI119),原始输入与口径!AI119,"缺失")</f>
        <v>7.1340000000000003</v>
      </c>
      <c r="AK215" s="12">
        <f>IF(ISNUMBER(原始输入与口径!AL119),原始输入与口径!AL119,"缺失")</f>
        <v>0</v>
      </c>
      <c r="AL215" s="12">
        <f>IF(ISNUMBER(原始输入与口径!O119),原始输入与口径!O119,"缺失")</f>
        <v>128</v>
      </c>
      <c r="AM215" s="12">
        <f>SUMIFS(相位SOC复算!$N$9:$N$929,相位SOC复算!$S$9:$S$929,207)</f>
        <v>4.39517069448765E-3</v>
      </c>
      <c r="AN215" s="12">
        <f>SUMIFS(相位SOC复算!$Q$9:$Q$929,相位SOC复算!$S$9:$S$929,207)</f>
        <v>0.73254675047295348</v>
      </c>
      <c r="AO215" s="12">
        <f>SUMIFS(相位SOC复算!$R$9:$R$929,相位SOC复算!$S$9:$S$929,207)</f>
        <v>0.83565296441400183</v>
      </c>
      <c r="AP215" s="12">
        <f>相位SOC复算!J513</f>
        <v>32.413073445217691</v>
      </c>
      <c r="AQ215" s="19">
        <f t="shared" si="83"/>
        <v>0</v>
      </c>
      <c r="AR215" s="12">
        <f>IF(ISBLANK(原始输入与口径!M119),"",原始输入与口径!M119)</f>
        <v>5.2473000000000001</v>
      </c>
      <c r="AS215" s="14">
        <f>IF(ISBLANK(原始输入与口径!L119),"",原始输入与口径!L119)</f>
        <v>46234</v>
      </c>
      <c r="AT215" s="13">
        <f>IF(ISBLANK(原始输入与口径!A119),"",原始输入与口径!A119)</f>
        <v>46236.020833333336</v>
      </c>
      <c r="AU215" s="12" t="str">
        <f>IF(ISBLANK(原始输入与口径!I119),"",原始输入与口径!I119)</f>
        <v>2026-08-02_11</v>
      </c>
      <c r="AV215" s="12">
        <f>IF(ISBLANK(原始输入与口径!J119),"",原始输入与口径!J119)</f>
        <v>15</v>
      </c>
      <c r="AW215" s="12" t="str">
        <f>IF(ISBLANK(原始输入与口径!BB119),"",原始输入与口径!BB119)</f>
        <v>OK</v>
      </c>
      <c r="AX215" s="12">
        <f>原始输入与口径!CI119</f>
        <v>128</v>
      </c>
      <c r="AY215" s="12">
        <f>原始输入与口径!BS119</f>
        <v>175</v>
      </c>
      <c r="AZ215" s="12">
        <f>原始输入与口径!BI119</f>
        <v>175</v>
      </c>
      <c r="BA215" s="12">
        <f>原始输入与口径!CM119</f>
        <v>40</v>
      </c>
      <c r="BB215" s="12">
        <f>原始输入与口径!BV119</f>
        <v>24</v>
      </c>
      <c r="BC215" s="12">
        <f>原始输入与口径!BL119</f>
        <v>24</v>
      </c>
      <c r="BD215" s="14">
        <f>46236</f>
        <v>46236</v>
      </c>
      <c r="BE215" s="1" t="str">
        <f t="shared" si="84"/>
        <v>-3.501084 MW × 157.310000 × 0.250000 h = -137.688870 EUR</v>
      </c>
      <c r="BF215" s="1" t="str">
        <f t="shared" si="85"/>
        <v>40.000000 MW × 66.224535 × 0.250000 h = 662.245345 EUR</v>
      </c>
      <c r="BG215" s="1" t="str">
        <f t="shared" si="86"/>
        <v>24.000000 MW × 7.127475 × 0.250000 h = 42.764850 EUR</v>
      </c>
      <c r="BH215" s="1" t="str">
        <f t="shared" si="87"/>
        <v>24.000000 MW × 4.209784 × 0.250000 h = 25.258704 EUR</v>
      </c>
      <c r="BI215" s="1" t="str">
        <f t="shared" si="88"/>
        <v>0.978377 MWh × 173.589846 = 169.836338 EUR</v>
      </c>
      <c r="BJ215" s="1" t="str">
        <f t="shared" si="89"/>
        <v>零下调激活电量</v>
      </c>
      <c r="BK215" s="1" t="str">
        <f t="shared" si="90"/>
        <v>-137.688870 + 662.245345 + 42.764850 + 25.258704 + 169.836338 + 0.000000 = 762.416368 EUR</v>
      </c>
    </row>
    <row r="216" spans="1:63" ht="21" customHeight="1" x14ac:dyDescent="0.45">
      <c r="A216" s="13">
        <f>原始输入与口径!C120</f>
        <v>46236.15625</v>
      </c>
      <c r="B216" s="15">
        <f>IF(ISNUMBER(原始输入与口径!H120),原始输入与口径!H120,"缺失")</f>
        <v>154.80000000000001</v>
      </c>
      <c r="C216" s="15">
        <f>IF(ISNUMBER(原始输入与口径!R120),原始输入与口径!R120,"缺失")</f>
        <v>66.224534522516336</v>
      </c>
      <c r="D216" s="15">
        <f>IF(ISNUMBER(原始输入与口径!W120),原始输入与口径!W120,"缺失")</f>
        <v>7.1274750824233415</v>
      </c>
      <c r="E216" s="15">
        <f>IF(ISNUMBER(原始输入与口径!AB120),原始输入与口径!AB120,"缺失")</f>
        <v>4.2097840794313264</v>
      </c>
      <c r="F216" s="15">
        <f>IF(ISNUMBER(原始输入与口径!AG120),原始输入与口径!AG120,"缺失")</f>
        <v>185.35837478322185</v>
      </c>
      <c r="G216" s="15">
        <f>IF(ISNUMBER(原始输入与口径!AJ120),原始输入与口径!AJ120,"缺失")</f>
        <v>0</v>
      </c>
      <c r="H216" s="15" t="str">
        <f t="shared" si="69"/>
        <v>未模拟</v>
      </c>
      <c r="I216" s="16">
        <f>原始输入与口径!CD120</f>
        <v>32.413073445217691</v>
      </c>
      <c r="J216" s="16">
        <f>原始输入与口径!CE120</f>
        <v>34.15850931677015</v>
      </c>
      <c r="K216" s="16">
        <f>原始输入与口径!BZ120</f>
        <v>-13.978311196078922</v>
      </c>
      <c r="L216" s="16">
        <f>原始输入与口径!CK120</f>
        <v>40</v>
      </c>
      <c r="M216" s="16">
        <f>原始输入与口径!BT120</f>
        <v>24</v>
      </c>
      <c r="N216" s="16">
        <f>原始输入与口径!BJ120</f>
        <v>24</v>
      </c>
      <c r="O216" s="16">
        <f t="shared" si="70"/>
        <v>1.4848457142857141</v>
      </c>
      <c r="P216" s="16">
        <f t="shared" si="71"/>
        <v>0</v>
      </c>
      <c r="Q216" s="17">
        <f t="shared" si="72"/>
        <v>-540.96064328825435</v>
      </c>
      <c r="R216" s="17">
        <f t="shared" si="73"/>
        <v>662.24534522516342</v>
      </c>
      <c r="S216" s="17">
        <f t="shared" si="74"/>
        <v>42.764850494540049</v>
      </c>
      <c r="T216" s="17">
        <f t="shared" si="75"/>
        <v>25.258704476587958</v>
      </c>
      <c r="U216" s="17">
        <f t="shared" si="76"/>
        <v>275.22858840383213</v>
      </c>
      <c r="V216" s="17">
        <f t="shared" si="77"/>
        <v>0</v>
      </c>
      <c r="W216" s="17">
        <f t="shared" si="78"/>
        <v>464.53684531186923</v>
      </c>
      <c r="X216" s="12">
        <f>原始输入与口径!CP120</f>
        <v>464.53684531186923</v>
      </c>
      <c r="Y216" s="19">
        <f t="shared" si="79"/>
        <v>0</v>
      </c>
      <c r="Z216" s="12" t="str">
        <f t="shared" si="80"/>
        <v>当日执行</v>
      </c>
      <c r="AA216" s="12">
        <f>IF(原始输入与口径!AW120,1,0)</f>
        <v>1</v>
      </c>
      <c r="AB216" s="12">
        <f>IF(原始输入与口径!AY120,1,0)</f>
        <v>1</v>
      </c>
      <c r="AC216" s="12">
        <f>原始输入与口径!$F$5</f>
        <v>0.25</v>
      </c>
      <c r="AD216" s="18">
        <f>原始输入与口径!CG120</f>
        <v>0.3125</v>
      </c>
      <c r="AE216" s="18">
        <f>原始输入与口径!BQ120</f>
        <v>0.13714285714285715</v>
      </c>
      <c r="AF216" s="18">
        <f t="shared" si="81"/>
        <v>0.2474742857142857</v>
      </c>
      <c r="AG216" s="18">
        <f t="shared" si="82"/>
        <v>0</v>
      </c>
      <c r="AH216" s="12">
        <f>IF(ISNUMBER(原始输入与口径!T120),原始输入与口径!T120,"缺失")</f>
        <v>175</v>
      </c>
      <c r="AI216" s="12">
        <f>IF(ISNUMBER(原始输入与口径!Y120),原始输入与口径!Y120,"缺失")</f>
        <v>175</v>
      </c>
      <c r="AJ216" s="12">
        <f>IF(ISNUMBER(原始输入与口径!AI120),原始输入与口径!AI120,"缺失")</f>
        <v>10.827</v>
      </c>
      <c r="AK216" s="12">
        <f>IF(ISNUMBER(原始输入与口径!AL120),原始输入与口径!AL120,"缺失")</f>
        <v>0</v>
      </c>
      <c r="AL216" s="12">
        <f>IF(ISNUMBER(原始输入与口径!O120),原始输入与口径!O120,"缺失")</f>
        <v>128</v>
      </c>
      <c r="AM216" s="12">
        <f>SUMIFS(相位SOC复算!$N$9:$N$929,相位SOC复算!$S$9:$S$929,208)</f>
        <v>8.5925608122852538E-3</v>
      </c>
      <c r="AN216" s="12">
        <f>SUMIFS(相位SOC复算!$Q$9:$Q$929,相位SOC复算!$S$9:$S$929,208)</f>
        <v>2.6297596543343218</v>
      </c>
      <c r="AO216" s="12">
        <f>SUMIFS(相位SOC复算!$R$9:$R$929,相位SOC复算!$S$9:$S$929,208)</f>
        <v>0.62002756960030581</v>
      </c>
      <c r="AP216" s="12">
        <f>相位SOC复算!J515</f>
        <v>34.15850931677015</v>
      </c>
      <c r="AQ216" s="19">
        <f t="shared" si="83"/>
        <v>0</v>
      </c>
      <c r="AR216" s="12">
        <f>IF(ISBLANK(原始输入与口径!M120),"",原始输入与口径!M120)</f>
        <v>5.2473000000000001</v>
      </c>
      <c r="AS216" s="14">
        <f>IF(ISBLANK(原始输入与口径!L120),"",原始输入与口径!L120)</f>
        <v>46234</v>
      </c>
      <c r="AT216" s="13">
        <f>IF(ISBLANK(原始输入与口径!A120),"",原始输入与口径!A120)</f>
        <v>46236.03125</v>
      </c>
      <c r="AU216" s="12" t="str">
        <f>IF(ISBLANK(原始输入与口径!I120),"",原始输入与口径!I120)</f>
        <v>2026-08-02_12</v>
      </c>
      <c r="AV216" s="12">
        <f>IF(ISBLANK(原始输入与口径!J120),"",原始输入与口径!J120)</f>
        <v>15</v>
      </c>
      <c r="AW216" s="12" t="str">
        <f>IF(ISBLANK(原始输入与口径!BB120),"",原始输入与口径!BB120)</f>
        <v>OK</v>
      </c>
      <c r="AX216" s="12">
        <f>原始输入与口径!CI120</f>
        <v>128</v>
      </c>
      <c r="AY216" s="12">
        <f>原始输入与口径!BS120</f>
        <v>175</v>
      </c>
      <c r="AZ216" s="12">
        <f>原始输入与口径!BI120</f>
        <v>175</v>
      </c>
      <c r="BA216" s="12">
        <f>原始输入与口径!CM120</f>
        <v>40</v>
      </c>
      <c r="BB216" s="12">
        <f>原始输入与口径!BV120</f>
        <v>24</v>
      </c>
      <c r="BC216" s="12">
        <f>原始输入与口径!BL120</f>
        <v>24</v>
      </c>
      <c r="BD216" s="14">
        <f>46236</f>
        <v>46236</v>
      </c>
      <c r="BE216" s="1" t="str">
        <f t="shared" si="84"/>
        <v>-13.978311 MW × 154.800000 × 0.250000 h = -540.960643 EUR</v>
      </c>
      <c r="BF216" s="1" t="str">
        <f t="shared" si="85"/>
        <v>40.000000 MW × 66.224535 × 0.250000 h = 662.245345 EUR</v>
      </c>
      <c r="BG216" s="1" t="str">
        <f t="shared" si="86"/>
        <v>24.000000 MW × 7.127475 × 0.250000 h = 42.764850 EUR</v>
      </c>
      <c r="BH216" s="1" t="str">
        <f t="shared" si="87"/>
        <v>24.000000 MW × 4.209784 × 0.250000 h = 25.258704 EUR</v>
      </c>
      <c r="BI216" s="1" t="str">
        <f t="shared" si="88"/>
        <v>1.484846 MWh × 185.358375 = 275.228588 EUR</v>
      </c>
      <c r="BJ216" s="1" t="str">
        <f t="shared" si="89"/>
        <v>零下调激活电量</v>
      </c>
      <c r="BK216" s="1" t="str">
        <f t="shared" si="90"/>
        <v>-540.960643 + 662.245345 + 42.764850 + 25.258704 + 275.228588 + 0.000000 = 464.536845 EUR</v>
      </c>
    </row>
    <row r="217" spans="1:63" ht="21" customHeight="1" x14ac:dyDescent="0.45">
      <c r="A217" s="13">
        <f>原始输入与口径!C121</f>
        <v>46236.166666666664</v>
      </c>
      <c r="B217" s="15">
        <f>IF(ISNUMBER(原始输入与口径!H121),原始输入与口径!H121,"缺失")</f>
        <v>157.47999999999999</v>
      </c>
      <c r="C217" s="15">
        <f>IF(ISNUMBER(原始输入与口径!R121),原始输入与口径!R121,"缺失")</f>
        <v>66.224534522516336</v>
      </c>
      <c r="D217" s="15">
        <f>IF(ISNUMBER(原始输入与口径!W121),原始输入与口径!W121,"缺失")</f>
        <v>7.1274750824233415</v>
      </c>
      <c r="E217" s="15">
        <f>IF(ISNUMBER(原始输入与口径!AB121),原始输入与口径!AB121,"缺失")</f>
        <v>5.0768966897261452</v>
      </c>
      <c r="F217" s="15">
        <f>IF(ISNUMBER(原始输入与口径!AG121),原始输入与口径!AG121,"缺失")</f>
        <v>217.78781468564785</v>
      </c>
      <c r="G217" s="15">
        <f>IF(ISNUMBER(原始输入与口径!AJ121),原始输入与口径!AJ121,"缺失")</f>
        <v>0</v>
      </c>
      <c r="H217" s="15" t="str">
        <f t="shared" si="69"/>
        <v>未模拟</v>
      </c>
      <c r="I217" s="16">
        <f>原始输入与口径!CD121</f>
        <v>34.15850931677015</v>
      </c>
      <c r="J217" s="16">
        <f>原始输入与口径!CE121</f>
        <v>31.739130434782574</v>
      </c>
      <c r="K217" s="16">
        <f>原始输入与口径!BZ121</f>
        <v>0</v>
      </c>
      <c r="L217" s="16">
        <f>原始输入与口径!CK121</f>
        <v>40</v>
      </c>
      <c r="M217" s="16">
        <f>原始输入与口径!BT121</f>
        <v>24</v>
      </c>
      <c r="N217" s="16">
        <f>原始输入与口径!BJ121</f>
        <v>24</v>
      </c>
      <c r="O217" s="16">
        <f t="shared" si="70"/>
        <v>2.2258285714285715</v>
      </c>
      <c r="P217" s="16">
        <f t="shared" si="71"/>
        <v>0</v>
      </c>
      <c r="Q217" s="17">
        <f t="shared" si="72"/>
        <v>0</v>
      </c>
      <c r="R217" s="17">
        <f t="shared" si="73"/>
        <v>662.24534522516342</v>
      </c>
      <c r="S217" s="17">
        <f t="shared" si="74"/>
        <v>42.764850494540049</v>
      </c>
      <c r="T217" s="17">
        <f t="shared" si="75"/>
        <v>30.461380138356873</v>
      </c>
      <c r="U217" s="17">
        <f t="shared" si="76"/>
        <v>484.75834043630601</v>
      </c>
      <c r="V217" s="17">
        <f t="shared" si="77"/>
        <v>0</v>
      </c>
      <c r="W217" s="17">
        <f t="shared" si="78"/>
        <v>1220.2299162943664</v>
      </c>
      <c r="X217" s="12">
        <f>原始输入与口径!CP121</f>
        <v>1220.2299162943664</v>
      </c>
      <c r="Y217" s="19">
        <f t="shared" si="79"/>
        <v>0</v>
      </c>
      <c r="Z217" s="12" t="str">
        <f t="shared" si="80"/>
        <v>当日执行</v>
      </c>
      <c r="AA217" s="12">
        <f>IF(原始输入与口径!AW121,1,0)</f>
        <v>1</v>
      </c>
      <c r="AB217" s="12">
        <f>IF(原始输入与口径!AY121,1,0)</f>
        <v>1</v>
      </c>
      <c r="AC217" s="12">
        <f>原始输入与口径!$F$5</f>
        <v>0.25</v>
      </c>
      <c r="AD217" s="18">
        <f>原始输入与口径!CG121</f>
        <v>0.3125</v>
      </c>
      <c r="AE217" s="18">
        <f>原始输入与口径!BQ121</f>
        <v>0.13714285714285715</v>
      </c>
      <c r="AF217" s="18">
        <f t="shared" si="81"/>
        <v>0.37097142857142856</v>
      </c>
      <c r="AG217" s="18">
        <f t="shared" si="82"/>
        <v>0</v>
      </c>
      <c r="AH217" s="12">
        <f>IF(ISNUMBER(原始输入与口径!T121),原始输入与口径!T121,"缺失")</f>
        <v>175</v>
      </c>
      <c r="AI217" s="12">
        <f>IF(ISNUMBER(原始输入与口径!Y121),原始输入与口径!Y121,"缺失")</f>
        <v>175</v>
      </c>
      <c r="AJ217" s="12">
        <f>IF(ISNUMBER(原始输入与口径!AI121),原始输入与口径!AI121,"缺失")</f>
        <v>16.23</v>
      </c>
      <c r="AK217" s="12">
        <f>IF(ISNUMBER(原始输入与口径!AL121),原始输入与口径!AL121,"缺失")</f>
        <v>0</v>
      </c>
      <c r="AL217" s="12">
        <f>IF(ISNUMBER(原始输入与口径!O121),原始输入与口径!O121,"缺失")</f>
        <v>128</v>
      </c>
      <c r="AM217" s="12">
        <f>SUMIFS(相位SOC复算!$N$9:$N$929,相位SOC复算!$S$9:$S$929,209)</f>
        <v>6.7204968944099379E-3</v>
      </c>
      <c r="AN217" s="12">
        <f>SUMIFS(相位SOC复算!$Q$9:$Q$929,相位SOC复算!$S$9:$S$929,209)</f>
        <v>0</v>
      </c>
      <c r="AO217" s="12">
        <f>SUMIFS(相位SOC复算!$R$9:$R$929,相位SOC复算!$S$9:$S$929,209)</f>
        <v>2.2258285714285715</v>
      </c>
      <c r="AP217" s="12">
        <f>相位SOC复算!J517</f>
        <v>31.739130434782574</v>
      </c>
      <c r="AQ217" s="19">
        <f t="shared" si="83"/>
        <v>0</v>
      </c>
      <c r="AR217" s="12">
        <f>IF(ISBLANK(原始输入与口径!M121),"",原始输入与口径!M121)</f>
        <v>5.2473000000000001</v>
      </c>
      <c r="AS217" s="14">
        <f>IF(ISBLANK(原始输入与口径!L121),"",原始输入与口径!L121)</f>
        <v>46234</v>
      </c>
      <c r="AT217" s="13">
        <f>IF(ISBLANK(原始输入与口径!A121),"",原始输入与口径!A121)</f>
        <v>46236.041666666664</v>
      </c>
      <c r="AU217" s="12" t="str">
        <f>IF(ISBLANK(原始输入与口径!I121),"",原始输入与口径!I121)</f>
        <v>2026-08-02_13</v>
      </c>
      <c r="AV217" s="12">
        <f>IF(ISBLANK(原始输入与口径!J121),"",原始输入与口径!J121)</f>
        <v>15</v>
      </c>
      <c r="AW217" s="12" t="str">
        <f>IF(ISBLANK(原始输入与口径!BB121),"",原始输入与口径!BB121)</f>
        <v>OK</v>
      </c>
      <c r="AX217" s="12">
        <f>原始输入与口径!CI121</f>
        <v>128</v>
      </c>
      <c r="AY217" s="12">
        <f>原始输入与口径!BS121</f>
        <v>175</v>
      </c>
      <c r="AZ217" s="12">
        <f>原始输入与口径!BI121</f>
        <v>175</v>
      </c>
      <c r="BA217" s="12">
        <f>原始输入与口径!CM121</f>
        <v>40</v>
      </c>
      <c r="BB217" s="12">
        <f>原始输入与口径!BV121</f>
        <v>24</v>
      </c>
      <c r="BC217" s="12">
        <f>原始输入与口径!BL121</f>
        <v>24</v>
      </c>
      <c r="BD217" s="14">
        <f>46236</f>
        <v>46236</v>
      </c>
      <c r="BE217" s="1" t="str">
        <f t="shared" si="84"/>
        <v>零头寸，无结算现金</v>
      </c>
      <c r="BF217" s="1" t="str">
        <f t="shared" si="85"/>
        <v>40.000000 MW × 66.224535 × 0.250000 h = 662.245345 EUR</v>
      </c>
      <c r="BG217" s="1" t="str">
        <f t="shared" si="86"/>
        <v>24.000000 MW × 7.127475 × 0.250000 h = 42.764850 EUR</v>
      </c>
      <c r="BH217" s="1" t="str">
        <f t="shared" si="87"/>
        <v>24.000000 MW × 5.076897 × 0.250000 h = 30.461380 EUR</v>
      </c>
      <c r="BI217" s="1" t="str">
        <f t="shared" si="88"/>
        <v>2.225829 MWh × 217.787815 = 484.758340 EUR</v>
      </c>
      <c r="BJ217" s="1" t="str">
        <f t="shared" si="89"/>
        <v>零下调激活电量</v>
      </c>
      <c r="BK217" s="1" t="str">
        <f t="shared" si="90"/>
        <v>0.000000 + 662.245345 + 42.764850 + 30.461380 + 484.758340 + 0.000000 = 1220.229916 EUR</v>
      </c>
    </row>
    <row r="218" spans="1:63" ht="21" customHeight="1" x14ac:dyDescent="0.45">
      <c r="A218" s="13">
        <f>原始输入与口径!C122</f>
        <v>46236.177083333336</v>
      </c>
      <c r="B218" s="15">
        <f>IF(ISNUMBER(原始输入与口径!H122),原始输入与口径!H122,"缺失")</f>
        <v>154.01</v>
      </c>
      <c r="C218" s="15">
        <f>IF(ISNUMBER(原始输入与口径!R122),原始输入与口径!R122,"缺失")</f>
        <v>66.224534522516336</v>
      </c>
      <c r="D218" s="15">
        <f>IF(ISNUMBER(原始输入与口径!W122),原始输入与口径!W122,"缺失")</f>
        <v>7.1274750824233415</v>
      </c>
      <c r="E218" s="15">
        <f>IF(ISNUMBER(原始输入与口径!AB122),原始输入与口径!AB122,"缺失")</f>
        <v>5.0768966897261452</v>
      </c>
      <c r="F218" s="15">
        <f>IF(ISNUMBER(原始输入与口径!AG122),原始输入与口径!AG122,"缺失")</f>
        <v>211.27665656623407</v>
      </c>
      <c r="G218" s="15">
        <f>IF(ISNUMBER(原始输入与口径!AJ122),原始输入与口径!AJ122,"缺失")</f>
        <v>0</v>
      </c>
      <c r="H218" s="15" t="str">
        <f t="shared" si="69"/>
        <v>未模拟</v>
      </c>
      <c r="I218" s="16">
        <f>原始输入与口径!CD122</f>
        <v>31.739130434782574</v>
      </c>
      <c r="J218" s="16">
        <f>原始输入与口径!CE122</f>
        <v>35.069677634782572</v>
      </c>
      <c r="K218" s="16">
        <f>原始输入与口径!BZ122</f>
        <v>-24</v>
      </c>
      <c r="L218" s="16">
        <f>原始输入与口径!CK122</f>
        <v>40</v>
      </c>
      <c r="M218" s="16">
        <f>原始输入与口径!BT122</f>
        <v>24</v>
      </c>
      <c r="N218" s="16">
        <f>原始输入与口径!BJ122</f>
        <v>24</v>
      </c>
      <c r="O218" s="16">
        <f t="shared" si="70"/>
        <v>2.3798400000000002</v>
      </c>
      <c r="P218" s="16">
        <f t="shared" si="71"/>
        <v>0</v>
      </c>
      <c r="Q218" s="17">
        <f t="shared" si="72"/>
        <v>-924.06</v>
      </c>
      <c r="R218" s="17">
        <f t="shared" si="73"/>
        <v>662.24534522516342</v>
      </c>
      <c r="S218" s="17">
        <f t="shared" si="74"/>
        <v>42.764850494540049</v>
      </c>
      <c r="T218" s="17">
        <f t="shared" si="75"/>
        <v>30.461380138356873</v>
      </c>
      <c r="U218" s="17">
        <f t="shared" si="76"/>
        <v>502.8046383625865</v>
      </c>
      <c r="V218" s="17">
        <f t="shared" si="77"/>
        <v>0</v>
      </c>
      <c r="W218" s="17">
        <f t="shared" si="78"/>
        <v>314.21621422064686</v>
      </c>
      <c r="X218" s="12">
        <f>原始输入与口径!CP122</f>
        <v>314.21621422064692</v>
      </c>
      <c r="Y218" s="19">
        <f t="shared" si="79"/>
        <v>0</v>
      </c>
      <c r="Z218" s="12" t="str">
        <f t="shared" si="80"/>
        <v>当日执行</v>
      </c>
      <c r="AA218" s="12">
        <f>IF(原始输入与口径!AW122,1,0)</f>
        <v>1</v>
      </c>
      <c r="AB218" s="12">
        <f>IF(原始输入与口径!AY122,1,0)</f>
        <v>1</v>
      </c>
      <c r="AC218" s="12">
        <f>原始输入与口径!$F$5</f>
        <v>0.25</v>
      </c>
      <c r="AD218" s="18">
        <f>原始输入与口径!CG122</f>
        <v>0.3125</v>
      </c>
      <c r="AE218" s="18">
        <f>原始输入与口径!BQ122</f>
        <v>0.13714285714285715</v>
      </c>
      <c r="AF218" s="18">
        <f t="shared" si="81"/>
        <v>0.39664000000000005</v>
      </c>
      <c r="AG218" s="18">
        <f t="shared" si="82"/>
        <v>0</v>
      </c>
      <c r="AH218" s="12">
        <f>IF(ISNUMBER(原始输入与口径!T122),原始输入与口径!T122,"缺失")</f>
        <v>175</v>
      </c>
      <c r="AI218" s="12">
        <f>IF(ISNUMBER(原始输入与口径!Y122),原始输入与口径!Y122,"缺失")</f>
        <v>175</v>
      </c>
      <c r="AJ218" s="12">
        <f>IF(ISNUMBER(原始输入与口径!AI122),原始输入与口径!AI122,"缺失")</f>
        <v>17.353000000000002</v>
      </c>
      <c r="AK218" s="12">
        <f>IF(ISNUMBER(原始输入与口径!AL122),原始输入与口径!AL122,"缺失")</f>
        <v>0</v>
      </c>
      <c r="AL218" s="12">
        <f>IF(ISNUMBER(原始输入与口径!O122),原始输入与口径!O122,"缺失")</f>
        <v>128</v>
      </c>
      <c r="AM218" s="12">
        <f>SUMIFS(相位SOC复算!$N$9:$N$929,相位SOC复算!$S$9:$S$929,210)</f>
        <v>9.2515199999999992E-3</v>
      </c>
      <c r="AN218" s="12">
        <f>SUMIFS(相位SOC复算!$Q$9:$Q$929,相位SOC复算!$S$9:$S$929,210)</f>
        <v>3.6201599999999994</v>
      </c>
      <c r="AO218" s="12">
        <f>SUMIFS(相位SOC复算!$R$9:$R$929,相位SOC复算!$S$9:$S$929,210)</f>
        <v>0</v>
      </c>
      <c r="AP218" s="12">
        <f>相位SOC复算!J519</f>
        <v>35.069677634782572</v>
      </c>
      <c r="AQ218" s="19">
        <f t="shared" si="83"/>
        <v>0</v>
      </c>
      <c r="AR218" s="12">
        <f>IF(ISBLANK(原始输入与口径!M122),"",原始输入与口径!M122)</f>
        <v>5.2473000000000001</v>
      </c>
      <c r="AS218" s="14">
        <f>IF(ISBLANK(原始输入与口径!L122),"",原始输入与口径!L122)</f>
        <v>46234</v>
      </c>
      <c r="AT218" s="13">
        <f>IF(ISBLANK(原始输入与口径!A122),"",原始输入与口径!A122)</f>
        <v>46236.052083333336</v>
      </c>
      <c r="AU218" s="12" t="str">
        <f>IF(ISBLANK(原始输入与口径!I122),"",原始输入与口径!I122)</f>
        <v>2026-08-02_14</v>
      </c>
      <c r="AV218" s="12">
        <f>IF(ISBLANK(原始输入与口径!J122),"",原始输入与口径!J122)</f>
        <v>15</v>
      </c>
      <c r="AW218" s="12" t="str">
        <f>IF(ISBLANK(原始输入与口径!BB122),"",原始输入与口径!BB122)</f>
        <v>OK</v>
      </c>
      <c r="AX218" s="12">
        <f>原始输入与口径!CI122</f>
        <v>128</v>
      </c>
      <c r="AY218" s="12">
        <f>原始输入与口径!BS122</f>
        <v>175</v>
      </c>
      <c r="AZ218" s="12">
        <f>原始输入与口径!BI122</f>
        <v>175</v>
      </c>
      <c r="BA218" s="12">
        <f>原始输入与口径!CM122</f>
        <v>40</v>
      </c>
      <c r="BB218" s="12">
        <f>原始输入与口径!BV122</f>
        <v>24</v>
      </c>
      <c r="BC218" s="12">
        <f>原始输入与口径!BL122</f>
        <v>24</v>
      </c>
      <c r="BD218" s="14">
        <f>46236</f>
        <v>46236</v>
      </c>
      <c r="BE218" s="1" t="str">
        <f t="shared" si="84"/>
        <v>-24.000000 MW × 154.010000 × 0.250000 h = -924.060000 EUR</v>
      </c>
      <c r="BF218" s="1" t="str">
        <f t="shared" si="85"/>
        <v>40.000000 MW × 66.224535 × 0.250000 h = 662.245345 EUR</v>
      </c>
      <c r="BG218" s="1" t="str">
        <f t="shared" si="86"/>
        <v>24.000000 MW × 7.127475 × 0.250000 h = 42.764850 EUR</v>
      </c>
      <c r="BH218" s="1" t="str">
        <f t="shared" si="87"/>
        <v>24.000000 MW × 5.076897 × 0.250000 h = 30.461380 EUR</v>
      </c>
      <c r="BI218" s="1" t="str">
        <f t="shared" si="88"/>
        <v>2.379840 MWh × 211.276657 = 502.804638 EUR</v>
      </c>
      <c r="BJ218" s="1" t="str">
        <f t="shared" si="89"/>
        <v>零下调激活电量</v>
      </c>
      <c r="BK218" s="1" t="str">
        <f t="shared" si="90"/>
        <v>-924.060000 + 662.245345 + 42.764850 + 30.461380 + 502.804638 + 0.000000 = 314.216214 EUR</v>
      </c>
    </row>
    <row r="219" spans="1:63" ht="21" customHeight="1" x14ac:dyDescent="0.45">
      <c r="A219" s="13">
        <f>原始输入与口径!C123</f>
        <v>46236.1875</v>
      </c>
      <c r="B219" s="15">
        <f>IF(ISNUMBER(原始输入与口径!H123),原始输入与口径!H123,"缺失")</f>
        <v>154.82</v>
      </c>
      <c r="C219" s="15">
        <f>IF(ISNUMBER(原始输入与口径!R123),原始输入与口径!R123,"缺失")</f>
        <v>66.224534522516336</v>
      </c>
      <c r="D219" s="15">
        <f>IF(ISNUMBER(原始输入与口径!W123),原始输入与口径!W123,"缺失")</f>
        <v>7.1274750824233415</v>
      </c>
      <c r="E219" s="15">
        <f>IF(ISNUMBER(原始输入与口径!AB123),原始输入与口径!AB123,"缺失")</f>
        <v>5.0768966897261452</v>
      </c>
      <c r="F219" s="15">
        <f>IF(ISNUMBER(原始输入与口径!AG123),原始输入与口径!AG123,"缺失")</f>
        <v>223.7628875802794</v>
      </c>
      <c r="G219" s="15">
        <f>IF(ISNUMBER(原始输入与口径!AJ123),原始输入与口径!AJ123,"缺失")</f>
        <v>0</v>
      </c>
      <c r="H219" s="15" t="str">
        <f t="shared" si="69"/>
        <v>未模拟</v>
      </c>
      <c r="I219" s="16">
        <f>原始输入与口径!CD123</f>
        <v>35.069677634782572</v>
      </c>
      <c r="J219" s="16">
        <f>原始输入与口径!CE123</f>
        <v>37.69258319503102</v>
      </c>
      <c r="K219" s="16">
        <f>原始输入与口径!BZ123</f>
        <v>-22.87377133671642</v>
      </c>
      <c r="L219" s="16">
        <f>原始输入与口径!CK123</f>
        <v>40</v>
      </c>
      <c r="M219" s="16">
        <f>原始输入与口径!BT123</f>
        <v>24</v>
      </c>
      <c r="N219" s="16">
        <f>原始输入与口径!BJ123</f>
        <v>24</v>
      </c>
      <c r="O219" s="16">
        <f t="shared" si="70"/>
        <v>2.8432457142857142</v>
      </c>
      <c r="P219" s="16">
        <f t="shared" si="71"/>
        <v>0</v>
      </c>
      <c r="Q219" s="17">
        <f t="shared" si="72"/>
        <v>-885.32931958760901</v>
      </c>
      <c r="R219" s="17">
        <f t="shared" si="73"/>
        <v>662.24534522516342</v>
      </c>
      <c r="S219" s="17">
        <f t="shared" si="74"/>
        <v>42.764850494540049</v>
      </c>
      <c r="T219" s="17">
        <f t="shared" si="75"/>
        <v>30.461380138356873</v>
      </c>
      <c r="U219" s="17">
        <f t="shared" si="76"/>
        <v>636.21287112882544</v>
      </c>
      <c r="V219" s="17">
        <f t="shared" si="77"/>
        <v>0</v>
      </c>
      <c r="W219" s="17">
        <f t="shared" si="78"/>
        <v>486.35512739927674</v>
      </c>
      <c r="X219" s="12">
        <f>原始输入与口径!CP123</f>
        <v>486.3551273992768</v>
      </c>
      <c r="Y219" s="19">
        <f t="shared" si="79"/>
        <v>0</v>
      </c>
      <c r="Z219" s="12" t="str">
        <f t="shared" si="80"/>
        <v>当日执行</v>
      </c>
      <c r="AA219" s="12">
        <f>IF(原始输入与口径!AW123,1,0)</f>
        <v>1</v>
      </c>
      <c r="AB219" s="12">
        <f>IF(原始输入与口径!AY123,1,0)</f>
        <v>1</v>
      </c>
      <c r="AC219" s="12">
        <f>原始输入与口径!$F$5</f>
        <v>0.25</v>
      </c>
      <c r="AD219" s="18">
        <f>原始输入与口径!CG123</f>
        <v>0.3125</v>
      </c>
      <c r="AE219" s="18">
        <f>原始输入与口径!BQ123</f>
        <v>0.13714285714285715</v>
      </c>
      <c r="AF219" s="18">
        <f t="shared" si="81"/>
        <v>0.47387428571428569</v>
      </c>
      <c r="AG219" s="18">
        <f t="shared" si="82"/>
        <v>0</v>
      </c>
      <c r="AH219" s="12">
        <f>IF(ISNUMBER(原始输入与口径!T123),原始输入与口径!T123,"缺失")</f>
        <v>175</v>
      </c>
      <c r="AI219" s="12">
        <f>IF(ISNUMBER(原始输入与口径!Y123),原始输入与口径!Y123,"缺失")</f>
        <v>175</v>
      </c>
      <c r="AJ219" s="12">
        <f>IF(ISNUMBER(原始输入与口径!AI123),原始输入与口径!AI123,"缺失")</f>
        <v>20.731999999999999</v>
      </c>
      <c r="AK219" s="12">
        <f>IF(ISNUMBER(原始输入与口径!AL123),原始输入与口径!AL123,"缺失")</f>
        <v>0</v>
      </c>
      <c r="AL219" s="12">
        <f>IF(ISNUMBER(原始输入与口径!O123),原始输入与口径!O123,"缺失")</f>
        <v>128</v>
      </c>
      <c r="AM219" s="12">
        <f>SUMIFS(相位SOC复算!$N$9:$N$929,相位SOC复算!$S$9:$S$929,211)</f>
        <v>8.0915414163973479E-3</v>
      </c>
      <c r="AN219" s="12">
        <f>SUMIFS(相位SOC复算!$Q$9:$Q$929,相位SOC复算!$S$9:$S$929,211)</f>
        <v>3.0086198207345061</v>
      </c>
      <c r="AO219" s="12">
        <f>SUMIFS(相位SOC复算!$R$9:$R$929,相位SOC复算!$S$9:$S$929,211)</f>
        <v>0.13342270084111535</v>
      </c>
      <c r="AP219" s="12">
        <f>相位SOC复算!J521</f>
        <v>37.69258319503102</v>
      </c>
      <c r="AQ219" s="19">
        <f t="shared" si="83"/>
        <v>0</v>
      </c>
      <c r="AR219" s="12">
        <f>IF(ISBLANK(原始输入与口径!M123),"",原始输入与口径!M123)</f>
        <v>5.2473000000000001</v>
      </c>
      <c r="AS219" s="14">
        <f>IF(ISBLANK(原始输入与口径!L123),"",原始输入与口径!L123)</f>
        <v>46234</v>
      </c>
      <c r="AT219" s="13">
        <f>IF(ISBLANK(原始输入与口径!A123),"",原始输入与口径!A123)</f>
        <v>46236.0625</v>
      </c>
      <c r="AU219" s="12" t="str">
        <f>IF(ISBLANK(原始输入与口径!I123),"",原始输入与口径!I123)</f>
        <v>2026-08-02_15</v>
      </c>
      <c r="AV219" s="12">
        <f>IF(ISBLANK(原始输入与口径!J123),"",原始输入与口径!J123)</f>
        <v>15</v>
      </c>
      <c r="AW219" s="12" t="str">
        <f>IF(ISBLANK(原始输入与口径!BB123),"",原始输入与口径!BB123)</f>
        <v>OK</v>
      </c>
      <c r="AX219" s="12">
        <f>原始输入与口径!CI123</f>
        <v>128</v>
      </c>
      <c r="AY219" s="12">
        <f>原始输入与口径!BS123</f>
        <v>175</v>
      </c>
      <c r="AZ219" s="12">
        <f>原始输入与口径!BI123</f>
        <v>175</v>
      </c>
      <c r="BA219" s="12">
        <f>原始输入与口径!CM123</f>
        <v>40</v>
      </c>
      <c r="BB219" s="12">
        <f>原始输入与口径!BV123</f>
        <v>24</v>
      </c>
      <c r="BC219" s="12">
        <f>原始输入与口径!BL123</f>
        <v>24</v>
      </c>
      <c r="BD219" s="14">
        <f>46236</f>
        <v>46236</v>
      </c>
      <c r="BE219" s="1" t="str">
        <f t="shared" si="84"/>
        <v>-22.873771 MW × 154.820000 × 0.250000 h = -885.329320 EUR</v>
      </c>
      <c r="BF219" s="1" t="str">
        <f t="shared" si="85"/>
        <v>40.000000 MW × 66.224535 × 0.250000 h = 662.245345 EUR</v>
      </c>
      <c r="BG219" s="1" t="str">
        <f t="shared" si="86"/>
        <v>24.000000 MW × 7.127475 × 0.250000 h = 42.764850 EUR</v>
      </c>
      <c r="BH219" s="1" t="str">
        <f t="shared" si="87"/>
        <v>24.000000 MW × 5.076897 × 0.250000 h = 30.461380 EUR</v>
      </c>
      <c r="BI219" s="1" t="str">
        <f t="shared" si="88"/>
        <v>2.843246 MWh × 223.762888 = 636.212871 EUR</v>
      </c>
      <c r="BJ219" s="1" t="str">
        <f t="shared" si="89"/>
        <v>零下调激活电量</v>
      </c>
      <c r="BK219" s="1" t="str">
        <f t="shared" si="90"/>
        <v>-885.329320 + 662.245345 + 42.764850 + 30.461380 + 636.212871 + 0.000000 = 486.355127 EUR</v>
      </c>
    </row>
    <row r="220" spans="1:63" ht="21" customHeight="1" x14ac:dyDescent="0.45">
      <c r="A220" s="13">
        <f>原始输入与口径!C124</f>
        <v>46236.197916666664</v>
      </c>
      <c r="B220" s="15">
        <f>IF(ISNUMBER(原始输入与口径!H124),原始输入与口径!H124,"缺失")</f>
        <v>154.78</v>
      </c>
      <c r="C220" s="15">
        <f>IF(ISNUMBER(原始输入与口径!R124),原始输入与口径!R124,"缺失")</f>
        <v>66.224534522516336</v>
      </c>
      <c r="D220" s="15">
        <f>IF(ISNUMBER(原始输入与口径!W124),原始输入与口径!W124,"缺失")</f>
        <v>7.1274750824233415</v>
      </c>
      <c r="E220" s="15">
        <f>IF(ISNUMBER(原始输入与口径!AB124),原始输入与口径!AB124,"缺失")</f>
        <v>5.0768966897261452</v>
      </c>
      <c r="F220" s="15">
        <f>IF(ISNUMBER(原始输入与口径!AG124),原始输入与口径!AG124,"缺失")</f>
        <v>190.96849808472928</v>
      </c>
      <c r="G220" s="15">
        <f>IF(ISNUMBER(原始输入与口径!AJ124),原始输入与口径!AJ124,"缺失")</f>
        <v>0</v>
      </c>
      <c r="H220" s="15" t="str">
        <f t="shared" si="69"/>
        <v>未模拟</v>
      </c>
      <c r="I220" s="16">
        <f>原始输入与口径!CD124</f>
        <v>37.69258319503102</v>
      </c>
      <c r="J220" s="16">
        <f>原始输入与口径!CE124</f>
        <v>35.589527294409905</v>
      </c>
      <c r="K220" s="16">
        <f>原始输入与口径!BZ124</f>
        <v>0</v>
      </c>
      <c r="L220" s="16">
        <f>原始输入与口径!CK124</f>
        <v>40</v>
      </c>
      <c r="M220" s="16">
        <f>原始输入与口径!BT124</f>
        <v>24</v>
      </c>
      <c r="N220" s="16">
        <f>原始输入与口径!BJ124</f>
        <v>24</v>
      </c>
      <c r="O220" s="16">
        <f t="shared" si="70"/>
        <v>1.9348114285714286</v>
      </c>
      <c r="P220" s="16">
        <f t="shared" si="71"/>
        <v>0</v>
      </c>
      <c r="Q220" s="17">
        <f t="shared" si="72"/>
        <v>0</v>
      </c>
      <c r="R220" s="17">
        <f t="shared" si="73"/>
        <v>662.24534522516342</v>
      </c>
      <c r="S220" s="17">
        <f t="shared" si="74"/>
        <v>42.764850494540049</v>
      </c>
      <c r="T220" s="17">
        <f t="shared" si="75"/>
        <v>30.461380138356873</v>
      </c>
      <c r="U220" s="17">
        <f t="shared" si="76"/>
        <v>369.48803259145518</v>
      </c>
      <c r="V220" s="17">
        <f t="shared" si="77"/>
        <v>0</v>
      </c>
      <c r="W220" s="17">
        <f t="shared" si="78"/>
        <v>1104.9596084495156</v>
      </c>
      <c r="X220" s="12">
        <f>原始输入与口径!CP124</f>
        <v>1104.9596084495156</v>
      </c>
      <c r="Y220" s="19">
        <f t="shared" si="79"/>
        <v>0</v>
      </c>
      <c r="Z220" s="12" t="str">
        <f t="shared" si="80"/>
        <v>当日执行</v>
      </c>
      <c r="AA220" s="12">
        <f>IF(原始输入与口径!AW124,1,0)</f>
        <v>1</v>
      </c>
      <c r="AB220" s="12">
        <f>IF(原始输入与口径!AY124,1,0)</f>
        <v>1</v>
      </c>
      <c r="AC220" s="12">
        <f>原始输入与口径!$F$5</f>
        <v>0.25</v>
      </c>
      <c r="AD220" s="18">
        <f>原始输入与口径!CG124</f>
        <v>0.3125</v>
      </c>
      <c r="AE220" s="18">
        <f>原始输入与口径!BQ124</f>
        <v>0.13714285714285715</v>
      </c>
      <c r="AF220" s="18">
        <f t="shared" si="81"/>
        <v>0.32246857142857144</v>
      </c>
      <c r="AG220" s="18">
        <f t="shared" si="82"/>
        <v>0</v>
      </c>
      <c r="AH220" s="12">
        <f>IF(ISNUMBER(原始输入与口径!T124),原始输入与口径!T124,"缺失")</f>
        <v>175</v>
      </c>
      <c r="AI220" s="12">
        <f>IF(ISNUMBER(原始输入与口径!Y124),原始输入与口径!Y124,"缺失")</f>
        <v>175</v>
      </c>
      <c r="AJ220" s="12">
        <f>IF(ISNUMBER(原始输入与口径!AI124),原始输入与口径!AI124,"缺失")</f>
        <v>14.108000000000001</v>
      </c>
      <c r="AK220" s="12">
        <f>IF(ISNUMBER(原始输入与口径!AL124),原始输入与口径!AL124,"缺失")</f>
        <v>0</v>
      </c>
      <c r="AL220" s="12">
        <f>IF(ISNUMBER(原始输入与口径!O124),原始输入与口径!O124,"缺失")</f>
        <v>128</v>
      </c>
      <c r="AM220" s="12">
        <f>SUMIFS(相位SOC复算!$N$9:$N$929,相位SOC复算!$S$9:$S$929,212)</f>
        <v>5.8418219461697724E-3</v>
      </c>
      <c r="AN220" s="12">
        <f>SUMIFS(相位SOC复算!$Q$9:$Q$929,相位SOC复算!$S$9:$S$929,212)</f>
        <v>0</v>
      </c>
      <c r="AO220" s="12">
        <f>SUMIFS(相位SOC复算!$R$9:$R$929,相位SOC复算!$S$9:$S$929,212)</f>
        <v>1.9348114285714286</v>
      </c>
      <c r="AP220" s="12">
        <f>相位SOC复算!J523</f>
        <v>35.589527294409905</v>
      </c>
      <c r="AQ220" s="19">
        <f t="shared" si="83"/>
        <v>0</v>
      </c>
      <c r="AR220" s="12">
        <f>IF(ISBLANK(原始输入与口径!M124),"",原始输入与口径!M124)</f>
        <v>5.2473000000000001</v>
      </c>
      <c r="AS220" s="14">
        <f>IF(ISBLANK(原始输入与口径!L124),"",原始输入与口径!L124)</f>
        <v>46234</v>
      </c>
      <c r="AT220" s="13">
        <f>IF(ISBLANK(原始输入与口径!A124),"",原始输入与口径!A124)</f>
        <v>46236.072916666664</v>
      </c>
      <c r="AU220" s="12" t="str">
        <f>IF(ISBLANK(原始输入与口径!I124),"",原始输入与口径!I124)</f>
        <v>2026-08-02_16</v>
      </c>
      <c r="AV220" s="12">
        <f>IF(ISBLANK(原始输入与口径!J124),"",原始输入与口径!J124)</f>
        <v>15</v>
      </c>
      <c r="AW220" s="12" t="str">
        <f>IF(ISBLANK(原始输入与口径!BB124),"",原始输入与口径!BB124)</f>
        <v>OK</v>
      </c>
      <c r="AX220" s="12">
        <f>原始输入与口径!CI124</f>
        <v>128</v>
      </c>
      <c r="AY220" s="12">
        <f>原始输入与口径!BS124</f>
        <v>175</v>
      </c>
      <c r="AZ220" s="12">
        <f>原始输入与口径!BI124</f>
        <v>175</v>
      </c>
      <c r="BA220" s="12">
        <f>原始输入与口径!CM124</f>
        <v>40</v>
      </c>
      <c r="BB220" s="12">
        <f>原始输入与口径!BV124</f>
        <v>24</v>
      </c>
      <c r="BC220" s="12">
        <f>原始输入与口径!BL124</f>
        <v>24</v>
      </c>
      <c r="BD220" s="14">
        <f>46236</f>
        <v>46236</v>
      </c>
      <c r="BE220" s="1" t="str">
        <f t="shared" si="84"/>
        <v>零头寸，无结算现金</v>
      </c>
      <c r="BF220" s="1" t="str">
        <f t="shared" si="85"/>
        <v>40.000000 MW × 66.224535 × 0.250000 h = 662.245345 EUR</v>
      </c>
      <c r="BG220" s="1" t="str">
        <f t="shared" si="86"/>
        <v>24.000000 MW × 7.127475 × 0.250000 h = 42.764850 EUR</v>
      </c>
      <c r="BH220" s="1" t="str">
        <f t="shared" si="87"/>
        <v>24.000000 MW × 5.076897 × 0.250000 h = 30.461380 EUR</v>
      </c>
      <c r="BI220" s="1" t="str">
        <f t="shared" si="88"/>
        <v>1.934811 MWh × 190.968498 = 369.488033 EUR</v>
      </c>
      <c r="BJ220" s="1" t="str">
        <f t="shared" si="89"/>
        <v>零下调激活电量</v>
      </c>
      <c r="BK220" s="1" t="str">
        <f t="shared" si="90"/>
        <v>0.000000 + 662.245345 + 42.764850 + 30.461380 + 369.488033 + 0.000000 = 1104.959608 EUR</v>
      </c>
    </row>
    <row r="221" spans="1:63" ht="21" customHeight="1" x14ac:dyDescent="0.45">
      <c r="A221" s="13">
        <f>原始输入与口径!C125</f>
        <v>46236.208333333336</v>
      </c>
      <c r="B221" s="15">
        <f>IF(ISNUMBER(原始输入与口径!H125),原始输入与口径!H125,"缺失")</f>
        <v>157.47</v>
      </c>
      <c r="C221" s="15">
        <f>IF(ISNUMBER(原始输入与口径!R125),原始输入与口径!R125,"缺失")</f>
        <v>66.224534522516336</v>
      </c>
      <c r="D221" s="15">
        <f>IF(ISNUMBER(原始输入与口径!W125),原始输入与口径!W125,"缺失")</f>
        <v>7.1274750824233415</v>
      </c>
      <c r="E221" s="15">
        <f>IF(ISNUMBER(原始输入与口径!AB125),原始输入与口径!AB125,"缺失")</f>
        <v>5.0730852057248494</v>
      </c>
      <c r="F221" s="15">
        <f>IF(ISNUMBER(原始输入与口径!AG125),原始输入与口径!AG125,"缺失")</f>
        <v>188.99853257865951</v>
      </c>
      <c r="G221" s="15">
        <f>IF(ISNUMBER(原始输入与口径!AJ125),原始输入与口径!AJ125,"缺失")</f>
        <v>0</v>
      </c>
      <c r="H221" s="15" t="str">
        <f t="shared" si="69"/>
        <v>未模拟</v>
      </c>
      <c r="I221" s="16">
        <f>原始输入与口径!CD125</f>
        <v>35.589527294409905</v>
      </c>
      <c r="J221" s="16">
        <f>原始输入与口径!CE125</f>
        <v>34.505204313043443</v>
      </c>
      <c r="K221" s="16">
        <f>原始输入与口径!BZ125</f>
        <v>0</v>
      </c>
      <c r="L221" s="16">
        <f>原始输入与口径!CK125</f>
        <v>40</v>
      </c>
      <c r="M221" s="16">
        <f>原始输入与口径!BT125</f>
        <v>24</v>
      </c>
      <c r="N221" s="16">
        <f>原始输入与口径!BJ125</f>
        <v>24</v>
      </c>
      <c r="O221" s="16">
        <f t="shared" si="70"/>
        <v>0.99757714285714294</v>
      </c>
      <c r="P221" s="16">
        <f t="shared" si="71"/>
        <v>0</v>
      </c>
      <c r="Q221" s="17">
        <f t="shared" si="72"/>
        <v>0</v>
      </c>
      <c r="R221" s="17">
        <f t="shared" si="73"/>
        <v>662.24534522516342</v>
      </c>
      <c r="S221" s="17">
        <f t="shared" si="74"/>
        <v>42.764850494540049</v>
      </c>
      <c r="T221" s="17">
        <f t="shared" si="75"/>
        <v>30.438511234349097</v>
      </c>
      <c r="U221" s="17">
        <f t="shared" si="76"/>
        <v>188.5406161340118</v>
      </c>
      <c r="V221" s="17">
        <f t="shared" si="77"/>
        <v>0</v>
      </c>
      <c r="W221" s="17">
        <f t="shared" si="78"/>
        <v>923.98932308806434</v>
      </c>
      <c r="X221" s="12">
        <f>原始输入与口径!CP125</f>
        <v>923.98932308806434</v>
      </c>
      <c r="Y221" s="19">
        <f t="shared" si="79"/>
        <v>0</v>
      </c>
      <c r="Z221" s="12" t="str">
        <f t="shared" si="80"/>
        <v>当日执行</v>
      </c>
      <c r="AA221" s="12">
        <f>IF(原始输入与口径!AW125,1,0)</f>
        <v>1</v>
      </c>
      <c r="AB221" s="12">
        <f>IF(原始输入与口径!AY125,1,0)</f>
        <v>1</v>
      </c>
      <c r="AC221" s="12">
        <f>原始输入与口径!$F$5</f>
        <v>0.25</v>
      </c>
      <c r="AD221" s="18">
        <f>原始输入与口径!CG125</f>
        <v>0.3125</v>
      </c>
      <c r="AE221" s="18">
        <f>原始输入与口径!BQ125</f>
        <v>0.13714285714285715</v>
      </c>
      <c r="AF221" s="18">
        <f t="shared" si="81"/>
        <v>0.16626285714285716</v>
      </c>
      <c r="AG221" s="18">
        <f t="shared" si="82"/>
        <v>0</v>
      </c>
      <c r="AH221" s="12">
        <f>IF(ISNUMBER(原始输入与口径!T125),原始输入与口径!T125,"缺失")</f>
        <v>175</v>
      </c>
      <c r="AI221" s="12">
        <f>IF(ISNUMBER(原始输入与口径!Y125),原始输入与口径!Y125,"缺失")</f>
        <v>175</v>
      </c>
      <c r="AJ221" s="12">
        <f>IF(ISNUMBER(原始输入与口径!AI125),原始输入与口径!AI125,"缺失")</f>
        <v>7.274</v>
      </c>
      <c r="AK221" s="12">
        <f>IF(ISNUMBER(原始输入与口径!AL125),原始输入与口径!AL125,"缺失")</f>
        <v>0</v>
      </c>
      <c r="AL221" s="12">
        <f>IF(ISNUMBER(原始输入与口径!O125),原始输入与口径!O125,"缺失")</f>
        <v>128</v>
      </c>
      <c r="AM221" s="12">
        <f>SUMIFS(相位SOC复算!$N$9:$N$929,相位SOC复算!$S$9:$S$929,213)</f>
        <v>3.0120082815734989E-3</v>
      </c>
      <c r="AN221" s="12">
        <f>SUMIFS(相位SOC复算!$Q$9:$Q$929,相位SOC复算!$S$9:$S$929,213)</f>
        <v>0</v>
      </c>
      <c r="AO221" s="12">
        <f>SUMIFS(相位SOC复算!$R$9:$R$929,相位SOC复算!$S$9:$S$929,213)</f>
        <v>0.99757714285714294</v>
      </c>
      <c r="AP221" s="12">
        <f>相位SOC复算!J525</f>
        <v>34.505204313043443</v>
      </c>
      <c r="AQ221" s="19">
        <f t="shared" si="83"/>
        <v>0</v>
      </c>
      <c r="AR221" s="12">
        <f>IF(ISBLANK(原始输入与口径!M125),"",原始输入与口径!M125)</f>
        <v>5.2473000000000001</v>
      </c>
      <c r="AS221" s="14">
        <f>IF(ISBLANK(原始输入与口径!L125),"",原始输入与口径!L125)</f>
        <v>46234</v>
      </c>
      <c r="AT221" s="13">
        <f>IF(ISBLANK(原始输入与口径!A125),"",原始输入与口径!A125)</f>
        <v>46236.083333333336</v>
      </c>
      <c r="AU221" s="12" t="str">
        <f>IF(ISBLANK(原始输入与口径!I125),"",原始输入与口径!I125)</f>
        <v>2026-08-02_17</v>
      </c>
      <c r="AV221" s="12">
        <f>IF(ISBLANK(原始输入与口径!J125),"",原始输入与口径!J125)</f>
        <v>15</v>
      </c>
      <c r="AW221" s="12" t="str">
        <f>IF(ISBLANK(原始输入与口径!BB125),"",原始输入与口径!BB125)</f>
        <v>OK</v>
      </c>
      <c r="AX221" s="12">
        <f>原始输入与口径!CI125</f>
        <v>128</v>
      </c>
      <c r="AY221" s="12">
        <f>原始输入与口径!BS125</f>
        <v>175</v>
      </c>
      <c r="AZ221" s="12">
        <f>原始输入与口径!BI125</f>
        <v>175</v>
      </c>
      <c r="BA221" s="12">
        <f>原始输入与口径!CM125</f>
        <v>40</v>
      </c>
      <c r="BB221" s="12">
        <f>原始输入与口径!BV125</f>
        <v>24</v>
      </c>
      <c r="BC221" s="12">
        <f>原始输入与口径!BL125</f>
        <v>24</v>
      </c>
      <c r="BD221" s="14">
        <f>46236</f>
        <v>46236</v>
      </c>
      <c r="BE221" s="1" t="str">
        <f t="shared" si="84"/>
        <v>零头寸，无结算现金</v>
      </c>
      <c r="BF221" s="1" t="str">
        <f t="shared" si="85"/>
        <v>40.000000 MW × 66.224535 × 0.250000 h = 662.245345 EUR</v>
      </c>
      <c r="BG221" s="1" t="str">
        <f t="shared" si="86"/>
        <v>24.000000 MW × 7.127475 × 0.250000 h = 42.764850 EUR</v>
      </c>
      <c r="BH221" s="1" t="str">
        <f t="shared" si="87"/>
        <v>24.000000 MW × 5.073085 × 0.250000 h = 30.438511 EUR</v>
      </c>
      <c r="BI221" s="1" t="str">
        <f t="shared" si="88"/>
        <v>0.997577 MWh × 188.998533 = 188.540616 EUR</v>
      </c>
      <c r="BJ221" s="1" t="str">
        <f t="shared" si="89"/>
        <v>零下调激活电量</v>
      </c>
      <c r="BK221" s="1" t="str">
        <f t="shared" si="90"/>
        <v>0.000000 + 662.245345 + 42.764850 + 30.438511 + 188.540616 + 0.000000 = 923.989323 EUR</v>
      </c>
    </row>
    <row r="222" spans="1:63" ht="21" customHeight="1" x14ac:dyDescent="0.45">
      <c r="A222" s="13">
        <f>原始输入与口径!C126</f>
        <v>46236.21875</v>
      </c>
      <c r="B222" s="15">
        <f>IF(ISNUMBER(原始输入与口径!H126),原始输入与口径!H126,"缺失")</f>
        <v>153.84</v>
      </c>
      <c r="C222" s="15">
        <f>IF(ISNUMBER(原始输入与口径!R126),原始输入与口径!R126,"缺失")</f>
        <v>66.224534522516336</v>
      </c>
      <c r="D222" s="15">
        <f>IF(ISNUMBER(原始输入与口径!W126),原始输入与口径!W126,"缺失")</f>
        <v>7.1274750824233415</v>
      </c>
      <c r="E222" s="15">
        <f>IF(ISNUMBER(原始输入与口径!AB126),原始输入与口径!AB126,"缺失")</f>
        <v>5.0730852057248494</v>
      </c>
      <c r="F222" s="15">
        <f>IF(ISNUMBER(原始输入与口径!AG126),原始输入与口径!AG126,"缺失")</f>
        <v>179.4326606064071</v>
      </c>
      <c r="G222" s="15">
        <f>IF(ISNUMBER(原始输入与口径!AJ126),原始输入与口径!AJ126,"缺失")</f>
        <v>0</v>
      </c>
      <c r="H222" s="15" t="str">
        <f t="shared" si="69"/>
        <v>未模拟</v>
      </c>
      <c r="I222" s="16">
        <f>原始输入与口径!CD126</f>
        <v>34.505204313043443</v>
      </c>
      <c r="J222" s="16">
        <f>原始输入与口径!CE126</f>
        <v>33.670868909316738</v>
      </c>
      <c r="K222" s="16">
        <f>原始输入与口径!BZ126</f>
        <v>0</v>
      </c>
      <c r="L222" s="16">
        <f>原始输入与口径!CK126</f>
        <v>40</v>
      </c>
      <c r="M222" s="16">
        <f>原始输入与口径!BT126</f>
        <v>24</v>
      </c>
      <c r="N222" s="16">
        <f>原始输入与口径!BJ126</f>
        <v>24</v>
      </c>
      <c r="O222" s="16">
        <f t="shared" si="70"/>
        <v>0.76758857142857151</v>
      </c>
      <c r="P222" s="16">
        <f t="shared" si="71"/>
        <v>0</v>
      </c>
      <c r="Q222" s="17">
        <f t="shared" si="72"/>
        <v>0</v>
      </c>
      <c r="R222" s="17">
        <f t="shared" si="73"/>
        <v>662.24534522516342</v>
      </c>
      <c r="S222" s="17">
        <f t="shared" si="74"/>
        <v>42.764850494540049</v>
      </c>
      <c r="T222" s="17">
        <f t="shared" si="75"/>
        <v>30.438511234349097</v>
      </c>
      <c r="U222" s="17">
        <f t="shared" si="76"/>
        <v>137.73045962249975</v>
      </c>
      <c r="V222" s="17">
        <f t="shared" si="77"/>
        <v>0</v>
      </c>
      <c r="W222" s="17">
        <f t="shared" si="78"/>
        <v>873.17916657655235</v>
      </c>
      <c r="X222" s="12">
        <f>原始输入与口径!CP126</f>
        <v>873.17916657655235</v>
      </c>
      <c r="Y222" s="19">
        <f t="shared" si="79"/>
        <v>0</v>
      </c>
      <c r="Z222" s="12" t="str">
        <f t="shared" si="80"/>
        <v>当日执行</v>
      </c>
      <c r="AA222" s="12">
        <f>IF(原始输入与口径!AW126,1,0)</f>
        <v>1</v>
      </c>
      <c r="AB222" s="12">
        <f>IF(原始输入与口径!AY126,1,0)</f>
        <v>1</v>
      </c>
      <c r="AC222" s="12">
        <f>原始输入与口径!$F$5</f>
        <v>0.25</v>
      </c>
      <c r="AD222" s="18">
        <f>原始输入与口径!CG126</f>
        <v>0.3125</v>
      </c>
      <c r="AE222" s="18">
        <f>原始输入与口径!BQ126</f>
        <v>0.13714285714285715</v>
      </c>
      <c r="AF222" s="18">
        <f t="shared" si="81"/>
        <v>0.12793142857142858</v>
      </c>
      <c r="AG222" s="18">
        <f t="shared" si="82"/>
        <v>0</v>
      </c>
      <c r="AH222" s="12">
        <f>IF(ISNUMBER(原始输入与口径!T126),原始输入与口径!T126,"缺失")</f>
        <v>175</v>
      </c>
      <c r="AI222" s="12">
        <f>IF(ISNUMBER(原始输入与口径!Y126),原始输入与口径!Y126,"缺失")</f>
        <v>175</v>
      </c>
      <c r="AJ222" s="12">
        <f>IF(ISNUMBER(原始输入与口径!AI126),原始输入与口径!AI126,"缺失")</f>
        <v>5.5970000000000004</v>
      </c>
      <c r="AK222" s="12">
        <f>IF(ISNUMBER(原始输入与口径!AL126),原始输入与口径!AL126,"缺失")</f>
        <v>0</v>
      </c>
      <c r="AL222" s="12">
        <f>IF(ISNUMBER(原始输入与口径!O126),原始输入与口径!O126,"缺失")</f>
        <v>128</v>
      </c>
      <c r="AM222" s="12">
        <f>SUMIFS(相位SOC复算!$N$9:$N$929,相位SOC复算!$S$9:$S$929,214)</f>
        <v>2.3175983436853004E-3</v>
      </c>
      <c r="AN222" s="12">
        <f>SUMIFS(相位SOC复算!$Q$9:$Q$929,相位SOC复算!$S$9:$S$929,214)</f>
        <v>0</v>
      </c>
      <c r="AO222" s="12">
        <f>SUMIFS(相位SOC复算!$R$9:$R$929,相位SOC复算!$S$9:$S$929,214)</f>
        <v>0.76758857142857151</v>
      </c>
      <c r="AP222" s="12">
        <f>相位SOC复算!J527</f>
        <v>33.670868909316738</v>
      </c>
      <c r="AQ222" s="19">
        <f t="shared" si="83"/>
        <v>0</v>
      </c>
      <c r="AR222" s="12">
        <f>IF(ISBLANK(原始输入与口径!M126),"",原始输入与口径!M126)</f>
        <v>5.2473000000000001</v>
      </c>
      <c r="AS222" s="14">
        <f>IF(ISBLANK(原始输入与口径!L126),"",原始输入与口径!L126)</f>
        <v>46234</v>
      </c>
      <c r="AT222" s="13">
        <f>IF(ISBLANK(原始输入与口径!A126),"",原始输入与口径!A126)</f>
        <v>46236.09375</v>
      </c>
      <c r="AU222" s="12" t="str">
        <f>IF(ISBLANK(原始输入与口径!I126),"",原始输入与口径!I126)</f>
        <v>2026-08-02_18</v>
      </c>
      <c r="AV222" s="12">
        <f>IF(ISBLANK(原始输入与口径!J126),"",原始输入与口径!J126)</f>
        <v>15</v>
      </c>
      <c r="AW222" s="12" t="str">
        <f>IF(ISBLANK(原始输入与口径!BB126),"",原始输入与口径!BB126)</f>
        <v>OK</v>
      </c>
      <c r="AX222" s="12">
        <f>原始输入与口径!CI126</f>
        <v>128</v>
      </c>
      <c r="AY222" s="12">
        <f>原始输入与口径!BS126</f>
        <v>175</v>
      </c>
      <c r="AZ222" s="12">
        <f>原始输入与口径!BI126</f>
        <v>175</v>
      </c>
      <c r="BA222" s="12">
        <f>原始输入与口径!CM126</f>
        <v>40</v>
      </c>
      <c r="BB222" s="12">
        <f>原始输入与口径!BV126</f>
        <v>24</v>
      </c>
      <c r="BC222" s="12">
        <f>原始输入与口径!BL126</f>
        <v>24</v>
      </c>
      <c r="BD222" s="14">
        <f>46236</f>
        <v>46236</v>
      </c>
      <c r="BE222" s="1" t="str">
        <f t="shared" si="84"/>
        <v>零头寸，无结算现金</v>
      </c>
      <c r="BF222" s="1" t="str">
        <f t="shared" si="85"/>
        <v>40.000000 MW × 66.224535 × 0.250000 h = 662.245345 EUR</v>
      </c>
      <c r="BG222" s="1" t="str">
        <f t="shared" si="86"/>
        <v>24.000000 MW × 7.127475 × 0.250000 h = 42.764850 EUR</v>
      </c>
      <c r="BH222" s="1" t="str">
        <f t="shared" si="87"/>
        <v>24.000000 MW × 5.073085 × 0.250000 h = 30.438511 EUR</v>
      </c>
      <c r="BI222" s="1" t="str">
        <f t="shared" si="88"/>
        <v>0.767589 MWh × 179.432661 = 137.730460 EUR</v>
      </c>
      <c r="BJ222" s="1" t="str">
        <f t="shared" si="89"/>
        <v>零下调激活电量</v>
      </c>
      <c r="BK222" s="1" t="str">
        <f t="shared" si="90"/>
        <v>0.000000 + 662.245345 + 42.764850 + 30.438511 + 137.730460 + 0.000000 = 873.179167 EUR</v>
      </c>
    </row>
    <row r="223" spans="1:63" ht="21" customHeight="1" x14ac:dyDescent="0.45">
      <c r="A223" s="13">
        <f>原始输入与口径!C127</f>
        <v>46236.229166666664</v>
      </c>
      <c r="B223" s="15">
        <f>IF(ISNUMBER(原始输入与口径!H127),原始输入与口径!H127,"缺失")</f>
        <v>154.19</v>
      </c>
      <c r="C223" s="15">
        <f>IF(ISNUMBER(原始输入与口径!R127),原始输入与口径!R127,"缺失")</f>
        <v>66.224534522516336</v>
      </c>
      <c r="D223" s="15">
        <f>IF(ISNUMBER(原始输入与口径!W127),原始输入与口径!W127,"缺失")</f>
        <v>7.1274750824233415</v>
      </c>
      <c r="E223" s="15">
        <f>IF(ISNUMBER(原始输入与口径!AB127),原始输入与口径!AB127,"缺失")</f>
        <v>5.0730852057248494</v>
      </c>
      <c r="F223" s="15">
        <f>IF(ISNUMBER(原始输入与口径!AG127),原始输入与口径!AG127,"缺失")</f>
        <v>174.57816400815656</v>
      </c>
      <c r="G223" s="15">
        <f>IF(ISNUMBER(原始输入与口径!AJ127),原始输入与口径!AJ127,"缺失")</f>
        <v>0</v>
      </c>
      <c r="H223" s="15" t="str">
        <f t="shared" si="69"/>
        <v>未模拟</v>
      </c>
      <c r="I223" s="16">
        <f>原始输入与口径!CD127</f>
        <v>33.670868909316738</v>
      </c>
      <c r="J223" s="16">
        <f>原始输入与口径!CE127</f>
        <v>33.196980710558975</v>
      </c>
      <c r="K223" s="16">
        <f>原始输入与口径!BZ127</f>
        <v>0</v>
      </c>
      <c r="L223" s="16">
        <f>原始输入与口径!CK127</f>
        <v>40</v>
      </c>
      <c r="M223" s="16">
        <f>原始输入与口径!BT127</f>
        <v>24</v>
      </c>
      <c r="N223" s="16">
        <f>原始输入与口径!BJ127</f>
        <v>24</v>
      </c>
      <c r="O223" s="16">
        <f t="shared" si="70"/>
        <v>0.43597714285714284</v>
      </c>
      <c r="P223" s="16">
        <f t="shared" si="71"/>
        <v>0</v>
      </c>
      <c r="Q223" s="17">
        <f t="shared" si="72"/>
        <v>0</v>
      </c>
      <c r="R223" s="17">
        <f t="shared" si="73"/>
        <v>662.24534522516342</v>
      </c>
      <c r="S223" s="17">
        <f t="shared" si="74"/>
        <v>42.764850494540049</v>
      </c>
      <c r="T223" s="17">
        <f t="shared" si="75"/>
        <v>30.438511234349097</v>
      </c>
      <c r="U223" s="17">
        <f t="shared" si="76"/>
        <v>76.112089149521793</v>
      </c>
      <c r="V223" s="17">
        <f t="shared" si="77"/>
        <v>0</v>
      </c>
      <c r="W223" s="17">
        <f t="shared" si="78"/>
        <v>811.56079610357438</v>
      </c>
      <c r="X223" s="12">
        <f>原始输入与口径!CP127</f>
        <v>811.56079610357438</v>
      </c>
      <c r="Y223" s="19">
        <f t="shared" si="79"/>
        <v>0</v>
      </c>
      <c r="Z223" s="12" t="str">
        <f t="shared" si="80"/>
        <v>当日执行</v>
      </c>
      <c r="AA223" s="12">
        <f>IF(原始输入与口径!AW127,1,0)</f>
        <v>1</v>
      </c>
      <c r="AB223" s="12">
        <f>IF(原始输入与口径!AY127,1,0)</f>
        <v>1</v>
      </c>
      <c r="AC223" s="12">
        <f>原始输入与口径!$F$5</f>
        <v>0.25</v>
      </c>
      <c r="AD223" s="18">
        <f>原始输入与口径!CG127</f>
        <v>0.3125</v>
      </c>
      <c r="AE223" s="18">
        <f>原始输入与口径!BQ127</f>
        <v>0.13714285714285715</v>
      </c>
      <c r="AF223" s="18">
        <f t="shared" si="81"/>
        <v>7.266285714285714E-2</v>
      </c>
      <c r="AG223" s="18">
        <f t="shared" si="82"/>
        <v>0</v>
      </c>
      <c r="AH223" s="12">
        <f>IF(ISNUMBER(原始输入与口径!T127),原始输入与口径!T127,"缺失")</f>
        <v>175</v>
      </c>
      <c r="AI223" s="12">
        <f>IF(ISNUMBER(原始输入与口径!Y127),原始输入与口径!Y127,"缺失")</f>
        <v>175</v>
      </c>
      <c r="AJ223" s="12">
        <f>IF(ISNUMBER(原始输入与口径!AI127),原始输入与口径!AI127,"缺失")</f>
        <v>3.1789999999999998</v>
      </c>
      <c r="AK223" s="12">
        <f>IF(ISNUMBER(原始输入与口径!AL127),原始输入与口径!AL127,"缺失")</f>
        <v>0</v>
      </c>
      <c r="AL223" s="12">
        <f>IF(ISNUMBER(原始输入与口径!O127),原始输入与口径!O127,"缺失")</f>
        <v>128</v>
      </c>
      <c r="AM223" s="12">
        <f>SUMIFS(相位SOC复算!$N$9:$N$929,相位SOC复算!$S$9:$S$929,215)</f>
        <v>1.3163561076604555E-3</v>
      </c>
      <c r="AN223" s="12">
        <f>SUMIFS(相位SOC复算!$Q$9:$Q$929,相位SOC复算!$S$9:$S$929,215)</f>
        <v>0</v>
      </c>
      <c r="AO223" s="12">
        <f>SUMIFS(相位SOC复算!$R$9:$R$929,相位SOC复算!$S$9:$S$929,215)</f>
        <v>0.43597714285714284</v>
      </c>
      <c r="AP223" s="12">
        <f>相位SOC复算!J529</f>
        <v>33.196980710558975</v>
      </c>
      <c r="AQ223" s="19">
        <f t="shared" si="83"/>
        <v>0</v>
      </c>
      <c r="AR223" s="12">
        <f>IF(ISBLANK(原始输入与口径!M127),"",原始输入与口径!M127)</f>
        <v>5.2473000000000001</v>
      </c>
      <c r="AS223" s="14">
        <f>IF(ISBLANK(原始输入与口径!L127),"",原始输入与口径!L127)</f>
        <v>46234</v>
      </c>
      <c r="AT223" s="13">
        <f>IF(ISBLANK(原始输入与口径!A127),"",原始输入与口径!A127)</f>
        <v>46236.104166666664</v>
      </c>
      <c r="AU223" s="12" t="str">
        <f>IF(ISBLANK(原始输入与口径!I127),"",原始输入与口径!I127)</f>
        <v>2026-08-02_19</v>
      </c>
      <c r="AV223" s="12">
        <f>IF(ISBLANK(原始输入与口径!J127),"",原始输入与口径!J127)</f>
        <v>15</v>
      </c>
      <c r="AW223" s="12" t="str">
        <f>IF(ISBLANK(原始输入与口径!BB127),"",原始输入与口径!BB127)</f>
        <v>OK</v>
      </c>
      <c r="AX223" s="12">
        <f>原始输入与口径!CI127</f>
        <v>128</v>
      </c>
      <c r="AY223" s="12">
        <f>原始输入与口径!BS127</f>
        <v>175</v>
      </c>
      <c r="AZ223" s="12">
        <f>原始输入与口径!BI127</f>
        <v>175</v>
      </c>
      <c r="BA223" s="12">
        <f>原始输入与口径!CM127</f>
        <v>40</v>
      </c>
      <c r="BB223" s="12">
        <f>原始输入与口径!BV127</f>
        <v>24</v>
      </c>
      <c r="BC223" s="12">
        <f>原始输入与口径!BL127</f>
        <v>24</v>
      </c>
      <c r="BD223" s="14">
        <f>46236</f>
        <v>46236</v>
      </c>
      <c r="BE223" s="1" t="str">
        <f t="shared" si="84"/>
        <v>零头寸，无结算现金</v>
      </c>
      <c r="BF223" s="1" t="str">
        <f t="shared" si="85"/>
        <v>40.000000 MW × 66.224535 × 0.250000 h = 662.245345 EUR</v>
      </c>
      <c r="BG223" s="1" t="str">
        <f t="shared" si="86"/>
        <v>24.000000 MW × 7.127475 × 0.250000 h = 42.764850 EUR</v>
      </c>
      <c r="BH223" s="1" t="str">
        <f t="shared" si="87"/>
        <v>24.000000 MW × 5.073085 × 0.250000 h = 30.438511 EUR</v>
      </c>
      <c r="BI223" s="1" t="str">
        <f t="shared" si="88"/>
        <v>0.435977 MWh × 174.578164 = 76.112089 EUR</v>
      </c>
      <c r="BJ223" s="1" t="str">
        <f t="shared" si="89"/>
        <v>零下调激活电量</v>
      </c>
      <c r="BK223" s="1" t="str">
        <f t="shared" si="90"/>
        <v>0.000000 + 662.245345 + 42.764850 + 30.438511 + 76.112089 + 0.000000 = 811.560796 EUR</v>
      </c>
    </row>
    <row r="224" spans="1:63" ht="21" customHeight="1" x14ac:dyDescent="0.45">
      <c r="A224" s="13">
        <f>原始输入与口径!C128</f>
        <v>46236.239583333336</v>
      </c>
      <c r="B224" s="15">
        <f>IF(ISNUMBER(原始输入与口径!H128),原始输入与口径!H128,"缺失")</f>
        <v>153.26</v>
      </c>
      <c r="C224" s="15">
        <f>IF(ISNUMBER(原始输入与口径!R128),原始输入与口径!R128,"缺失")</f>
        <v>66.224534522516336</v>
      </c>
      <c r="D224" s="15">
        <f>IF(ISNUMBER(原始输入与口径!W128),原始输入与口径!W128,"缺失")</f>
        <v>7.1274750824233415</v>
      </c>
      <c r="E224" s="15">
        <f>IF(ISNUMBER(原始输入与口径!AB128),原始输入与口径!AB128,"缺失")</f>
        <v>5.0730852057248494</v>
      </c>
      <c r="F224" s="15">
        <f>IF(ISNUMBER(原始输入与口径!AG128),原始输入与口径!AG128,"缺失")</f>
        <v>169.63790901987687</v>
      </c>
      <c r="G224" s="15">
        <f>IF(ISNUMBER(原始输入与口径!AJ128),原始输入与口径!AJ128,"缺失")</f>
        <v>77.182551026242066</v>
      </c>
      <c r="H224" s="15" t="str">
        <f t="shared" si="69"/>
        <v>未模拟</v>
      </c>
      <c r="I224" s="16">
        <f>原始输入与口径!CD128</f>
        <v>33.196980710558975</v>
      </c>
      <c r="J224" s="16">
        <f>原始输入与口径!CE128</f>
        <v>33.028351284472024</v>
      </c>
      <c r="K224" s="16">
        <f>原始输入与口径!BZ128</f>
        <v>0</v>
      </c>
      <c r="L224" s="16">
        <f>原始输入与口径!CK128</f>
        <v>40</v>
      </c>
      <c r="M224" s="16">
        <f>原始输入与口径!BT128</f>
        <v>24</v>
      </c>
      <c r="N224" s="16">
        <f>原始输入与口径!BJ128</f>
        <v>24</v>
      </c>
      <c r="O224" s="16">
        <f t="shared" si="70"/>
        <v>0.15908571428571427</v>
      </c>
      <c r="P224" s="16">
        <f t="shared" si="71"/>
        <v>4.6628571428571431E-3</v>
      </c>
      <c r="Q224" s="17">
        <f t="shared" si="72"/>
        <v>0</v>
      </c>
      <c r="R224" s="17">
        <f t="shared" si="73"/>
        <v>662.24534522516342</v>
      </c>
      <c r="S224" s="17">
        <f t="shared" si="74"/>
        <v>42.764850494540049</v>
      </c>
      <c r="T224" s="17">
        <f t="shared" si="75"/>
        <v>30.438511234349097</v>
      </c>
      <c r="U224" s="17">
        <f t="shared" si="76"/>
        <v>26.986967926362123</v>
      </c>
      <c r="V224" s="17">
        <f t="shared" si="77"/>
        <v>-0.35989120935664876</v>
      </c>
      <c r="W224" s="17">
        <f t="shared" si="78"/>
        <v>762.07578367105805</v>
      </c>
      <c r="X224" s="12">
        <f>原始输入与口径!CP128</f>
        <v>762.07578367105805</v>
      </c>
      <c r="Y224" s="19">
        <f t="shared" si="79"/>
        <v>0</v>
      </c>
      <c r="Z224" s="12" t="str">
        <f t="shared" si="80"/>
        <v>当日执行</v>
      </c>
      <c r="AA224" s="12">
        <f>IF(原始输入与口径!AW128,1,0)</f>
        <v>1</v>
      </c>
      <c r="AB224" s="12">
        <f>IF(原始输入与口径!AY128,1,0)</f>
        <v>1</v>
      </c>
      <c r="AC224" s="12">
        <f>原始输入与口径!$F$5</f>
        <v>0.25</v>
      </c>
      <c r="AD224" s="18">
        <f>原始输入与口径!CG128</f>
        <v>0.3125</v>
      </c>
      <c r="AE224" s="18">
        <f>原始输入与口径!BQ128</f>
        <v>0.13714285714285715</v>
      </c>
      <c r="AF224" s="18">
        <f t="shared" si="81"/>
        <v>2.6514285714285712E-2</v>
      </c>
      <c r="AG224" s="18">
        <f t="shared" si="82"/>
        <v>7.7714285714285721E-4</v>
      </c>
      <c r="AH224" s="12">
        <f>IF(ISNUMBER(原始输入与口径!T128),原始输入与口径!T128,"缺失")</f>
        <v>175</v>
      </c>
      <c r="AI224" s="12">
        <f>IF(ISNUMBER(原始输入与口径!Y128),原始输入与口径!Y128,"缺失")</f>
        <v>175</v>
      </c>
      <c r="AJ224" s="12">
        <f>IF(ISNUMBER(原始输入与口径!AI128),原始输入与口径!AI128,"缺失")</f>
        <v>1.1599999999999999</v>
      </c>
      <c r="AK224" s="12">
        <f>IF(ISNUMBER(原始输入与口径!AL128),原始输入与口径!AL128,"缺失")</f>
        <v>3.4000000000000002E-2</v>
      </c>
      <c r="AL224" s="12">
        <f>IF(ISNUMBER(原始输入与口径!O128),原始输入与口径!O128,"缺失")</f>
        <v>128</v>
      </c>
      <c r="AM224" s="12">
        <f>SUMIFS(相位SOC复算!$N$9:$N$929,相位SOC复算!$S$9:$S$929,216)</f>
        <v>4.9224745341614894E-4</v>
      </c>
      <c r="AN224" s="12">
        <f>SUMIFS(相位SOC复算!$Q$9:$Q$929,相位SOC复算!$S$9:$S$929,216)</f>
        <v>4.6628571428571431E-3</v>
      </c>
      <c r="AO224" s="12">
        <f>SUMIFS(相位SOC复算!$R$9:$R$929,相位SOC复算!$S$9:$S$929,216)</f>
        <v>0.15908571428571427</v>
      </c>
      <c r="AP224" s="12">
        <f>相位SOC复算!J532</f>
        <v>33.028351284472024</v>
      </c>
      <c r="AQ224" s="19">
        <f t="shared" si="83"/>
        <v>0</v>
      </c>
      <c r="AR224" s="12">
        <f>IF(ISBLANK(原始输入与口径!M128),"",原始输入与口径!M128)</f>
        <v>5.2473000000000001</v>
      </c>
      <c r="AS224" s="14">
        <f>IF(ISBLANK(原始输入与口径!L128),"",原始输入与口径!L128)</f>
        <v>46234</v>
      </c>
      <c r="AT224" s="13">
        <f>IF(ISBLANK(原始输入与口径!A128),"",原始输入与口径!A128)</f>
        <v>46236.114583333336</v>
      </c>
      <c r="AU224" s="12" t="str">
        <f>IF(ISBLANK(原始输入与口径!I128),"",原始输入与口径!I128)</f>
        <v>2026-08-02_20</v>
      </c>
      <c r="AV224" s="12">
        <f>IF(ISBLANK(原始输入与口径!J128),"",原始输入与口径!J128)</f>
        <v>15</v>
      </c>
      <c r="AW224" s="12" t="str">
        <f>IF(ISBLANK(原始输入与口径!BB128),"",原始输入与口径!BB128)</f>
        <v>OK</v>
      </c>
      <c r="AX224" s="12">
        <f>原始输入与口径!CI128</f>
        <v>128</v>
      </c>
      <c r="AY224" s="12">
        <f>原始输入与口径!BS128</f>
        <v>175</v>
      </c>
      <c r="AZ224" s="12">
        <f>原始输入与口径!BI128</f>
        <v>175</v>
      </c>
      <c r="BA224" s="12">
        <f>原始输入与口径!CM128</f>
        <v>40</v>
      </c>
      <c r="BB224" s="12">
        <f>原始输入与口径!BV128</f>
        <v>24</v>
      </c>
      <c r="BC224" s="12">
        <f>原始输入与口径!BL128</f>
        <v>24</v>
      </c>
      <c r="BD224" s="14">
        <f>46236</f>
        <v>46236</v>
      </c>
      <c r="BE224" s="1" t="str">
        <f t="shared" si="84"/>
        <v>零头寸，无结算现金</v>
      </c>
      <c r="BF224" s="1" t="str">
        <f t="shared" si="85"/>
        <v>40.000000 MW × 66.224535 × 0.250000 h = 662.245345 EUR</v>
      </c>
      <c r="BG224" s="1" t="str">
        <f t="shared" si="86"/>
        <v>24.000000 MW × 7.127475 × 0.250000 h = 42.764850 EUR</v>
      </c>
      <c r="BH224" s="1" t="str">
        <f t="shared" si="87"/>
        <v>24.000000 MW × 5.073085 × 0.250000 h = 30.438511 EUR</v>
      </c>
      <c r="BI224" s="1" t="str">
        <f t="shared" si="88"/>
        <v>0.159086 MWh × 169.637909 = 26.986968 EUR</v>
      </c>
      <c r="BJ224" s="1" t="str">
        <f t="shared" si="89"/>
        <v>−(0.004663 MWh × 77.182551) = -0.359891 EUR</v>
      </c>
      <c r="BK224" s="1" t="str">
        <f t="shared" si="90"/>
        <v>0.000000 + 662.245345 + 42.764850 + 30.438511 + 26.986968 + -0.359891 = 762.075784 EUR</v>
      </c>
    </row>
    <row r="225" spans="1:63" ht="21" customHeight="1" x14ac:dyDescent="0.45">
      <c r="A225" s="13">
        <f>原始输入与口径!C129</f>
        <v>46236.25</v>
      </c>
      <c r="B225" s="15">
        <f>IF(ISNUMBER(原始输入与口径!H129),原始输入与口径!H129,"缺失")</f>
        <v>160.44</v>
      </c>
      <c r="C225" s="15">
        <f>IF(ISNUMBER(原始输入与口径!R129),原始输入与口径!R129,"缺失")</f>
        <v>66.224534522516336</v>
      </c>
      <c r="D225" s="15">
        <f>IF(ISNUMBER(原始输入与口径!W129),原始输入与口径!W129,"缺失")</f>
        <v>7.0626798544013116</v>
      </c>
      <c r="E225" s="15">
        <f>IF(ISNUMBER(原始输入与口径!AB129),原始输入与口径!AB129,"缺失")</f>
        <v>2.8376498389648011</v>
      </c>
      <c r="F225" s="15">
        <f>IF(ISNUMBER(原始输入与口径!AG129),原始输入与口径!AG129,"缺失")</f>
        <v>171.11314390257846</v>
      </c>
      <c r="G225" s="15">
        <f>IF(ISNUMBER(原始输入与口径!AJ129),原始输入与口径!AJ129,"缺失")</f>
        <v>77.182551026242066</v>
      </c>
      <c r="H225" s="15" t="str">
        <f t="shared" si="69"/>
        <v>未模拟</v>
      </c>
      <c r="I225" s="16">
        <f>原始输入与口径!CD129</f>
        <v>33.028351284472024</v>
      </c>
      <c r="J225" s="16">
        <f>原始输入与口径!CE129</f>
        <v>32.683902091925439</v>
      </c>
      <c r="K225" s="16">
        <f>原始输入与口径!BZ129</f>
        <v>0</v>
      </c>
      <c r="L225" s="16">
        <f>原始输入与口径!CK129</f>
        <v>40</v>
      </c>
      <c r="M225" s="16">
        <f>原始输入与口径!BT129</f>
        <v>24</v>
      </c>
      <c r="N225" s="16">
        <f>原始输入与口径!BJ129</f>
        <v>24</v>
      </c>
      <c r="O225" s="16">
        <f t="shared" si="70"/>
        <v>0.3226971428571429</v>
      </c>
      <c r="P225" s="16">
        <f t="shared" si="71"/>
        <v>6.8571428571428577E-3</v>
      </c>
      <c r="Q225" s="17">
        <f t="shared" si="72"/>
        <v>0</v>
      </c>
      <c r="R225" s="17">
        <f t="shared" si="73"/>
        <v>662.24534522516342</v>
      </c>
      <c r="S225" s="17">
        <f t="shared" si="74"/>
        <v>42.376079126407873</v>
      </c>
      <c r="T225" s="17">
        <f t="shared" si="75"/>
        <v>17.025899033788807</v>
      </c>
      <c r="U225" s="17">
        <f t="shared" si="76"/>
        <v>55.217722642665208</v>
      </c>
      <c r="V225" s="17">
        <f t="shared" si="77"/>
        <v>-0.52925177846565996</v>
      </c>
      <c r="W225" s="17">
        <f t="shared" si="78"/>
        <v>776.33579424955963</v>
      </c>
      <c r="X225" s="12">
        <f>原始输入与口径!CP129</f>
        <v>776.33579424955963</v>
      </c>
      <c r="Y225" s="19">
        <f t="shared" si="79"/>
        <v>0</v>
      </c>
      <c r="Z225" s="12" t="str">
        <f t="shared" si="80"/>
        <v>当日执行</v>
      </c>
      <c r="AA225" s="12">
        <f>IF(原始输入与口径!AW129,1,0)</f>
        <v>1</v>
      </c>
      <c r="AB225" s="12">
        <f>IF(原始输入与口径!AY129,1,0)</f>
        <v>1</v>
      </c>
      <c r="AC225" s="12">
        <f>原始输入与口径!$F$5</f>
        <v>0.25</v>
      </c>
      <c r="AD225" s="18">
        <f>原始输入与口径!CG129</f>
        <v>0.3125</v>
      </c>
      <c r="AE225" s="18">
        <f>原始输入与口径!BQ129</f>
        <v>0.13714285714285715</v>
      </c>
      <c r="AF225" s="18">
        <f t="shared" si="81"/>
        <v>5.3782857142857146E-2</v>
      </c>
      <c r="AG225" s="18">
        <f t="shared" si="82"/>
        <v>1.1428571428571429E-3</v>
      </c>
      <c r="AH225" s="12">
        <f>IF(ISNUMBER(原始输入与口径!T129),原始输入与口径!T129,"缺失")</f>
        <v>175</v>
      </c>
      <c r="AI225" s="12">
        <f>IF(ISNUMBER(原始输入与口径!Y129),原始输入与口径!Y129,"缺失")</f>
        <v>175</v>
      </c>
      <c r="AJ225" s="12">
        <f>IF(ISNUMBER(原始输入与口径!AI129),原始输入与口径!AI129,"缺失")</f>
        <v>2.3530000000000002</v>
      </c>
      <c r="AK225" s="12">
        <f>IF(ISNUMBER(原始输入与口径!AL129),原始输入与口径!AL129,"缺失")</f>
        <v>0.05</v>
      </c>
      <c r="AL225" s="12">
        <f>IF(ISNUMBER(原始输入与口径!O129),原始输入与口径!O129,"缺失")</f>
        <v>128</v>
      </c>
      <c r="AM225" s="12">
        <f>SUMIFS(相位SOC复算!$N$9:$N$929,相位SOC复算!$S$9:$S$929,217)</f>
        <v>9.918509316770188E-4</v>
      </c>
      <c r="AN225" s="12">
        <f>SUMIFS(相位SOC复算!$Q$9:$Q$929,相位SOC复算!$S$9:$S$929,217)</f>
        <v>6.8571428571428577E-3</v>
      </c>
      <c r="AO225" s="12">
        <f>SUMIFS(相位SOC复算!$R$9:$R$929,相位SOC复算!$S$9:$S$929,217)</f>
        <v>0.3226971428571429</v>
      </c>
      <c r="AP225" s="12">
        <f>相位SOC复算!J535</f>
        <v>32.683902091925439</v>
      </c>
      <c r="AQ225" s="19">
        <f t="shared" si="83"/>
        <v>0</v>
      </c>
      <c r="AR225" s="12">
        <f>IF(ISBLANK(原始输入与口径!M129),"",原始输入与口径!M129)</f>
        <v>5.2473000000000001</v>
      </c>
      <c r="AS225" s="14">
        <f>IF(ISBLANK(原始输入与口径!L129),"",原始输入与口径!L129)</f>
        <v>46234</v>
      </c>
      <c r="AT225" s="13">
        <f>IF(ISBLANK(原始输入与口径!A129),"",原始输入与口径!A129)</f>
        <v>46236.125</v>
      </c>
      <c r="AU225" s="12" t="str">
        <f>IF(ISBLANK(原始输入与口径!I129),"",原始输入与口径!I129)</f>
        <v>2026-08-02_21</v>
      </c>
      <c r="AV225" s="12">
        <f>IF(ISBLANK(原始输入与口径!J129),"",原始输入与口径!J129)</f>
        <v>15</v>
      </c>
      <c r="AW225" s="12" t="str">
        <f>IF(ISBLANK(原始输入与口径!BB129),"",原始输入与口径!BB129)</f>
        <v>OK</v>
      </c>
      <c r="AX225" s="12">
        <f>原始输入与口径!CI129</f>
        <v>128</v>
      </c>
      <c r="AY225" s="12">
        <f>原始输入与口径!BS129</f>
        <v>175</v>
      </c>
      <c r="AZ225" s="12">
        <f>原始输入与口径!BI129</f>
        <v>175</v>
      </c>
      <c r="BA225" s="12">
        <f>原始输入与口径!CM129</f>
        <v>40</v>
      </c>
      <c r="BB225" s="12">
        <f>原始输入与口径!BV129</f>
        <v>24</v>
      </c>
      <c r="BC225" s="12">
        <f>原始输入与口径!BL129</f>
        <v>24</v>
      </c>
      <c r="BD225" s="14">
        <f>46236</f>
        <v>46236</v>
      </c>
      <c r="BE225" s="1" t="str">
        <f t="shared" si="84"/>
        <v>零头寸，无结算现金</v>
      </c>
      <c r="BF225" s="1" t="str">
        <f t="shared" si="85"/>
        <v>40.000000 MW × 66.224535 × 0.250000 h = 662.245345 EUR</v>
      </c>
      <c r="BG225" s="1" t="str">
        <f t="shared" si="86"/>
        <v>24.000000 MW × 7.062680 × 0.250000 h = 42.376079 EUR</v>
      </c>
      <c r="BH225" s="1" t="str">
        <f t="shared" si="87"/>
        <v>24.000000 MW × 2.837650 × 0.250000 h = 17.025899 EUR</v>
      </c>
      <c r="BI225" s="1" t="str">
        <f t="shared" si="88"/>
        <v>0.322697 MWh × 171.113144 = 55.217723 EUR</v>
      </c>
      <c r="BJ225" s="1" t="str">
        <f t="shared" si="89"/>
        <v>−(0.006857 MWh × 77.182551) = -0.529252 EUR</v>
      </c>
      <c r="BK225" s="1" t="str">
        <f t="shared" si="90"/>
        <v>0.000000 + 662.245345 + 42.376079 + 17.025899 + 55.217723 + -0.529252 = 776.335794 EUR</v>
      </c>
    </row>
    <row r="226" spans="1:63" ht="21" customHeight="1" x14ac:dyDescent="0.45">
      <c r="A226" s="13">
        <f>原始输入与口径!C130</f>
        <v>46236.260416666664</v>
      </c>
      <c r="B226" s="15">
        <f>IF(ISNUMBER(原始输入与口径!H130),原始输入与口径!H130,"缺失")</f>
        <v>163.34</v>
      </c>
      <c r="C226" s="15">
        <f>IF(ISNUMBER(原始输入与口径!R130),原始输入与口径!R130,"缺失")</f>
        <v>66.224534522516336</v>
      </c>
      <c r="D226" s="15">
        <f>IF(ISNUMBER(原始输入与口径!W130),原始输入与口径!W130,"缺失")</f>
        <v>7.0626798544013116</v>
      </c>
      <c r="E226" s="15">
        <f>IF(ISNUMBER(原始输入与口径!AB130),原始输入与口径!AB130,"缺失")</f>
        <v>2.8376498389648011</v>
      </c>
      <c r="F226" s="15">
        <f>IF(ISNUMBER(原始输入与口径!AG130),原始输入与口径!AG130,"缺失")</f>
        <v>171.09866026337355</v>
      </c>
      <c r="G226" s="15">
        <f>IF(ISNUMBER(原始输入与口径!AJ130),原始输入与口径!AJ130,"缺失")</f>
        <v>0</v>
      </c>
      <c r="H226" s="15" t="str">
        <f t="shared" si="69"/>
        <v>未模拟</v>
      </c>
      <c r="I226" s="16">
        <f>原始输入与口径!CD130</f>
        <v>32.683902091925439</v>
      </c>
      <c r="J226" s="16">
        <f>原始输入与口径!CE130</f>
        <v>32.258461098136621</v>
      </c>
      <c r="K226" s="16">
        <f>原始输入与口径!BZ130</f>
        <v>0</v>
      </c>
      <c r="L226" s="16">
        <f>原始输入与口径!CK130</f>
        <v>40</v>
      </c>
      <c r="M226" s="16">
        <f>原始输入与口径!BT130</f>
        <v>24</v>
      </c>
      <c r="N226" s="16">
        <f>原始输入与口径!BJ130</f>
        <v>24</v>
      </c>
      <c r="O226" s="16">
        <f t="shared" si="70"/>
        <v>0.3914057142857143</v>
      </c>
      <c r="P226" s="16">
        <f t="shared" si="71"/>
        <v>0</v>
      </c>
      <c r="Q226" s="17">
        <f t="shared" si="72"/>
        <v>0</v>
      </c>
      <c r="R226" s="17">
        <f t="shared" si="73"/>
        <v>662.24534522516342</v>
      </c>
      <c r="S226" s="17">
        <f t="shared" si="74"/>
        <v>42.376079126407873</v>
      </c>
      <c r="T226" s="17">
        <f t="shared" si="75"/>
        <v>17.025899033788807</v>
      </c>
      <c r="U226" s="17">
        <f t="shared" si="76"/>
        <v>66.968993333714479</v>
      </c>
      <c r="V226" s="17">
        <f t="shared" si="77"/>
        <v>0</v>
      </c>
      <c r="W226" s="17">
        <f t="shared" si="78"/>
        <v>788.61631671907458</v>
      </c>
      <c r="X226" s="12">
        <f>原始输入与口径!CP130</f>
        <v>788.61631671907458</v>
      </c>
      <c r="Y226" s="19">
        <f t="shared" si="79"/>
        <v>0</v>
      </c>
      <c r="Z226" s="12" t="str">
        <f t="shared" si="80"/>
        <v>当日执行</v>
      </c>
      <c r="AA226" s="12">
        <f>IF(原始输入与口径!AW130,1,0)</f>
        <v>1</v>
      </c>
      <c r="AB226" s="12">
        <f>IF(原始输入与口径!AY130,1,0)</f>
        <v>1</v>
      </c>
      <c r="AC226" s="12">
        <f>原始输入与口径!$F$5</f>
        <v>0.25</v>
      </c>
      <c r="AD226" s="18">
        <f>原始输入与口径!CG130</f>
        <v>0.3125</v>
      </c>
      <c r="AE226" s="18">
        <f>原始输入与口径!BQ130</f>
        <v>0.13714285714285715</v>
      </c>
      <c r="AF226" s="18">
        <f t="shared" si="81"/>
        <v>6.5234285714285717E-2</v>
      </c>
      <c r="AG226" s="18">
        <f t="shared" si="82"/>
        <v>0</v>
      </c>
      <c r="AH226" s="12">
        <f>IF(ISNUMBER(原始输入与口径!T130),原始输入与口径!T130,"缺失")</f>
        <v>175</v>
      </c>
      <c r="AI226" s="12">
        <f>IF(ISNUMBER(原始输入与口径!Y130),原始输入与口径!Y130,"缺失")</f>
        <v>175</v>
      </c>
      <c r="AJ226" s="12">
        <f>IF(ISNUMBER(原始输入与口径!AI130),原始输入与口径!AI130,"缺失")</f>
        <v>2.8540000000000001</v>
      </c>
      <c r="AK226" s="12">
        <f>IF(ISNUMBER(原始输入与口径!AL130),原始输入与口径!AL130,"缺失")</f>
        <v>0</v>
      </c>
      <c r="AL226" s="12">
        <f>IF(ISNUMBER(原始输入与口径!O130),原始输入与口径!O130,"缺失")</f>
        <v>128</v>
      </c>
      <c r="AM226" s="12">
        <f>SUMIFS(相位SOC复算!$N$9:$N$929,相位SOC复算!$S$9:$S$929,218)</f>
        <v>1.1817805383022774E-3</v>
      </c>
      <c r="AN226" s="12">
        <f>SUMIFS(相位SOC复算!$Q$9:$Q$929,相位SOC复算!$S$9:$S$929,218)</f>
        <v>0</v>
      </c>
      <c r="AO226" s="12">
        <f>SUMIFS(相位SOC复算!$R$9:$R$929,相位SOC复算!$S$9:$S$929,218)</f>
        <v>0.3914057142857143</v>
      </c>
      <c r="AP226" s="12">
        <f>相位SOC复算!J537</f>
        <v>32.258461098136621</v>
      </c>
      <c r="AQ226" s="19">
        <f t="shared" si="83"/>
        <v>0</v>
      </c>
      <c r="AR226" s="12">
        <f>IF(ISBLANK(原始输入与口径!M130),"",原始输入与口径!M130)</f>
        <v>5.2473000000000001</v>
      </c>
      <c r="AS226" s="14">
        <f>IF(ISBLANK(原始输入与口径!L130),"",原始输入与口径!L130)</f>
        <v>46234</v>
      </c>
      <c r="AT226" s="13">
        <f>IF(ISBLANK(原始输入与口径!A130),"",原始输入与口径!A130)</f>
        <v>46236.135416666664</v>
      </c>
      <c r="AU226" s="12" t="str">
        <f>IF(ISBLANK(原始输入与口径!I130),"",原始输入与口径!I130)</f>
        <v>2026-08-02_22</v>
      </c>
      <c r="AV226" s="12">
        <f>IF(ISBLANK(原始输入与口径!J130),"",原始输入与口径!J130)</f>
        <v>15</v>
      </c>
      <c r="AW226" s="12" t="str">
        <f>IF(ISBLANK(原始输入与口径!BB130),"",原始输入与口径!BB130)</f>
        <v>OK</v>
      </c>
      <c r="AX226" s="12">
        <f>原始输入与口径!CI130</f>
        <v>128</v>
      </c>
      <c r="AY226" s="12">
        <f>原始输入与口径!BS130</f>
        <v>175</v>
      </c>
      <c r="AZ226" s="12">
        <f>原始输入与口径!BI130</f>
        <v>175</v>
      </c>
      <c r="BA226" s="12">
        <f>原始输入与口径!CM130</f>
        <v>40</v>
      </c>
      <c r="BB226" s="12">
        <f>原始输入与口径!BV130</f>
        <v>24</v>
      </c>
      <c r="BC226" s="12">
        <f>原始输入与口径!BL130</f>
        <v>24</v>
      </c>
      <c r="BD226" s="14">
        <f>46236</f>
        <v>46236</v>
      </c>
      <c r="BE226" s="1" t="str">
        <f t="shared" si="84"/>
        <v>零头寸，无结算现金</v>
      </c>
      <c r="BF226" s="1" t="str">
        <f t="shared" si="85"/>
        <v>40.000000 MW × 66.224535 × 0.250000 h = 662.245345 EUR</v>
      </c>
      <c r="BG226" s="1" t="str">
        <f t="shared" si="86"/>
        <v>24.000000 MW × 7.062680 × 0.250000 h = 42.376079 EUR</v>
      </c>
      <c r="BH226" s="1" t="str">
        <f t="shared" si="87"/>
        <v>24.000000 MW × 2.837650 × 0.250000 h = 17.025899 EUR</v>
      </c>
      <c r="BI226" s="1" t="str">
        <f t="shared" si="88"/>
        <v>0.391406 MWh × 171.098660 = 66.968993 EUR</v>
      </c>
      <c r="BJ226" s="1" t="str">
        <f t="shared" si="89"/>
        <v>零下调激活电量</v>
      </c>
      <c r="BK226" s="1" t="str">
        <f t="shared" si="90"/>
        <v>0.000000 + 662.245345 + 42.376079 + 17.025899 + 66.968993 + 0.000000 = 788.616317 EUR</v>
      </c>
    </row>
    <row r="227" spans="1:63" ht="21" customHeight="1" x14ac:dyDescent="0.45">
      <c r="A227" s="13">
        <f>原始输入与口径!C131</f>
        <v>46236.270833333336</v>
      </c>
      <c r="B227" s="15">
        <f>IF(ISNUMBER(原始输入与口径!H131),原始输入与口径!H131,"缺失")</f>
        <v>161.41</v>
      </c>
      <c r="C227" s="15">
        <f>IF(ISNUMBER(原始输入与口径!R131),原始输入与口径!R131,"缺失")</f>
        <v>66.224534522516336</v>
      </c>
      <c r="D227" s="15">
        <f>IF(ISNUMBER(原始输入与口径!W131),原始输入与口径!W131,"缺失")</f>
        <v>7.0626798544013116</v>
      </c>
      <c r="E227" s="15">
        <f>IF(ISNUMBER(原始输入与口径!AB131),原始输入与口径!AB131,"缺失")</f>
        <v>2.8376498389648011</v>
      </c>
      <c r="F227" s="15">
        <f>IF(ISNUMBER(原始输入与口径!AG131),原始输入与口径!AG131,"缺失")</f>
        <v>179.47096602062012</v>
      </c>
      <c r="G227" s="15">
        <f>IF(ISNUMBER(原始输入与口径!AJ131),原始输入与口径!AJ131,"缺失")</f>
        <v>77.182551026242066</v>
      </c>
      <c r="H227" s="15" t="str">
        <f t="shared" si="69"/>
        <v>未模拟</v>
      </c>
      <c r="I227" s="16">
        <f>原始输入与口径!CD131</f>
        <v>32.258461098136621</v>
      </c>
      <c r="J227" s="16">
        <f>原始输入与口径!CE131</f>
        <v>31.739130434782581</v>
      </c>
      <c r="K227" s="16">
        <f>原始输入与口径!BZ131</f>
        <v>0</v>
      </c>
      <c r="L227" s="16">
        <f>原始输入与口径!CK131</f>
        <v>40</v>
      </c>
      <c r="M227" s="16">
        <f>原始输入与口径!BT131</f>
        <v>24</v>
      </c>
      <c r="N227" s="16">
        <f>原始输入与口径!BJ131</f>
        <v>24</v>
      </c>
      <c r="O227" s="16">
        <f t="shared" si="70"/>
        <v>0.47917714285714291</v>
      </c>
      <c r="P227" s="16">
        <f t="shared" si="71"/>
        <v>1.6457142857142855E-3</v>
      </c>
      <c r="Q227" s="17">
        <f t="shared" si="72"/>
        <v>0</v>
      </c>
      <c r="R227" s="17">
        <f t="shared" si="73"/>
        <v>662.24534522516342</v>
      </c>
      <c r="S227" s="17">
        <f t="shared" si="74"/>
        <v>42.376079126407873</v>
      </c>
      <c r="T227" s="17">
        <f t="shared" si="75"/>
        <v>17.025899033788807</v>
      </c>
      <c r="U227" s="17">
        <f t="shared" si="76"/>
        <v>85.99838472357213</v>
      </c>
      <c r="V227" s="17">
        <f t="shared" si="77"/>
        <v>-0.12702042683175835</v>
      </c>
      <c r="W227" s="17">
        <f t="shared" si="78"/>
        <v>807.51868768210045</v>
      </c>
      <c r="X227" s="12">
        <f>原始输入与口径!CP131</f>
        <v>807.51868768210045</v>
      </c>
      <c r="Y227" s="19">
        <f t="shared" si="79"/>
        <v>0</v>
      </c>
      <c r="Z227" s="12" t="str">
        <f t="shared" si="80"/>
        <v>当日执行</v>
      </c>
      <c r="AA227" s="12">
        <f>IF(原始输入与口径!AW131,1,0)</f>
        <v>1</v>
      </c>
      <c r="AB227" s="12">
        <f>IF(原始输入与口径!AY131,1,0)</f>
        <v>1</v>
      </c>
      <c r="AC227" s="12">
        <f>原始输入与口径!$F$5</f>
        <v>0.25</v>
      </c>
      <c r="AD227" s="18">
        <f>原始输入与口径!CG131</f>
        <v>0.3125</v>
      </c>
      <c r="AE227" s="18">
        <f>原始输入与口径!BQ131</f>
        <v>0.13714285714285715</v>
      </c>
      <c r="AF227" s="18">
        <f t="shared" si="81"/>
        <v>7.9862857142857152E-2</v>
      </c>
      <c r="AG227" s="18">
        <f t="shared" si="82"/>
        <v>2.7428571428571427E-4</v>
      </c>
      <c r="AH227" s="12">
        <f>IF(ISNUMBER(原始输入与口径!T131),原始输入与口径!T131,"缺失")</f>
        <v>175</v>
      </c>
      <c r="AI227" s="12">
        <f>IF(ISNUMBER(原始输入与口径!Y131),原始输入与口径!Y131,"缺失")</f>
        <v>175</v>
      </c>
      <c r="AJ227" s="12">
        <f>IF(ISNUMBER(原始输入与口径!AI131),原始输入与口径!AI131,"缺失")</f>
        <v>3.4940000000000002</v>
      </c>
      <c r="AK227" s="12">
        <f>IF(ISNUMBER(原始输入与口径!AL131),原始输入与口径!AL131,"缺失")</f>
        <v>1.2E-2</v>
      </c>
      <c r="AL227" s="12">
        <f>IF(ISNUMBER(原始输入与口径!O131),原始输入与口径!O131,"缺失")</f>
        <v>128</v>
      </c>
      <c r="AM227" s="12">
        <f>SUMIFS(相位SOC复算!$N$9:$N$929,相位SOC复算!$S$9:$S$929,219)</f>
        <v>1.4509966045548656E-3</v>
      </c>
      <c r="AN227" s="12">
        <f>SUMIFS(相位SOC复算!$Q$9:$Q$929,相位SOC复算!$S$9:$S$929,219)</f>
        <v>1.6457142857142855E-3</v>
      </c>
      <c r="AO227" s="12">
        <f>SUMIFS(相位SOC复算!$R$9:$R$929,相位SOC复算!$S$9:$S$929,219)</f>
        <v>0.47917714285714291</v>
      </c>
      <c r="AP227" s="12">
        <f>相位SOC复算!J540</f>
        <v>31.739130434782581</v>
      </c>
      <c r="AQ227" s="19">
        <f t="shared" si="83"/>
        <v>0</v>
      </c>
      <c r="AR227" s="12">
        <f>IF(ISBLANK(原始输入与口径!M131),"",原始输入与口径!M131)</f>
        <v>5.2473000000000001</v>
      </c>
      <c r="AS227" s="14">
        <f>IF(ISBLANK(原始输入与口径!L131),"",原始输入与口径!L131)</f>
        <v>46234</v>
      </c>
      <c r="AT227" s="13">
        <f>IF(ISBLANK(原始输入与口径!A131),"",原始输入与口径!A131)</f>
        <v>46236.145833333336</v>
      </c>
      <c r="AU227" s="12" t="str">
        <f>IF(ISBLANK(原始输入与口径!I131),"",原始输入与口径!I131)</f>
        <v>2026-08-02_23</v>
      </c>
      <c r="AV227" s="12">
        <f>IF(ISBLANK(原始输入与口径!J131),"",原始输入与口径!J131)</f>
        <v>15</v>
      </c>
      <c r="AW227" s="12" t="str">
        <f>IF(ISBLANK(原始输入与口径!BB131),"",原始输入与口径!BB131)</f>
        <v>OK</v>
      </c>
      <c r="AX227" s="12">
        <f>原始输入与口径!CI131</f>
        <v>128</v>
      </c>
      <c r="AY227" s="12">
        <f>原始输入与口径!BS131</f>
        <v>175</v>
      </c>
      <c r="AZ227" s="12">
        <f>原始输入与口径!BI131</f>
        <v>175</v>
      </c>
      <c r="BA227" s="12">
        <f>原始输入与口径!CM131</f>
        <v>40</v>
      </c>
      <c r="BB227" s="12">
        <f>原始输入与口径!BV131</f>
        <v>24</v>
      </c>
      <c r="BC227" s="12">
        <f>原始输入与口径!BL131</f>
        <v>24</v>
      </c>
      <c r="BD227" s="14">
        <f>46236</f>
        <v>46236</v>
      </c>
      <c r="BE227" s="1" t="str">
        <f t="shared" si="84"/>
        <v>零头寸，无结算现金</v>
      </c>
      <c r="BF227" s="1" t="str">
        <f t="shared" si="85"/>
        <v>40.000000 MW × 66.224535 × 0.250000 h = 662.245345 EUR</v>
      </c>
      <c r="BG227" s="1" t="str">
        <f t="shared" si="86"/>
        <v>24.000000 MW × 7.062680 × 0.250000 h = 42.376079 EUR</v>
      </c>
      <c r="BH227" s="1" t="str">
        <f t="shared" si="87"/>
        <v>24.000000 MW × 2.837650 × 0.250000 h = 17.025899 EUR</v>
      </c>
      <c r="BI227" s="1" t="str">
        <f t="shared" si="88"/>
        <v>0.479177 MWh × 179.470966 = 85.998385 EUR</v>
      </c>
      <c r="BJ227" s="1" t="str">
        <f t="shared" si="89"/>
        <v>−(0.001646 MWh × 77.182551) = -0.127020 EUR</v>
      </c>
      <c r="BK227" s="1" t="str">
        <f t="shared" si="90"/>
        <v>0.000000 + 662.245345 + 42.376079 + 17.025899 + 85.998385 + -0.127020 = 807.518688 EUR</v>
      </c>
    </row>
    <row r="228" spans="1:63" ht="21" customHeight="1" x14ac:dyDescent="0.45">
      <c r="A228" s="13">
        <f>原始输入与口径!C132</f>
        <v>46236.28125</v>
      </c>
      <c r="B228" s="15">
        <f>IF(ISNUMBER(原始输入与口径!H132),原始输入与口径!H132,"缺失")</f>
        <v>159.02000000000001</v>
      </c>
      <c r="C228" s="15">
        <f>IF(ISNUMBER(原始输入与口径!R132),原始输入与口径!R132,"缺失")</f>
        <v>66.224534522516336</v>
      </c>
      <c r="D228" s="15">
        <f>IF(ISNUMBER(原始输入与口径!W132),原始输入与口径!W132,"缺失")</f>
        <v>7.0626798544013116</v>
      </c>
      <c r="E228" s="15">
        <f>IF(ISNUMBER(原始输入与口径!AB132),原始输入与口径!AB132,"缺失")</f>
        <v>2.8376498389648011</v>
      </c>
      <c r="F228" s="15">
        <f>IF(ISNUMBER(原始输入与口径!AG132),原始输入与口径!AG132,"缺失")</f>
        <v>169.81285613553635</v>
      </c>
      <c r="G228" s="15">
        <f>IF(ISNUMBER(原始输入与口径!AJ132),原始输入与口径!AJ132,"缺失")</f>
        <v>71.125150077182539</v>
      </c>
      <c r="H228" s="15" t="str">
        <f t="shared" si="69"/>
        <v>未模拟</v>
      </c>
      <c r="I228" s="16">
        <f>原始输入与口径!CD132</f>
        <v>31.739130434782581</v>
      </c>
      <c r="J228" s="16">
        <f>原始输入与口径!CE132</f>
        <v>32.171842385093136</v>
      </c>
      <c r="K228" s="16">
        <f>原始输入与口径!BZ132</f>
        <v>0</v>
      </c>
      <c r="L228" s="16">
        <f>原始输入与口径!CK132</f>
        <v>40</v>
      </c>
      <c r="M228" s="16">
        <f>原始输入与口径!BT132</f>
        <v>24</v>
      </c>
      <c r="N228" s="16">
        <f>原始输入与口径!BJ132</f>
        <v>24</v>
      </c>
      <c r="O228" s="16">
        <f t="shared" si="70"/>
        <v>7.6662857142857144E-2</v>
      </c>
      <c r="P228" s="16">
        <f t="shared" si="71"/>
        <v>0.5609142857142857</v>
      </c>
      <c r="Q228" s="17">
        <f t="shared" si="72"/>
        <v>0</v>
      </c>
      <c r="R228" s="17">
        <f t="shared" si="73"/>
        <v>662.24534522516342</v>
      </c>
      <c r="S228" s="17">
        <f t="shared" si="74"/>
        <v>42.376079126407873</v>
      </c>
      <c r="T228" s="17">
        <f t="shared" si="75"/>
        <v>17.025899033788807</v>
      </c>
      <c r="U228" s="17">
        <f t="shared" si="76"/>
        <v>13.018338730939176</v>
      </c>
      <c r="V228" s="17">
        <f t="shared" si="77"/>
        <v>-39.895112751864218</v>
      </c>
      <c r="W228" s="17">
        <f t="shared" si="78"/>
        <v>694.77054936443506</v>
      </c>
      <c r="X228" s="12">
        <f>原始输入与口径!CP132</f>
        <v>694.77054936443506</v>
      </c>
      <c r="Y228" s="19">
        <f t="shared" si="79"/>
        <v>0</v>
      </c>
      <c r="Z228" s="12" t="str">
        <f t="shared" si="80"/>
        <v>当日执行</v>
      </c>
      <c r="AA228" s="12">
        <f>IF(原始输入与口径!AW132,1,0)</f>
        <v>1</v>
      </c>
      <c r="AB228" s="12">
        <f>IF(原始输入与口径!AY132,1,0)</f>
        <v>1</v>
      </c>
      <c r="AC228" s="12">
        <f>原始输入与口径!$F$5</f>
        <v>0.25</v>
      </c>
      <c r="AD228" s="18">
        <f>原始输入与口径!CG132</f>
        <v>0.3125</v>
      </c>
      <c r="AE228" s="18">
        <f>原始输入与口径!BQ132</f>
        <v>0.13714285714285715</v>
      </c>
      <c r="AF228" s="18">
        <f t="shared" si="81"/>
        <v>1.2777142857142858E-2</v>
      </c>
      <c r="AG228" s="18">
        <f t="shared" si="82"/>
        <v>9.3485714285714283E-2</v>
      </c>
      <c r="AH228" s="12">
        <f>IF(ISNUMBER(原始输入与口径!T132),原始输入与口径!T132,"缺失")</f>
        <v>175</v>
      </c>
      <c r="AI228" s="12">
        <f>IF(ISNUMBER(原始输入与口径!Y132),原始输入与口径!Y132,"缺失")</f>
        <v>175</v>
      </c>
      <c r="AJ228" s="12">
        <f>IF(ISNUMBER(原始输入与口径!AI132),原始输入与口径!AI132,"缺失")</f>
        <v>0.55900000000000005</v>
      </c>
      <c r="AK228" s="12">
        <f>IF(ISNUMBER(原始输入与口径!AL132),原始输入与口径!AL132,"缺失")</f>
        <v>4.09</v>
      </c>
      <c r="AL228" s="12">
        <f>IF(ISNUMBER(原始输入与口径!O132),原始输入与口径!O132,"缺失")</f>
        <v>128</v>
      </c>
      <c r="AM228" s="12">
        <f>SUMIFS(相位SOC复算!$N$9:$N$929,相位SOC复算!$S$9:$S$929,220)</f>
        <v>1.6649175983436855E-3</v>
      </c>
      <c r="AN228" s="12">
        <f>SUMIFS(相位SOC复算!$Q$9:$Q$929,相位SOC复算!$S$9:$S$929,220)</f>
        <v>0.5609142857142857</v>
      </c>
      <c r="AO228" s="12">
        <f>SUMIFS(相位SOC复算!$R$9:$R$929,相位SOC复算!$S$9:$S$929,220)</f>
        <v>7.6662857142857144E-2</v>
      </c>
      <c r="AP228" s="12">
        <f>相位SOC复算!J543</f>
        <v>32.171842385093136</v>
      </c>
      <c r="AQ228" s="19">
        <f t="shared" si="83"/>
        <v>0</v>
      </c>
      <c r="AR228" s="12">
        <f>IF(ISBLANK(原始输入与口径!M132),"",原始输入与口径!M132)</f>
        <v>5.2473000000000001</v>
      </c>
      <c r="AS228" s="14">
        <f>IF(ISBLANK(原始输入与口径!L132),"",原始输入与口径!L132)</f>
        <v>46234</v>
      </c>
      <c r="AT228" s="13">
        <f>IF(ISBLANK(原始输入与口径!A132),"",原始输入与口径!A132)</f>
        <v>46236.15625</v>
      </c>
      <c r="AU228" s="12" t="str">
        <f>IF(ISBLANK(原始输入与口径!I132),"",原始输入与口径!I132)</f>
        <v>2026-08-02_24</v>
      </c>
      <c r="AV228" s="12">
        <f>IF(ISBLANK(原始输入与口径!J132),"",原始输入与口径!J132)</f>
        <v>15</v>
      </c>
      <c r="AW228" s="12" t="str">
        <f>IF(ISBLANK(原始输入与口径!BB132),"",原始输入与口径!BB132)</f>
        <v>OK</v>
      </c>
      <c r="AX228" s="12">
        <f>原始输入与口径!CI132</f>
        <v>128</v>
      </c>
      <c r="AY228" s="12">
        <f>原始输入与口径!BS132</f>
        <v>175</v>
      </c>
      <c r="AZ228" s="12">
        <f>原始输入与口径!BI132</f>
        <v>175</v>
      </c>
      <c r="BA228" s="12">
        <f>原始输入与口径!CM132</f>
        <v>40</v>
      </c>
      <c r="BB228" s="12">
        <f>原始输入与口径!BV132</f>
        <v>24</v>
      </c>
      <c r="BC228" s="12">
        <f>原始输入与口径!BL132</f>
        <v>24</v>
      </c>
      <c r="BD228" s="14">
        <f>46236</f>
        <v>46236</v>
      </c>
      <c r="BE228" s="1" t="str">
        <f t="shared" si="84"/>
        <v>零头寸，无结算现金</v>
      </c>
      <c r="BF228" s="1" t="str">
        <f t="shared" si="85"/>
        <v>40.000000 MW × 66.224535 × 0.250000 h = 662.245345 EUR</v>
      </c>
      <c r="BG228" s="1" t="str">
        <f t="shared" si="86"/>
        <v>24.000000 MW × 7.062680 × 0.250000 h = 42.376079 EUR</v>
      </c>
      <c r="BH228" s="1" t="str">
        <f t="shared" si="87"/>
        <v>24.000000 MW × 2.837650 × 0.250000 h = 17.025899 EUR</v>
      </c>
      <c r="BI228" s="1" t="str">
        <f t="shared" si="88"/>
        <v>0.076663 MWh × 169.812856 = 13.018339 EUR</v>
      </c>
      <c r="BJ228" s="1" t="str">
        <f t="shared" si="89"/>
        <v>−(0.560914 MWh × 71.125150) = -39.895113 EUR</v>
      </c>
      <c r="BK228" s="1" t="str">
        <f t="shared" si="90"/>
        <v>0.000000 + 662.245345 + 42.376079 + 17.025899 + 13.018339 + -39.895113 = 694.770549 EUR</v>
      </c>
    </row>
    <row r="229" spans="1:63" ht="21" customHeight="1" x14ac:dyDescent="0.45">
      <c r="A229" s="13">
        <f>原始输入与口径!C133</f>
        <v>46236.291666666664</v>
      </c>
      <c r="B229" s="15">
        <f>IF(ISNUMBER(原始输入与口径!H133),原始输入与口径!H133,"缺失")</f>
        <v>162.12</v>
      </c>
      <c r="C229" s="15">
        <f>IF(ISNUMBER(原始输入与口径!R133),原始输入与口径!R133,"缺失")</f>
        <v>66.224534522516336</v>
      </c>
      <c r="D229" s="15">
        <f>IF(ISNUMBER(原始输入与口径!W133),原始输入与口径!W133,"缺失")</f>
        <v>6.6910601642749601</v>
      </c>
      <c r="E229" s="15">
        <f>IF(ISNUMBER(原始输入与口径!AB133),原始输入与口径!AB133,"缺失")</f>
        <v>2.6070550568863986</v>
      </c>
      <c r="F229" s="15">
        <f>IF(ISNUMBER(原始输入与口径!AG133),原始输入与口径!AG133,"缺失")</f>
        <v>0</v>
      </c>
      <c r="G229" s="15">
        <f>IF(ISNUMBER(原始输入与口径!AJ133),原始输入与口径!AJ133,"缺失")</f>
        <v>74.818859222838412</v>
      </c>
      <c r="H229" s="15" t="str">
        <f t="shared" si="69"/>
        <v>未模拟</v>
      </c>
      <c r="I229" s="16">
        <f>原始输入与口径!CD133</f>
        <v>32.171842385093136</v>
      </c>
      <c r="J229" s="16">
        <f>原始输入与口径!CE133</f>
        <v>31.739130434782567</v>
      </c>
      <c r="K229" s="16">
        <f>原始输入与口径!BZ133</f>
        <v>3.5945352952788281</v>
      </c>
      <c r="L229" s="16">
        <f>原始输入与口径!CK133</f>
        <v>40</v>
      </c>
      <c r="M229" s="16">
        <f>原始输入与口径!BT133</f>
        <v>24</v>
      </c>
      <c r="N229" s="16">
        <f>原始输入与口径!BJ133</f>
        <v>24</v>
      </c>
      <c r="O229" s="16">
        <f t="shared" si="70"/>
        <v>0</v>
      </c>
      <c r="P229" s="16">
        <f t="shared" si="71"/>
        <v>0.5757257142857144</v>
      </c>
      <c r="Q229" s="17">
        <f t="shared" si="72"/>
        <v>145.68651551765092</v>
      </c>
      <c r="R229" s="17">
        <f t="shared" si="73"/>
        <v>662.24534522516342</v>
      </c>
      <c r="S229" s="17">
        <f t="shared" si="74"/>
        <v>40.146360985649764</v>
      </c>
      <c r="T229" s="17">
        <f t="shared" si="75"/>
        <v>15.642330341318392</v>
      </c>
      <c r="U229" s="17">
        <f t="shared" si="76"/>
        <v>0</v>
      </c>
      <c r="V229" s="17">
        <f t="shared" si="77"/>
        <v>-43.075141168110953</v>
      </c>
      <c r="W229" s="17">
        <f t="shared" si="78"/>
        <v>820.64541090167154</v>
      </c>
      <c r="X229" s="12">
        <f>原始输入与口径!CP133</f>
        <v>820.64541090167154</v>
      </c>
      <c r="Y229" s="19">
        <f t="shared" si="79"/>
        <v>0</v>
      </c>
      <c r="Z229" s="12" t="str">
        <f t="shared" si="80"/>
        <v>当日执行</v>
      </c>
      <c r="AA229" s="12">
        <f>IF(原始输入与口径!AW133,1,0)</f>
        <v>1</v>
      </c>
      <c r="AB229" s="12">
        <f>IF(原始输入与口径!AY133,1,0)</f>
        <v>1</v>
      </c>
      <c r="AC229" s="12">
        <f>原始输入与口径!$F$5</f>
        <v>0.25</v>
      </c>
      <c r="AD229" s="18">
        <f>原始输入与口径!CG133</f>
        <v>0.3125</v>
      </c>
      <c r="AE229" s="18">
        <f>原始输入与口径!BQ133</f>
        <v>0.13714285714285715</v>
      </c>
      <c r="AF229" s="18">
        <f t="shared" si="81"/>
        <v>0</v>
      </c>
      <c r="AG229" s="18">
        <f t="shared" si="82"/>
        <v>9.5954285714285728E-2</v>
      </c>
      <c r="AH229" s="12">
        <f>IF(ISNUMBER(原始输入与口径!T133),原始输入与口径!T133,"缺失")</f>
        <v>175</v>
      </c>
      <c r="AI229" s="12">
        <f>IF(ISNUMBER(原始输入与口径!Y133),原始输入与口径!Y133,"缺失")</f>
        <v>175</v>
      </c>
      <c r="AJ229" s="12">
        <f>IF(ISNUMBER(原始输入与口径!AI133),原始输入与口径!AI133,"缺失")</f>
        <v>0</v>
      </c>
      <c r="AK229" s="12">
        <f>IF(ISNUMBER(原始输入与口径!AL133),原始输入与口径!AL133,"缺失")</f>
        <v>4.1980000000000004</v>
      </c>
      <c r="AL229" s="12">
        <f>IF(ISNUMBER(原始输入与口径!O133),原始输入与口径!O133,"缺失")</f>
        <v>128</v>
      </c>
      <c r="AM229" s="12">
        <f>SUMIFS(相位SOC复算!$N$9:$N$929,相位SOC复算!$S$9:$S$929,221)</f>
        <v>3.7038560386082687E-3</v>
      </c>
      <c r="AN229" s="12">
        <f>SUMIFS(相位SOC复算!$Q$9:$Q$929,相位SOC复算!$S$9:$S$929,221)</f>
        <v>0.48949794760239712</v>
      </c>
      <c r="AO229" s="12">
        <f>SUMIFS(相位SOC复算!$R$9:$R$929,相位SOC复算!$S$9:$S$929,221)</f>
        <v>0.81240605713638969</v>
      </c>
      <c r="AP229" s="12">
        <f>相位SOC复算!J545</f>
        <v>31.739130434782567</v>
      </c>
      <c r="AQ229" s="19">
        <f t="shared" si="83"/>
        <v>0</v>
      </c>
      <c r="AR229" s="12">
        <f>IF(ISBLANK(原始输入与口径!M133),"",原始输入与口径!M133)</f>
        <v>5.2473000000000001</v>
      </c>
      <c r="AS229" s="14">
        <f>IF(ISBLANK(原始输入与口径!L133),"",原始输入与口径!L133)</f>
        <v>46234</v>
      </c>
      <c r="AT229" s="13">
        <f>IF(ISBLANK(原始输入与口径!A133),"",原始输入与口径!A133)</f>
        <v>46236.166666666664</v>
      </c>
      <c r="AU229" s="12" t="str">
        <f>IF(ISBLANK(原始输入与口径!I133),"",原始输入与口径!I133)</f>
        <v>2026-08-02_25</v>
      </c>
      <c r="AV229" s="12">
        <f>IF(ISBLANK(原始输入与口径!J133),"",原始输入与口径!J133)</f>
        <v>15</v>
      </c>
      <c r="AW229" s="12" t="str">
        <f>IF(ISBLANK(原始输入与口径!BB133),"",原始输入与口径!BB133)</f>
        <v>OK</v>
      </c>
      <c r="AX229" s="12">
        <f>原始输入与口径!CI133</f>
        <v>128</v>
      </c>
      <c r="AY229" s="12">
        <f>原始输入与口径!BS133</f>
        <v>175</v>
      </c>
      <c r="AZ229" s="12">
        <f>原始输入与口径!BI133</f>
        <v>175</v>
      </c>
      <c r="BA229" s="12">
        <f>原始输入与口径!CM133</f>
        <v>40</v>
      </c>
      <c r="BB229" s="12">
        <f>原始输入与口径!BV133</f>
        <v>24</v>
      </c>
      <c r="BC229" s="12">
        <f>原始输入与口径!BL133</f>
        <v>24</v>
      </c>
      <c r="BD229" s="14">
        <f>46236</f>
        <v>46236</v>
      </c>
      <c r="BE229" s="1" t="str">
        <f t="shared" si="84"/>
        <v>3.594535 MW × 162.120000 × 0.250000 h = 145.686516 EUR</v>
      </c>
      <c r="BF229" s="1" t="str">
        <f t="shared" si="85"/>
        <v>40.000000 MW × 66.224535 × 0.250000 h = 662.245345 EUR</v>
      </c>
      <c r="BG229" s="1" t="str">
        <f t="shared" si="86"/>
        <v>24.000000 MW × 6.691060 × 0.250000 h = 40.146361 EUR</v>
      </c>
      <c r="BH229" s="1" t="str">
        <f t="shared" si="87"/>
        <v>24.000000 MW × 2.607055 × 0.250000 h = 15.642330 EUR</v>
      </c>
      <c r="BI229" s="1" t="str">
        <f t="shared" si="88"/>
        <v>零上调激活电量</v>
      </c>
      <c r="BJ229" s="1" t="str">
        <f t="shared" si="89"/>
        <v>−(0.575726 MWh × 74.818859) = -43.075141 EUR</v>
      </c>
      <c r="BK229" s="1" t="str">
        <f t="shared" si="90"/>
        <v>145.686516 + 662.245345 + 40.146361 + 15.642330 + 0.000000 + -43.075141 = 820.645411 EUR</v>
      </c>
    </row>
    <row r="230" spans="1:63" ht="21" customHeight="1" x14ac:dyDescent="0.45">
      <c r="A230" s="13">
        <f>原始输入与口径!C134</f>
        <v>46236.302083333336</v>
      </c>
      <c r="B230" s="15">
        <f>IF(ISNUMBER(原始输入与口径!H134),原始输入与口径!H134,"缺失")</f>
        <v>154.66999999999999</v>
      </c>
      <c r="C230" s="15">
        <f>IF(ISNUMBER(原始输入与口径!R134),原始输入与口径!R134,"缺失")</f>
        <v>66.224534522516336</v>
      </c>
      <c r="D230" s="15">
        <f>IF(ISNUMBER(原始输入与口径!W134),原始输入与口径!W134,"缺失")</f>
        <v>6.6910601642749601</v>
      </c>
      <c r="E230" s="15">
        <f>IF(ISNUMBER(原始输入与口径!AB134),原始输入与口径!AB134,"缺失")</f>
        <v>2.6070550568863986</v>
      </c>
      <c r="F230" s="15">
        <f>IF(ISNUMBER(原始输入与口径!AG134),原始输入与口径!AG134,"缺失")</f>
        <v>152.45936005183617</v>
      </c>
      <c r="G230" s="15">
        <f>IF(ISNUMBER(原始输入与口径!AJ134),原始输入与口径!AJ134,"缺失")</f>
        <v>68.254912050006666</v>
      </c>
      <c r="H230" s="15" t="str">
        <f t="shared" si="69"/>
        <v>未模拟</v>
      </c>
      <c r="I230" s="16">
        <f>原始输入与口径!CD134</f>
        <v>31.739130434782567</v>
      </c>
      <c r="J230" s="16">
        <f>原始输入与口径!CE134</f>
        <v>31.739130434782567</v>
      </c>
      <c r="K230" s="16">
        <f>原始输入与口径!BZ134</f>
        <v>3.097029710678302</v>
      </c>
      <c r="L230" s="16">
        <f>原始输入与口径!CK134</f>
        <v>40</v>
      </c>
      <c r="M230" s="16">
        <f>原始输入与口径!BT134</f>
        <v>24</v>
      </c>
      <c r="N230" s="16">
        <f>原始输入与口径!BJ134</f>
        <v>24</v>
      </c>
      <c r="O230" s="16">
        <f t="shared" si="70"/>
        <v>4.1142857142857138E-4</v>
      </c>
      <c r="P230" s="16">
        <f t="shared" si="71"/>
        <v>0.89430857142857134</v>
      </c>
      <c r="Q230" s="17">
        <f t="shared" si="72"/>
        <v>119.75439633765323</v>
      </c>
      <c r="R230" s="17">
        <f t="shared" si="73"/>
        <v>662.24534522516342</v>
      </c>
      <c r="S230" s="17">
        <f t="shared" si="74"/>
        <v>40.146360985649764</v>
      </c>
      <c r="T230" s="17">
        <f t="shared" si="75"/>
        <v>15.642330341318392</v>
      </c>
      <c r="U230" s="17">
        <f t="shared" si="76"/>
        <v>6.2726136707041164E-2</v>
      </c>
      <c r="V230" s="17">
        <f t="shared" si="77"/>
        <v>-61.040952888424243</v>
      </c>
      <c r="W230" s="17">
        <f t="shared" si="78"/>
        <v>776.81020613806754</v>
      </c>
      <c r="X230" s="12">
        <f>原始输入与口径!CP134</f>
        <v>776.81020613806766</v>
      </c>
      <c r="Y230" s="19">
        <f t="shared" si="79"/>
        <v>0</v>
      </c>
      <c r="Z230" s="12" t="str">
        <f t="shared" si="80"/>
        <v>当日执行</v>
      </c>
      <c r="AA230" s="12">
        <f>IF(原始输入与口径!AW134,1,0)</f>
        <v>1</v>
      </c>
      <c r="AB230" s="12">
        <f>IF(原始输入与口径!AY134,1,0)</f>
        <v>1</v>
      </c>
      <c r="AC230" s="12">
        <f>原始输入与口径!$F$5</f>
        <v>0.25</v>
      </c>
      <c r="AD230" s="18">
        <f>原始输入与口径!CG134</f>
        <v>0.3125</v>
      </c>
      <c r="AE230" s="18">
        <f>原始输入与口径!BQ134</f>
        <v>0.13714285714285715</v>
      </c>
      <c r="AF230" s="18">
        <f t="shared" si="81"/>
        <v>6.8571428571428567E-5</v>
      </c>
      <c r="AG230" s="18">
        <f t="shared" si="82"/>
        <v>0.14905142857142856</v>
      </c>
      <c r="AH230" s="12">
        <f>IF(ISNUMBER(原始输入与口径!T134),原始输入与口径!T134,"缺失")</f>
        <v>175</v>
      </c>
      <c r="AI230" s="12">
        <f>IF(ISNUMBER(原始输入与口径!Y134),原始输入与口径!Y134,"缺失")</f>
        <v>175</v>
      </c>
      <c r="AJ230" s="12">
        <f>IF(ISNUMBER(原始输入与口径!AI134),原始输入与口径!AI134,"缺失")</f>
        <v>3.0000000000000001E-3</v>
      </c>
      <c r="AK230" s="12">
        <f>IF(ISNUMBER(原始输入与口径!AL134),原始输入与口径!AL134,"缺失")</f>
        <v>6.5209999999999999</v>
      </c>
      <c r="AL230" s="12">
        <f>IF(ISNUMBER(原始输入与口径!O134),原始输入与口径!O134,"缺失")</f>
        <v>128</v>
      </c>
      <c r="AM230" s="12">
        <f>SUMIFS(相位SOC复算!$N$9:$N$929,相位SOC复算!$S$9:$S$929,222)</f>
        <v>3.9810669116232796E-3</v>
      </c>
      <c r="AN230" s="12">
        <f>SUMIFS(相位SOC复算!$Q$9:$Q$929,相位SOC复算!$S$9:$S$929,222)</f>
        <v>0.77890439575238157</v>
      </c>
      <c r="AO230" s="12">
        <f>SUMIFS(相位SOC复算!$R$9:$R$929,相位SOC复算!$S$9:$S$929,222)</f>
        <v>0.65926468056481435</v>
      </c>
      <c r="AP230" s="12">
        <f>相位SOC复算!J548</f>
        <v>31.739130434782567</v>
      </c>
      <c r="AQ230" s="19">
        <f t="shared" si="83"/>
        <v>0</v>
      </c>
      <c r="AR230" s="12">
        <f>IF(ISBLANK(原始输入与口径!M134),"",原始输入与口径!M134)</f>
        <v>5.2473000000000001</v>
      </c>
      <c r="AS230" s="14">
        <f>IF(ISBLANK(原始输入与口径!L134),"",原始输入与口径!L134)</f>
        <v>46234</v>
      </c>
      <c r="AT230" s="13">
        <f>IF(ISBLANK(原始输入与口径!A134),"",原始输入与口径!A134)</f>
        <v>46236.177083333336</v>
      </c>
      <c r="AU230" s="12" t="str">
        <f>IF(ISBLANK(原始输入与口径!I134),"",原始输入与口径!I134)</f>
        <v>2026-08-02_26</v>
      </c>
      <c r="AV230" s="12">
        <f>IF(ISBLANK(原始输入与口径!J134),"",原始输入与口径!J134)</f>
        <v>15</v>
      </c>
      <c r="AW230" s="12" t="str">
        <f>IF(ISBLANK(原始输入与口径!BB134),"",原始输入与口径!BB134)</f>
        <v>OK</v>
      </c>
      <c r="AX230" s="12">
        <f>原始输入与口径!CI134</f>
        <v>128</v>
      </c>
      <c r="AY230" s="12">
        <f>原始输入与口径!BS134</f>
        <v>175</v>
      </c>
      <c r="AZ230" s="12">
        <f>原始输入与口径!BI134</f>
        <v>175</v>
      </c>
      <c r="BA230" s="12">
        <f>原始输入与口径!CM134</f>
        <v>40</v>
      </c>
      <c r="BB230" s="12">
        <f>原始输入与口径!BV134</f>
        <v>24</v>
      </c>
      <c r="BC230" s="12">
        <f>原始输入与口径!BL134</f>
        <v>24</v>
      </c>
      <c r="BD230" s="14">
        <f>46236</f>
        <v>46236</v>
      </c>
      <c r="BE230" s="1" t="str">
        <f t="shared" si="84"/>
        <v>3.097030 MW × 154.670000 × 0.250000 h = 119.754396 EUR</v>
      </c>
      <c r="BF230" s="1" t="str">
        <f t="shared" si="85"/>
        <v>40.000000 MW × 66.224535 × 0.250000 h = 662.245345 EUR</v>
      </c>
      <c r="BG230" s="1" t="str">
        <f t="shared" si="86"/>
        <v>24.000000 MW × 6.691060 × 0.250000 h = 40.146361 EUR</v>
      </c>
      <c r="BH230" s="1" t="str">
        <f t="shared" si="87"/>
        <v>24.000000 MW × 2.607055 × 0.250000 h = 15.642330 EUR</v>
      </c>
      <c r="BI230" s="1" t="str">
        <f t="shared" si="88"/>
        <v>0.000411 MWh × 152.459360 = 0.062726 EUR</v>
      </c>
      <c r="BJ230" s="1" t="str">
        <f t="shared" si="89"/>
        <v>−(0.894309 MWh × 68.254912) = -61.040953 EUR</v>
      </c>
      <c r="BK230" s="1" t="str">
        <f t="shared" si="90"/>
        <v>119.754396 + 662.245345 + 40.146361 + 15.642330 + 0.062726 + -61.040953 = 776.810206 EUR</v>
      </c>
    </row>
    <row r="231" spans="1:63" ht="21" customHeight="1" x14ac:dyDescent="0.45">
      <c r="A231" s="13">
        <f>原始输入与口径!C135</f>
        <v>46236.3125</v>
      </c>
      <c r="B231" s="15">
        <f>IF(ISNUMBER(原始输入与口径!H135),原始输入与口径!H135,"缺失")</f>
        <v>153.13999999999999</v>
      </c>
      <c r="C231" s="15">
        <f>IF(ISNUMBER(原始输入与口径!R135),原始输入与口径!R135,"缺失")</f>
        <v>66.224534522516336</v>
      </c>
      <c r="D231" s="15">
        <f>IF(ISNUMBER(原始输入与口径!W135),原始输入与口径!W135,"缺失")</f>
        <v>6.6910601642749601</v>
      </c>
      <c r="E231" s="15">
        <f>IF(ISNUMBER(原始输入与口径!AB135),原始输入与口径!AB135,"缺失")</f>
        <v>2.6070550568863986</v>
      </c>
      <c r="F231" s="15">
        <f>IF(ISNUMBER(原始输入与口径!AG135),原始输入与口径!AG135,"缺失")</f>
        <v>0</v>
      </c>
      <c r="G231" s="15">
        <f>IF(ISNUMBER(原始输入与口径!AJ135),原始输入与口径!AJ135,"缺失")</f>
        <v>68.655880166942993</v>
      </c>
      <c r="H231" s="15" t="str">
        <f t="shared" si="69"/>
        <v>未模拟</v>
      </c>
      <c r="I231" s="16">
        <f>原始输入与口径!CD135</f>
        <v>31.739130434782567</v>
      </c>
      <c r="J231" s="16">
        <f>原始输入与口径!CE135</f>
        <v>31.739130434782563</v>
      </c>
      <c r="K231" s="16">
        <f>原始输入与口径!BZ135</f>
        <v>2.5610387360055031</v>
      </c>
      <c r="L231" s="16">
        <f>原始输入与口径!CK135</f>
        <v>40</v>
      </c>
      <c r="M231" s="16">
        <f>原始输入与口径!BT135</f>
        <v>24</v>
      </c>
      <c r="N231" s="16">
        <f>原始输入与口径!BJ135</f>
        <v>24</v>
      </c>
      <c r="O231" s="16">
        <f t="shared" si="70"/>
        <v>0</v>
      </c>
      <c r="P231" s="16">
        <f t="shared" si="71"/>
        <v>0.74207999999999985</v>
      </c>
      <c r="Q231" s="17">
        <f t="shared" si="72"/>
        <v>98.049368007970685</v>
      </c>
      <c r="R231" s="17">
        <f t="shared" si="73"/>
        <v>662.24534522516342</v>
      </c>
      <c r="S231" s="17">
        <f t="shared" si="74"/>
        <v>40.146360985649764</v>
      </c>
      <c r="T231" s="17">
        <f t="shared" si="75"/>
        <v>15.642330341318392</v>
      </c>
      <c r="U231" s="17">
        <f t="shared" si="76"/>
        <v>0</v>
      </c>
      <c r="V231" s="17">
        <f t="shared" si="77"/>
        <v>-50.948155554285044</v>
      </c>
      <c r="W231" s="17">
        <f t="shared" si="78"/>
        <v>765.13524900581717</v>
      </c>
      <c r="X231" s="12">
        <f>原始输入与口径!CP135</f>
        <v>765.13524900581717</v>
      </c>
      <c r="Y231" s="19">
        <f t="shared" si="79"/>
        <v>0</v>
      </c>
      <c r="Z231" s="12" t="str">
        <f t="shared" si="80"/>
        <v>当日执行</v>
      </c>
      <c r="AA231" s="12">
        <f>IF(原始输入与口径!AW135,1,0)</f>
        <v>1</v>
      </c>
      <c r="AB231" s="12">
        <f>IF(原始输入与口径!AY135,1,0)</f>
        <v>1</v>
      </c>
      <c r="AC231" s="12">
        <f>原始输入与口径!$F$5</f>
        <v>0.25</v>
      </c>
      <c r="AD231" s="18">
        <f>原始输入与口径!CG135</f>
        <v>0.3125</v>
      </c>
      <c r="AE231" s="18">
        <f>原始输入与口径!BQ135</f>
        <v>0.13714285714285715</v>
      </c>
      <c r="AF231" s="18">
        <f t="shared" si="81"/>
        <v>0</v>
      </c>
      <c r="AG231" s="18">
        <f t="shared" si="82"/>
        <v>0.12367999999999998</v>
      </c>
      <c r="AH231" s="12">
        <f>IF(ISNUMBER(原始输入与口径!T135),原始输入与口径!T135,"缺失")</f>
        <v>175</v>
      </c>
      <c r="AI231" s="12">
        <f>IF(ISNUMBER(原始输入与口径!Y135),原始输入与口径!Y135,"缺失")</f>
        <v>175</v>
      </c>
      <c r="AJ231" s="12">
        <f>IF(ISNUMBER(原始输入与口径!AI135),原始输入与口径!AI135,"缺失")</f>
        <v>0</v>
      </c>
      <c r="AK231" s="12">
        <f>IF(ISNUMBER(原始输入与口径!AL135),原始输入与口径!AL135,"缺失")</f>
        <v>5.4109999999999996</v>
      </c>
      <c r="AL231" s="12">
        <f>IF(ISNUMBER(原始输入与口径!O135),原始输入与口径!O135,"缺失")</f>
        <v>128</v>
      </c>
      <c r="AM231" s="12">
        <f>SUMIFS(相位SOC复算!$N$9:$N$929,相位SOC复算!$S$9:$S$929,223)</f>
        <v>3.3881181538894059E-3</v>
      </c>
      <c r="AN231" s="12">
        <f>SUMIFS(相位SOC复算!$Q$9:$Q$929,相位SOC复算!$S$9:$S$929,223)</f>
        <v>0.6628926822827097</v>
      </c>
      <c r="AO231" s="12">
        <f>SUMIFS(相位SOC复算!$R$9:$R$929,相位SOC复算!$S$9:$S$929,223)</f>
        <v>0.56107236628408563</v>
      </c>
      <c r="AP231" s="12">
        <f>相位SOC复算!J550</f>
        <v>31.739130434782563</v>
      </c>
      <c r="AQ231" s="19">
        <f t="shared" si="83"/>
        <v>0</v>
      </c>
      <c r="AR231" s="12">
        <f>IF(ISBLANK(原始输入与口径!M135),"",原始输入与口径!M135)</f>
        <v>5.2473000000000001</v>
      </c>
      <c r="AS231" s="14">
        <f>IF(ISBLANK(原始输入与口径!L135),"",原始输入与口径!L135)</f>
        <v>46234</v>
      </c>
      <c r="AT231" s="13">
        <f>IF(ISBLANK(原始输入与口径!A135),"",原始输入与口径!A135)</f>
        <v>46236.1875</v>
      </c>
      <c r="AU231" s="12" t="str">
        <f>IF(ISBLANK(原始输入与口径!I135),"",原始输入与口径!I135)</f>
        <v>2026-08-02_27</v>
      </c>
      <c r="AV231" s="12">
        <f>IF(ISBLANK(原始输入与口径!J135),"",原始输入与口径!J135)</f>
        <v>15</v>
      </c>
      <c r="AW231" s="12" t="str">
        <f>IF(ISBLANK(原始输入与口径!BB135),"",原始输入与口径!BB135)</f>
        <v>OK</v>
      </c>
      <c r="AX231" s="12">
        <f>原始输入与口径!CI135</f>
        <v>128</v>
      </c>
      <c r="AY231" s="12">
        <f>原始输入与口径!BS135</f>
        <v>175</v>
      </c>
      <c r="AZ231" s="12">
        <f>原始输入与口径!BI135</f>
        <v>175</v>
      </c>
      <c r="BA231" s="12">
        <f>原始输入与口径!CM135</f>
        <v>40</v>
      </c>
      <c r="BB231" s="12">
        <f>原始输入与口径!BV135</f>
        <v>24</v>
      </c>
      <c r="BC231" s="12">
        <f>原始输入与口径!BL135</f>
        <v>24</v>
      </c>
      <c r="BD231" s="14">
        <f>46236</f>
        <v>46236</v>
      </c>
      <c r="BE231" s="1" t="str">
        <f t="shared" si="84"/>
        <v>2.561039 MW × 153.140000 × 0.250000 h = 98.049368 EUR</v>
      </c>
      <c r="BF231" s="1" t="str">
        <f t="shared" si="85"/>
        <v>40.000000 MW × 66.224535 × 0.250000 h = 662.245345 EUR</v>
      </c>
      <c r="BG231" s="1" t="str">
        <f t="shared" si="86"/>
        <v>24.000000 MW × 6.691060 × 0.250000 h = 40.146361 EUR</v>
      </c>
      <c r="BH231" s="1" t="str">
        <f t="shared" si="87"/>
        <v>24.000000 MW × 2.607055 × 0.250000 h = 15.642330 EUR</v>
      </c>
      <c r="BI231" s="1" t="str">
        <f t="shared" si="88"/>
        <v>零上调激活电量</v>
      </c>
      <c r="BJ231" s="1" t="str">
        <f t="shared" si="89"/>
        <v>−(0.742080 MWh × 68.655880) = -50.948156 EUR</v>
      </c>
      <c r="BK231" s="1" t="str">
        <f t="shared" si="90"/>
        <v>98.049368 + 662.245345 + 40.146361 + 15.642330 + 0.000000 + -50.948156 = 765.135249 EUR</v>
      </c>
    </row>
    <row r="232" spans="1:63" ht="21" customHeight="1" x14ac:dyDescent="0.45">
      <c r="A232" s="13">
        <f>原始输入与口径!C136</f>
        <v>46236.322916666664</v>
      </c>
      <c r="B232" s="15">
        <f>IF(ISNUMBER(原始输入与口径!H136),原始输入与口径!H136,"缺失")</f>
        <v>139.9</v>
      </c>
      <c r="C232" s="15">
        <f>IF(ISNUMBER(原始输入与口径!R136),原始输入与口径!R136,"缺失")</f>
        <v>66.224534522516336</v>
      </c>
      <c r="D232" s="15">
        <f>IF(ISNUMBER(原始输入与口径!W136),原始输入与口径!W136,"缺失")</f>
        <v>6.6910601642749601</v>
      </c>
      <c r="E232" s="15">
        <f>IF(ISNUMBER(原始输入与口径!AB136),原始输入与口径!AB136,"缺失")</f>
        <v>2.6070550568863986</v>
      </c>
      <c r="F232" s="15">
        <f>IF(ISNUMBER(原始输入与口径!AG136),原始输入与口径!AG136,"缺失")</f>
        <v>0</v>
      </c>
      <c r="G232" s="15">
        <f>IF(ISNUMBER(原始输入与口径!AJ136),原始输入与口径!AJ136,"缺失")</f>
        <v>70.403826729937308</v>
      </c>
      <c r="H232" s="15" t="str">
        <f t="shared" si="69"/>
        <v>未模拟</v>
      </c>
      <c r="I232" s="16">
        <f>原始输入与口径!CD136</f>
        <v>31.739130434782563</v>
      </c>
      <c r="J232" s="16">
        <f>原始输入与口径!CE136</f>
        <v>32.696266891925418</v>
      </c>
      <c r="K232" s="16">
        <f>原始输入与口径!BZ136</f>
        <v>0</v>
      </c>
      <c r="L232" s="16">
        <f>原始输入与口径!CK136</f>
        <v>40</v>
      </c>
      <c r="M232" s="16">
        <f>原始输入与口径!BT136</f>
        <v>24</v>
      </c>
      <c r="N232" s="16">
        <f>原始输入与口径!BJ136</f>
        <v>24</v>
      </c>
      <c r="O232" s="16">
        <f t="shared" si="70"/>
        <v>0</v>
      </c>
      <c r="P232" s="16">
        <f t="shared" si="71"/>
        <v>1.0403657142857143</v>
      </c>
      <c r="Q232" s="17">
        <f t="shared" si="72"/>
        <v>0</v>
      </c>
      <c r="R232" s="17">
        <f t="shared" si="73"/>
        <v>662.24534522516342</v>
      </c>
      <c r="S232" s="17">
        <f t="shared" si="74"/>
        <v>40.146360985649764</v>
      </c>
      <c r="T232" s="17">
        <f t="shared" si="75"/>
        <v>15.642330341318392</v>
      </c>
      <c r="U232" s="17">
        <f t="shared" si="76"/>
        <v>0</v>
      </c>
      <c r="V232" s="17">
        <f t="shared" si="77"/>
        <v>-73.2457274843389</v>
      </c>
      <c r="W232" s="17">
        <f t="shared" si="78"/>
        <v>644.78830906779262</v>
      </c>
      <c r="X232" s="12">
        <f>原始输入与口径!CP136</f>
        <v>644.78830906779262</v>
      </c>
      <c r="Y232" s="19">
        <f t="shared" si="79"/>
        <v>0</v>
      </c>
      <c r="Z232" s="12" t="str">
        <f t="shared" si="80"/>
        <v>当日执行</v>
      </c>
      <c r="AA232" s="12">
        <f>IF(原始输入与口径!AW136,1,0)</f>
        <v>1</v>
      </c>
      <c r="AB232" s="12">
        <f>IF(原始输入与口径!AY136,1,0)</f>
        <v>1</v>
      </c>
      <c r="AC232" s="12">
        <f>原始输入与口径!$F$5</f>
        <v>0.25</v>
      </c>
      <c r="AD232" s="18">
        <f>原始输入与口径!CG136</f>
        <v>0.3125</v>
      </c>
      <c r="AE232" s="18">
        <f>原始输入与口径!BQ136</f>
        <v>0.13714285714285715</v>
      </c>
      <c r="AF232" s="18">
        <f t="shared" si="81"/>
        <v>0</v>
      </c>
      <c r="AG232" s="18">
        <f t="shared" si="82"/>
        <v>0.17339428571428572</v>
      </c>
      <c r="AH232" s="12">
        <f>IF(ISNUMBER(原始输入与口径!T136),原始输入与口径!T136,"缺失")</f>
        <v>175</v>
      </c>
      <c r="AI232" s="12">
        <f>IF(ISNUMBER(原始输入与口径!Y136),原始输入与口径!Y136,"缺失")</f>
        <v>175</v>
      </c>
      <c r="AJ232" s="12">
        <f>IF(ISNUMBER(原始输入与口径!AI136),原始输入与口径!AI136,"缺失")</f>
        <v>0</v>
      </c>
      <c r="AK232" s="12">
        <f>IF(ISNUMBER(原始输入与口径!AL136),原始输入与口径!AL136,"缺失")</f>
        <v>7.5860000000000003</v>
      </c>
      <c r="AL232" s="12">
        <f>IF(ISNUMBER(原始输入与口径!O136),原始输入与口径!O136,"缺失")</f>
        <v>128</v>
      </c>
      <c r="AM232" s="12">
        <f>SUMIFS(相位SOC复算!$N$9:$N$929,相位SOC复算!$S$9:$S$929,224)</f>
        <v>2.6587123809523813E-3</v>
      </c>
      <c r="AN232" s="12">
        <f>SUMIFS(相位SOC复算!$Q$9:$Q$929,相位SOC复算!$S$9:$S$929,224)</f>
        <v>1.0403657142857143</v>
      </c>
      <c r="AO232" s="12">
        <f>SUMIFS(相位SOC复算!$R$9:$R$929,相位SOC复算!$S$9:$S$929,224)</f>
        <v>0</v>
      </c>
      <c r="AP232" s="12">
        <f>相位SOC复算!J552</f>
        <v>32.696266891925418</v>
      </c>
      <c r="AQ232" s="19">
        <f t="shared" si="83"/>
        <v>0</v>
      </c>
      <c r="AR232" s="12">
        <f>IF(ISBLANK(原始输入与口径!M136),"",原始输入与口径!M136)</f>
        <v>5.2473000000000001</v>
      </c>
      <c r="AS232" s="14">
        <f>IF(ISBLANK(原始输入与口径!L136),"",原始输入与口径!L136)</f>
        <v>46234</v>
      </c>
      <c r="AT232" s="13">
        <f>IF(ISBLANK(原始输入与口径!A136),"",原始输入与口径!A136)</f>
        <v>46236.197916666664</v>
      </c>
      <c r="AU232" s="12" t="str">
        <f>IF(ISBLANK(原始输入与口径!I136),"",原始输入与口径!I136)</f>
        <v>2026-08-02_28</v>
      </c>
      <c r="AV232" s="12">
        <f>IF(ISBLANK(原始输入与口径!J136),"",原始输入与口径!J136)</f>
        <v>15</v>
      </c>
      <c r="AW232" s="12" t="str">
        <f>IF(ISBLANK(原始输入与口径!BB136),"",原始输入与口径!BB136)</f>
        <v>OK</v>
      </c>
      <c r="AX232" s="12">
        <f>原始输入与口径!CI136</f>
        <v>128</v>
      </c>
      <c r="AY232" s="12">
        <f>原始输入与口径!BS136</f>
        <v>175</v>
      </c>
      <c r="AZ232" s="12">
        <f>原始输入与口径!BI136</f>
        <v>175</v>
      </c>
      <c r="BA232" s="12">
        <f>原始输入与口径!CM136</f>
        <v>40</v>
      </c>
      <c r="BB232" s="12">
        <f>原始输入与口径!BV136</f>
        <v>24</v>
      </c>
      <c r="BC232" s="12">
        <f>原始输入与口径!BL136</f>
        <v>24</v>
      </c>
      <c r="BD232" s="14">
        <f>46236</f>
        <v>46236</v>
      </c>
      <c r="BE232" s="1" t="str">
        <f t="shared" si="84"/>
        <v>零头寸，无结算现金</v>
      </c>
      <c r="BF232" s="1" t="str">
        <f t="shared" si="85"/>
        <v>40.000000 MW × 66.224535 × 0.250000 h = 662.245345 EUR</v>
      </c>
      <c r="BG232" s="1" t="str">
        <f t="shared" si="86"/>
        <v>24.000000 MW × 6.691060 × 0.250000 h = 40.146361 EUR</v>
      </c>
      <c r="BH232" s="1" t="str">
        <f t="shared" si="87"/>
        <v>24.000000 MW × 2.607055 × 0.250000 h = 15.642330 EUR</v>
      </c>
      <c r="BI232" s="1" t="str">
        <f t="shared" si="88"/>
        <v>零上调激活电量</v>
      </c>
      <c r="BJ232" s="1" t="str">
        <f t="shared" si="89"/>
        <v>−(1.040366 MWh × 70.403827) = -73.245727 EUR</v>
      </c>
      <c r="BK232" s="1" t="str">
        <f t="shared" si="90"/>
        <v>0.000000 + 662.245345 + 40.146361 + 15.642330 + 0.000000 + -73.245727 = 644.788309 EUR</v>
      </c>
    </row>
    <row r="233" spans="1:63" ht="21" customHeight="1" x14ac:dyDescent="0.45">
      <c r="A233" s="13">
        <f>原始输入与口径!C137</f>
        <v>46236.333333333336</v>
      </c>
      <c r="B233" s="15">
        <f>IF(ISNUMBER(原始输入与口径!H137),原始输入与口径!H137,"缺失")</f>
        <v>154.06</v>
      </c>
      <c r="C233" s="15">
        <f>IF(ISNUMBER(原始输入与口径!R137),原始输入与口径!R137,"缺失")</f>
        <v>60.030873020410496</v>
      </c>
      <c r="D233" s="15">
        <f>IF(ISNUMBER(原始输入与口径!W137),原始输入与口径!W137,"缺失")</f>
        <v>6.7863472643073575</v>
      </c>
      <c r="E233" s="15">
        <f>IF(ISNUMBER(原始输入与口径!AB137),原始输入与口径!AB137,"缺失")</f>
        <v>2.8967278409848873</v>
      </c>
      <c r="F233" s="15">
        <f>IF(ISNUMBER(原始输入与口径!AG137),原始输入与口径!AG137,"缺失")</f>
        <v>152.45936005183617</v>
      </c>
      <c r="G233" s="15">
        <f>IF(ISNUMBER(原始输入与口径!AJ137),原始输入与口径!AJ137,"缺失")</f>
        <v>68.360109008442436</v>
      </c>
      <c r="H233" s="15" t="str">
        <f t="shared" si="69"/>
        <v>未模拟</v>
      </c>
      <c r="I233" s="16">
        <f>原始输入与口径!CD137</f>
        <v>32.696266891925418</v>
      </c>
      <c r="J233" s="16">
        <f>原始输入与口径!CE137</f>
        <v>31.739130434782556</v>
      </c>
      <c r="K233" s="16">
        <f>原始输入与口径!BZ137</f>
        <v>4.6952670664750835</v>
      </c>
      <c r="L233" s="16">
        <f>原始输入与口径!CK137</f>
        <v>40</v>
      </c>
      <c r="M233" s="16">
        <f>原始输入与口径!BT137</f>
        <v>24</v>
      </c>
      <c r="N233" s="16">
        <f>原始输入与口径!BJ137</f>
        <v>24</v>
      </c>
      <c r="O233" s="16">
        <f t="shared" si="70"/>
        <v>2.7428571428571432E-4</v>
      </c>
      <c r="P233" s="16">
        <f t="shared" si="71"/>
        <v>0.33490285714285717</v>
      </c>
      <c r="Q233" s="17">
        <f t="shared" si="72"/>
        <v>180.83821106528785</v>
      </c>
      <c r="R233" s="17">
        <f t="shared" si="73"/>
        <v>600.3087302041049</v>
      </c>
      <c r="S233" s="17">
        <f t="shared" si="74"/>
        <v>40.718083585844141</v>
      </c>
      <c r="T233" s="17">
        <f t="shared" si="75"/>
        <v>17.380367045909324</v>
      </c>
      <c r="U233" s="17">
        <f t="shared" si="76"/>
        <v>4.1817424471360783E-2</v>
      </c>
      <c r="V233" s="17">
        <f t="shared" si="77"/>
        <v>-22.893995821524541</v>
      </c>
      <c r="W233" s="17">
        <f t="shared" si="78"/>
        <v>816.39321350409307</v>
      </c>
      <c r="X233" s="12">
        <f>原始输入与口径!CP137</f>
        <v>816.39321350409307</v>
      </c>
      <c r="Y233" s="19">
        <f t="shared" si="79"/>
        <v>0</v>
      </c>
      <c r="Z233" s="12" t="str">
        <f t="shared" ref="Z233:Z264" si="91">"当日执行"</f>
        <v>当日执行</v>
      </c>
      <c r="AA233" s="12">
        <f>IF(原始输入与口径!AW137,1,0)</f>
        <v>1</v>
      </c>
      <c r="AB233" s="12">
        <f>IF(原始输入与口径!AY137,1,0)</f>
        <v>1</v>
      </c>
      <c r="AC233" s="12">
        <f>原始输入与口径!$F$5</f>
        <v>0.25</v>
      </c>
      <c r="AD233" s="18">
        <f>原始输入与口径!CG137</f>
        <v>0.3125</v>
      </c>
      <c r="AE233" s="18">
        <f>原始输入与口径!BQ137</f>
        <v>0.13714285714285715</v>
      </c>
      <c r="AF233" s="18">
        <f t="shared" si="81"/>
        <v>4.5714285714285716E-5</v>
      </c>
      <c r="AG233" s="18">
        <f t="shared" si="82"/>
        <v>5.5817142857142864E-2</v>
      </c>
      <c r="AH233" s="12">
        <f>IF(ISNUMBER(原始输入与口径!T137),原始输入与口径!T137,"缺失")</f>
        <v>175</v>
      </c>
      <c r="AI233" s="12">
        <f>IF(ISNUMBER(原始输入与口径!Y137),原始输入与口径!Y137,"缺失")</f>
        <v>175</v>
      </c>
      <c r="AJ233" s="12">
        <f>IF(ISNUMBER(原始输入与口径!AI137),原始输入与口径!AI137,"缺失")</f>
        <v>2E-3</v>
      </c>
      <c r="AK233" s="12">
        <f>IF(ISNUMBER(原始输入与口径!AL137),原始输入与口径!AL137,"缺失")</f>
        <v>2.4420000000000002</v>
      </c>
      <c r="AL233" s="12">
        <f>IF(ISNUMBER(原始输入与口径!O137),原始输入与口径!O137,"缺失")</f>
        <v>51.968000000000004</v>
      </c>
      <c r="AM233" s="12">
        <f>SUMIFS(相位SOC复算!$N$9:$N$929,相位SOC复算!$S$9:$S$929,225)</f>
        <v>4.0355627046912562E-3</v>
      </c>
      <c r="AN233" s="12">
        <f>SUMIFS(相位SOC复算!$Q$9:$Q$929,相位SOC复算!$S$9:$S$929,225)</f>
        <v>0.26938375899238776</v>
      </c>
      <c r="AO233" s="12">
        <f>SUMIFS(相位SOC复算!$R$9:$R$929,相位SOC复算!$S$9:$S$929,225)</f>
        <v>1.1085719541825869</v>
      </c>
      <c r="AP233" s="12">
        <f>相位SOC复算!J555</f>
        <v>31.739130434782556</v>
      </c>
      <c r="AQ233" s="19">
        <f t="shared" si="83"/>
        <v>0</v>
      </c>
      <c r="AR233" s="12">
        <f>IF(ISBLANK(原始输入与口径!M137),"",原始输入与口径!M137)</f>
        <v>5.2473000000000001</v>
      </c>
      <c r="AS233" s="14">
        <f>IF(ISBLANK(原始输入与口径!L137),"",原始输入与口径!L137)</f>
        <v>46234</v>
      </c>
      <c r="AT233" s="13">
        <f>IF(ISBLANK(原始输入与口径!A137),"",原始输入与口径!A137)</f>
        <v>46236.208333333336</v>
      </c>
      <c r="AU233" s="12" t="str">
        <f>IF(ISBLANK(原始输入与口径!I137),"",原始输入与口径!I137)</f>
        <v>2026-08-02_29</v>
      </c>
      <c r="AV233" s="12">
        <f>IF(ISBLANK(原始输入与口径!J137),"",原始输入与口径!J137)</f>
        <v>15</v>
      </c>
      <c r="AW233" s="12" t="str">
        <f>IF(ISBLANK(原始输入与口径!BB137),"",原始输入与口径!BB137)</f>
        <v>OK</v>
      </c>
      <c r="AX233" s="12">
        <f>原始输入与口径!CI137</f>
        <v>128</v>
      </c>
      <c r="AY233" s="12">
        <f>原始输入与口径!BS137</f>
        <v>175</v>
      </c>
      <c r="AZ233" s="12">
        <f>原始输入与口径!BI137</f>
        <v>175</v>
      </c>
      <c r="BA233" s="12">
        <f>原始输入与口径!CM137</f>
        <v>40</v>
      </c>
      <c r="BB233" s="12">
        <f>原始输入与口径!BV137</f>
        <v>24</v>
      </c>
      <c r="BC233" s="12">
        <f>原始输入与口径!BL137</f>
        <v>24</v>
      </c>
      <c r="BD233" s="14">
        <f>46236</f>
        <v>46236</v>
      </c>
      <c r="BE233" s="1" t="str">
        <f t="shared" si="84"/>
        <v>4.695267 MW × 154.060000 × 0.250000 h = 180.838211 EUR</v>
      </c>
      <c r="BF233" s="1" t="str">
        <f t="shared" si="85"/>
        <v>40.000000 MW × 60.030873 × 0.250000 h = 600.308730 EUR</v>
      </c>
      <c r="BG233" s="1" t="str">
        <f t="shared" si="86"/>
        <v>24.000000 MW × 6.786347 × 0.250000 h = 40.718084 EUR</v>
      </c>
      <c r="BH233" s="1" t="str">
        <f t="shared" si="87"/>
        <v>24.000000 MW × 2.896728 × 0.250000 h = 17.380367 EUR</v>
      </c>
      <c r="BI233" s="1" t="str">
        <f t="shared" si="88"/>
        <v>0.000274 MWh × 152.459360 = 0.041817 EUR</v>
      </c>
      <c r="BJ233" s="1" t="str">
        <f t="shared" si="89"/>
        <v>−(0.334903 MWh × 68.360109) = -22.893996 EUR</v>
      </c>
      <c r="BK233" s="1" t="str">
        <f t="shared" si="90"/>
        <v>180.838211 + 600.308730 + 40.718084 + 17.380367 + 0.041817 + -22.893996 = 816.393214 EUR</v>
      </c>
    </row>
    <row r="234" spans="1:63" ht="21" customHeight="1" x14ac:dyDescent="0.45">
      <c r="A234" s="13">
        <f>原始输入与口径!C138</f>
        <v>46236.34375</v>
      </c>
      <c r="B234" s="15">
        <f>IF(ISNUMBER(原始输入与口径!H138),原始输入与口径!H138,"缺失")</f>
        <v>142.6</v>
      </c>
      <c r="C234" s="15">
        <f>IF(ISNUMBER(原始输入与口径!R138),原始输入与口径!R138,"缺失")</f>
        <v>60.030873020410496</v>
      </c>
      <c r="D234" s="15">
        <f>IF(ISNUMBER(原始输入与口径!W138),原始输入与口径!W138,"缺失")</f>
        <v>6.7863472643073575</v>
      </c>
      <c r="E234" s="15">
        <f>IF(ISNUMBER(原始输入与口径!AB138),原始输入与口径!AB138,"缺失")</f>
        <v>2.8967278409848873</v>
      </c>
      <c r="F234" s="15">
        <f>IF(ISNUMBER(原始输入与口径!AG138),原始输入与口径!AG138,"缺失")</f>
        <v>0</v>
      </c>
      <c r="G234" s="15">
        <f>IF(ISNUMBER(原始输入与口径!AJ138),原始输入与口径!AJ138,"缺失")</f>
        <v>25.922474415413639</v>
      </c>
      <c r="H234" s="15" t="str">
        <f t="shared" si="69"/>
        <v>未模拟</v>
      </c>
      <c r="I234" s="16">
        <f>原始输入与口径!CD138</f>
        <v>31.739130434782556</v>
      </c>
      <c r="J234" s="16">
        <f>原始输入与口径!CE138</f>
        <v>31.73913043478256</v>
      </c>
      <c r="K234" s="16">
        <f>原始输入与口径!BZ138</f>
        <v>4.9198599219345711</v>
      </c>
      <c r="L234" s="16">
        <f>原始输入与口径!CK138</f>
        <v>40</v>
      </c>
      <c r="M234" s="16">
        <f>原始输入与口径!BT138</f>
        <v>24</v>
      </c>
      <c r="N234" s="16">
        <f>原始输入与口径!BJ138</f>
        <v>24</v>
      </c>
      <c r="O234" s="16">
        <f t="shared" si="70"/>
        <v>0</v>
      </c>
      <c r="P234" s="16">
        <f t="shared" si="71"/>
        <v>1.4010514285714286</v>
      </c>
      <c r="Q234" s="17">
        <f t="shared" si="72"/>
        <v>175.39300621696745</v>
      </c>
      <c r="R234" s="17">
        <f t="shared" si="73"/>
        <v>600.3087302041049</v>
      </c>
      <c r="S234" s="17">
        <f t="shared" si="74"/>
        <v>40.718083585844141</v>
      </c>
      <c r="T234" s="17">
        <f t="shared" si="75"/>
        <v>17.380367045909324</v>
      </c>
      <c r="U234" s="17">
        <f t="shared" si="76"/>
        <v>0</v>
      </c>
      <c r="V234" s="17">
        <f t="shared" si="77"/>
        <v>-36.318719811821587</v>
      </c>
      <c r="W234" s="17">
        <f t="shared" si="78"/>
        <v>797.48146724100434</v>
      </c>
      <c r="X234" s="12">
        <f>原始输入与口径!CP138</f>
        <v>797.48146724100422</v>
      </c>
      <c r="Y234" s="19">
        <f t="shared" si="79"/>
        <v>0</v>
      </c>
      <c r="Z234" s="12" t="str">
        <f t="shared" si="91"/>
        <v>当日执行</v>
      </c>
      <c r="AA234" s="12">
        <f>IF(原始输入与口径!AW138,1,0)</f>
        <v>1</v>
      </c>
      <c r="AB234" s="12">
        <f>IF(原始输入与口径!AY138,1,0)</f>
        <v>1</v>
      </c>
      <c r="AC234" s="12">
        <f>原始输入与口径!$F$5</f>
        <v>0.25</v>
      </c>
      <c r="AD234" s="18">
        <f>原始输入与口径!CG138</f>
        <v>0.3125</v>
      </c>
      <c r="AE234" s="18">
        <f>原始输入与口径!BQ138</f>
        <v>0.13714285714285715</v>
      </c>
      <c r="AF234" s="18">
        <f t="shared" si="81"/>
        <v>0</v>
      </c>
      <c r="AG234" s="18">
        <f t="shared" si="82"/>
        <v>0.23350857142857143</v>
      </c>
      <c r="AH234" s="12">
        <f>IF(ISNUMBER(原始输入与口径!T138),原始输入与口径!T138,"缺失")</f>
        <v>175</v>
      </c>
      <c r="AI234" s="12">
        <f>IF(ISNUMBER(原始输入与口径!Y138),原始输入与口径!Y138,"缺失")</f>
        <v>175</v>
      </c>
      <c r="AJ234" s="12">
        <f>IF(ISNUMBER(原始输入与口径!AI138),原始输入与口径!AI138,"缺失")</f>
        <v>0</v>
      </c>
      <c r="AK234" s="12">
        <f>IF(ISNUMBER(原始输入与口径!AL138),原始输入与口径!AL138,"缺失")</f>
        <v>10.215999999999999</v>
      </c>
      <c r="AL234" s="12">
        <f>IF(ISNUMBER(原始输入与口径!O138),原始输入与口径!O138,"缺失")</f>
        <v>51.968000000000004</v>
      </c>
      <c r="AM234" s="12">
        <f>SUMIFS(相位SOC复算!$N$9:$N$929,相位SOC复算!$S$9:$S$929,226)</f>
        <v>5.6929807668100046E-3</v>
      </c>
      <c r="AN234" s="12">
        <f>SUMIFS(相位SOC复算!$Q$9:$Q$929,相位SOC复算!$S$9:$S$929,226)</f>
        <v>1.1138440630715225</v>
      </c>
      <c r="AO234" s="12">
        <f>SUMIFS(相位SOC复算!$R$9:$R$929,相位SOC复算!$S$9:$S$929,226)</f>
        <v>0.94275761498373667</v>
      </c>
      <c r="AP234" s="12">
        <f>相位SOC复算!J557</f>
        <v>31.73913043478256</v>
      </c>
      <c r="AQ234" s="19">
        <f t="shared" si="83"/>
        <v>0</v>
      </c>
      <c r="AR234" s="12">
        <f>IF(ISBLANK(原始输入与口径!M138),"",原始输入与口径!M138)</f>
        <v>5.2473000000000001</v>
      </c>
      <c r="AS234" s="14">
        <f>IF(ISBLANK(原始输入与口径!L138),"",原始输入与口径!L138)</f>
        <v>46234</v>
      </c>
      <c r="AT234" s="13">
        <f>IF(ISBLANK(原始输入与口径!A138),"",原始输入与口径!A138)</f>
        <v>46236.21875</v>
      </c>
      <c r="AU234" s="12" t="str">
        <f>IF(ISBLANK(原始输入与口径!I138),"",原始输入与口径!I138)</f>
        <v>2026-08-02_30</v>
      </c>
      <c r="AV234" s="12">
        <f>IF(ISBLANK(原始输入与口径!J138),"",原始输入与口径!J138)</f>
        <v>15</v>
      </c>
      <c r="AW234" s="12" t="str">
        <f>IF(ISBLANK(原始输入与口径!BB138),"",原始输入与口径!BB138)</f>
        <v>OK</v>
      </c>
      <c r="AX234" s="12">
        <f>原始输入与口径!CI138</f>
        <v>128</v>
      </c>
      <c r="AY234" s="12">
        <f>原始输入与口径!BS138</f>
        <v>175</v>
      </c>
      <c r="AZ234" s="12">
        <f>原始输入与口径!BI138</f>
        <v>175</v>
      </c>
      <c r="BA234" s="12">
        <f>原始输入与口径!CM138</f>
        <v>40</v>
      </c>
      <c r="BB234" s="12">
        <f>原始输入与口径!BV138</f>
        <v>24</v>
      </c>
      <c r="BC234" s="12">
        <f>原始输入与口径!BL138</f>
        <v>24</v>
      </c>
      <c r="BD234" s="14">
        <f>46236</f>
        <v>46236</v>
      </c>
      <c r="BE234" s="1" t="str">
        <f t="shared" si="84"/>
        <v>4.919860 MW × 142.600000 × 0.250000 h = 175.393006 EUR</v>
      </c>
      <c r="BF234" s="1" t="str">
        <f t="shared" si="85"/>
        <v>40.000000 MW × 60.030873 × 0.250000 h = 600.308730 EUR</v>
      </c>
      <c r="BG234" s="1" t="str">
        <f t="shared" si="86"/>
        <v>24.000000 MW × 6.786347 × 0.250000 h = 40.718084 EUR</v>
      </c>
      <c r="BH234" s="1" t="str">
        <f t="shared" si="87"/>
        <v>24.000000 MW × 2.896728 × 0.250000 h = 17.380367 EUR</v>
      </c>
      <c r="BI234" s="1" t="str">
        <f t="shared" si="88"/>
        <v>零上调激活电量</v>
      </c>
      <c r="BJ234" s="1" t="str">
        <f t="shared" si="89"/>
        <v>−(1.401051 MWh × 25.922474) = -36.318720 EUR</v>
      </c>
      <c r="BK234" s="1" t="str">
        <f t="shared" si="90"/>
        <v>175.393006 + 600.308730 + 40.718084 + 17.380367 + 0.000000 + -36.318720 = 797.481467 EUR</v>
      </c>
    </row>
    <row r="235" spans="1:63" ht="21" customHeight="1" x14ac:dyDescent="0.45">
      <c r="A235" s="13">
        <f>原始输入与口径!C139</f>
        <v>46236.354166666664</v>
      </c>
      <c r="B235" s="15">
        <f>IF(ISNUMBER(原始输入与口径!H139),原始输入与口径!H139,"缺失")</f>
        <v>136.11000000000001</v>
      </c>
      <c r="C235" s="15">
        <f>IF(ISNUMBER(原始输入与口径!R139),原始输入与口径!R139,"缺失")</f>
        <v>60.030873020410496</v>
      </c>
      <c r="D235" s="15">
        <f>IF(ISNUMBER(原始输入与口径!W139),原始输入与口径!W139,"缺失")</f>
        <v>6.7863472643073575</v>
      </c>
      <c r="E235" s="15">
        <f>IF(ISNUMBER(原始输入与口径!AB139),原始输入与口径!AB139,"缺失")</f>
        <v>2.8967278409848873</v>
      </c>
      <c r="F235" s="15">
        <f>IF(ISNUMBER(原始输入与口径!AG139),原始输入与口径!AG139,"缺失")</f>
        <v>0</v>
      </c>
      <c r="G235" s="15">
        <f>IF(ISNUMBER(原始输入与口径!AJ139),原始输入与口径!AJ139,"缺失")</f>
        <v>59.365387913784225</v>
      </c>
      <c r="H235" s="15" t="str">
        <f t="shared" si="69"/>
        <v>未模拟</v>
      </c>
      <c r="I235" s="16">
        <f>原始输入与口径!CD139</f>
        <v>31.73913043478256</v>
      </c>
      <c r="J235" s="16">
        <f>原始输入与口径!CE139</f>
        <v>33.056107806211131</v>
      </c>
      <c r="K235" s="16">
        <f>原始输入与口径!BZ139</f>
        <v>0</v>
      </c>
      <c r="L235" s="16">
        <f>原始输入与口径!CK139</f>
        <v>40</v>
      </c>
      <c r="M235" s="16">
        <f>原始输入与口径!BT139</f>
        <v>24</v>
      </c>
      <c r="N235" s="16">
        <f>原始输入与口径!BJ139</f>
        <v>24</v>
      </c>
      <c r="O235" s="16">
        <f t="shared" si="70"/>
        <v>0</v>
      </c>
      <c r="P235" s="16">
        <f t="shared" si="71"/>
        <v>1.4314971428571428</v>
      </c>
      <c r="Q235" s="17">
        <f t="shared" si="72"/>
        <v>0</v>
      </c>
      <c r="R235" s="17">
        <f t="shared" si="73"/>
        <v>600.3087302041049</v>
      </c>
      <c r="S235" s="17">
        <f t="shared" si="74"/>
        <v>40.718083585844141</v>
      </c>
      <c r="T235" s="17">
        <f t="shared" si="75"/>
        <v>17.380367045909324</v>
      </c>
      <c r="U235" s="17">
        <f t="shared" si="76"/>
        <v>0</v>
      </c>
      <c r="V235" s="17">
        <f t="shared" si="77"/>
        <v>-84.981383183188072</v>
      </c>
      <c r="W235" s="17">
        <f t="shared" si="78"/>
        <v>573.42579765267033</v>
      </c>
      <c r="X235" s="12">
        <f>原始输入与口径!CP139</f>
        <v>573.42579765267033</v>
      </c>
      <c r="Y235" s="19">
        <f t="shared" si="79"/>
        <v>0</v>
      </c>
      <c r="Z235" s="12" t="str">
        <f t="shared" si="91"/>
        <v>当日执行</v>
      </c>
      <c r="AA235" s="12">
        <f>IF(原始输入与口径!AW139,1,0)</f>
        <v>1</v>
      </c>
      <c r="AB235" s="12">
        <f>IF(原始输入与口径!AY139,1,0)</f>
        <v>1</v>
      </c>
      <c r="AC235" s="12">
        <f>原始输入与口径!$F$5</f>
        <v>0.25</v>
      </c>
      <c r="AD235" s="18">
        <f>原始输入与口径!CG139</f>
        <v>0.3125</v>
      </c>
      <c r="AE235" s="18">
        <f>原始输入与口径!BQ139</f>
        <v>0.13714285714285715</v>
      </c>
      <c r="AF235" s="18">
        <f t="shared" si="81"/>
        <v>0</v>
      </c>
      <c r="AG235" s="18">
        <f t="shared" si="82"/>
        <v>0.23858285714285715</v>
      </c>
      <c r="AH235" s="12">
        <f>IF(ISNUMBER(原始输入与口径!T139),原始输入与口径!T139,"缺失")</f>
        <v>175</v>
      </c>
      <c r="AI235" s="12">
        <f>IF(ISNUMBER(原始输入与口径!Y139),原始输入与口径!Y139,"缺失")</f>
        <v>175</v>
      </c>
      <c r="AJ235" s="12">
        <f>IF(ISNUMBER(原始输入与口径!AI139),原始输入与口径!AI139,"缺失")</f>
        <v>0</v>
      </c>
      <c r="AK235" s="12">
        <f>IF(ISNUMBER(原始输入与口径!AL139),原始输入与口径!AL139,"缺失")</f>
        <v>10.438000000000001</v>
      </c>
      <c r="AL235" s="12">
        <f>IF(ISNUMBER(原始输入与口径!O139),原始输入与口径!O139,"缺失")</f>
        <v>51.968000000000004</v>
      </c>
      <c r="AM235" s="12">
        <f>SUMIFS(相位SOC复算!$N$9:$N$929,相位SOC复算!$S$9:$S$929,227)</f>
        <v>3.6582704761904763E-3</v>
      </c>
      <c r="AN235" s="12">
        <f>SUMIFS(相位SOC复算!$Q$9:$Q$929,相位SOC复算!$S$9:$S$929,227)</f>
        <v>1.4314971428571428</v>
      </c>
      <c r="AO235" s="12">
        <f>SUMIFS(相位SOC复算!$R$9:$R$929,相位SOC复算!$S$9:$S$929,227)</f>
        <v>0</v>
      </c>
      <c r="AP235" s="12">
        <f>相位SOC复算!J559</f>
        <v>33.056107806211131</v>
      </c>
      <c r="AQ235" s="19">
        <f t="shared" si="83"/>
        <v>0</v>
      </c>
      <c r="AR235" s="12">
        <f>IF(ISBLANK(原始输入与口径!M139),"",原始输入与口径!M139)</f>
        <v>5.2473000000000001</v>
      </c>
      <c r="AS235" s="14">
        <f>IF(ISBLANK(原始输入与口径!L139),"",原始输入与口径!L139)</f>
        <v>46234</v>
      </c>
      <c r="AT235" s="13">
        <f>IF(ISBLANK(原始输入与口径!A139),"",原始输入与口径!A139)</f>
        <v>46236.229166666664</v>
      </c>
      <c r="AU235" s="12" t="str">
        <f>IF(ISBLANK(原始输入与口径!I139),"",原始输入与口径!I139)</f>
        <v>2026-08-02_31</v>
      </c>
      <c r="AV235" s="12">
        <f>IF(ISBLANK(原始输入与口径!J139),"",原始输入与口径!J139)</f>
        <v>15</v>
      </c>
      <c r="AW235" s="12" t="str">
        <f>IF(ISBLANK(原始输入与口径!BB139),"",原始输入与口径!BB139)</f>
        <v>OK</v>
      </c>
      <c r="AX235" s="12">
        <f>原始输入与口径!CI139</f>
        <v>128</v>
      </c>
      <c r="AY235" s="12">
        <f>原始输入与口径!BS139</f>
        <v>175</v>
      </c>
      <c r="AZ235" s="12">
        <f>原始输入与口径!BI139</f>
        <v>175</v>
      </c>
      <c r="BA235" s="12">
        <f>原始输入与口径!CM139</f>
        <v>40</v>
      </c>
      <c r="BB235" s="12">
        <f>原始输入与口径!BV139</f>
        <v>24</v>
      </c>
      <c r="BC235" s="12">
        <f>原始输入与口径!BL139</f>
        <v>24</v>
      </c>
      <c r="BD235" s="14">
        <f>46236</f>
        <v>46236</v>
      </c>
      <c r="BE235" s="1" t="str">
        <f t="shared" si="84"/>
        <v>零头寸，无结算现金</v>
      </c>
      <c r="BF235" s="1" t="str">
        <f t="shared" si="85"/>
        <v>40.000000 MW × 60.030873 × 0.250000 h = 600.308730 EUR</v>
      </c>
      <c r="BG235" s="1" t="str">
        <f t="shared" si="86"/>
        <v>24.000000 MW × 6.786347 × 0.250000 h = 40.718084 EUR</v>
      </c>
      <c r="BH235" s="1" t="str">
        <f t="shared" si="87"/>
        <v>24.000000 MW × 2.896728 × 0.250000 h = 17.380367 EUR</v>
      </c>
      <c r="BI235" s="1" t="str">
        <f t="shared" si="88"/>
        <v>零上调激活电量</v>
      </c>
      <c r="BJ235" s="1" t="str">
        <f t="shared" si="89"/>
        <v>−(1.431497 MWh × 59.365388) = -84.981383 EUR</v>
      </c>
      <c r="BK235" s="1" t="str">
        <f t="shared" si="90"/>
        <v>0.000000 + 600.308730 + 40.718084 + 17.380367 + 0.000000 + -84.981383 = 573.425798 EUR</v>
      </c>
    </row>
    <row r="236" spans="1:63" ht="21" customHeight="1" x14ac:dyDescent="0.45">
      <c r="A236" s="13">
        <f>原始输入与口径!C140</f>
        <v>46236.364583333336</v>
      </c>
      <c r="B236" s="15">
        <f>IF(ISNUMBER(原始输入与口径!H140),原始输入与口径!H140,"缺失")</f>
        <v>122.32</v>
      </c>
      <c r="C236" s="15">
        <f>IF(ISNUMBER(原始输入与口径!R140),原始输入与口径!R140,"缺失")</f>
        <v>60.030873020410496</v>
      </c>
      <c r="D236" s="15">
        <f>IF(ISNUMBER(原始输入与口径!W140),原始输入与口径!W140,"缺失")</f>
        <v>6.7863472643073575</v>
      </c>
      <c r="E236" s="15">
        <f>IF(ISNUMBER(原始输入与口径!AB140),原始输入与口径!AB140,"缺失")</f>
        <v>2.8967278409848873</v>
      </c>
      <c r="F236" s="15">
        <f>IF(ISNUMBER(原始输入与口径!AG140),原始输入与口径!AG140,"缺失")</f>
        <v>0</v>
      </c>
      <c r="G236" s="15">
        <f>IF(ISNUMBER(原始输入与口径!AJ140),原始输入与口径!AJ140,"缺失")</f>
        <v>14.512415909134221</v>
      </c>
      <c r="H236" s="15" t="str">
        <f t="shared" si="69"/>
        <v>未模拟</v>
      </c>
      <c r="I236" s="16">
        <f>原始输入与口径!CD140</f>
        <v>33.056107806211131</v>
      </c>
      <c r="J236" s="16">
        <f>原始输入与口径!CE140</f>
        <v>42.701763975155231</v>
      </c>
      <c r="K236" s="16">
        <f>原始输入与口径!BZ140</f>
        <v>-35.901155517148268</v>
      </c>
      <c r="L236" s="16">
        <f>原始输入与口径!CK140</f>
        <v>40</v>
      </c>
      <c r="M236" s="16">
        <f>原始输入与口径!BT140</f>
        <v>24</v>
      </c>
      <c r="N236" s="16">
        <f>原始输入与口径!BJ140</f>
        <v>24</v>
      </c>
      <c r="O236" s="16">
        <f t="shared" si="70"/>
        <v>0</v>
      </c>
      <c r="P236" s="16">
        <f t="shared" si="71"/>
        <v>1.5091199999999998</v>
      </c>
      <c r="Q236" s="17">
        <f t="shared" si="72"/>
        <v>-1097.8573357143939</v>
      </c>
      <c r="R236" s="17">
        <f t="shared" si="73"/>
        <v>600.3087302041049</v>
      </c>
      <c r="S236" s="17">
        <f t="shared" si="74"/>
        <v>40.718083585844141</v>
      </c>
      <c r="T236" s="17">
        <f t="shared" si="75"/>
        <v>17.380367045909324</v>
      </c>
      <c r="U236" s="17">
        <f t="shared" si="76"/>
        <v>0</v>
      </c>
      <c r="V236" s="17">
        <f t="shared" si="77"/>
        <v>-21.900977096792634</v>
      </c>
      <c r="W236" s="17">
        <f t="shared" si="78"/>
        <v>-461.35113197532814</v>
      </c>
      <c r="X236" s="12">
        <f>原始输入与口径!CP140</f>
        <v>-461.3511319753282</v>
      </c>
      <c r="Y236" s="19">
        <f t="shared" si="79"/>
        <v>0</v>
      </c>
      <c r="Z236" s="12" t="str">
        <f t="shared" si="91"/>
        <v>当日执行</v>
      </c>
      <c r="AA236" s="12">
        <f>IF(原始输入与口径!AW140,1,0)</f>
        <v>1</v>
      </c>
      <c r="AB236" s="12">
        <f>IF(原始输入与口径!AY140,1,0)</f>
        <v>1</v>
      </c>
      <c r="AC236" s="12">
        <f>原始输入与口径!$F$5</f>
        <v>0.25</v>
      </c>
      <c r="AD236" s="18">
        <f>原始输入与口径!CG140</f>
        <v>0.3125</v>
      </c>
      <c r="AE236" s="18">
        <f>原始输入与口径!BQ140</f>
        <v>0.13714285714285715</v>
      </c>
      <c r="AF236" s="18">
        <f t="shared" si="81"/>
        <v>0</v>
      </c>
      <c r="AG236" s="18">
        <f t="shared" si="82"/>
        <v>0.25151999999999997</v>
      </c>
      <c r="AH236" s="12">
        <f>IF(ISNUMBER(原始输入与口径!T140),原始输入与口径!T140,"缺失")</f>
        <v>175</v>
      </c>
      <c r="AI236" s="12">
        <f>IF(ISNUMBER(原始输入与口径!Y140),原始输入与口径!Y140,"缺失")</f>
        <v>175</v>
      </c>
      <c r="AJ236" s="12">
        <f>IF(ISNUMBER(原始输入与口径!AI140),原始输入与口径!AI140,"缺失")</f>
        <v>0</v>
      </c>
      <c r="AK236" s="12">
        <f>IF(ISNUMBER(原始输入与口径!AL140),原始输入与口径!AL140,"缺失")</f>
        <v>11.004</v>
      </c>
      <c r="AL236" s="12">
        <f>IF(ISNUMBER(原始输入与口径!O140),原始输入与口径!O140,"缺失")</f>
        <v>51.968000000000004</v>
      </c>
      <c r="AM236" s="12">
        <f>SUMIFS(相位SOC复算!$N$9:$N$929,相位SOC复算!$S$9:$S$929,228)</f>
        <v>2.679348935817806E-2</v>
      </c>
      <c r="AN236" s="12">
        <f>SUMIFS(相位SOC复算!$Q$9:$Q$929,相位SOC复算!$S$9:$S$929,228)</f>
        <v>10.484408879287066</v>
      </c>
      <c r="AO236" s="12">
        <f>SUMIFS(相位SOC复算!$R$9:$R$929,相位SOC复算!$S$9:$S$929,228)</f>
        <v>0</v>
      </c>
      <c r="AP236" s="12">
        <f>相位SOC复算!J561</f>
        <v>42.701763975155231</v>
      </c>
      <c r="AQ236" s="19">
        <f t="shared" si="83"/>
        <v>0</v>
      </c>
      <c r="AR236" s="12">
        <f>IF(ISBLANK(原始输入与口径!M140),"",原始输入与口径!M140)</f>
        <v>5.2473000000000001</v>
      </c>
      <c r="AS236" s="14">
        <f>IF(ISBLANK(原始输入与口径!L140),"",原始输入与口径!L140)</f>
        <v>46234</v>
      </c>
      <c r="AT236" s="13">
        <f>IF(ISBLANK(原始输入与口径!A140),"",原始输入与口径!A140)</f>
        <v>46236.239583333336</v>
      </c>
      <c r="AU236" s="12" t="str">
        <f>IF(ISBLANK(原始输入与口径!I140),"",原始输入与口径!I140)</f>
        <v>2026-08-02_32</v>
      </c>
      <c r="AV236" s="12">
        <f>IF(ISBLANK(原始输入与口径!J140),"",原始输入与口径!J140)</f>
        <v>15</v>
      </c>
      <c r="AW236" s="12" t="str">
        <f>IF(ISBLANK(原始输入与口径!BB140),"",原始输入与口径!BB140)</f>
        <v>OK</v>
      </c>
      <c r="AX236" s="12">
        <f>原始输入与口径!CI140</f>
        <v>128</v>
      </c>
      <c r="AY236" s="12">
        <f>原始输入与口径!BS140</f>
        <v>175</v>
      </c>
      <c r="AZ236" s="12">
        <f>原始输入与口径!BI140</f>
        <v>175</v>
      </c>
      <c r="BA236" s="12">
        <f>原始输入与口径!CM140</f>
        <v>40</v>
      </c>
      <c r="BB236" s="12">
        <f>原始输入与口径!BV140</f>
        <v>24</v>
      </c>
      <c r="BC236" s="12">
        <f>原始输入与口径!BL140</f>
        <v>24</v>
      </c>
      <c r="BD236" s="14">
        <f>46236</f>
        <v>46236</v>
      </c>
      <c r="BE236" s="1" t="str">
        <f t="shared" si="84"/>
        <v>-35.901156 MW × 122.320000 × 0.250000 h = -1097.857336 EUR</v>
      </c>
      <c r="BF236" s="1" t="str">
        <f t="shared" si="85"/>
        <v>40.000000 MW × 60.030873 × 0.250000 h = 600.308730 EUR</v>
      </c>
      <c r="BG236" s="1" t="str">
        <f t="shared" si="86"/>
        <v>24.000000 MW × 6.786347 × 0.250000 h = 40.718084 EUR</v>
      </c>
      <c r="BH236" s="1" t="str">
        <f t="shared" si="87"/>
        <v>24.000000 MW × 2.896728 × 0.250000 h = 17.380367 EUR</v>
      </c>
      <c r="BI236" s="1" t="str">
        <f t="shared" si="88"/>
        <v>零上调激活电量</v>
      </c>
      <c r="BJ236" s="1" t="str">
        <f t="shared" si="89"/>
        <v>−(1.509120 MWh × 14.512416) = -21.900977 EUR</v>
      </c>
      <c r="BK236" s="1" t="str">
        <f t="shared" si="90"/>
        <v>-1097.857336 + 600.308730 + 40.718084 + 17.380367 + 0.000000 + -21.900977 = -461.351132 EUR</v>
      </c>
    </row>
    <row r="237" spans="1:63" ht="21" customHeight="1" x14ac:dyDescent="0.45">
      <c r="A237" s="13">
        <f>原始输入与口径!C141</f>
        <v>46236.375</v>
      </c>
      <c r="B237" s="15">
        <f>IF(ISNUMBER(原始输入与口径!H141),原始输入与口径!H141,"缺失")</f>
        <v>152.74</v>
      </c>
      <c r="C237" s="15">
        <f>IF(ISNUMBER(原始输入与口径!R141),原始输入与口径!R141,"缺失")</f>
        <v>60.030873020410496</v>
      </c>
      <c r="D237" s="15">
        <f>IF(ISNUMBER(原始输入与口径!W141),原始输入与口径!W141,"缺失")</f>
        <v>7.2056105044499077</v>
      </c>
      <c r="E237" s="15">
        <f>IF(ISNUMBER(原始输入与口径!AB141),原始输入与口径!AB141,"缺失")</f>
        <v>2.4145751148209555</v>
      </c>
      <c r="F237" s="15">
        <f>IF(ISNUMBER(原始输入与口径!AG141),原始输入与口径!AG141,"缺失")</f>
        <v>161.45350942389419</v>
      </c>
      <c r="G237" s="15">
        <f>IF(ISNUMBER(原始输入与口径!AJ141),原始输入与口径!AJ141,"缺失")</f>
        <v>5.8104167857755415</v>
      </c>
      <c r="H237" s="15" t="str">
        <f t="shared" si="69"/>
        <v>未模拟</v>
      </c>
      <c r="I237" s="16">
        <f>原始输入与口径!CD141</f>
        <v>42.701763975155231</v>
      </c>
      <c r="J237" s="16">
        <f>原始输入与口径!CE141</f>
        <v>32.874434782608645</v>
      </c>
      <c r="K237" s="16">
        <f>原始输入与口径!BZ141</f>
        <v>36</v>
      </c>
      <c r="L237" s="16">
        <f>原始输入与口径!CK141</f>
        <v>40</v>
      </c>
      <c r="M237" s="16">
        <f>原始输入与口径!BT141</f>
        <v>24</v>
      </c>
      <c r="N237" s="16">
        <f>原始输入与口径!BJ141</f>
        <v>24</v>
      </c>
      <c r="O237" s="16">
        <f t="shared" si="70"/>
        <v>0.46505142857142856</v>
      </c>
      <c r="P237" s="16">
        <f t="shared" si="71"/>
        <v>0.42390857142857141</v>
      </c>
      <c r="Q237" s="17">
        <f t="shared" si="72"/>
        <v>1374.66</v>
      </c>
      <c r="R237" s="17">
        <f t="shared" si="73"/>
        <v>600.3087302041049</v>
      </c>
      <c r="S237" s="17">
        <f t="shared" si="74"/>
        <v>43.233663026699446</v>
      </c>
      <c r="T237" s="17">
        <f t="shared" si="75"/>
        <v>14.487450688925733</v>
      </c>
      <c r="U237" s="17">
        <f t="shared" si="76"/>
        <v>75.084185205452599</v>
      </c>
      <c r="V237" s="17">
        <f t="shared" si="77"/>
        <v>-2.4630854790627015</v>
      </c>
      <c r="W237" s="17">
        <f t="shared" si="78"/>
        <v>2105.31094364612</v>
      </c>
      <c r="X237" s="12">
        <f>原始输入与口径!CP141</f>
        <v>2105.31094364612</v>
      </c>
      <c r="Y237" s="19">
        <f t="shared" si="79"/>
        <v>0</v>
      </c>
      <c r="Z237" s="12" t="str">
        <f t="shared" si="91"/>
        <v>当日执行</v>
      </c>
      <c r="AA237" s="12">
        <f>IF(原始输入与口径!AW141,1,0)</f>
        <v>1</v>
      </c>
      <c r="AB237" s="12">
        <f>IF(原始输入与口径!AY141,1,0)</f>
        <v>1</v>
      </c>
      <c r="AC237" s="12">
        <f>原始输入与口径!$F$5</f>
        <v>0.25</v>
      </c>
      <c r="AD237" s="18">
        <f>原始输入与口径!CG141</f>
        <v>0.3125</v>
      </c>
      <c r="AE237" s="18">
        <f>原始输入与口径!BQ141</f>
        <v>0.13714285714285715</v>
      </c>
      <c r="AF237" s="18">
        <f t="shared" si="81"/>
        <v>7.7508571428571427E-2</v>
      </c>
      <c r="AG237" s="18">
        <f t="shared" si="82"/>
        <v>7.0651428571428573E-2</v>
      </c>
      <c r="AH237" s="12">
        <f>IF(ISNUMBER(原始输入与口径!T141),原始输入与口径!T141,"缺失")</f>
        <v>175</v>
      </c>
      <c r="AI237" s="12">
        <f>IF(ISNUMBER(原始输入与口径!Y141),原始输入与口径!Y141,"缺失")</f>
        <v>175</v>
      </c>
      <c r="AJ237" s="12">
        <f>IF(ISNUMBER(原始输入与口径!AI141),原始输入与口径!AI141,"缺失")</f>
        <v>3.391</v>
      </c>
      <c r="AK237" s="12">
        <f>IF(ISNUMBER(原始输入与口径!AL141),原始输入与口径!AL141,"缺失")</f>
        <v>3.0910000000000002</v>
      </c>
      <c r="AL237" s="12">
        <f>IF(ISNUMBER(原始输入与口径!O141),原始输入与口径!O141,"缺失")</f>
        <v>51.968000000000004</v>
      </c>
      <c r="AM237" s="12">
        <f>SUMIFS(相位SOC复算!$N$9:$N$929,相位SOC复算!$S$9:$S$929,229)</f>
        <v>2.7298136645962728E-2</v>
      </c>
      <c r="AN237" s="12">
        <f>SUMIFS(相位SOC复算!$Q$9:$Q$929,相位SOC复算!$S$9:$S$929,229)</f>
        <v>0</v>
      </c>
      <c r="AO237" s="12">
        <f>SUMIFS(相位SOC复算!$R$9:$R$929,相位SOC复算!$S$9:$S$929,229)</f>
        <v>9.0411428571428569</v>
      </c>
      <c r="AP237" s="12">
        <f>相位SOC复算!J564</f>
        <v>32.874434782608645</v>
      </c>
      <c r="AQ237" s="19">
        <f t="shared" si="83"/>
        <v>0</v>
      </c>
      <c r="AR237" s="12">
        <f>IF(ISBLANK(原始输入与口径!M141),"",原始输入与口径!M141)</f>
        <v>5.2473000000000001</v>
      </c>
      <c r="AS237" s="14">
        <f>IF(ISBLANK(原始输入与口径!L141),"",原始输入与口径!L141)</f>
        <v>46234</v>
      </c>
      <c r="AT237" s="13">
        <f>IF(ISBLANK(原始输入与口径!A141),"",原始输入与口径!A141)</f>
        <v>46236.25</v>
      </c>
      <c r="AU237" s="12" t="str">
        <f>IF(ISBLANK(原始输入与口径!I141),"",原始输入与口径!I141)</f>
        <v>2026-08-02_33</v>
      </c>
      <c r="AV237" s="12">
        <f>IF(ISBLANK(原始输入与口径!J141),"",原始输入与口径!J141)</f>
        <v>15</v>
      </c>
      <c r="AW237" s="12" t="str">
        <f>IF(ISBLANK(原始输入与口径!BB141),"",原始输入与口径!BB141)</f>
        <v>OK</v>
      </c>
      <c r="AX237" s="12">
        <f>原始输入与口径!CI141</f>
        <v>128</v>
      </c>
      <c r="AY237" s="12">
        <f>原始输入与口径!BS141</f>
        <v>175</v>
      </c>
      <c r="AZ237" s="12">
        <f>原始输入与口径!BI141</f>
        <v>175</v>
      </c>
      <c r="BA237" s="12">
        <f>原始输入与口径!CM141</f>
        <v>40</v>
      </c>
      <c r="BB237" s="12">
        <f>原始输入与口径!BV141</f>
        <v>24</v>
      </c>
      <c r="BC237" s="12">
        <f>原始输入与口径!BL141</f>
        <v>24</v>
      </c>
      <c r="BD237" s="14">
        <f>46236</f>
        <v>46236</v>
      </c>
      <c r="BE237" s="1" t="str">
        <f t="shared" si="84"/>
        <v>36.000000 MW × 152.740000 × 0.250000 h = 1374.660000 EUR</v>
      </c>
      <c r="BF237" s="1" t="str">
        <f t="shared" si="85"/>
        <v>40.000000 MW × 60.030873 × 0.250000 h = 600.308730 EUR</v>
      </c>
      <c r="BG237" s="1" t="str">
        <f t="shared" si="86"/>
        <v>24.000000 MW × 7.205611 × 0.250000 h = 43.233663 EUR</v>
      </c>
      <c r="BH237" s="1" t="str">
        <f t="shared" si="87"/>
        <v>24.000000 MW × 2.414575 × 0.250000 h = 14.487451 EUR</v>
      </c>
      <c r="BI237" s="1" t="str">
        <f t="shared" si="88"/>
        <v>0.465051 MWh × 161.453509 = 75.084185 EUR</v>
      </c>
      <c r="BJ237" s="1" t="str">
        <f t="shared" si="89"/>
        <v>−(0.423909 MWh × 5.810417) = -2.463085 EUR</v>
      </c>
      <c r="BK237" s="1" t="str">
        <f t="shared" si="90"/>
        <v>1374.660000 + 600.308730 + 43.233663 + 14.487451 + 75.084185 + -2.463085 = 2105.310944 EUR</v>
      </c>
    </row>
    <row r="238" spans="1:63" ht="21" customHeight="1" x14ac:dyDescent="0.45">
      <c r="A238" s="13">
        <f>原始输入与口径!C142</f>
        <v>46236.385416666664</v>
      </c>
      <c r="B238" s="15">
        <f>IF(ISNUMBER(原始输入与口径!H142),原始输入与口径!H142,"缺失")</f>
        <v>130.33000000000001</v>
      </c>
      <c r="C238" s="15">
        <f>IF(ISNUMBER(原始输入与口径!R142),原始输入与口径!R142,"缺失")</f>
        <v>60.030873020410496</v>
      </c>
      <c r="D238" s="15">
        <f>IF(ISNUMBER(原始输入与口径!W142),原始输入与口径!W142,"缺失")</f>
        <v>7.2056105044499077</v>
      </c>
      <c r="E238" s="15">
        <f>IF(ISNUMBER(原始输入与口径!AB142),原始输入与口径!AB142,"缺失")</f>
        <v>2.4145751148209555</v>
      </c>
      <c r="F238" s="15">
        <f>IF(ISNUMBER(原始输入与口径!AG142),原始输入与口径!AG142,"缺失")</f>
        <v>146.39833819297544</v>
      </c>
      <c r="G238" s="15">
        <f>IF(ISNUMBER(原始输入与口径!AJ142),原始输入与口径!AJ142,"缺失")</f>
        <v>0</v>
      </c>
      <c r="H238" s="15" t="str">
        <f t="shared" si="69"/>
        <v>未模拟</v>
      </c>
      <c r="I238" s="16">
        <f>原始输入与口径!CD142</f>
        <v>32.874434782608645</v>
      </c>
      <c r="J238" s="16">
        <f>原始输入与口径!CE142</f>
        <v>32.456894409937838</v>
      </c>
      <c r="K238" s="16">
        <f>原始输入与口径!BZ142</f>
        <v>0</v>
      </c>
      <c r="L238" s="16">
        <f>原始输入与口径!CK142</f>
        <v>40</v>
      </c>
      <c r="M238" s="16">
        <f>原始输入与口径!BT142</f>
        <v>24</v>
      </c>
      <c r="N238" s="16">
        <f>原始输入与口径!BJ142</f>
        <v>24</v>
      </c>
      <c r="O238" s="16">
        <f t="shared" si="70"/>
        <v>0.38413714285714284</v>
      </c>
      <c r="P238" s="16">
        <f t="shared" si="71"/>
        <v>0</v>
      </c>
      <c r="Q238" s="17">
        <f t="shared" si="72"/>
        <v>0</v>
      </c>
      <c r="R238" s="17">
        <f t="shared" si="73"/>
        <v>600.3087302041049</v>
      </c>
      <c r="S238" s="17">
        <f t="shared" si="74"/>
        <v>43.233663026699446</v>
      </c>
      <c r="T238" s="17">
        <f t="shared" si="75"/>
        <v>14.487450688925733</v>
      </c>
      <c r="U238" s="17">
        <f t="shared" si="76"/>
        <v>56.237039352483322</v>
      </c>
      <c r="V238" s="17">
        <f t="shared" si="77"/>
        <v>0</v>
      </c>
      <c r="W238" s="17">
        <f t="shared" si="78"/>
        <v>714.26688327221336</v>
      </c>
      <c r="X238" s="12">
        <f>原始输入与口径!CP142</f>
        <v>714.26688327221336</v>
      </c>
      <c r="Y238" s="19">
        <f t="shared" si="79"/>
        <v>0</v>
      </c>
      <c r="Z238" s="12" t="str">
        <f t="shared" si="91"/>
        <v>当日执行</v>
      </c>
      <c r="AA238" s="12">
        <f>IF(原始输入与口径!AW142,1,0)</f>
        <v>1</v>
      </c>
      <c r="AB238" s="12">
        <f>IF(原始输入与口径!AY142,1,0)</f>
        <v>1</v>
      </c>
      <c r="AC238" s="12">
        <f>原始输入与口径!$F$5</f>
        <v>0.25</v>
      </c>
      <c r="AD238" s="18">
        <f>原始输入与口径!CG142</f>
        <v>0.3125</v>
      </c>
      <c r="AE238" s="18">
        <f>原始输入与口径!BQ142</f>
        <v>0.13714285714285715</v>
      </c>
      <c r="AF238" s="18">
        <f t="shared" si="81"/>
        <v>6.4022857142857145E-2</v>
      </c>
      <c r="AG238" s="18">
        <f t="shared" si="82"/>
        <v>0</v>
      </c>
      <c r="AH238" s="12">
        <f>IF(ISNUMBER(原始输入与口径!T142),原始输入与口径!T142,"缺失")</f>
        <v>175</v>
      </c>
      <c r="AI238" s="12">
        <f>IF(ISNUMBER(原始输入与口径!Y142),原始输入与口径!Y142,"缺失")</f>
        <v>175</v>
      </c>
      <c r="AJ238" s="12">
        <f>IF(ISNUMBER(原始输入与口径!AI142),原始输入与口径!AI142,"缺失")</f>
        <v>2.8010000000000002</v>
      </c>
      <c r="AK238" s="12">
        <f>IF(ISNUMBER(原始输入与口径!AL142),原始输入与口径!AL142,"缺失")</f>
        <v>0</v>
      </c>
      <c r="AL238" s="12">
        <f>IF(ISNUMBER(原始输入与口径!O142),原始输入与口径!O142,"缺失")</f>
        <v>51.968000000000004</v>
      </c>
      <c r="AM238" s="12">
        <f>SUMIFS(相位SOC复算!$N$9:$N$929,相位SOC复算!$S$9:$S$929,230)</f>
        <v>1.1598343685300207E-3</v>
      </c>
      <c r="AN238" s="12">
        <f>SUMIFS(相位SOC复算!$Q$9:$Q$929,相位SOC复算!$S$9:$S$929,230)</f>
        <v>0</v>
      </c>
      <c r="AO238" s="12">
        <f>SUMIFS(相位SOC复算!$R$9:$R$929,相位SOC复算!$S$9:$S$929,230)</f>
        <v>0.38413714285714284</v>
      </c>
      <c r="AP238" s="12">
        <f>相位SOC复算!J566</f>
        <v>32.456894409937838</v>
      </c>
      <c r="AQ238" s="19">
        <f t="shared" si="83"/>
        <v>0</v>
      </c>
      <c r="AR238" s="12">
        <f>IF(ISBLANK(原始输入与口径!M142),"",原始输入与口径!M142)</f>
        <v>5.2473000000000001</v>
      </c>
      <c r="AS238" s="14">
        <f>IF(ISBLANK(原始输入与口径!L142),"",原始输入与口径!L142)</f>
        <v>46234</v>
      </c>
      <c r="AT238" s="13">
        <f>IF(ISBLANK(原始输入与口径!A142),"",原始输入与口径!A142)</f>
        <v>46236.260416666664</v>
      </c>
      <c r="AU238" s="12" t="str">
        <f>IF(ISBLANK(原始输入与口径!I142),"",原始输入与口径!I142)</f>
        <v>2026-08-02_34</v>
      </c>
      <c r="AV238" s="12">
        <f>IF(ISBLANK(原始输入与口径!J142),"",原始输入与口径!J142)</f>
        <v>15</v>
      </c>
      <c r="AW238" s="12" t="str">
        <f>IF(ISBLANK(原始输入与口径!BB142),"",原始输入与口径!BB142)</f>
        <v>OK</v>
      </c>
      <c r="AX238" s="12">
        <f>原始输入与口径!CI142</f>
        <v>128</v>
      </c>
      <c r="AY238" s="12">
        <f>原始输入与口径!BS142</f>
        <v>175</v>
      </c>
      <c r="AZ238" s="12">
        <f>原始输入与口径!BI142</f>
        <v>175</v>
      </c>
      <c r="BA238" s="12">
        <f>原始输入与口径!CM142</f>
        <v>40</v>
      </c>
      <c r="BB238" s="12">
        <f>原始输入与口径!BV142</f>
        <v>24</v>
      </c>
      <c r="BC238" s="12">
        <f>原始输入与口径!BL142</f>
        <v>24</v>
      </c>
      <c r="BD238" s="14">
        <f>46236</f>
        <v>46236</v>
      </c>
      <c r="BE238" s="1" t="str">
        <f t="shared" si="84"/>
        <v>零头寸，无结算现金</v>
      </c>
      <c r="BF238" s="1" t="str">
        <f t="shared" si="85"/>
        <v>40.000000 MW × 60.030873 × 0.250000 h = 600.308730 EUR</v>
      </c>
      <c r="BG238" s="1" t="str">
        <f t="shared" si="86"/>
        <v>24.000000 MW × 7.205611 × 0.250000 h = 43.233663 EUR</v>
      </c>
      <c r="BH238" s="1" t="str">
        <f t="shared" si="87"/>
        <v>24.000000 MW × 2.414575 × 0.250000 h = 14.487451 EUR</v>
      </c>
      <c r="BI238" s="1" t="str">
        <f t="shared" si="88"/>
        <v>0.384137 MWh × 146.398338 = 56.237039 EUR</v>
      </c>
      <c r="BJ238" s="1" t="str">
        <f t="shared" si="89"/>
        <v>零下调激活电量</v>
      </c>
      <c r="BK238" s="1" t="str">
        <f t="shared" si="90"/>
        <v>0.000000 + 600.308730 + 43.233663 + 14.487451 + 56.237039 + 0.000000 = 714.266883 EUR</v>
      </c>
    </row>
    <row r="239" spans="1:63" ht="21" customHeight="1" x14ac:dyDescent="0.45">
      <c r="A239" s="13">
        <f>原始输入与口径!C143</f>
        <v>46236.395833333336</v>
      </c>
      <c r="B239" s="15">
        <f>IF(ISNUMBER(原始输入与口径!H143),原始输入与口径!H143,"缺失")</f>
        <v>112.43</v>
      </c>
      <c r="C239" s="15">
        <f>IF(ISNUMBER(原始输入与口径!R143),原始输入与口径!R143,"缺失")</f>
        <v>60.030873020410496</v>
      </c>
      <c r="D239" s="15">
        <f>IF(ISNUMBER(原始输入与口径!W143),原始输入与口径!W143,"缺失")</f>
        <v>7.2056105044499077</v>
      </c>
      <c r="E239" s="15">
        <f>IF(ISNUMBER(原始输入与口径!AB143),原始输入与口径!AB143,"缺失")</f>
        <v>2.4145751148209555</v>
      </c>
      <c r="F239" s="15">
        <f>IF(ISNUMBER(原始输入与口径!AG143),原始输入与口径!AG143,"缺失")</f>
        <v>150.6565281192232</v>
      </c>
      <c r="G239" s="15">
        <f>IF(ISNUMBER(原始输入与口径!AJ143),原始输入与口径!AJ143,"缺失")</f>
        <v>0</v>
      </c>
      <c r="H239" s="15" t="str">
        <f t="shared" si="69"/>
        <v>未模拟</v>
      </c>
      <c r="I239" s="16">
        <f>原始输入与口径!CD143</f>
        <v>32.456894409937838</v>
      </c>
      <c r="J239" s="16">
        <f>原始输入与口径!CE143</f>
        <v>31.73913043478256</v>
      </c>
      <c r="K239" s="16">
        <f>原始输入与口径!BZ143</f>
        <v>0</v>
      </c>
      <c r="L239" s="16">
        <f>原始输入与口径!CK143</f>
        <v>40</v>
      </c>
      <c r="M239" s="16">
        <f>原始输入与口径!BT143</f>
        <v>24</v>
      </c>
      <c r="N239" s="16">
        <f>原始输入与口径!BJ143</f>
        <v>24</v>
      </c>
      <c r="O239" s="16">
        <f t="shared" si="70"/>
        <v>0.66034285714285723</v>
      </c>
      <c r="P239" s="16">
        <f t="shared" si="71"/>
        <v>0</v>
      </c>
      <c r="Q239" s="17">
        <f t="shared" si="72"/>
        <v>0</v>
      </c>
      <c r="R239" s="17">
        <f t="shared" si="73"/>
        <v>600.3087302041049</v>
      </c>
      <c r="S239" s="17">
        <f t="shared" si="74"/>
        <v>43.233663026699446</v>
      </c>
      <c r="T239" s="17">
        <f t="shared" si="75"/>
        <v>14.487450688925733</v>
      </c>
      <c r="U239" s="17">
        <f t="shared" si="76"/>
        <v>99.484962225471051</v>
      </c>
      <c r="V239" s="17">
        <f t="shared" si="77"/>
        <v>0</v>
      </c>
      <c r="W239" s="17">
        <f t="shared" si="78"/>
        <v>757.51480614520108</v>
      </c>
      <c r="X239" s="12">
        <f>原始输入与口径!CP143</f>
        <v>757.51480614520119</v>
      </c>
      <c r="Y239" s="19">
        <f t="shared" si="79"/>
        <v>0</v>
      </c>
      <c r="Z239" s="12" t="str">
        <f t="shared" si="91"/>
        <v>当日执行</v>
      </c>
      <c r="AA239" s="12">
        <f>IF(原始输入与口径!AW143,1,0)</f>
        <v>1</v>
      </c>
      <c r="AB239" s="12">
        <f>IF(原始输入与口径!AY143,1,0)</f>
        <v>1</v>
      </c>
      <c r="AC239" s="12">
        <f>原始输入与口径!$F$5</f>
        <v>0.25</v>
      </c>
      <c r="AD239" s="18">
        <f>原始输入与口径!CG143</f>
        <v>0.3125</v>
      </c>
      <c r="AE239" s="18">
        <f>原始输入与口径!BQ143</f>
        <v>0.13714285714285715</v>
      </c>
      <c r="AF239" s="18">
        <f t="shared" si="81"/>
        <v>0.11005714285714287</v>
      </c>
      <c r="AG239" s="18">
        <f t="shared" si="82"/>
        <v>0</v>
      </c>
      <c r="AH239" s="12">
        <f>IF(ISNUMBER(原始输入与口径!T143),原始输入与口径!T143,"缺失")</f>
        <v>175</v>
      </c>
      <c r="AI239" s="12">
        <f>IF(ISNUMBER(原始输入与口径!Y143),原始输入与口径!Y143,"缺失")</f>
        <v>175</v>
      </c>
      <c r="AJ239" s="12">
        <f>IF(ISNUMBER(原始输入与口径!AI143),原始输入与口径!AI143,"缺失")</f>
        <v>4.8150000000000004</v>
      </c>
      <c r="AK239" s="12">
        <f>IF(ISNUMBER(原始输入与口径!AL143),原始输入与口径!AL143,"缺失")</f>
        <v>0</v>
      </c>
      <c r="AL239" s="12">
        <f>IF(ISNUMBER(原始输入与口径!O143),原始输入与口径!O143,"缺失")</f>
        <v>51.968000000000004</v>
      </c>
      <c r="AM239" s="12">
        <f>SUMIFS(相位SOC复算!$N$9:$N$929,相位SOC复算!$S$9:$S$929,231)</f>
        <v>1.9937888198757765E-3</v>
      </c>
      <c r="AN239" s="12">
        <f>SUMIFS(相位SOC复算!$Q$9:$Q$929,相位SOC复算!$S$9:$S$929,231)</f>
        <v>0</v>
      </c>
      <c r="AO239" s="12">
        <f>SUMIFS(相位SOC复算!$R$9:$R$929,相位SOC复算!$S$9:$S$929,231)</f>
        <v>0.66034285714285723</v>
      </c>
      <c r="AP239" s="12">
        <f>相位SOC复算!J568</f>
        <v>31.73913043478256</v>
      </c>
      <c r="AQ239" s="19">
        <f t="shared" si="83"/>
        <v>0</v>
      </c>
      <c r="AR239" s="12">
        <f>IF(ISBLANK(原始输入与口径!M143),"",原始输入与口径!M143)</f>
        <v>5.2473000000000001</v>
      </c>
      <c r="AS239" s="14">
        <f>IF(ISBLANK(原始输入与口径!L143),"",原始输入与口径!L143)</f>
        <v>46234</v>
      </c>
      <c r="AT239" s="13">
        <f>IF(ISBLANK(原始输入与口径!A143),"",原始输入与口径!A143)</f>
        <v>46236.270833333336</v>
      </c>
      <c r="AU239" s="12" t="str">
        <f>IF(ISBLANK(原始输入与口径!I143),"",原始输入与口径!I143)</f>
        <v>2026-08-02_35</v>
      </c>
      <c r="AV239" s="12">
        <f>IF(ISBLANK(原始输入与口径!J143),"",原始输入与口径!J143)</f>
        <v>15</v>
      </c>
      <c r="AW239" s="12" t="str">
        <f>IF(ISBLANK(原始输入与口径!BB143),"",原始输入与口径!BB143)</f>
        <v>OK</v>
      </c>
      <c r="AX239" s="12">
        <f>原始输入与口径!CI143</f>
        <v>128</v>
      </c>
      <c r="AY239" s="12">
        <f>原始输入与口径!BS143</f>
        <v>175</v>
      </c>
      <c r="AZ239" s="12">
        <f>原始输入与口径!BI143</f>
        <v>175</v>
      </c>
      <c r="BA239" s="12">
        <f>原始输入与口径!CM143</f>
        <v>40</v>
      </c>
      <c r="BB239" s="12">
        <f>原始输入与口径!BV143</f>
        <v>24</v>
      </c>
      <c r="BC239" s="12">
        <f>原始输入与口径!BL143</f>
        <v>24</v>
      </c>
      <c r="BD239" s="14">
        <f>46236</f>
        <v>46236</v>
      </c>
      <c r="BE239" s="1" t="str">
        <f t="shared" si="84"/>
        <v>零头寸，无结算现金</v>
      </c>
      <c r="BF239" s="1" t="str">
        <f t="shared" si="85"/>
        <v>40.000000 MW × 60.030873 × 0.250000 h = 600.308730 EUR</v>
      </c>
      <c r="BG239" s="1" t="str">
        <f t="shared" si="86"/>
        <v>24.000000 MW × 7.205611 × 0.250000 h = 43.233663 EUR</v>
      </c>
      <c r="BH239" s="1" t="str">
        <f t="shared" si="87"/>
        <v>24.000000 MW × 2.414575 × 0.250000 h = 14.487451 EUR</v>
      </c>
      <c r="BI239" s="1" t="str">
        <f t="shared" si="88"/>
        <v>0.660343 MWh × 150.656528 = 99.484962 EUR</v>
      </c>
      <c r="BJ239" s="1" t="str">
        <f t="shared" si="89"/>
        <v>零下调激活电量</v>
      </c>
      <c r="BK239" s="1" t="str">
        <f t="shared" si="90"/>
        <v>0.000000 + 600.308730 + 43.233663 + 14.487451 + 99.484962 + 0.000000 = 757.514806 EUR</v>
      </c>
    </row>
    <row r="240" spans="1:63" ht="21" customHeight="1" x14ac:dyDescent="0.45">
      <c r="A240" s="13">
        <f>原始输入与口径!C144</f>
        <v>46236.40625</v>
      </c>
      <c r="B240" s="15">
        <f>IF(ISNUMBER(原始输入与口径!H144),原始输入与口径!H144,"缺失")</f>
        <v>93.22</v>
      </c>
      <c r="C240" s="15">
        <f>IF(ISNUMBER(原始输入与口径!R144),原始输入与口径!R144,"缺失")</f>
        <v>60.030873020410496</v>
      </c>
      <c r="D240" s="15">
        <f>IF(ISNUMBER(原始输入与口径!W144),原始输入与口径!W144,"缺失")</f>
        <v>7.2056105044499077</v>
      </c>
      <c r="E240" s="15">
        <f>IF(ISNUMBER(原始输入与口径!AB144),原始输入与口径!AB144,"缺失")</f>
        <v>2.4145751148209555</v>
      </c>
      <c r="F240" s="15">
        <f>IF(ISNUMBER(原始输入与口径!AG144),原始输入与口径!AG144,"缺失")</f>
        <v>133.21136584529185</v>
      </c>
      <c r="G240" s="15">
        <f>IF(ISNUMBER(原始输入与口径!AJ144),原始输入与口径!AJ144,"缺失")</f>
        <v>-13.616717168829682</v>
      </c>
      <c r="H240" s="15" t="str">
        <f t="shared" si="69"/>
        <v>未模拟</v>
      </c>
      <c r="I240" s="16">
        <f>原始输入与口径!CD144</f>
        <v>31.73913043478256</v>
      </c>
      <c r="J240" s="16">
        <f>原始输入与口径!CE144</f>
        <v>33.209540849689382</v>
      </c>
      <c r="K240" s="16">
        <f>原始输入与口径!BZ144</f>
        <v>-4.3099808451626211</v>
      </c>
      <c r="L240" s="16">
        <f>原始输入与口径!CK144</f>
        <v>40</v>
      </c>
      <c r="M240" s="16">
        <f>原始输入与口径!BT144</f>
        <v>24</v>
      </c>
      <c r="N240" s="16">
        <f>原始输入与口径!BJ144</f>
        <v>24</v>
      </c>
      <c r="O240" s="16">
        <f t="shared" si="70"/>
        <v>3.4697142857142857E-2</v>
      </c>
      <c r="P240" s="16">
        <f t="shared" si="71"/>
        <v>0.56064000000000003</v>
      </c>
      <c r="Q240" s="17">
        <f t="shared" si="72"/>
        <v>-100.44410359651488</v>
      </c>
      <c r="R240" s="17">
        <f t="shared" si="73"/>
        <v>600.3087302041049</v>
      </c>
      <c r="S240" s="17">
        <f t="shared" si="74"/>
        <v>43.233663026699446</v>
      </c>
      <c r="T240" s="17">
        <f t="shared" si="75"/>
        <v>14.487450688925733</v>
      </c>
      <c r="U240" s="17">
        <f t="shared" si="76"/>
        <v>4.6220537909292121</v>
      </c>
      <c r="V240" s="17">
        <f t="shared" si="77"/>
        <v>7.634076313532673</v>
      </c>
      <c r="W240" s="17">
        <f t="shared" si="78"/>
        <v>569.84187042767701</v>
      </c>
      <c r="X240" s="12">
        <f>原始输入与口径!CP144</f>
        <v>569.84187042767712</v>
      </c>
      <c r="Y240" s="19">
        <f t="shared" si="79"/>
        <v>0</v>
      </c>
      <c r="Z240" s="12" t="str">
        <f t="shared" si="91"/>
        <v>当日执行</v>
      </c>
      <c r="AA240" s="12">
        <f>IF(原始输入与口径!AW144,1,0)</f>
        <v>1</v>
      </c>
      <c r="AB240" s="12">
        <f>IF(原始输入与口径!AY144,1,0)</f>
        <v>1</v>
      </c>
      <c r="AC240" s="12">
        <f>原始输入与口径!$F$5</f>
        <v>0.25</v>
      </c>
      <c r="AD240" s="18">
        <f>原始输入与口径!CG144</f>
        <v>0.3125</v>
      </c>
      <c r="AE240" s="18">
        <f>原始输入与口径!BQ144</f>
        <v>0.13714285714285715</v>
      </c>
      <c r="AF240" s="18">
        <f t="shared" si="81"/>
        <v>5.7828571428571425E-3</v>
      </c>
      <c r="AG240" s="18">
        <f t="shared" si="82"/>
        <v>9.3439999999999995E-2</v>
      </c>
      <c r="AH240" s="12">
        <f>IF(ISNUMBER(原始输入与口径!T144),原始输入与口径!T144,"缺失")</f>
        <v>175</v>
      </c>
      <c r="AI240" s="12">
        <f>IF(ISNUMBER(原始输入与口径!Y144),原始输入与口径!Y144,"缺失")</f>
        <v>175</v>
      </c>
      <c r="AJ240" s="12">
        <f>IF(ISNUMBER(原始输入与口径!AI144),原始输入与口径!AI144,"缺失")</f>
        <v>0.253</v>
      </c>
      <c r="AK240" s="12">
        <f>IF(ISNUMBER(原始输入与口径!AL144),原始输入与口径!AL144,"缺失")</f>
        <v>4.0880000000000001</v>
      </c>
      <c r="AL240" s="12">
        <f>IF(ISNUMBER(原始输入与口径!O144),原始输入与口径!O144,"缺失")</f>
        <v>51.968000000000004</v>
      </c>
      <c r="AM240" s="12">
        <f>SUMIFS(相位SOC复算!$N$9:$N$929,相位SOC复算!$S$9:$S$929,232)</f>
        <v>4.2563703673627893E-3</v>
      </c>
      <c r="AN240" s="12">
        <f>SUMIFS(相位SOC复算!$Q$9:$Q$929,相位SOC复算!$S$9:$S$929,232)</f>
        <v>1.6319042104116488</v>
      </c>
      <c r="AO240" s="12">
        <f>SUMIFS(相位SOC复算!$R$9:$R$929,相位SOC复算!$S$9:$S$929,232)</f>
        <v>2.8466141978136326E-2</v>
      </c>
      <c r="AP240" s="12">
        <f>相位SOC复算!J571</f>
        <v>33.209540849689382</v>
      </c>
      <c r="AQ240" s="19">
        <f t="shared" si="83"/>
        <v>0</v>
      </c>
      <c r="AR240" s="12">
        <f>IF(ISBLANK(原始输入与口径!M144),"",原始输入与口径!M144)</f>
        <v>5.2473000000000001</v>
      </c>
      <c r="AS240" s="14">
        <f>IF(ISBLANK(原始输入与口径!L144),"",原始输入与口径!L144)</f>
        <v>46234</v>
      </c>
      <c r="AT240" s="13">
        <f>IF(ISBLANK(原始输入与口径!A144),"",原始输入与口径!A144)</f>
        <v>46236.28125</v>
      </c>
      <c r="AU240" s="12" t="str">
        <f>IF(ISBLANK(原始输入与口径!I144),"",原始输入与口径!I144)</f>
        <v>2026-08-02_36</v>
      </c>
      <c r="AV240" s="12">
        <f>IF(ISBLANK(原始输入与口径!J144),"",原始输入与口径!J144)</f>
        <v>15</v>
      </c>
      <c r="AW240" s="12" t="str">
        <f>IF(ISBLANK(原始输入与口径!BB144),"",原始输入与口径!BB144)</f>
        <v>OK</v>
      </c>
      <c r="AX240" s="12">
        <f>原始输入与口径!CI144</f>
        <v>128</v>
      </c>
      <c r="AY240" s="12">
        <f>原始输入与口径!BS144</f>
        <v>175</v>
      </c>
      <c r="AZ240" s="12">
        <f>原始输入与口径!BI144</f>
        <v>175</v>
      </c>
      <c r="BA240" s="12">
        <f>原始输入与口径!CM144</f>
        <v>40</v>
      </c>
      <c r="BB240" s="12">
        <f>原始输入与口径!BV144</f>
        <v>24</v>
      </c>
      <c r="BC240" s="12">
        <f>原始输入与口径!BL144</f>
        <v>24</v>
      </c>
      <c r="BD240" s="14">
        <f>46236</f>
        <v>46236</v>
      </c>
      <c r="BE240" s="1" t="str">
        <f t="shared" si="84"/>
        <v>-4.309981 MW × 93.220000 × 0.250000 h = -100.444104 EUR</v>
      </c>
      <c r="BF240" s="1" t="str">
        <f t="shared" si="85"/>
        <v>40.000000 MW × 60.030873 × 0.250000 h = 600.308730 EUR</v>
      </c>
      <c r="BG240" s="1" t="str">
        <f t="shared" si="86"/>
        <v>24.000000 MW × 7.205611 × 0.250000 h = 43.233663 EUR</v>
      </c>
      <c r="BH240" s="1" t="str">
        <f t="shared" si="87"/>
        <v>24.000000 MW × 2.414575 × 0.250000 h = 14.487451 EUR</v>
      </c>
      <c r="BI240" s="1" t="str">
        <f t="shared" si="88"/>
        <v>0.034697 MWh × 133.211366 = 4.622054 EUR</v>
      </c>
      <c r="BJ240" s="1" t="str">
        <f t="shared" si="89"/>
        <v>−(0.560640 MWh × -13.616717) = 7.634076 EUR</v>
      </c>
      <c r="BK240" s="1" t="str">
        <f t="shared" si="90"/>
        <v>-100.444104 + 600.308730 + 43.233663 + 14.487451 + 4.622054 + 7.634076 = 569.841870 EUR</v>
      </c>
    </row>
    <row r="241" spans="1:63" ht="21" customHeight="1" x14ac:dyDescent="0.45">
      <c r="A241" s="13">
        <f>原始输入与口径!C145</f>
        <v>46236.416666666664</v>
      </c>
      <c r="B241" s="15">
        <f>IF(ISNUMBER(原始输入与口径!H145),原始输入与口径!H145,"缺失")</f>
        <v>104.9</v>
      </c>
      <c r="C241" s="15">
        <f>IF(ISNUMBER(原始输入与口径!R145),原始输入与口径!R145,"缺失")</f>
        <v>66.224534522516336</v>
      </c>
      <c r="D241" s="15">
        <f>IF(ISNUMBER(原始输入与口径!W145),原始输入与口径!W145,"缺失")</f>
        <v>5.5304632858803577</v>
      </c>
      <c r="E241" s="15">
        <f>IF(ISNUMBER(原始输入与口径!AB145),原始输入与口径!AB145,"缺失")</f>
        <v>3.0015436510205249</v>
      </c>
      <c r="F241" s="15">
        <f>IF(ISNUMBER(原始输入与口径!AG145),原始输入与口径!AG145,"缺失")</f>
        <v>147.75255845863586</v>
      </c>
      <c r="G241" s="15">
        <f>IF(ISNUMBER(原始输入与口径!AJ145),原始输入与口径!AJ145,"缺失")</f>
        <v>-14.510891315533703</v>
      </c>
      <c r="H241" s="15" t="str">
        <f t="shared" si="69"/>
        <v>未模拟</v>
      </c>
      <c r="I241" s="16">
        <f>原始输入与口径!CD145</f>
        <v>33.209540849689382</v>
      </c>
      <c r="J241" s="16">
        <f>原始输入与口径!CE145</f>
        <v>31.862898166459566</v>
      </c>
      <c r="K241" s="16">
        <f>原始输入与口径!BZ145</f>
        <v>0</v>
      </c>
      <c r="L241" s="16">
        <f>原始输入与口径!CK145</f>
        <v>40</v>
      </c>
      <c r="M241" s="16">
        <f>原始输入与口径!BT145</f>
        <v>24</v>
      </c>
      <c r="N241" s="16">
        <f>原始输入与口径!BJ145</f>
        <v>24</v>
      </c>
      <c r="O241" s="16">
        <f t="shared" si="70"/>
        <v>1.4397257142857143</v>
      </c>
      <c r="P241" s="16">
        <f t="shared" si="71"/>
        <v>0.23725714285714286</v>
      </c>
      <c r="Q241" s="17">
        <f t="shared" si="72"/>
        <v>0</v>
      </c>
      <c r="R241" s="17">
        <f t="shared" si="73"/>
        <v>662.24534522516342</v>
      </c>
      <c r="S241" s="17">
        <f t="shared" si="74"/>
        <v>33.182779715282145</v>
      </c>
      <c r="T241" s="17">
        <f t="shared" si="75"/>
        <v>18.00926190612315</v>
      </c>
      <c r="U241" s="17">
        <f t="shared" si="76"/>
        <v>212.72315776440126</v>
      </c>
      <c r="V241" s="17">
        <f t="shared" si="77"/>
        <v>3.4428126138340533</v>
      </c>
      <c r="W241" s="17">
        <f t="shared" si="78"/>
        <v>929.60335722480397</v>
      </c>
      <c r="X241" s="12">
        <f>原始输入与口径!CP145</f>
        <v>929.60335722480409</v>
      </c>
      <c r="Y241" s="19">
        <f t="shared" si="79"/>
        <v>0</v>
      </c>
      <c r="Z241" s="12" t="str">
        <f t="shared" si="91"/>
        <v>当日执行</v>
      </c>
      <c r="AA241" s="12">
        <f>IF(原始输入与口径!AW145,1,0)</f>
        <v>1</v>
      </c>
      <c r="AB241" s="12">
        <f>IF(原始输入与口径!AY145,1,0)</f>
        <v>1</v>
      </c>
      <c r="AC241" s="12">
        <f>原始输入与口径!$F$5</f>
        <v>0.25</v>
      </c>
      <c r="AD241" s="18">
        <f>原始输入与口径!CG145</f>
        <v>0.3125</v>
      </c>
      <c r="AE241" s="18">
        <f>原始输入与口径!BQ145</f>
        <v>0.13714285714285715</v>
      </c>
      <c r="AF241" s="18">
        <f t="shared" si="81"/>
        <v>0.2399542857142857</v>
      </c>
      <c r="AG241" s="18">
        <f t="shared" si="82"/>
        <v>3.9542857142857143E-2</v>
      </c>
      <c r="AH241" s="12">
        <f>IF(ISNUMBER(原始输入与口径!T145),原始输入与口径!T145,"缺失")</f>
        <v>175</v>
      </c>
      <c r="AI241" s="12">
        <f>IF(ISNUMBER(原始输入与口径!Y145),原始输入与口径!Y145,"缺失")</f>
        <v>175</v>
      </c>
      <c r="AJ241" s="12">
        <f>IF(ISNUMBER(原始输入与口径!AI145),原始输入与口径!AI145,"缺失")</f>
        <v>10.497999999999999</v>
      </c>
      <c r="AK241" s="12">
        <f>IF(ISNUMBER(原始输入与口径!AL145),原始输入与口径!AL145,"缺失")</f>
        <v>1.73</v>
      </c>
      <c r="AL241" s="12">
        <f>IF(ISNUMBER(原始输入与口径!O145),原始输入与口径!O145,"缺失")</f>
        <v>71.936000000000007</v>
      </c>
      <c r="AM241" s="12">
        <f>SUMIFS(相位SOC复算!$N$9:$N$929,相位SOC复算!$S$9:$S$929,233)</f>
        <v>4.9533217391304349E-3</v>
      </c>
      <c r="AN241" s="12">
        <f>SUMIFS(相位SOC复算!$Q$9:$Q$929,相位SOC复算!$S$9:$S$929,233)</f>
        <v>0.23725714285714286</v>
      </c>
      <c r="AO241" s="12">
        <f>SUMIFS(相位SOC复算!$R$9:$R$929,相位SOC复算!$S$9:$S$929,233)</f>
        <v>1.4397257142857143</v>
      </c>
      <c r="AP241" s="12">
        <f>相位SOC复算!J574</f>
        <v>31.862898166459566</v>
      </c>
      <c r="AQ241" s="19">
        <f t="shared" si="83"/>
        <v>0</v>
      </c>
      <c r="AR241" s="12">
        <f>IF(ISBLANK(原始输入与口径!M145),"",原始输入与口径!M145)</f>
        <v>5.2473000000000001</v>
      </c>
      <c r="AS241" s="14">
        <f>IF(ISBLANK(原始输入与口径!L145),"",原始输入与口径!L145)</f>
        <v>46234</v>
      </c>
      <c r="AT241" s="13">
        <f>IF(ISBLANK(原始输入与口径!A145),"",原始输入与口径!A145)</f>
        <v>46236.291666666664</v>
      </c>
      <c r="AU241" s="12" t="str">
        <f>IF(ISBLANK(原始输入与口径!I145),"",原始输入与口径!I145)</f>
        <v>2026-08-02_37</v>
      </c>
      <c r="AV241" s="12">
        <f>IF(ISBLANK(原始输入与口径!J145),"",原始输入与口径!J145)</f>
        <v>15</v>
      </c>
      <c r="AW241" s="12" t="str">
        <f>IF(ISBLANK(原始输入与口径!BB145),"",原始输入与口径!BB145)</f>
        <v>OK</v>
      </c>
      <c r="AX241" s="12">
        <f>原始输入与口径!CI145</f>
        <v>128</v>
      </c>
      <c r="AY241" s="12">
        <f>原始输入与口径!BS145</f>
        <v>175</v>
      </c>
      <c r="AZ241" s="12">
        <f>原始输入与口径!BI145</f>
        <v>175</v>
      </c>
      <c r="BA241" s="12">
        <f>原始输入与口径!CM145</f>
        <v>40</v>
      </c>
      <c r="BB241" s="12">
        <f>原始输入与口径!BV145</f>
        <v>24</v>
      </c>
      <c r="BC241" s="12">
        <f>原始输入与口径!BL145</f>
        <v>24</v>
      </c>
      <c r="BD241" s="14">
        <f>46236</f>
        <v>46236</v>
      </c>
      <c r="BE241" s="1" t="str">
        <f t="shared" si="84"/>
        <v>零头寸，无结算现金</v>
      </c>
      <c r="BF241" s="1" t="str">
        <f t="shared" si="85"/>
        <v>40.000000 MW × 66.224535 × 0.250000 h = 662.245345 EUR</v>
      </c>
      <c r="BG241" s="1" t="str">
        <f t="shared" si="86"/>
        <v>24.000000 MW × 5.530463 × 0.250000 h = 33.182780 EUR</v>
      </c>
      <c r="BH241" s="1" t="str">
        <f t="shared" si="87"/>
        <v>24.000000 MW × 3.001544 × 0.250000 h = 18.009262 EUR</v>
      </c>
      <c r="BI241" s="1" t="str">
        <f t="shared" si="88"/>
        <v>1.439726 MWh × 147.752558 = 212.723158 EUR</v>
      </c>
      <c r="BJ241" s="1" t="str">
        <f t="shared" si="89"/>
        <v>−(0.237257 MWh × -14.510891) = 3.442813 EUR</v>
      </c>
      <c r="BK241" s="1" t="str">
        <f t="shared" si="90"/>
        <v>0.000000 + 662.245345 + 33.182780 + 18.009262 + 212.723158 + 3.442813 = 929.603357 EUR</v>
      </c>
    </row>
    <row r="242" spans="1:63" ht="21" customHeight="1" x14ac:dyDescent="0.45">
      <c r="A242" s="13">
        <f>原始输入与口径!C146</f>
        <v>46236.427083333336</v>
      </c>
      <c r="B242" s="15">
        <f>IF(ISNUMBER(原始输入与口径!H146),原始输入与口径!H146,"缺失")</f>
        <v>84.56</v>
      </c>
      <c r="C242" s="15">
        <f>IF(ISNUMBER(原始输入与口径!R146),原始输入与口径!R146,"缺失")</f>
        <v>66.224534522516336</v>
      </c>
      <c r="D242" s="15">
        <f>IF(ISNUMBER(原始输入与口径!W146),原始输入与口径!W146,"缺失")</f>
        <v>5.5304632858803577</v>
      </c>
      <c r="E242" s="15">
        <f>IF(ISNUMBER(原始输入与口径!AB146),原始输入与口径!AB146,"缺失")</f>
        <v>3.0015436510205249</v>
      </c>
      <c r="F242" s="15">
        <f>IF(ISNUMBER(原始输入与口径!AG146),原始输入与口径!AG146,"缺失")</f>
        <v>133.21136584529185</v>
      </c>
      <c r="G242" s="15">
        <f>IF(ISNUMBER(原始输入与口径!AJ146),原始输入与口径!AJ146,"缺失")</f>
        <v>72.142435157128432</v>
      </c>
      <c r="H242" s="15" t="str">
        <f t="shared" si="69"/>
        <v>未模拟</v>
      </c>
      <c r="I242" s="16">
        <f>原始输入与口径!CD146</f>
        <v>31.862898166459566</v>
      </c>
      <c r="J242" s="16">
        <f>原始输入与口径!CE146</f>
        <v>31.739130434782545</v>
      </c>
      <c r="K242" s="16">
        <f>原始输入与口径!BZ146</f>
        <v>0</v>
      </c>
      <c r="L242" s="16">
        <f>原始输入与口径!CK146</f>
        <v>40</v>
      </c>
      <c r="M242" s="16">
        <f>原始输入与口径!BT146</f>
        <v>24</v>
      </c>
      <c r="N242" s="16">
        <f>原始输入与口径!BJ146</f>
        <v>24</v>
      </c>
      <c r="O242" s="16">
        <f t="shared" si="70"/>
        <v>0.12918857142857143</v>
      </c>
      <c r="P242" s="16">
        <f t="shared" si="71"/>
        <v>1.8102857142857143E-2</v>
      </c>
      <c r="Q242" s="17">
        <f t="shared" si="72"/>
        <v>0</v>
      </c>
      <c r="R242" s="17">
        <f t="shared" si="73"/>
        <v>662.24534522516342</v>
      </c>
      <c r="S242" s="17">
        <f t="shared" si="74"/>
        <v>33.182779715282145</v>
      </c>
      <c r="T242" s="17">
        <f t="shared" si="75"/>
        <v>18.00926190612315</v>
      </c>
      <c r="U242" s="17">
        <f t="shared" si="76"/>
        <v>17.209386051602046</v>
      </c>
      <c r="V242" s="17">
        <f t="shared" si="77"/>
        <v>-1.3059841975873308</v>
      </c>
      <c r="W242" s="17">
        <f t="shared" si="78"/>
        <v>729.34078870058329</v>
      </c>
      <c r="X242" s="12">
        <f>原始输入与口径!CP146</f>
        <v>729.3407887005834</v>
      </c>
      <c r="Y242" s="19">
        <f t="shared" si="79"/>
        <v>0</v>
      </c>
      <c r="Z242" s="12" t="str">
        <f t="shared" si="91"/>
        <v>当日执行</v>
      </c>
      <c r="AA242" s="12">
        <f>IF(原始输入与口径!AW146,1,0)</f>
        <v>1</v>
      </c>
      <c r="AB242" s="12">
        <f>IF(原始输入与口径!AY146,1,0)</f>
        <v>1</v>
      </c>
      <c r="AC242" s="12">
        <f>原始输入与口径!$F$5</f>
        <v>0.25</v>
      </c>
      <c r="AD242" s="18">
        <f>原始输入与口径!CG146</f>
        <v>0.3125</v>
      </c>
      <c r="AE242" s="18">
        <f>原始输入与口径!BQ146</f>
        <v>0.13714285714285715</v>
      </c>
      <c r="AF242" s="18">
        <f t="shared" si="81"/>
        <v>2.1531428571428569E-2</v>
      </c>
      <c r="AG242" s="18">
        <f t="shared" si="82"/>
        <v>3.0171428571428571E-3</v>
      </c>
      <c r="AH242" s="12">
        <f>IF(ISNUMBER(原始输入与口径!T146),原始输入与口径!T146,"缺失")</f>
        <v>175</v>
      </c>
      <c r="AI242" s="12">
        <f>IF(ISNUMBER(原始输入与口径!Y146),原始输入与口径!Y146,"缺失")</f>
        <v>175</v>
      </c>
      <c r="AJ242" s="12">
        <f>IF(ISNUMBER(原始输入与口径!AI146),原始输入与口径!AI146,"缺失")</f>
        <v>0.94199999999999995</v>
      </c>
      <c r="AK242" s="12">
        <f>IF(ISNUMBER(原始输入与口径!AL146),原始输入与口径!AL146,"缺失")</f>
        <v>0.13200000000000001</v>
      </c>
      <c r="AL242" s="12">
        <f>IF(ISNUMBER(原始输入与口径!O146),原始输入与口径!O146,"缺失")</f>
        <v>71.936000000000007</v>
      </c>
      <c r="AM242" s="12">
        <f>SUMIFS(相位SOC复算!$N$9:$N$929,相位SOC复算!$S$9:$S$929,234)</f>
        <v>4.363249689440993E-4</v>
      </c>
      <c r="AN242" s="12">
        <f>SUMIFS(相位SOC复算!$Q$9:$Q$929,相位SOC复算!$S$9:$S$929,234)</f>
        <v>1.8102857142857143E-2</v>
      </c>
      <c r="AO242" s="12">
        <f>SUMIFS(相位SOC复算!$R$9:$R$929,相位SOC复算!$S$9:$S$929,234)</f>
        <v>0.12918857142857143</v>
      </c>
      <c r="AP242" s="12">
        <f>相位SOC复算!J577</f>
        <v>31.739130434782545</v>
      </c>
      <c r="AQ242" s="19">
        <f t="shared" si="83"/>
        <v>0</v>
      </c>
      <c r="AR242" s="12">
        <f>IF(ISBLANK(原始输入与口径!M146),"",原始输入与口径!M146)</f>
        <v>5.2473000000000001</v>
      </c>
      <c r="AS242" s="14">
        <f>IF(ISBLANK(原始输入与口径!L146),"",原始输入与口径!L146)</f>
        <v>46234</v>
      </c>
      <c r="AT242" s="13">
        <f>IF(ISBLANK(原始输入与口径!A146),"",原始输入与口径!A146)</f>
        <v>46236.302083333336</v>
      </c>
      <c r="AU242" s="12" t="str">
        <f>IF(ISBLANK(原始输入与口径!I146),"",原始输入与口径!I146)</f>
        <v>2026-08-02_38</v>
      </c>
      <c r="AV242" s="12">
        <f>IF(ISBLANK(原始输入与口径!J146),"",原始输入与口径!J146)</f>
        <v>15</v>
      </c>
      <c r="AW242" s="12" t="str">
        <f>IF(ISBLANK(原始输入与口径!BB146),"",原始输入与口径!BB146)</f>
        <v>OK</v>
      </c>
      <c r="AX242" s="12">
        <f>原始输入与口径!CI146</f>
        <v>128</v>
      </c>
      <c r="AY242" s="12">
        <f>原始输入与口径!BS146</f>
        <v>175</v>
      </c>
      <c r="AZ242" s="12">
        <f>原始输入与口径!BI146</f>
        <v>175</v>
      </c>
      <c r="BA242" s="12">
        <f>原始输入与口径!CM146</f>
        <v>40</v>
      </c>
      <c r="BB242" s="12">
        <f>原始输入与口径!BV146</f>
        <v>24</v>
      </c>
      <c r="BC242" s="12">
        <f>原始输入与口径!BL146</f>
        <v>24</v>
      </c>
      <c r="BD242" s="14">
        <f>46236</f>
        <v>46236</v>
      </c>
      <c r="BE242" s="1" t="str">
        <f t="shared" si="84"/>
        <v>零头寸，无结算现金</v>
      </c>
      <c r="BF242" s="1" t="str">
        <f t="shared" si="85"/>
        <v>40.000000 MW × 66.224535 × 0.250000 h = 662.245345 EUR</v>
      </c>
      <c r="BG242" s="1" t="str">
        <f t="shared" si="86"/>
        <v>24.000000 MW × 5.530463 × 0.250000 h = 33.182780 EUR</v>
      </c>
      <c r="BH242" s="1" t="str">
        <f t="shared" si="87"/>
        <v>24.000000 MW × 3.001544 × 0.250000 h = 18.009262 EUR</v>
      </c>
      <c r="BI242" s="1" t="str">
        <f t="shared" si="88"/>
        <v>0.129189 MWh × 133.211366 = 17.209386 EUR</v>
      </c>
      <c r="BJ242" s="1" t="str">
        <f t="shared" si="89"/>
        <v>−(0.018103 MWh × 72.142435) = -1.305984 EUR</v>
      </c>
      <c r="BK242" s="1" t="str">
        <f t="shared" si="90"/>
        <v>0.000000 + 662.245345 + 33.182780 + 18.009262 + 17.209386 + -1.305984 = 729.340789 EUR</v>
      </c>
    </row>
    <row r="243" spans="1:63" ht="21" customHeight="1" x14ac:dyDescent="0.45">
      <c r="A243" s="13">
        <f>原始输入与口径!C147</f>
        <v>46236.4375</v>
      </c>
      <c r="B243" s="15">
        <f>IF(ISNUMBER(原始输入与口径!H147),原始输入与口径!H147,"缺失")</f>
        <v>54.53</v>
      </c>
      <c r="C243" s="15">
        <f>IF(ISNUMBER(原始输入与口径!R147),原始输入与口径!R147,"缺失")</f>
        <v>66.224534522516336</v>
      </c>
      <c r="D243" s="15">
        <f>IF(ISNUMBER(原始输入与口径!W147),原始输入与口径!W147,"缺失")</f>
        <v>5.5304632858803577</v>
      </c>
      <c r="E243" s="15">
        <f>IF(ISNUMBER(原始输入与口径!AB147),原始输入与口径!AB147,"缺失")</f>
        <v>3.0015436510205249</v>
      </c>
      <c r="F243" s="15">
        <f>IF(ISNUMBER(原始输入与口径!AG147),原始输入与口径!AG147,"缺失")</f>
        <v>133.21136584529185</v>
      </c>
      <c r="G243" s="15">
        <f>IF(ISNUMBER(原始输入与口径!AJ147),原始输入与口径!AJ147,"缺失")</f>
        <v>-2.135574485926095</v>
      </c>
      <c r="H243" s="15" t="str">
        <f t="shared" si="69"/>
        <v>未模拟</v>
      </c>
      <c r="I243" s="16">
        <f>原始输入与口径!CD147</f>
        <v>31.739130434782545</v>
      </c>
      <c r="J243" s="16">
        <f>原始输入与口径!CE147</f>
        <v>31.739130434782538</v>
      </c>
      <c r="K243" s="16">
        <f>原始输入与口径!BZ147</f>
        <v>1.4801994166607806</v>
      </c>
      <c r="L243" s="16">
        <f>原始输入与口径!CK147</f>
        <v>40</v>
      </c>
      <c r="M243" s="16">
        <f>原始输入与口径!BT147</f>
        <v>24</v>
      </c>
      <c r="N243" s="16">
        <f>原始输入与口径!BJ147</f>
        <v>24</v>
      </c>
      <c r="O243" s="16">
        <f t="shared" si="70"/>
        <v>2.7428571428571432E-4</v>
      </c>
      <c r="P243" s="16">
        <f t="shared" si="71"/>
        <v>0.43268571428571428</v>
      </c>
      <c r="Q243" s="17">
        <f t="shared" si="72"/>
        <v>20.17881854762809</v>
      </c>
      <c r="R243" s="17">
        <f t="shared" si="73"/>
        <v>662.24534522516342</v>
      </c>
      <c r="S243" s="17">
        <f t="shared" si="74"/>
        <v>33.182779715282145</v>
      </c>
      <c r="T243" s="17">
        <f t="shared" si="75"/>
        <v>18.00926190612315</v>
      </c>
      <c r="U243" s="17">
        <f t="shared" si="76"/>
        <v>3.6537974631851482E-2</v>
      </c>
      <c r="V243" s="17">
        <f t="shared" si="77"/>
        <v>0.92403257185327947</v>
      </c>
      <c r="W243" s="17">
        <f t="shared" si="78"/>
        <v>734.57677594068196</v>
      </c>
      <c r="X243" s="12">
        <f>原始输入与口径!CP147</f>
        <v>734.57677594068196</v>
      </c>
      <c r="Y243" s="19">
        <f t="shared" si="79"/>
        <v>0</v>
      </c>
      <c r="Z243" s="12" t="str">
        <f t="shared" si="91"/>
        <v>当日执行</v>
      </c>
      <c r="AA243" s="12">
        <f>IF(原始输入与口径!AW147,1,0)</f>
        <v>1</v>
      </c>
      <c r="AB243" s="12">
        <f>IF(原始输入与口径!AY147,1,0)</f>
        <v>1</v>
      </c>
      <c r="AC243" s="12">
        <f>原始输入与口径!$F$5</f>
        <v>0.25</v>
      </c>
      <c r="AD243" s="18">
        <f>原始输入与口径!CG147</f>
        <v>0.3125</v>
      </c>
      <c r="AE243" s="18">
        <f>原始输入与口径!BQ147</f>
        <v>0.13714285714285715</v>
      </c>
      <c r="AF243" s="18">
        <f t="shared" si="81"/>
        <v>4.5714285714285716E-5</v>
      </c>
      <c r="AG243" s="18">
        <f t="shared" si="82"/>
        <v>7.2114285714285714E-2</v>
      </c>
      <c r="AH243" s="12">
        <f>IF(ISNUMBER(原始输入与口径!T147),原始输入与口径!T147,"缺失")</f>
        <v>175</v>
      </c>
      <c r="AI243" s="12">
        <f>IF(ISNUMBER(原始输入与口径!Y147),原始输入与口径!Y147,"缺失")</f>
        <v>175</v>
      </c>
      <c r="AJ243" s="12">
        <f>IF(ISNUMBER(原始输入与口径!AI147),原始输入与口径!AI147,"缺失")</f>
        <v>2E-3</v>
      </c>
      <c r="AK243" s="12">
        <f>IF(ISNUMBER(原始输入与口径!AL147),原始输入与口径!AL147,"缺失")</f>
        <v>3.1549999999999998</v>
      </c>
      <c r="AL243" s="12">
        <f>IF(ISNUMBER(原始输入与口径!O147),原始输入与口径!O147,"缺失")</f>
        <v>71.936000000000007</v>
      </c>
      <c r="AM243" s="12">
        <f>SUMIFS(相位SOC复算!$N$9:$N$929,相位SOC复算!$S$9:$S$929,235)</f>
        <v>2.0751102594666797E-3</v>
      </c>
      <c r="AN243" s="12">
        <f>SUMIFS(相位SOC复算!$Q$9:$Q$929,相位SOC复算!$S$9:$S$929,235)</f>
        <v>0.40599983337391565</v>
      </c>
      <c r="AO243" s="12">
        <f>SUMIFS(相位SOC复算!$R$9:$R$929,相位SOC复算!$S$9:$S$929,235)</f>
        <v>0.34363825896768224</v>
      </c>
      <c r="AP243" s="12">
        <f>相位SOC复算!J580</f>
        <v>31.739130434782538</v>
      </c>
      <c r="AQ243" s="19">
        <f t="shared" si="83"/>
        <v>0</v>
      </c>
      <c r="AR243" s="12">
        <f>IF(ISBLANK(原始输入与口径!M147),"",原始输入与口径!M147)</f>
        <v>5.2473000000000001</v>
      </c>
      <c r="AS243" s="14">
        <f>IF(ISBLANK(原始输入与口径!L147),"",原始输入与口径!L147)</f>
        <v>46234</v>
      </c>
      <c r="AT243" s="13">
        <f>IF(ISBLANK(原始输入与口径!A147),"",原始输入与口径!A147)</f>
        <v>46236.3125</v>
      </c>
      <c r="AU243" s="12" t="str">
        <f>IF(ISBLANK(原始输入与口径!I147),"",原始输入与口径!I147)</f>
        <v>2026-08-02_39</v>
      </c>
      <c r="AV243" s="12">
        <f>IF(ISBLANK(原始输入与口径!J147),"",原始输入与口径!J147)</f>
        <v>15</v>
      </c>
      <c r="AW243" s="12" t="str">
        <f>IF(ISBLANK(原始输入与口径!BB147),"",原始输入与口径!BB147)</f>
        <v>OK</v>
      </c>
      <c r="AX243" s="12">
        <f>原始输入与口径!CI147</f>
        <v>128</v>
      </c>
      <c r="AY243" s="12">
        <f>原始输入与口径!BS147</f>
        <v>175</v>
      </c>
      <c r="AZ243" s="12">
        <f>原始输入与口径!BI147</f>
        <v>175</v>
      </c>
      <c r="BA243" s="12">
        <f>原始输入与口径!CM147</f>
        <v>40</v>
      </c>
      <c r="BB243" s="12">
        <f>原始输入与口径!BV147</f>
        <v>24</v>
      </c>
      <c r="BC243" s="12">
        <f>原始输入与口径!BL147</f>
        <v>24</v>
      </c>
      <c r="BD243" s="14">
        <f>46236</f>
        <v>46236</v>
      </c>
      <c r="BE243" s="1" t="str">
        <f t="shared" si="84"/>
        <v>1.480199 MW × 54.530000 × 0.250000 h = 20.178819 EUR</v>
      </c>
      <c r="BF243" s="1" t="str">
        <f t="shared" si="85"/>
        <v>40.000000 MW × 66.224535 × 0.250000 h = 662.245345 EUR</v>
      </c>
      <c r="BG243" s="1" t="str">
        <f t="shared" si="86"/>
        <v>24.000000 MW × 5.530463 × 0.250000 h = 33.182780 EUR</v>
      </c>
      <c r="BH243" s="1" t="str">
        <f t="shared" si="87"/>
        <v>24.000000 MW × 3.001544 × 0.250000 h = 18.009262 EUR</v>
      </c>
      <c r="BI243" s="1" t="str">
        <f t="shared" si="88"/>
        <v>0.000274 MWh × 133.211366 = 0.036538 EUR</v>
      </c>
      <c r="BJ243" s="1" t="str">
        <f t="shared" si="89"/>
        <v>−(0.432686 MWh × -2.135574) = 0.924033 EUR</v>
      </c>
      <c r="BK243" s="1" t="str">
        <f t="shared" si="90"/>
        <v>20.178819 + 662.245345 + 33.182780 + 18.009262 + 0.036538 + 0.924033 = 734.576776 EUR</v>
      </c>
    </row>
    <row r="244" spans="1:63" ht="21" customHeight="1" x14ac:dyDescent="0.45">
      <c r="A244" s="13">
        <f>原始输入与口径!C148</f>
        <v>46236.447916666664</v>
      </c>
      <c r="B244" s="15">
        <f>IF(ISNUMBER(原始输入与口径!H148),原始输入与口径!H148,"缺失")</f>
        <v>11.21</v>
      </c>
      <c r="C244" s="15">
        <f>IF(ISNUMBER(原始输入与口径!R148),原始输入与口径!R148,"缺失")</f>
        <v>66.224534522516336</v>
      </c>
      <c r="D244" s="15">
        <f>IF(ISNUMBER(原始输入与口径!W148),原始输入与口径!W148,"缺失")</f>
        <v>5.5304632858803577</v>
      </c>
      <c r="E244" s="15">
        <f>IF(ISNUMBER(原始输入与口径!AB148),原始输入与口径!AB148,"缺失")</f>
        <v>3.0015436510205249</v>
      </c>
      <c r="F244" s="15">
        <f>IF(ISNUMBER(原始输入与口径!AG148),原始输入与口径!AG148,"缺失")</f>
        <v>0</v>
      </c>
      <c r="G244" s="15">
        <f>IF(ISNUMBER(原始输入与口径!AJ148),原始输入与口径!AJ148,"缺失")</f>
        <v>30.115297391039199</v>
      </c>
      <c r="H244" s="15" t="str">
        <f t="shared" si="69"/>
        <v>未模拟</v>
      </c>
      <c r="I244" s="16">
        <f>原始输入与口径!CD148</f>
        <v>31.739130434782538</v>
      </c>
      <c r="J244" s="16">
        <f>原始输入与口径!CE148</f>
        <v>32.562651349068254</v>
      </c>
      <c r="K244" s="16">
        <f>原始输入与口径!BZ148</f>
        <v>0</v>
      </c>
      <c r="L244" s="16">
        <f>原始输入与口径!CK148</f>
        <v>40</v>
      </c>
      <c r="M244" s="16">
        <f>原始输入与口径!BT148</f>
        <v>24</v>
      </c>
      <c r="N244" s="16">
        <f>原始输入与口径!BJ148</f>
        <v>24</v>
      </c>
      <c r="O244" s="16">
        <f t="shared" si="70"/>
        <v>0</v>
      </c>
      <c r="P244" s="16">
        <f t="shared" si="71"/>
        <v>0.89513142857142847</v>
      </c>
      <c r="Q244" s="17">
        <f t="shared" si="72"/>
        <v>0</v>
      </c>
      <c r="R244" s="17">
        <f t="shared" si="73"/>
        <v>662.24534522516342</v>
      </c>
      <c r="S244" s="17">
        <f t="shared" si="74"/>
        <v>33.182779715282145</v>
      </c>
      <c r="T244" s="17">
        <f t="shared" si="75"/>
        <v>18.00926190612315</v>
      </c>
      <c r="U244" s="17">
        <f t="shared" si="76"/>
        <v>0</v>
      </c>
      <c r="V244" s="17">
        <f t="shared" si="77"/>
        <v>-26.95714917549433</v>
      </c>
      <c r="W244" s="17">
        <f t="shared" si="78"/>
        <v>686.48023767107429</v>
      </c>
      <c r="X244" s="12">
        <f>原始输入与口径!CP148</f>
        <v>686.48023767107441</v>
      </c>
      <c r="Y244" s="19">
        <f t="shared" si="79"/>
        <v>0</v>
      </c>
      <c r="Z244" s="12" t="str">
        <f t="shared" si="91"/>
        <v>当日执行</v>
      </c>
      <c r="AA244" s="12">
        <f>IF(原始输入与口径!AW148,1,0)</f>
        <v>1</v>
      </c>
      <c r="AB244" s="12">
        <f>IF(原始输入与口径!AY148,1,0)</f>
        <v>1</v>
      </c>
      <c r="AC244" s="12">
        <f>原始输入与口径!$F$5</f>
        <v>0.25</v>
      </c>
      <c r="AD244" s="18">
        <f>原始输入与口径!CG148</f>
        <v>0.3125</v>
      </c>
      <c r="AE244" s="18">
        <f>原始输入与口径!BQ148</f>
        <v>0.13714285714285715</v>
      </c>
      <c r="AF244" s="18">
        <f t="shared" si="81"/>
        <v>0</v>
      </c>
      <c r="AG244" s="18">
        <f t="shared" si="82"/>
        <v>0.14918857142857142</v>
      </c>
      <c r="AH244" s="12">
        <f>IF(ISNUMBER(原始输入与口径!T148),原始输入与口径!T148,"缺失")</f>
        <v>175</v>
      </c>
      <c r="AI244" s="12">
        <f>IF(ISNUMBER(原始输入与口径!Y148),原始输入与口径!Y148,"缺失")</f>
        <v>175</v>
      </c>
      <c r="AJ244" s="12">
        <f>IF(ISNUMBER(原始输入与口径!AI148),原始输入与口径!AI148,"缺失")</f>
        <v>0</v>
      </c>
      <c r="AK244" s="12">
        <f>IF(ISNUMBER(原始输入与口径!AL148),原始输入与口径!AL148,"缺失")</f>
        <v>6.5270000000000001</v>
      </c>
      <c r="AL244" s="12">
        <f>IF(ISNUMBER(原始输入与口径!O148),原始输入与口径!O148,"缺失")</f>
        <v>71.936000000000007</v>
      </c>
      <c r="AM244" s="12">
        <f>SUMIFS(相位SOC复算!$N$9:$N$929,相位SOC复算!$S$9:$S$929,236)</f>
        <v>2.2875580952380951E-3</v>
      </c>
      <c r="AN244" s="12">
        <f>SUMIFS(相位SOC复算!$Q$9:$Q$929,相位SOC复算!$S$9:$S$929,236)</f>
        <v>0.89513142857142847</v>
      </c>
      <c r="AO244" s="12">
        <f>SUMIFS(相位SOC复算!$R$9:$R$929,相位SOC复算!$S$9:$S$929,236)</f>
        <v>0</v>
      </c>
      <c r="AP244" s="12">
        <f>相位SOC复算!J582</f>
        <v>32.562651349068254</v>
      </c>
      <c r="AQ244" s="19">
        <f t="shared" si="83"/>
        <v>0</v>
      </c>
      <c r="AR244" s="12">
        <f>IF(ISBLANK(原始输入与口径!M148),"",原始输入与口径!M148)</f>
        <v>5.2473000000000001</v>
      </c>
      <c r="AS244" s="14">
        <f>IF(ISBLANK(原始输入与口径!L148),"",原始输入与口径!L148)</f>
        <v>46234</v>
      </c>
      <c r="AT244" s="13">
        <f>IF(ISBLANK(原始输入与口径!A148),"",原始输入与口径!A148)</f>
        <v>46236.322916666664</v>
      </c>
      <c r="AU244" s="12" t="str">
        <f>IF(ISBLANK(原始输入与口径!I148),"",原始输入与口径!I148)</f>
        <v>2026-08-02_40</v>
      </c>
      <c r="AV244" s="12">
        <f>IF(ISBLANK(原始输入与口径!J148),"",原始输入与口径!J148)</f>
        <v>15</v>
      </c>
      <c r="AW244" s="12" t="str">
        <f>IF(ISBLANK(原始输入与口径!BB148),"",原始输入与口径!BB148)</f>
        <v>OK</v>
      </c>
      <c r="AX244" s="12">
        <f>原始输入与口径!CI148</f>
        <v>128</v>
      </c>
      <c r="AY244" s="12">
        <f>原始输入与口径!BS148</f>
        <v>175</v>
      </c>
      <c r="AZ244" s="12">
        <f>原始输入与口径!BI148</f>
        <v>175</v>
      </c>
      <c r="BA244" s="12">
        <f>原始输入与口径!CM148</f>
        <v>40</v>
      </c>
      <c r="BB244" s="12">
        <f>原始输入与口径!BV148</f>
        <v>24</v>
      </c>
      <c r="BC244" s="12">
        <f>原始输入与口径!BL148</f>
        <v>24</v>
      </c>
      <c r="BD244" s="14">
        <f>46236</f>
        <v>46236</v>
      </c>
      <c r="BE244" s="1" t="str">
        <f t="shared" si="84"/>
        <v>零头寸，无结算现金</v>
      </c>
      <c r="BF244" s="1" t="str">
        <f t="shared" si="85"/>
        <v>40.000000 MW × 66.224535 × 0.250000 h = 662.245345 EUR</v>
      </c>
      <c r="BG244" s="1" t="str">
        <f t="shared" si="86"/>
        <v>24.000000 MW × 5.530463 × 0.250000 h = 33.182780 EUR</v>
      </c>
      <c r="BH244" s="1" t="str">
        <f t="shared" si="87"/>
        <v>24.000000 MW × 3.001544 × 0.250000 h = 18.009262 EUR</v>
      </c>
      <c r="BI244" s="1" t="str">
        <f t="shared" si="88"/>
        <v>零上调激活电量</v>
      </c>
      <c r="BJ244" s="1" t="str">
        <f t="shared" si="89"/>
        <v>−(0.895131 MWh × 30.115297) = -26.957149 EUR</v>
      </c>
      <c r="BK244" s="1" t="str">
        <f t="shared" si="90"/>
        <v>0.000000 + 662.245345 + 33.182780 + 18.009262 + 0.000000 + -26.957149 = 686.480238 EUR</v>
      </c>
    </row>
    <row r="245" spans="1:63" ht="21" customHeight="1" x14ac:dyDescent="0.45">
      <c r="A245" s="13">
        <f>原始输入与口径!C149</f>
        <v>46236.458333333336</v>
      </c>
      <c r="B245" s="15">
        <f>IF(ISNUMBER(原始输入与口径!H149),原始输入与口径!H149,"缺失")</f>
        <v>11</v>
      </c>
      <c r="C245" s="15">
        <f>IF(ISNUMBER(原始输入与口径!R149),原始输入与口径!R149,"缺失")</f>
        <v>66.224534522516336</v>
      </c>
      <c r="D245" s="15">
        <f>IF(ISNUMBER(原始输入与口径!W149),原始输入与口径!W149,"缺失")</f>
        <v>5.4828197358641582</v>
      </c>
      <c r="E245" s="15">
        <f>IF(ISNUMBER(原始输入与口径!AB149),原始输入与口径!AB149,"缺失")</f>
        <v>3.0072608770224685</v>
      </c>
      <c r="F245" s="15">
        <f>IF(ISNUMBER(原始输入与口径!AG149),原始输入与口径!AG149,"缺失")</f>
        <v>0</v>
      </c>
      <c r="G245" s="15">
        <f>IF(ISNUMBER(原始输入与口径!AJ149),原始输入与口径!AJ149,"缺失")</f>
        <v>-4.9610275760867495</v>
      </c>
      <c r="H245" s="15" t="str">
        <f t="shared" si="69"/>
        <v>未模拟</v>
      </c>
      <c r="I245" s="16">
        <f>原始输入与口径!CD149</f>
        <v>32.562651349068254</v>
      </c>
      <c r="J245" s="16">
        <f>原始输入与口径!CE149</f>
        <v>31.739130434782538</v>
      </c>
      <c r="K245" s="16">
        <f>原始输入与口径!BZ149</f>
        <v>8.9915158359378591</v>
      </c>
      <c r="L245" s="16">
        <f>原始输入与口径!CK149</f>
        <v>40</v>
      </c>
      <c r="M245" s="16">
        <f>原始输入与口径!BT149</f>
        <v>24</v>
      </c>
      <c r="N245" s="16">
        <f>原始输入与口径!BJ149</f>
        <v>24</v>
      </c>
      <c r="O245" s="16">
        <f t="shared" si="70"/>
        <v>0</v>
      </c>
      <c r="P245" s="16">
        <f t="shared" si="71"/>
        <v>1.6485942857142857</v>
      </c>
      <c r="Q245" s="17">
        <f t="shared" si="72"/>
        <v>24.726668548829114</v>
      </c>
      <c r="R245" s="17">
        <f t="shared" si="73"/>
        <v>662.24534522516342</v>
      </c>
      <c r="S245" s="17">
        <f t="shared" si="74"/>
        <v>32.896918415184949</v>
      </c>
      <c r="T245" s="17">
        <f t="shared" si="75"/>
        <v>18.043565262134813</v>
      </c>
      <c r="U245" s="17">
        <f t="shared" si="76"/>
        <v>0</v>
      </c>
      <c r="V245" s="17">
        <f t="shared" si="77"/>
        <v>8.178721713207608</v>
      </c>
      <c r="W245" s="17">
        <f t="shared" si="78"/>
        <v>746.09121916452</v>
      </c>
      <c r="X245" s="12">
        <f>原始输入与口径!CP149</f>
        <v>746.09121916451988</v>
      </c>
      <c r="Y245" s="19">
        <f t="shared" si="79"/>
        <v>0</v>
      </c>
      <c r="Z245" s="12" t="str">
        <f t="shared" si="91"/>
        <v>当日执行</v>
      </c>
      <c r="AA245" s="12">
        <f>IF(原始输入与口径!AW149,1,0)</f>
        <v>1</v>
      </c>
      <c r="AB245" s="12">
        <f>IF(原始输入与口径!AY149,1,0)</f>
        <v>1</v>
      </c>
      <c r="AC245" s="12">
        <f>原始输入与口径!$F$5</f>
        <v>0.25</v>
      </c>
      <c r="AD245" s="18">
        <f>原始输入与口径!CG149</f>
        <v>0.3125</v>
      </c>
      <c r="AE245" s="18">
        <f>原始输入与口径!BQ149</f>
        <v>0.13714285714285715</v>
      </c>
      <c r="AF245" s="18">
        <f t="shared" si="81"/>
        <v>0</v>
      </c>
      <c r="AG245" s="18">
        <f t="shared" si="82"/>
        <v>0.27476571428571428</v>
      </c>
      <c r="AH245" s="12">
        <f>IF(ISNUMBER(原始输入与口径!T149),原始输入与口径!T149,"缺失")</f>
        <v>175</v>
      </c>
      <c r="AI245" s="12">
        <f>IF(ISNUMBER(原始输入与口径!Y149),原始输入与口径!Y149,"缺失")</f>
        <v>175</v>
      </c>
      <c r="AJ245" s="12">
        <f>IF(ISNUMBER(原始输入与口径!AI149),原始输入与口径!AI149,"缺失")</f>
        <v>0</v>
      </c>
      <c r="AK245" s="12">
        <f>IF(ISNUMBER(原始输入与口径!AL149),原始输入与口径!AL149,"缺失")</f>
        <v>12.021000000000001</v>
      </c>
      <c r="AL245" s="12">
        <f>IF(ISNUMBER(原始输入与口径!O149),原始输入与口径!O149,"缺失")</f>
        <v>71.936000000000007</v>
      </c>
      <c r="AM245" s="12">
        <f>SUMIFS(相位SOC复算!$N$9:$N$929,相位SOC复算!$S$9:$S$929,237)</f>
        <v>7.5568796535014559E-3</v>
      </c>
      <c r="AN245" s="12">
        <f>SUMIFS(相位SOC复算!$Q$9:$Q$929,相位SOC复算!$S$9:$S$929,237)</f>
        <v>1.0309542179210913</v>
      </c>
      <c r="AO245" s="12">
        <f>SUMIFS(相位SOC复算!$R$9:$R$929,相位SOC复算!$S$9:$S$929,237)</f>
        <v>1.6302388911912704</v>
      </c>
      <c r="AP245" s="12">
        <f>相位SOC复算!J584</f>
        <v>31.739130434782538</v>
      </c>
      <c r="AQ245" s="19">
        <f t="shared" si="83"/>
        <v>0</v>
      </c>
      <c r="AR245" s="12">
        <f>IF(ISBLANK(原始输入与口径!M149),"",原始输入与口径!M149)</f>
        <v>5.2473000000000001</v>
      </c>
      <c r="AS245" s="14">
        <f>IF(ISBLANK(原始输入与口径!L149),"",原始输入与口径!L149)</f>
        <v>46234</v>
      </c>
      <c r="AT245" s="13">
        <f>IF(ISBLANK(原始输入与口径!A149),"",原始输入与口径!A149)</f>
        <v>46236.333333333336</v>
      </c>
      <c r="AU245" s="12" t="str">
        <f>IF(ISBLANK(原始输入与口径!I149),"",原始输入与口径!I149)</f>
        <v>2026-08-02_41</v>
      </c>
      <c r="AV245" s="12">
        <f>IF(ISBLANK(原始输入与口径!J149),"",原始输入与口径!J149)</f>
        <v>15</v>
      </c>
      <c r="AW245" s="12" t="str">
        <f>IF(ISBLANK(原始输入与口径!BB149),"",原始输入与口径!BB149)</f>
        <v>OK</v>
      </c>
      <c r="AX245" s="12">
        <f>原始输入与口径!CI149</f>
        <v>128</v>
      </c>
      <c r="AY245" s="12">
        <f>原始输入与口径!BS149</f>
        <v>175</v>
      </c>
      <c r="AZ245" s="12">
        <f>原始输入与口径!BI149</f>
        <v>175</v>
      </c>
      <c r="BA245" s="12">
        <f>原始输入与口径!CM149</f>
        <v>40</v>
      </c>
      <c r="BB245" s="12">
        <f>原始输入与口径!BV149</f>
        <v>24</v>
      </c>
      <c r="BC245" s="12">
        <f>原始输入与口径!BL149</f>
        <v>24</v>
      </c>
      <c r="BD245" s="14">
        <f>46236</f>
        <v>46236</v>
      </c>
      <c r="BE245" s="1" t="str">
        <f t="shared" si="84"/>
        <v>8.991516 MW × 11.000000 × 0.250000 h = 24.726669 EUR</v>
      </c>
      <c r="BF245" s="1" t="str">
        <f t="shared" si="85"/>
        <v>40.000000 MW × 66.224535 × 0.250000 h = 662.245345 EUR</v>
      </c>
      <c r="BG245" s="1" t="str">
        <f t="shared" si="86"/>
        <v>24.000000 MW × 5.482820 × 0.250000 h = 32.896918 EUR</v>
      </c>
      <c r="BH245" s="1" t="str">
        <f t="shared" si="87"/>
        <v>24.000000 MW × 3.007261 × 0.250000 h = 18.043565 EUR</v>
      </c>
      <c r="BI245" s="1" t="str">
        <f t="shared" si="88"/>
        <v>零上调激活电量</v>
      </c>
      <c r="BJ245" s="1" t="str">
        <f t="shared" si="89"/>
        <v>−(1.648594 MWh × -4.961028) = 8.178722 EUR</v>
      </c>
      <c r="BK245" s="1" t="str">
        <f t="shared" si="90"/>
        <v>24.726669 + 662.245345 + 32.896918 + 18.043565 + 0.000000 + 8.178722 = 746.091219 EUR</v>
      </c>
    </row>
    <row r="246" spans="1:63" ht="21" customHeight="1" x14ac:dyDescent="0.45">
      <c r="A246" s="13">
        <f>原始输入与口径!C150</f>
        <v>46236.46875</v>
      </c>
      <c r="B246" s="15">
        <f>IF(ISNUMBER(原始输入与口径!H150),原始输入与口径!H150,"缺失")</f>
        <v>3.85</v>
      </c>
      <c r="C246" s="15">
        <f>IF(ISNUMBER(原始输入与口径!R150),原始输入与口径!R150,"缺失")</f>
        <v>66.224534522516336</v>
      </c>
      <c r="D246" s="15">
        <f>IF(ISNUMBER(原始输入与口径!W150),原始输入与口径!W150,"缺失")</f>
        <v>5.4828197358641582</v>
      </c>
      <c r="E246" s="15">
        <f>IF(ISNUMBER(原始输入与口径!AB150),原始输入与口径!AB150,"缺失")</f>
        <v>3.0072608770224685</v>
      </c>
      <c r="F246" s="15">
        <f>IF(ISNUMBER(原始输入与口径!AG150),原始输入与口径!AG150,"缺失")</f>
        <v>0</v>
      </c>
      <c r="G246" s="15">
        <f>IF(ISNUMBER(原始输入与口径!AJ150),原始输入与口径!AJ150,"缺失")</f>
        <v>-27.92826787109561</v>
      </c>
      <c r="H246" s="15" t="str">
        <f t="shared" si="69"/>
        <v>未模拟</v>
      </c>
      <c r="I246" s="16">
        <f>原始输入与口径!CD150</f>
        <v>31.739130434782538</v>
      </c>
      <c r="J246" s="16">
        <f>原始输入与口径!CE150</f>
        <v>42.702165863353969</v>
      </c>
      <c r="K246" s="16">
        <f>原始输入与口径!BZ150</f>
        <v>-36</v>
      </c>
      <c r="L246" s="16">
        <f>原始输入与口径!CK150</f>
        <v>40</v>
      </c>
      <c r="M246" s="16">
        <f>原始输入与口径!BT150</f>
        <v>24</v>
      </c>
      <c r="N246" s="16">
        <f>原始输入与口径!BJ150</f>
        <v>24</v>
      </c>
      <c r="O246" s="16">
        <f t="shared" si="70"/>
        <v>0</v>
      </c>
      <c r="P246" s="16">
        <f t="shared" si="71"/>
        <v>2.9163428571428573</v>
      </c>
      <c r="Q246" s="17">
        <f t="shared" si="72"/>
        <v>-34.65</v>
      </c>
      <c r="R246" s="17">
        <f t="shared" si="73"/>
        <v>662.24534522516342</v>
      </c>
      <c r="S246" s="17">
        <f t="shared" si="74"/>
        <v>32.896918415184949</v>
      </c>
      <c r="T246" s="17">
        <f t="shared" si="75"/>
        <v>18.043565262134813</v>
      </c>
      <c r="U246" s="17">
        <f t="shared" si="76"/>
        <v>0</v>
      </c>
      <c r="V246" s="17">
        <f t="shared" si="77"/>
        <v>81.448404518242043</v>
      </c>
      <c r="W246" s="17">
        <f t="shared" si="78"/>
        <v>759.98423342072522</v>
      </c>
      <c r="X246" s="12">
        <f>原始输入与口径!CP150</f>
        <v>759.98423342072522</v>
      </c>
      <c r="Y246" s="19">
        <f t="shared" si="79"/>
        <v>0</v>
      </c>
      <c r="Z246" s="12" t="str">
        <f t="shared" si="91"/>
        <v>当日执行</v>
      </c>
      <c r="AA246" s="12">
        <f>IF(原始输入与口径!AW150,1,0)</f>
        <v>1</v>
      </c>
      <c r="AB246" s="12">
        <f>IF(原始输入与口径!AY150,1,0)</f>
        <v>1</v>
      </c>
      <c r="AC246" s="12">
        <f>原始输入与口径!$F$5</f>
        <v>0.25</v>
      </c>
      <c r="AD246" s="18">
        <f>原始输入与口径!CG150</f>
        <v>0.3125</v>
      </c>
      <c r="AE246" s="18">
        <f>原始输入与口径!BQ150</f>
        <v>0.13714285714285715</v>
      </c>
      <c r="AF246" s="18">
        <f t="shared" si="81"/>
        <v>0</v>
      </c>
      <c r="AG246" s="18">
        <f t="shared" si="82"/>
        <v>0.48605714285714285</v>
      </c>
      <c r="AH246" s="12">
        <f>IF(ISNUMBER(原始输入与口径!T150),原始输入与口径!T150,"缺失")</f>
        <v>175</v>
      </c>
      <c r="AI246" s="12">
        <f>IF(ISNUMBER(原始输入与口径!Y150),原始输入与口径!Y150,"缺失")</f>
        <v>175</v>
      </c>
      <c r="AJ246" s="12">
        <f>IF(ISNUMBER(原始输入与口径!AI150),原始输入与口径!AI150,"缺失")</f>
        <v>0</v>
      </c>
      <c r="AK246" s="12">
        <f>IF(ISNUMBER(原始输入与口径!AL150),原始输入与口径!AL150,"缺失")</f>
        <v>21.265000000000001</v>
      </c>
      <c r="AL246" s="12">
        <f>IF(ISNUMBER(原始输入与口径!O150),原始输入与口径!O150,"缺失")</f>
        <v>71.936000000000007</v>
      </c>
      <c r="AM246" s="12">
        <f>SUMIFS(相位SOC复算!$N$9:$N$929,相位SOC复算!$S$9:$S$929,238)</f>
        <v>3.0452876190476194E-2</v>
      </c>
      <c r="AN246" s="12">
        <f>SUMIFS(相位SOC复算!$Q$9:$Q$929,相位SOC复算!$S$9:$S$929,238)</f>
        <v>11.916342857142858</v>
      </c>
      <c r="AO246" s="12">
        <f>SUMIFS(相位SOC复算!$R$9:$R$929,相位SOC复算!$S$9:$S$929,238)</f>
        <v>0</v>
      </c>
      <c r="AP246" s="12">
        <f>相位SOC复算!J586</f>
        <v>42.702165863353969</v>
      </c>
      <c r="AQ246" s="19">
        <f t="shared" si="83"/>
        <v>0</v>
      </c>
      <c r="AR246" s="12">
        <f>IF(ISBLANK(原始输入与口径!M150),"",原始输入与口径!M150)</f>
        <v>5.2473000000000001</v>
      </c>
      <c r="AS246" s="14">
        <f>IF(ISBLANK(原始输入与口径!L150),"",原始输入与口径!L150)</f>
        <v>46234</v>
      </c>
      <c r="AT246" s="13">
        <f>IF(ISBLANK(原始输入与口径!A150),"",原始输入与口径!A150)</f>
        <v>46236.34375</v>
      </c>
      <c r="AU246" s="12" t="str">
        <f>IF(ISBLANK(原始输入与口径!I150),"",原始输入与口径!I150)</f>
        <v>2026-08-02_42</v>
      </c>
      <c r="AV246" s="12">
        <f>IF(ISBLANK(原始输入与口径!J150),"",原始输入与口径!J150)</f>
        <v>15</v>
      </c>
      <c r="AW246" s="12" t="str">
        <f>IF(ISBLANK(原始输入与口径!BB150),"",原始输入与口径!BB150)</f>
        <v>OK</v>
      </c>
      <c r="AX246" s="12">
        <f>原始输入与口径!CI150</f>
        <v>128</v>
      </c>
      <c r="AY246" s="12">
        <f>原始输入与口径!BS150</f>
        <v>175</v>
      </c>
      <c r="AZ246" s="12">
        <f>原始输入与口径!BI150</f>
        <v>175</v>
      </c>
      <c r="BA246" s="12">
        <f>原始输入与口径!CM150</f>
        <v>40</v>
      </c>
      <c r="BB246" s="12">
        <f>原始输入与口径!BV150</f>
        <v>24</v>
      </c>
      <c r="BC246" s="12">
        <f>原始输入与口径!BL150</f>
        <v>24</v>
      </c>
      <c r="BD246" s="14">
        <f>46236</f>
        <v>46236</v>
      </c>
      <c r="BE246" s="1" t="str">
        <f t="shared" si="84"/>
        <v>-36.000000 MW × 3.850000 × 0.250000 h = -34.650000 EUR</v>
      </c>
      <c r="BF246" s="1" t="str">
        <f t="shared" si="85"/>
        <v>40.000000 MW × 66.224535 × 0.250000 h = 662.245345 EUR</v>
      </c>
      <c r="BG246" s="1" t="str">
        <f t="shared" si="86"/>
        <v>24.000000 MW × 5.482820 × 0.250000 h = 32.896918 EUR</v>
      </c>
      <c r="BH246" s="1" t="str">
        <f t="shared" si="87"/>
        <v>24.000000 MW × 3.007261 × 0.250000 h = 18.043565 EUR</v>
      </c>
      <c r="BI246" s="1" t="str">
        <f t="shared" si="88"/>
        <v>零上调激活电量</v>
      </c>
      <c r="BJ246" s="1" t="str">
        <f t="shared" si="89"/>
        <v>−(2.916343 MWh × -27.928268) = 81.448405 EUR</v>
      </c>
      <c r="BK246" s="1" t="str">
        <f t="shared" si="90"/>
        <v>-34.650000 + 662.245345 + 32.896918 + 18.043565 + 0.000000 + 81.448405 = 759.984233 EUR</v>
      </c>
    </row>
    <row r="247" spans="1:63" ht="21" customHeight="1" x14ac:dyDescent="0.45">
      <c r="A247" s="13">
        <f>原始输入与口径!C151</f>
        <v>46236.479166666664</v>
      </c>
      <c r="B247" s="15">
        <f>IF(ISNUMBER(原始输入与口径!H151),原始输入与口径!H151,"缺失")</f>
        <v>2.0099999999999998</v>
      </c>
      <c r="C247" s="15">
        <f>IF(ISNUMBER(原始输入与口径!R151),原始输入与口径!R151,"缺失")</f>
        <v>66.224534522516336</v>
      </c>
      <c r="D247" s="15">
        <f>IF(ISNUMBER(原始输入与口径!W151),原始输入与口径!W151,"缺失")</f>
        <v>5.4828197358641582</v>
      </c>
      <c r="E247" s="15">
        <f>IF(ISNUMBER(原始输入与口径!AB151),原始输入与口径!AB151,"缺失")</f>
        <v>3.0072608770224685</v>
      </c>
      <c r="F247" s="15">
        <f>IF(ISNUMBER(原始输入与口径!AG151),原始输入与口径!AG151,"缺失")</f>
        <v>0</v>
      </c>
      <c r="G247" s="15">
        <f>IF(ISNUMBER(原始输入与口径!AJ151),原始输入与口径!AJ151,"缺失")</f>
        <v>-126.7699578831018</v>
      </c>
      <c r="H247" s="15" t="str">
        <f t="shared" si="69"/>
        <v>未模拟</v>
      </c>
      <c r="I247" s="16">
        <f>原始输入与口径!CD151</f>
        <v>42.702165863353969</v>
      </c>
      <c r="J247" s="16">
        <f>原始输入与口径!CE151</f>
        <v>54.773743463353966</v>
      </c>
      <c r="K247" s="16">
        <f>原始输入与口径!BZ151</f>
        <v>-36</v>
      </c>
      <c r="L247" s="16">
        <f>原始输入与口径!CK151</f>
        <v>40</v>
      </c>
      <c r="M247" s="16">
        <f>原始输入与口径!BT151</f>
        <v>24</v>
      </c>
      <c r="N247" s="16">
        <f>原始输入与口径!BJ151</f>
        <v>24</v>
      </c>
      <c r="O247" s="16">
        <f t="shared" si="70"/>
        <v>0</v>
      </c>
      <c r="P247" s="16">
        <f t="shared" si="71"/>
        <v>4.1212799999999996</v>
      </c>
      <c r="Q247" s="17">
        <f t="shared" si="72"/>
        <v>-18.089999999999996</v>
      </c>
      <c r="R247" s="17">
        <f t="shared" si="73"/>
        <v>662.24534522516342</v>
      </c>
      <c r="S247" s="17">
        <f t="shared" si="74"/>
        <v>32.896918415184949</v>
      </c>
      <c r="T247" s="17">
        <f t="shared" si="75"/>
        <v>18.043565262134813</v>
      </c>
      <c r="U247" s="17">
        <f t="shared" si="76"/>
        <v>0</v>
      </c>
      <c r="V247" s="17">
        <f t="shared" si="77"/>
        <v>522.45449202446969</v>
      </c>
      <c r="W247" s="17">
        <f t="shared" si="78"/>
        <v>1217.5503209269527</v>
      </c>
      <c r="X247" s="12">
        <f>原始输入与口径!CP151</f>
        <v>1217.550320926953</v>
      </c>
      <c r="Y247" s="19">
        <f t="shared" si="79"/>
        <v>0</v>
      </c>
      <c r="Z247" s="12" t="str">
        <f t="shared" si="91"/>
        <v>当日执行</v>
      </c>
      <c r="AA247" s="12">
        <f>IF(原始输入与口径!AW151,1,0)</f>
        <v>1</v>
      </c>
      <c r="AB247" s="12">
        <f>IF(原始输入与口径!AY151,1,0)</f>
        <v>1</v>
      </c>
      <c r="AC247" s="12">
        <f>原始输入与口径!$F$5</f>
        <v>0.25</v>
      </c>
      <c r="AD247" s="18">
        <f>原始输入与口径!CG151</f>
        <v>0.3125</v>
      </c>
      <c r="AE247" s="18">
        <f>原始输入与口径!BQ151</f>
        <v>0.13714285714285715</v>
      </c>
      <c r="AF247" s="18">
        <f t="shared" si="81"/>
        <v>0</v>
      </c>
      <c r="AG247" s="18">
        <f t="shared" si="82"/>
        <v>0.68687999999999994</v>
      </c>
      <c r="AH247" s="12">
        <f>IF(ISNUMBER(原始输入与口径!T151),原始输入与口径!T151,"缺失")</f>
        <v>175</v>
      </c>
      <c r="AI247" s="12">
        <f>IF(ISNUMBER(原始输入与口径!Y151),原始输入与口径!Y151,"缺失")</f>
        <v>175</v>
      </c>
      <c r="AJ247" s="12">
        <f>IF(ISNUMBER(原始输入与口径!AI151),原始输入与口径!AI151,"缺失")</f>
        <v>0</v>
      </c>
      <c r="AK247" s="12">
        <f>IF(ISNUMBER(原始输入与口径!AL151),原始输入与口径!AL151,"缺失")</f>
        <v>30.050999999999998</v>
      </c>
      <c r="AL247" s="12">
        <f>IF(ISNUMBER(原始输入与口径!O151),原始输入与口径!O151,"缺失")</f>
        <v>71.936000000000007</v>
      </c>
      <c r="AM247" s="12">
        <f>SUMIFS(相位SOC复算!$N$9:$N$929,相位SOC复算!$S$9:$S$929,239)</f>
        <v>3.3532160000000005E-2</v>
      </c>
      <c r="AN247" s="12">
        <f>SUMIFS(相位SOC复算!$Q$9:$Q$929,相位SOC复算!$S$9:$S$929,239)</f>
        <v>13.121279999999999</v>
      </c>
      <c r="AO247" s="12">
        <f>SUMIFS(相位SOC复算!$R$9:$R$929,相位SOC复算!$S$9:$S$929,239)</f>
        <v>0</v>
      </c>
      <c r="AP247" s="12">
        <f>相位SOC复算!J588</f>
        <v>54.773743463353966</v>
      </c>
      <c r="AQ247" s="19">
        <f t="shared" si="83"/>
        <v>0</v>
      </c>
      <c r="AR247" s="12">
        <f>IF(ISBLANK(原始输入与口径!M151),"",原始输入与口径!M151)</f>
        <v>5.2473000000000001</v>
      </c>
      <c r="AS247" s="14">
        <f>IF(ISBLANK(原始输入与口径!L151),"",原始输入与口径!L151)</f>
        <v>46234</v>
      </c>
      <c r="AT247" s="13">
        <f>IF(ISBLANK(原始输入与口径!A151),"",原始输入与口径!A151)</f>
        <v>46236.354166666664</v>
      </c>
      <c r="AU247" s="12" t="str">
        <f>IF(ISBLANK(原始输入与口径!I151),"",原始输入与口径!I151)</f>
        <v>2026-08-02_43</v>
      </c>
      <c r="AV247" s="12">
        <f>IF(ISBLANK(原始输入与口径!J151),"",原始输入与口径!J151)</f>
        <v>15</v>
      </c>
      <c r="AW247" s="12" t="str">
        <f>IF(ISBLANK(原始输入与口径!BB151),"",原始输入与口径!BB151)</f>
        <v>OK</v>
      </c>
      <c r="AX247" s="12">
        <f>原始输入与口径!CI151</f>
        <v>128</v>
      </c>
      <c r="AY247" s="12">
        <f>原始输入与口径!BS151</f>
        <v>175</v>
      </c>
      <c r="AZ247" s="12">
        <f>原始输入与口径!BI151</f>
        <v>175</v>
      </c>
      <c r="BA247" s="12">
        <f>原始输入与口径!CM151</f>
        <v>40</v>
      </c>
      <c r="BB247" s="12">
        <f>原始输入与口径!BV151</f>
        <v>24</v>
      </c>
      <c r="BC247" s="12">
        <f>原始输入与口径!BL151</f>
        <v>24</v>
      </c>
      <c r="BD247" s="14">
        <f>46236</f>
        <v>46236</v>
      </c>
      <c r="BE247" s="1" t="str">
        <f t="shared" si="84"/>
        <v>-36.000000 MW × 2.010000 × 0.250000 h = -18.090000 EUR</v>
      </c>
      <c r="BF247" s="1" t="str">
        <f t="shared" si="85"/>
        <v>40.000000 MW × 66.224535 × 0.250000 h = 662.245345 EUR</v>
      </c>
      <c r="BG247" s="1" t="str">
        <f t="shared" si="86"/>
        <v>24.000000 MW × 5.482820 × 0.250000 h = 32.896918 EUR</v>
      </c>
      <c r="BH247" s="1" t="str">
        <f t="shared" si="87"/>
        <v>24.000000 MW × 3.007261 × 0.250000 h = 18.043565 EUR</v>
      </c>
      <c r="BI247" s="1" t="str">
        <f t="shared" si="88"/>
        <v>零上调激活电量</v>
      </c>
      <c r="BJ247" s="1" t="str">
        <f t="shared" si="89"/>
        <v>−(4.121280 MWh × -126.769958) = 522.454492 EUR</v>
      </c>
      <c r="BK247" s="1" t="str">
        <f t="shared" si="90"/>
        <v>-18.090000 + 662.245345 + 32.896918 + 18.043565 + 0.000000 + 522.454492 = 1217.550321 EUR</v>
      </c>
    </row>
    <row r="248" spans="1:63" ht="21" customHeight="1" x14ac:dyDescent="0.45">
      <c r="A248" s="13">
        <f>原始输入与口径!C152</f>
        <v>46236.489583333336</v>
      </c>
      <c r="B248" s="15">
        <f>IF(ISNUMBER(原始输入与口径!H152),原始输入与口径!H152,"缺失")</f>
        <v>0.69</v>
      </c>
      <c r="C248" s="15">
        <f>IF(ISNUMBER(原始输入与口径!R152),原始输入与口径!R152,"缺失")</f>
        <v>66.224534522516336</v>
      </c>
      <c r="D248" s="15">
        <f>IF(ISNUMBER(原始输入与口径!W152),原始输入与口径!W152,"缺失")</f>
        <v>5.4828197358641582</v>
      </c>
      <c r="E248" s="15">
        <f>IF(ISNUMBER(原始输入与口径!AB152),原始输入与口径!AB152,"缺失")</f>
        <v>3.0072608770224685</v>
      </c>
      <c r="F248" s="15">
        <f>IF(ISNUMBER(原始输入与口径!AG152),原始输入与口径!AG152,"缺失")</f>
        <v>0</v>
      </c>
      <c r="G248" s="15">
        <f>IF(ISNUMBER(原始输入与口径!AJ152),原始输入与口径!AJ152,"缺失")</f>
        <v>-57.182360452041998</v>
      </c>
      <c r="H248" s="15" t="str">
        <f t="shared" si="69"/>
        <v>未模拟</v>
      </c>
      <c r="I248" s="16">
        <f>原始输入与口径!CD152</f>
        <v>54.773743463353966</v>
      </c>
      <c r="J248" s="16">
        <f>原始输入与口径!CE152</f>
        <v>67.055648834782531</v>
      </c>
      <c r="K248" s="16">
        <f>原始输入与口径!BZ152</f>
        <v>-36</v>
      </c>
      <c r="L248" s="16">
        <f>原始输入与口径!CK152</f>
        <v>40</v>
      </c>
      <c r="M248" s="16">
        <f>原始输入与口径!BT152</f>
        <v>24</v>
      </c>
      <c r="N248" s="16">
        <f>原始输入与口径!BJ152</f>
        <v>24</v>
      </c>
      <c r="O248" s="16">
        <f t="shared" si="70"/>
        <v>0</v>
      </c>
      <c r="P248" s="16">
        <f t="shared" si="71"/>
        <v>4.3498971428571434</v>
      </c>
      <c r="Q248" s="17">
        <f t="shared" si="72"/>
        <v>-6.2099999999999991</v>
      </c>
      <c r="R248" s="17">
        <f t="shared" si="73"/>
        <v>662.24534522516342</v>
      </c>
      <c r="S248" s="17">
        <f t="shared" si="74"/>
        <v>32.896918415184949</v>
      </c>
      <c r="T248" s="17">
        <f t="shared" si="75"/>
        <v>18.043565262134813</v>
      </c>
      <c r="U248" s="17">
        <f t="shared" si="76"/>
        <v>0</v>
      </c>
      <c r="V248" s="17">
        <f t="shared" si="77"/>
        <v>248.7373863521648</v>
      </c>
      <c r="W248" s="17">
        <f t="shared" si="78"/>
        <v>955.71321525464793</v>
      </c>
      <c r="X248" s="12">
        <f>原始输入与口径!CP152</f>
        <v>955.71321525464793</v>
      </c>
      <c r="Y248" s="19">
        <f t="shared" si="79"/>
        <v>0</v>
      </c>
      <c r="Z248" s="12" t="str">
        <f t="shared" si="91"/>
        <v>当日执行</v>
      </c>
      <c r="AA248" s="12">
        <f>IF(原始输入与口径!AW152,1,0)</f>
        <v>1</v>
      </c>
      <c r="AB248" s="12">
        <f>IF(原始输入与口径!AY152,1,0)</f>
        <v>1</v>
      </c>
      <c r="AC248" s="12">
        <f>原始输入与口径!$F$5</f>
        <v>0.25</v>
      </c>
      <c r="AD248" s="18">
        <f>原始输入与口径!CG152</f>
        <v>0.3125</v>
      </c>
      <c r="AE248" s="18">
        <f>原始输入与口径!BQ152</f>
        <v>0.13714285714285715</v>
      </c>
      <c r="AF248" s="18">
        <f t="shared" si="81"/>
        <v>0</v>
      </c>
      <c r="AG248" s="18">
        <f t="shared" si="82"/>
        <v>0.72498285714285715</v>
      </c>
      <c r="AH248" s="12">
        <f>IF(ISNUMBER(原始输入与口径!T152),原始输入与口径!T152,"缺失")</f>
        <v>175</v>
      </c>
      <c r="AI248" s="12">
        <f>IF(ISNUMBER(原始输入与口径!Y152),原始输入与口径!Y152,"缺失")</f>
        <v>175</v>
      </c>
      <c r="AJ248" s="12">
        <f>IF(ISNUMBER(原始输入与口径!AI152),原始输入与口径!AI152,"缺失")</f>
        <v>0</v>
      </c>
      <c r="AK248" s="12">
        <f>IF(ISNUMBER(原始输入与口径!AL152),原始输入与口径!AL152,"缺失")</f>
        <v>31.718</v>
      </c>
      <c r="AL248" s="12">
        <f>IF(ISNUMBER(原始输入与口径!O152),原始输入与口径!O152,"缺失")</f>
        <v>71.936000000000007</v>
      </c>
      <c r="AM248" s="12">
        <f>SUMIFS(相位SOC复算!$N$9:$N$929,相位SOC复算!$S$9:$S$929,240)</f>
        <v>3.4116403809523813E-2</v>
      </c>
      <c r="AN248" s="12">
        <f>SUMIFS(相位SOC复算!$Q$9:$Q$929,相位SOC复算!$S$9:$S$929,240)</f>
        <v>13.349897142857143</v>
      </c>
      <c r="AO248" s="12">
        <f>SUMIFS(相位SOC复算!$R$9:$R$929,相位SOC复算!$S$9:$S$929,240)</f>
        <v>0</v>
      </c>
      <c r="AP248" s="12">
        <f>相位SOC复算!J590</f>
        <v>67.055648834782531</v>
      </c>
      <c r="AQ248" s="19">
        <f t="shared" si="83"/>
        <v>0</v>
      </c>
      <c r="AR248" s="12">
        <f>IF(ISBLANK(原始输入与口径!M152),"",原始输入与口径!M152)</f>
        <v>5.2473000000000001</v>
      </c>
      <c r="AS248" s="14">
        <f>IF(ISBLANK(原始输入与口径!L152),"",原始输入与口径!L152)</f>
        <v>46234</v>
      </c>
      <c r="AT248" s="13">
        <f>IF(ISBLANK(原始输入与口径!A152),"",原始输入与口径!A152)</f>
        <v>46236.364583333336</v>
      </c>
      <c r="AU248" s="12" t="str">
        <f>IF(ISBLANK(原始输入与口径!I152),"",原始输入与口径!I152)</f>
        <v>2026-08-02_44</v>
      </c>
      <c r="AV248" s="12">
        <f>IF(ISBLANK(原始输入与口径!J152),"",原始输入与口径!J152)</f>
        <v>15</v>
      </c>
      <c r="AW248" s="12" t="str">
        <f>IF(ISBLANK(原始输入与口径!BB152),"",原始输入与口径!BB152)</f>
        <v>OK</v>
      </c>
      <c r="AX248" s="12">
        <f>原始输入与口径!CI152</f>
        <v>128</v>
      </c>
      <c r="AY248" s="12">
        <f>原始输入与口径!BS152</f>
        <v>175</v>
      </c>
      <c r="AZ248" s="12">
        <f>原始输入与口径!BI152</f>
        <v>175</v>
      </c>
      <c r="BA248" s="12">
        <f>原始输入与口径!CM152</f>
        <v>40</v>
      </c>
      <c r="BB248" s="12">
        <f>原始输入与口径!BV152</f>
        <v>24</v>
      </c>
      <c r="BC248" s="12">
        <f>原始输入与口径!BL152</f>
        <v>24</v>
      </c>
      <c r="BD248" s="14">
        <f>46236</f>
        <v>46236</v>
      </c>
      <c r="BE248" s="1" t="str">
        <f t="shared" si="84"/>
        <v>-36.000000 MW × 0.690000 × 0.250000 h = -6.210000 EUR</v>
      </c>
      <c r="BF248" s="1" t="str">
        <f t="shared" si="85"/>
        <v>40.000000 MW × 66.224535 × 0.250000 h = 662.245345 EUR</v>
      </c>
      <c r="BG248" s="1" t="str">
        <f t="shared" si="86"/>
        <v>24.000000 MW × 5.482820 × 0.250000 h = 32.896918 EUR</v>
      </c>
      <c r="BH248" s="1" t="str">
        <f t="shared" si="87"/>
        <v>24.000000 MW × 3.007261 × 0.250000 h = 18.043565 EUR</v>
      </c>
      <c r="BI248" s="1" t="str">
        <f t="shared" si="88"/>
        <v>零上调激活电量</v>
      </c>
      <c r="BJ248" s="1" t="str">
        <f t="shared" si="89"/>
        <v>−(4.349897 MWh × -57.182360) = 248.737386 EUR</v>
      </c>
      <c r="BK248" s="1" t="str">
        <f t="shared" si="90"/>
        <v>-6.210000 + 662.245345 + 32.896918 + 18.043565 + 0.000000 + 248.737386 = 955.713215 EUR</v>
      </c>
    </row>
    <row r="249" spans="1:63" ht="21" customHeight="1" x14ac:dyDescent="0.45">
      <c r="A249" s="13">
        <f>原始输入与口径!C153</f>
        <v>46236.5</v>
      </c>
      <c r="B249" s="15">
        <f>IF(ISNUMBER(原始输入与口径!H153),原始输入与口径!H153,"缺失")</f>
        <v>0.51</v>
      </c>
      <c r="C249" s="15">
        <f>IF(ISNUMBER(原始输入与口径!R153),原始输入与口径!R153,"缺失")</f>
        <v>66.224534522516336</v>
      </c>
      <c r="D249" s="15">
        <f>IF(ISNUMBER(原始输入与口径!W153),原始输入与口径!W153,"缺失")</f>
        <v>5.5209345758771171</v>
      </c>
      <c r="E249" s="15">
        <f>IF(ISNUMBER(原始输入与口径!AB153),原始输入与口径!AB153,"缺失")</f>
        <v>6.8740113963371634</v>
      </c>
      <c r="F249" s="15">
        <f>IF(ISNUMBER(原始输入与口径!AG153),原始输入与口径!AG153,"缺失")</f>
        <v>0</v>
      </c>
      <c r="G249" s="15">
        <f>IF(ISNUMBER(原始输入与口径!AJ153),原始输入与口径!AJ153,"缺失")</f>
        <v>-220.84538715148744</v>
      </c>
      <c r="H249" s="15" t="str">
        <f t="shared" si="69"/>
        <v>未模拟</v>
      </c>
      <c r="I249" s="16">
        <f>原始输入与口径!CD153</f>
        <v>67.055648834782531</v>
      </c>
      <c r="J249" s="16">
        <f>原始输入与口径!CE153</f>
        <v>78.884851120496819</v>
      </c>
      <c r="K249" s="16">
        <f>原始输入与口径!BZ153</f>
        <v>-36</v>
      </c>
      <c r="L249" s="16">
        <f>原始输入与口径!CK153</f>
        <v>40</v>
      </c>
      <c r="M249" s="16">
        <f>原始输入与口径!BT153</f>
        <v>24</v>
      </c>
      <c r="N249" s="16">
        <f>原始输入与口径!BJ153</f>
        <v>24</v>
      </c>
      <c r="O249" s="16">
        <f t="shared" si="70"/>
        <v>0</v>
      </c>
      <c r="P249" s="16">
        <f t="shared" si="71"/>
        <v>3.8578285714285712</v>
      </c>
      <c r="Q249" s="17">
        <f t="shared" si="72"/>
        <v>-4.59</v>
      </c>
      <c r="R249" s="17">
        <f t="shared" si="73"/>
        <v>662.24534522516342</v>
      </c>
      <c r="S249" s="17">
        <f t="shared" si="74"/>
        <v>33.125607455262703</v>
      </c>
      <c r="T249" s="17">
        <f t="shared" si="75"/>
        <v>41.24406837802298</v>
      </c>
      <c r="U249" s="17">
        <f t="shared" si="76"/>
        <v>0</v>
      </c>
      <c r="V249" s="17">
        <f t="shared" si="77"/>
        <v>851.98364442121249</v>
      </c>
      <c r="W249" s="17">
        <f t="shared" si="78"/>
        <v>1584.0086654796617</v>
      </c>
      <c r="X249" s="12">
        <f>原始输入与口径!CP153</f>
        <v>1584.0086654796617</v>
      </c>
      <c r="Y249" s="19">
        <f t="shared" si="79"/>
        <v>0</v>
      </c>
      <c r="Z249" s="12" t="str">
        <f t="shared" si="91"/>
        <v>当日执行</v>
      </c>
      <c r="AA249" s="12">
        <f>IF(原始输入与口径!AW153,1,0)</f>
        <v>1</v>
      </c>
      <c r="AB249" s="12">
        <f>IF(原始输入与口径!AY153,1,0)</f>
        <v>1</v>
      </c>
      <c r="AC249" s="12">
        <f>原始输入与口径!$F$5</f>
        <v>0.25</v>
      </c>
      <c r="AD249" s="18">
        <f>原始输入与口径!CG153</f>
        <v>0.3125</v>
      </c>
      <c r="AE249" s="18">
        <f>原始输入与口径!BQ153</f>
        <v>0.13714285714285715</v>
      </c>
      <c r="AF249" s="18">
        <f t="shared" si="81"/>
        <v>0</v>
      </c>
      <c r="AG249" s="18">
        <f t="shared" si="82"/>
        <v>0.64297142857142853</v>
      </c>
      <c r="AH249" s="12">
        <f>IF(ISNUMBER(原始输入与口径!T153),原始输入与口径!T153,"缺失")</f>
        <v>175</v>
      </c>
      <c r="AI249" s="12">
        <f>IF(ISNUMBER(原始输入与口径!Y153),原始输入与口径!Y153,"缺失")</f>
        <v>175</v>
      </c>
      <c r="AJ249" s="12">
        <f>IF(ISNUMBER(原始输入与口径!AI153),原始输入与口径!AI153,"缺失")</f>
        <v>0</v>
      </c>
      <c r="AK249" s="12">
        <f>IF(ISNUMBER(原始输入与口径!AL153),原始输入与口径!AL153,"缺失")</f>
        <v>28.13</v>
      </c>
      <c r="AL249" s="12">
        <f>IF(ISNUMBER(原始输入与口径!O153),原始输入与口径!O153,"缺失")</f>
        <v>71.936000000000007</v>
      </c>
      <c r="AM249" s="12">
        <f>SUMIFS(相位SOC复算!$N$9:$N$929,相位SOC复算!$S$9:$S$929,241)</f>
        <v>3.2858895238095237E-2</v>
      </c>
      <c r="AN249" s="12">
        <f>SUMIFS(相位SOC复算!$Q$9:$Q$929,相位SOC复算!$S$9:$S$929,241)</f>
        <v>12.857828571428572</v>
      </c>
      <c r="AO249" s="12">
        <f>SUMIFS(相位SOC复算!$R$9:$R$929,相位SOC复算!$S$9:$S$929,241)</f>
        <v>0</v>
      </c>
      <c r="AP249" s="12">
        <f>相位SOC复算!J592</f>
        <v>78.884851120496819</v>
      </c>
      <c r="AQ249" s="19">
        <f t="shared" si="83"/>
        <v>0</v>
      </c>
      <c r="AR249" s="12">
        <f>IF(ISBLANK(原始输入与口径!M153),"",原始输入与口径!M153)</f>
        <v>5.2473000000000001</v>
      </c>
      <c r="AS249" s="14">
        <f>IF(ISBLANK(原始输入与口径!L153),"",原始输入与口径!L153)</f>
        <v>46234</v>
      </c>
      <c r="AT249" s="13">
        <f>IF(ISBLANK(原始输入与口径!A153),"",原始输入与口径!A153)</f>
        <v>46236.375</v>
      </c>
      <c r="AU249" s="12" t="str">
        <f>IF(ISBLANK(原始输入与口径!I153),"",原始输入与口径!I153)</f>
        <v>2026-08-02_45</v>
      </c>
      <c r="AV249" s="12">
        <f>IF(ISBLANK(原始输入与口径!J153),"",原始输入与口径!J153)</f>
        <v>15</v>
      </c>
      <c r="AW249" s="12" t="str">
        <f>IF(ISBLANK(原始输入与口径!BB153),"",原始输入与口径!BB153)</f>
        <v>OK</v>
      </c>
      <c r="AX249" s="12">
        <f>原始输入与口径!CI153</f>
        <v>128</v>
      </c>
      <c r="AY249" s="12">
        <f>原始输入与口径!BS153</f>
        <v>175</v>
      </c>
      <c r="AZ249" s="12">
        <f>原始输入与口径!BI153</f>
        <v>175</v>
      </c>
      <c r="BA249" s="12">
        <f>原始输入与口径!CM153</f>
        <v>40</v>
      </c>
      <c r="BB249" s="12">
        <f>原始输入与口径!BV153</f>
        <v>24</v>
      </c>
      <c r="BC249" s="12">
        <f>原始输入与口径!BL153</f>
        <v>24</v>
      </c>
      <c r="BD249" s="14">
        <f>46236</f>
        <v>46236</v>
      </c>
      <c r="BE249" s="1" t="str">
        <f t="shared" si="84"/>
        <v>-36.000000 MW × 0.510000 × 0.250000 h = -4.590000 EUR</v>
      </c>
      <c r="BF249" s="1" t="str">
        <f t="shared" si="85"/>
        <v>40.000000 MW × 66.224535 × 0.250000 h = 662.245345 EUR</v>
      </c>
      <c r="BG249" s="1" t="str">
        <f t="shared" si="86"/>
        <v>24.000000 MW × 5.520935 × 0.250000 h = 33.125607 EUR</v>
      </c>
      <c r="BH249" s="1" t="str">
        <f t="shared" si="87"/>
        <v>24.000000 MW × 6.874011 × 0.250000 h = 41.244068 EUR</v>
      </c>
      <c r="BI249" s="1" t="str">
        <f t="shared" si="88"/>
        <v>零上调激活电量</v>
      </c>
      <c r="BJ249" s="1" t="str">
        <f t="shared" si="89"/>
        <v>−(3.857829 MWh × -220.845387) = 851.983644 EUR</v>
      </c>
      <c r="BK249" s="1" t="str">
        <f t="shared" si="90"/>
        <v>-4.590000 + 662.245345 + 33.125607 + 41.244068 + 0.000000 + 851.983644 = 1584.008665 EUR</v>
      </c>
    </row>
    <row r="250" spans="1:63" ht="21" customHeight="1" x14ac:dyDescent="0.45">
      <c r="A250" s="13">
        <f>原始输入与口径!C154</f>
        <v>46236.510416666664</v>
      </c>
      <c r="B250" s="15">
        <f>IF(ISNUMBER(原始输入与口径!H154),原始输入与口径!H154,"缺失")</f>
        <v>0.69</v>
      </c>
      <c r="C250" s="15">
        <f>IF(ISNUMBER(原始输入与口径!R154),原始输入与口径!R154,"缺失")</f>
        <v>66.224534522516336</v>
      </c>
      <c r="D250" s="15">
        <f>IF(ISNUMBER(原始输入与口径!W154),原始输入与口径!W154,"缺失")</f>
        <v>5.5209345758771171</v>
      </c>
      <c r="E250" s="15">
        <f>IF(ISNUMBER(原始输入与口径!AB154),原始输入与口径!AB154,"缺失")</f>
        <v>6.8740113963371634</v>
      </c>
      <c r="F250" s="15">
        <f>IF(ISNUMBER(原始输入与口径!AG154),原始输入与口径!AG154,"缺失")</f>
        <v>0</v>
      </c>
      <c r="G250" s="15">
        <f>IF(ISNUMBER(原始输入与口径!AJ154),原始输入与口径!AJ154,"缺失")</f>
        <v>-34.273435862252967</v>
      </c>
      <c r="H250" s="15" t="str">
        <f t="shared" si="69"/>
        <v>未模拟</v>
      </c>
      <c r="I250" s="16">
        <f>原始输入与口径!CD154</f>
        <v>78.884851120496819</v>
      </c>
      <c r="J250" s="16">
        <f>原始输入与口径!CE154</f>
        <v>89.792623463353962</v>
      </c>
      <c r="K250" s="16">
        <f>原始输入与口径!BZ154</f>
        <v>-36</v>
      </c>
      <c r="L250" s="16">
        <f>原始输入与口径!CK154</f>
        <v>40</v>
      </c>
      <c r="M250" s="16">
        <f>原始输入与口径!BT154</f>
        <v>24</v>
      </c>
      <c r="N250" s="16">
        <f>原始输入与口径!BJ154</f>
        <v>24</v>
      </c>
      <c r="O250" s="16">
        <f t="shared" si="70"/>
        <v>0</v>
      </c>
      <c r="P250" s="16">
        <f t="shared" si="71"/>
        <v>2.856274285714286</v>
      </c>
      <c r="Q250" s="17">
        <f t="shared" si="72"/>
        <v>-6.2099999999999991</v>
      </c>
      <c r="R250" s="17">
        <f t="shared" si="73"/>
        <v>662.24534522516342</v>
      </c>
      <c r="S250" s="17">
        <f t="shared" si="74"/>
        <v>33.125607455262703</v>
      </c>
      <c r="T250" s="17">
        <f t="shared" si="75"/>
        <v>41.24406837802298</v>
      </c>
      <c r="U250" s="17">
        <f t="shared" si="76"/>
        <v>0</v>
      </c>
      <c r="V250" s="17">
        <f t="shared" si="77"/>
        <v>97.894333536430992</v>
      </c>
      <c r="W250" s="17">
        <f t="shared" si="78"/>
        <v>828.29935459488013</v>
      </c>
      <c r="X250" s="12">
        <f>原始输入与口径!CP154</f>
        <v>828.29935459488013</v>
      </c>
      <c r="Y250" s="19">
        <f t="shared" si="79"/>
        <v>0</v>
      </c>
      <c r="Z250" s="12" t="str">
        <f t="shared" si="91"/>
        <v>当日执行</v>
      </c>
      <c r="AA250" s="12">
        <f>IF(原始输入与口径!AW154,1,0)</f>
        <v>1</v>
      </c>
      <c r="AB250" s="12">
        <f>IF(原始输入与口径!AY154,1,0)</f>
        <v>1</v>
      </c>
      <c r="AC250" s="12">
        <f>原始输入与口径!$F$5</f>
        <v>0.25</v>
      </c>
      <c r="AD250" s="18">
        <f>原始输入与口径!CG154</f>
        <v>0.3125</v>
      </c>
      <c r="AE250" s="18">
        <f>原始输入与口径!BQ154</f>
        <v>0.13714285714285715</v>
      </c>
      <c r="AF250" s="18">
        <f t="shared" si="81"/>
        <v>0</v>
      </c>
      <c r="AG250" s="18">
        <f t="shared" si="82"/>
        <v>0.47604571428571435</v>
      </c>
      <c r="AH250" s="12">
        <f>IF(ISNUMBER(原始输入与口径!T154),原始输入与口径!T154,"缺失")</f>
        <v>175</v>
      </c>
      <c r="AI250" s="12">
        <f>IF(ISNUMBER(原始输入与口径!Y154),原始输入与口径!Y154,"缺失")</f>
        <v>175</v>
      </c>
      <c r="AJ250" s="12">
        <f>IF(ISNUMBER(原始输入与口径!AI154),原始输入与口径!AI154,"缺失")</f>
        <v>0</v>
      </c>
      <c r="AK250" s="12">
        <f>IF(ISNUMBER(原始输入与口径!AL154),原始输入与口径!AL154,"缺失")</f>
        <v>20.827000000000002</v>
      </c>
      <c r="AL250" s="12">
        <f>IF(ISNUMBER(原始输入与口径!O154),原始输入与口径!O154,"缺失")</f>
        <v>71.936000000000007</v>
      </c>
      <c r="AM250" s="12">
        <f>SUMIFS(相位SOC复算!$N$9:$N$929,相位SOC复算!$S$9:$S$929,242)</f>
        <v>3.0299367619047623E-2</v>
      </c>
      <c r="AN250" s="12">
        <f>SUMIFS(相位SOC复算!$Q$9:$Q$929,相位SOC复算!$S$9:$S$929,242)</f>
        <v>11.856274285714285</v>
      </c>
      <c r="AO250" s="12">
        <f>SUMIFS(相位SOC复算!$R$9:$R$929,相位SOC复算!$S$9:$S$929,242)</f>
        <v>0</v>
      </c>
      <c r="AP250" s="12">
        <f>相位SOC复算!J594</f>
        <v>89.792623463353962</v>
      </c>
      <c r="AQ250" s="19">
        <f t="shared" si="83"/>
        <v>0</v>
      </c>
      <c r="AR250" s="12">
        <f>IF(ISBLANK(原始输入与口径!M154),"",原始输入与口径!M154)</f>
        <v>5.2473000000000001</v>
      </c>
      <c r="AS250" s="14">
        <f>IF(ISBLANK(原始输入与口径!L154),"",原始输入与口径!L154)</f>
        <v>46234</v>
      </c>
      <c r="AT250" s="13">
        <f>IF(ISBLANK(原始输入与口径!A154),"",原始输入与口径!A154)</f>
        <v>46236.385416666664</v>
      </c>
      <c r="AU250" s="12" t="str">
        <f>IF(ISBLANK(原始输入与口径!I154),"",原始输入与口径!I154)</f>
        <v>2026-08-02_46</v>
      </c>
      <c r="AV250" s="12">
        <f>IF(ISBLANK(原始输入与口径!J154),"",原始输入与口径!J154)</f>
        <v>15</v>
      </c>
      <c r="AW250" s="12" t="str">
        <f>IF(ISBLANK(原始输入与口径!BB154),"",原始输入与口径!BB154)</f>
        <v>OK</v>
      </c>
      <c r="AX250" s="12">
        <f>原始输入与口径!CI154</f>
        <v>128</v>
      </c>
      <c r="AY250" s="12">
        <f>原始输入与口径!BS154</f>
        <v>175</v>
      </c>
      <c r="AZ250" s="12">
        <f>原始输入与口径!BI154</f>
        <v>175</v>
      </c>
      <c r="BA250" s="12">
        <f>原始输入与口径!CM154</f>
        <v>40</v>
      </c>
      <c r="BB250" s="12">
        <f>原始输入与口径!BV154</f>
        <v>24</v>
      </c>
      <c r="BC250" s="12">
        <f>原始输入与口径!BL154</f>
        <v>24</v>
      </c>
      <c r="BD250" s="14">
        <f>46236</f>
        <v>46236</v>
      </c>
      <c r="BE250" s="1" t="str">
        <f t="shared" si="84"/>
        <v>-36.000000 MW × 0.690000 × 0.250000 h = -6.210000 EUR</v>
      </c>
      <c r="BF250" s="1" t="str">
        <f t="shared" si="85"/>
        <v>40.000000 MW × 66.224535 × 0.250000 h = 662.245345 EUR</v>
      </c>
      <c r="BG250" s="1" t="str">
        <f t="shared" si="86"/>
        <v>24.000000 MW × 5.520935 × 0.250000 h = 33.125607 EUR</v>
      </c>
      <c r="BH250" s="1" t="str">
        <f t="shared" si="87"/>
        <v>24.000000 MW × 6.874011 × 0.250000 h = 41.244068 EUR</v>
      </c>
      <c r="BI250" s="1" t="str">
        <f t="shared" si="88"/>
        <v>零上调激活电量</v>
      </c>
      <c r="BJ250" s="1" t="str">
        <f t="shared" si="89"/>
        <v>−(2.856274 MWh × -34.273436) = 97.894334 EUR</v>
      </c>
      <c r="BK250" s="1" t="str">
        <f t="shared" si="90"/>
        <v>-6.210000 + 662.245345 + 33.125607 + 41.244068 + 0.000000 + 97.894334 = 828.299355 EUR</v>
      </c>
    </row>
    <row r="251" spans="1:63" ht="21" customHeight="1" x14ac:dyDescent="0.45">
      <c r="A251" s="13">
        <f>原始输入与口径!C155</f>
        <v>46236.520833333336</v>
      </c>
      <c r="B251" s="15">
        <f>IF(ISNUMBER(原始输入与口径!H155),原始输入与口径!H155,"缺失")</f>
        <v>1.95</v>
      </c>
      <c r="C251" s="15">
        <f>IF(ISNUMBER(原始输入与口径!R155),原始输入与口径!R155,"缺失")</f>
        <v>66.224534522516336</v>
      </c>
      <c r="D251" s="15">
        <f>IF(ISNUMBER(原始输入与口径!W155),原始输入与口径!W155,"缺失")</f>
        <v>5.5209345758771171</v>
      </c>
      <c r="E251" s="15">
        <f>IF(ISNUMBER(原始输入与口径!AB155),原始输入与口径!AB155,"缺失")</f>
        <v>6.8740113963371634</v>
      </c>
      <c r="F251" s="15">
        <f>IF(ISNUMBER(原始输入与口径!AG155),原始输入与口径!AG155,"缺失")</f>
        <v>0</v>
      </c>
      <c r="G251" s="15">
        <f>IF(ISNUMBER(原始输入与口径!AJ155),原始输入与口径!AJ155,"缺失")</f>
        <v>8.5459188535056132</v>
      </c>
      <c r="H251" s="15" t="str">
        <f t="shared" si="69"/>
        <v>未模拟</v>
      </c>
      <c r="I251" s="16">
        <f>原始输入与口径!CD155</f>
        <v>89.792623463353962</v>
      </c>
      <c r="J251" s="16">
        <f>原始输入与口径!CE155</f>
        <v>99.291565634782543</v>
      </c>
      <c r="K251" s="16">
        <f>原始输入与口径!BZ155</f>
        <v>-36</v>
      </c>
      <c r="L251" s="16">
        <f>原始输入与口径!CK155</f>
        <v>40</v>
      </c>
      <c r="M251" s="16">
        <f>原始输入与口径!BT155</f>
        <v>24</v>
      </c>
      <c r="N251" s="16">
        <f>原始输入与口径!BJ155</f>
        <v>24</v>
      </c>
      <c r="O251" s="16">
        <f t="shared" si="70"/>
        <v>0</v>
      </c>
      <c r="P251" s="16">
        <f t="shared" si="71"/>
        <v>1.3249371428571428</v>
      </c>
      <c r="Q251" s="17">
        <f t="shared" si="72"/>
        <v>-17.55</v>
      </c>
      <c r="R251" s="17">
        <f t="shared" si="73"/>
        <v>662.24534522516342</v>
      </c>
      <c r="S251" s="17">
        <f t="shared" si="74"/>
        <v>33.125607455262703</v>
      </c>
      <c r="T251" s="17">
        <f t="shared" si="75"/>
        <v>41.24406837802298</v>
      </c>
      <c r="U251" s="17">
        <f t="shared" si="76"/>
        <v>0</v>
      </c>
      <c r="V251" s="17">
        <f t="shared" si="77"/>
        <v>-11.322805308852717</v>
      </c>
      <c r="W251" s="17">
        <f t="shared" si="78"/>
        <v>707.74221574959654</v>
      </c>
      <c r="X251" s="12">
        <f>原始输入与口径!CP155</f>
        <v>707.74221574959643</v>
      </c>
      <c r="Y251" s="19">
        <f t="shared" si="79"/>
        <v>0</v>
      </c>
      <c r="Z251" s="12" t="str">
        <f t="shared" si="91"/>
        <v>当日执行</v>
      </c>
      <c r="AA251" s="12">
        <f>IF(原始输入与口径!AW155,1,0)</f>
        <v>1</v>
      </c>
      <c r="AB251" s="12">
        <f>IF(原始输入与口径!AY155,1,0)</f>
        <v>1</v>
      </c>
      <c r="AC251" s="12">
        <f>原始输入与口径!$F$5</f>
        <v>0.25</v>
      </c>
      <c r="AD251" s="18">
        <f>原始输入与口径!CG155</f>
        <v>0.3125</v>
      </c>
      <c r="AE251" s="18">
        <f>原始输入与口径!BQ155</f>
        <v>0.13714285714285715</v>
      </c>
      <c r="AF251" s="18">
        <f t="shared" si="81"/>
        <v>0</v>
      </c>
      <c r="AG251" s="18">
        <f t="shared" si="82"/>
        <v>0.22082285714285713</v>
      </c>
      <c r="AH251" s="12">
        <f>IF(ISNUMBER(原始输入与口径!T155),原始输入与口径!T155,"缺失")</f>
        <v>175</v>
      </c>
      <c r="AI251" s="12">
        <f>IF(ISNUMBER(原始输入与口径!Y155),原始输入与口径!Y155,"缺失")</f>
        <v>175</v>
      </c>
      <c r="AJ251" s="12">
        <f>IF(ISNUMBER(原始输入与口径!AI155),原始输入与口径!AI155,"缺失")</f>
        <v>0</v>
      </c>
      <c r="AK251" s="12">
        <f>IF(ISNUMBER(原始输入与口径!AL155),原始输入与口径!AL155,"缺失")</f>
        <v>9.6609999999999996</v>
      </c>
      <c r="AL251" s="12">
        <f>IF(ISNUMBER(原始输入与口径!O155),原始输入与口径!O155,"缺失")</f>
        <v>71.936000000000007</v>
      </c>
      <c r="AM251" s="12">
        <f>SUMIFS(相位SOC复算!$N$9:$N$929,相位SOC复算!$S$9:$S$929,243)</f>
        <v>2.6385950476190481E-2</v>
      </c>
      <c r="AN251" s="12">
        <f>SUMIFS(相位SOC复算!$Q$9:$Q$929,相位SOC复算!$S$9:$S$929,243)</f>
        <v>10.324937142857143</v>
      </c>
      <c r="AO251" s="12">
        <f>SUMIFS(相位SOC复算!$R$9:$R$929,相位SOC复算!$S$9:$S$929,243)</f>
        <v>0</v>
      </c>
      <c r="AP251" s="12">
        <f>相位SOC复算!J596</f>
        <v>99.291565634782543</v>
      </c>
      <c r="AQ251" s="19">
        <f t="shared" si="83"/>
        <v>0</v>
      </c>
      <c r="AR251" s="12">
        <f>IF(ISBLANK(原始输入与口径!M155),"",原始输入与口径!M155)</f>
        <v>5.2473000000000001</v>
      </c>
      <c r="AS251" s="14">
        <f>IF(ISBLANK(原始输入与口径!L155),"",原始输入与口径!L155)</f>
        <v>46234</v>
      </c>
      <c r="AT251" s="13">
        <f>IF(ISBLANK(原始输入与口径!A155),"",原始输入与口径!A155)</f>
        <v>46236.395833333336</v>
      </c>
      <c r="AU251" s="12" t="str">
        <f>IF(ISBLANK(原始输入与口径!I155),"",原始输入与口径!I155)</f>
        <v>2026-08-02_47</v>
      </c>
      <c r="AV251" s="12">
        <f>IF(ISBLANK(原始输入与口径!J155),"",原始输入与口径!J155)</f>
        <v>15</v>
      </c>
      <c r="AW251" s="12" t="str">
        <f>IF(ISBLANK(原始输入与口径!BB155),"",原始输入与口径!BB155)</f>
        <v>OK</v>
      </c>
      <c r="AX251" s="12">
        <f>原始输入与口径!CI155</f>
        <v>128</v>
      </c>
      <c r="AY251" s="12">
        <f>原始输入与口径!BS155</f>
        <v>175</v>
      </c>
      <c r="AZ251" s="12">
        <f>原始输入与口径!BI155</f>
        <v>175</v>
      </c>
      <c r="BA251" s="12">
        <f>原始输入与口径!CM155</f>
        <v>40</v>
      </c>
      <c r="BB251" s="12">
        <f>原始输入与口径!BV155</f>
        <v>24</v>
      </c>
      <c r="BC251" s="12">
        <f>原始输入与口径!BL155</f>
        <v>24</v>
      </c>
      <c r="BD251" s="14">
        <f>46236</f>
        <v>46236</v>
      </c>
      <c r="BE251" s="1" t="str">
        <f t="shared" si="84"/>
        <v>-36.000000 MW × 1.950000 × 0.250000 h = -17.550000 EUR</v>
      </c>
      <c r="BF251" s="1" t="str">
        <f t="shared" si="85"/>
        <v>40.000000 MW × 66.224535 × 0.250000 h = 662.245345 EUR</v>
      </c>
      <c r="BG251" s="1" t="str">
        <f t="shared" si="86"/>
        <v>24.000000 MW × 5.520935 × 0.250000 h = 33.125607 EUR</v>
      </c>
      <c r="BH251" s="1" t="str">
        <f t="shared" si="87"/>
        <v>24.000000 MW × 6.874011 × 0.250000 h = 41.244068 EUR</v>
      </c>
      <c r="BI251" s="1" t="str">
        <f t="shared" si="88"/>
        <v>零上调激活电量</v>
      </c>
      <c r="BJ251" s="1" t="str">
        <f t="shared" si="89"/>
        <v>−(1.324937 MWh × 8.545919) = -11.322805 EUR</v>
      </c>
      <c r="BK251" s="1" t="str">
        <f t="shared" si="90"/>
        <v>-17.550000 + 662.245345 + 33.125607 + 41.244068 + 0.000000 + -11.322805 = 707.742216 EUR</v>
      </c>
    </row>
    <row r="252" spans="1:63" ht="21" customHeight="1" x14ac:dyDescent="0.45">
      <c r="A252" s="13">
        <f>原始输入与口径!C156</f>
        <v>46236.53125</v>
      </c>
      <c r="B252" s="15">
        <f>IF(ISNUMBER(原始输入与口径!H156),原始输入与口径!H156,"缺失")</f>
        <v>2.4300000000000002</v>
      </c>
      <c r="C252" s="15">
        <f>IF(ISNUMBER(原始输入与口径!R156),原始输入与口径!R156,"缺失")</f>
        <v>66.224534522516336</v>
      </c>
      <c r="D252" s="15">
        <f>IF(ISNUMBER(原始输入与口径!W156),原始输入与口径!W156,"缺失")</f>
        <v>5.5209345758771171</v>
      </c>
      <c r="E252" s="15">
        <f>IF(ISNUMBER(原始输入与口径!AB156),原始输入与口径!AB156,"缺失")</f>
        <v>6.8740113963371634</v>
      </c>
      <c r="F252" s="15">
        <f>IF(ISNUMBER(原始输入与口径!AG156),原始输入与口径!AG156,"缺失")</f>
        <v>0</v>
      </c>
      <c r="G252" s="15">
        <f>IF(ISNUMBER(原始输入与口径!AJ156),原始输入与口径!AJ156,"缺失")</f>
        <v>-23.469403312179598</v>
      </c>
      <c r="H252" s="15" t="str">
        <f t="shared" si="69"/>
        <v>未模拟</v>
      </c>
      <c r="I252" s="16">
        <f>原始输入与口径!CD156</f>
        <v>99.291565634782543</v>
      </c>
      <c r="J252" s="16">
        <f>原始输入与口径!CE156</f>
        <v>109.49429203478255</v>
      </c>
      <c r="K252" s="16">
        <f>原始输入与口径!BZ156</f>
        <v>-36</v>
      </c>
      <c r="L252" s="16">
        <f>原始输入与口径!CK156</f>
        <v>40</v>
      </c>
      <c r="M252" s="16">
        <f>原始输入与口径!BT156</f>
        <v>24</v>
      </c>
      <c r="N252" s="16">
        <f>原始输入与口径!BJ156</f>
        <v>24</v>
      </c>
      <c r="O252" s="16">
        <f t="shared" si="70"/>
        <v>0</v>
      </c>
      <c r="P252" s="16">
        <f t="shared" si="71"/>
        <v>2.0899200000000002</v>
      </c>
      <c r="Q252" s="17">
        <f t="shared" si="72"/>
        <v>-21.87</v>
      </c>
      <c r="R252" s="17">
        <f t="shared" si="73"/>
        <v>662.24534522516342</v>
      </c>
      <c r="S252" s="17">
        <f t="shared" si="74"/>
        <v>33.125607455262703</v>
      </c>
      <c r="T252" s="17">
        <f t="shared" si="75"/>
        <v>41.24406837802298</v>
      </c>
      <c r="U252" s="17">
        <f t="shared" si="76"/>
        <v>0</v>
      </c>
      <c r="V252" s="17">
        <f t="shared" si="77"/>
        <v>49.04917537019039</v>
      </c>
      <c r="W252" s="17">
        <f t="shared" si="78"/>
        <v>763.79419642863957</v>
      </c>
      <c r="X252" s="12">
        <f>原始输入与口径!CP156</f>
        <v>763.79419642863945</v>
      </c>
      <c r="Y252" s="19">
        <f t="shared" si="79"/>
        <v>0</v>
      </c>
      <c r="Z252" s="12" t="str">
        <f t="shared" si="91"/>
        <v>当日执行</v>
      </c>
      <c r="AA252" s="12">
        <f>IF(原始输入与口径!AW156,1,0)</f>
        <v>1</v>
      </c>
      <c r="AB252" s="12">
        <f>IF(原始输入与口径!AY156,1,0)</f>
        <v>1</v>
      </c>
      <c r="AC252" s="12">
        <f>原始输入与口径!$F$5</f>
        <v>0.25</v>
      </c>
      <c r="AD252" s="18">
        <f>原始输入与口径!CG156</f>
        <v>0.3125</v>
      </c>
      <c r="AE252" s="18">
        <f>原始输入与口径!BQ156</f>
        <v>0.13714285714285715</v>
      </c>
      <c r="AF252" s="18">
        <f t="shared" si="81"/>
        <v>0</v>
      </c>
      <c r="AG252" s="18">
        <f t="shared" si="82"/>
        <v>0.34832000000000002</v>
      </c>
      <c r="AH252" s="12">
        <f>IF(ISNUMBER(原始输入与口径!T156),原始输入与口径!T156,"缺失")</f>
        <v>175</v>
      </c>
      <c r="AI252" s="12">
        <f>IF(ISNUMBER(原始输入与口径!Y156),原始输入与口径!Y156,"缺失")</f>
        <v>175</v>
      </c>
      <c r="AJ252" s="12">
        <f>IF(ISNUMBER(原始输入与口径!AI156),原始输入与口径!AI156,"缺失")</f>
        <v>0</v>
      </c>
      <c r="AK252" s="12">
        <f>IF(ISNUMBER(原始输入与口径!AL156),原始输入与口径!AL156,"缺失")</f>
        <v>15.239000000000001</v>
      </c>
      <c r="AL252" s="12">
        <f>IF(ISNUMBER(原始输入与口径!O156),原始输入与口径!O156,"缺失")</f>
        <v>71.936000000000007</v>
      </c>
      <c r="AM252" s="12">
        <f>SUMIFS(相位SOC复算!$N$9:$N$929,相位SOC复算!$S$9:$S$929,244)</f>
        <v>2.8340906666666672E-2</v>
      </c>
      <c r="AN252" s="12">
        <f>SUMIFS(相位SOC复算!$Q$9:$Q$929,相位SOC复算!$S$9:$S$929,244)</f>
        <v>11.089919999999999</v>
      </c>
      <c r="AO252" s="12">
        <f>SUMIFS(相位SOC复算!$R$9:$R$929,相位SOC复算!$S$9:$S$929,244)</f>
        <v>0</v>
      </c>
      <c r="AP252" s="12">
        <f>相位SOC复算!J598</f>
        <v>109.49429203478255</v>
      </c>
      <c r="AQ252" s="19">
        <f t="shared" si="83"/>
        <v>0</v>
      </c>
      <c r="AR252" s="12">
        <f>IF(ISBLANK(原始输入与口径!M156),"",原始输入与口径!M156)</f>
        <v>5.2473000000000001</v>
      </c>
      <c r="AS252" s="14">
        <f>IF(ISBLANK(原始输入与口径!L156),"",原始输入与口径!L156)</f>
        <v>46234</v>
      </c>
      <c r="AT252" s="13">
        <f>IF(ISBLANK(原始输入与口径!A156),"",原始输入与口径!A156)</f>
        <v>46236.40625</v>
      </c>
      <c r="AU252" s="12" t="str">
        <f>IF(ISBLANK(原始输入与口径!I156),"",原始输入与口径!I156)</f>
        <v>2026-08-02_48</v>
      </c>
      <c r="AV252" s="12">
        <f>IF(ISBLANK(原始输入与口径!J156),"",原始输入与口径!J156)</f>
        <v>15</v>
      </c>
      <c r="AW252" s="12" t="str">
        <f>IF(ISBLANK(原始输入与口径!BB156),"",原始输入与口径!BB156)</f>
        <v>OK</v>
      </c>
      <c r="AX252" s="12">
        <f>原始输入与口径!CI156</f>
        <v>128</v>
      </c>
      <c r="AY252" s="12">
        <f>原始输入与口径!BS156</f>
        <v>175</v>
      </c>
      <c r="AZ252" s="12">
        <f>原始输入与口径!BI156</f>
        <v>175</v>
      </c>
      <c r="BA252" s="12">
        <f>原始输入与口径!CM156</f>
        <v>40</v>
      </c>
      <c r="BB252" s="12">
        <f>原始输入与口径!BV156</f>
        <v>24</v>
      </c>
      <c r="BC252" s="12">
        <f>原始输入与口径!BL156</f>
        <v>24</v>
      </c>
      <c r="BD252" s="14">
        <f>46236</f>
        <v>46236</v>
      </c>
      <c r="BE252" s="1" t="str">
        <f t="shared" si="84"/>
        <v>-36.000000 MW × 2.430000 × 0.250000 h = -21.870000 EUR</v>
      </c>
      <c r="BF252" s="1" t="str">
        <f t="shared" si="85"/>
        <v>40.000000 MW × 66.224535 × 0.250000 h = 662.245345 EUR</v>
      </c>
      <c r="BG252" s="1" t="str">
        <f t="shared" si="86"/>
        <v>24.000000 MW × 5.520935 × 0.250000 h = 33.125607 EUR</v>
      </c>
      <c r="BH252" s="1" t="str">
        <f t="shared" si="87"/>
        <v>24.000000 MW × 6.874011 × 0.250000 h = 41.244068 EUR</v>
      </c>
      <c r="BI252" s="1" t="str">
        <f t="shared" si="88"/>
        <v>零上调激活电量</v>
      </c>
      <c r="BJ252" s="1" t="str">
        <f t="shared" si="89"/>
        <v>−(2.089920 MWh × -23.469403) = 49.049175 EUR</v>
      </c>
      <c r="BK252" s="1" t="str">
        <f t="shared" si="90"/>
        <v>-21.870000 + 662.245345 + 33.125607 + 41.244068 + 0.000000 + 49.049175 = 763.794196 EUR</v>
      </c>
    </row>
    <row r="253" spans="1:63" ht="21" customHeight="1" x14ac:dyDescent="0.45">
      <c r="A253" s="13">
        <f>原始输入与口径!C157</f>
        <v>46236.541666666664</v>
      </c>
      <c r="B253" s="15">
        <f>IF(ISNUMBER(原始输入与口径!H157),原始输入与口径!H157,"缺失")</f>
        <v>3.03</v>
      </c>
      <c r="C253" s="15">
        <f>IF(ISNUMBER(原始输入与口径!R157),原始输入与口径!R157,"缺失")</f>
        <v>66.224534522516336</v>
      </c>
      <c r="D253" s="15">
        <f>IF(ISNUMBER(原始输入与口径!W157),原始输入与口径!W157,"缺失")</f>
        <v>5.4732910258609184</v>
      </c>
      <c r="E253" s="15">
        <f>IF(ISNUMBER(原始输入与口径!AB157),原始输入与口径!AB157,"缺失")</f>
        <v>6.8606712023326279</v>
      </c>
      <c r="F253" s="15">
        <f>IF(ISNUMBER(原始输入与口径!AG157),原始输入与口径!AG157,"缺失")</f>
        <v>0</v>
      </c>
      <c r="G253" s="15">
        <f>IF(ISNUMBER(原始输入与口径!AJ157),原始输入与口径!AJ157,"缺失")</f>
        <v>34.425514073904672</v>
      </c>
      <c r="H253" s="15" t="str">
        <f t="shared" si="69"/>
        <v>未模拟</v>
      </c>
      <c r="I253" s="16">
        <f>原始输入与口径!CD157</f>
        <v>109.49429203478255</v>
      </c>
      <c r="J253" s="16">
        <f>原始输入与口径!CE157</f>
        <v>118.27557112049683</v>
      </c>
      <c r="K253" s="16">
        <f>原始输入与口径!BZ157</f>
        <v>-36</v>
      </c>
      <c r="L253" s="16">
        <f>原始输入与口径!CK157</f>
        <v>40</v>
      </c>
      <c r="M253" s="16">
        <f>原始输入与口径!BT157</f>
        <v>24</v>
      </c>
      <c r="N253" s="16">
        <f>原始输入与口径!BJ157</f>
        <v>24</v>
      </c>
      <c r="O253" s="16">
        <f t="shared" si="70"/>
        <v>0</v>
      </c>
      <c r="P253" s="16">
        <f t="shared" si="71"/>
        <v>0.54486857142857148</v>
      </c>
      <c r="Q253" s="17">
        <f t="shared" si="72"/>
        <v>-27.27</v>
      </c>
      <c r="R253" s="17">
        <f t="shared" si="73"/>
        <v>662.24534522516342</v>
      </c>
      <c r="S253" s="17">
        <f t="shared" si="74"/>
        <v>32.839746155165514</v>
      </c>
      <c r="T253" s="17">
        <f t="shared" si="75"/>
        <v>41.164027213995766</v>
      </c>
      <c r="U253" s="17">
        <f t="shared" si="76"/>
        <v>0</v>
      </c>
      <c r="V253" s="17">
        <f t="shared" si="77"/>
        <v>-18.75738067414262</v>
      </c>
      <c r="W253" s="17">
        <f t="shared" si="78"/>
        <v>690.22173792018202</v>
      </c>
      <c r="X253" s="12">
        <f>原始输入与口径!CP157</f>
        <v>690.22173792018202</v>
      </c>
      <c r="Y253" s="19">
        <f t="shared" si="79"/>
        <v>0</v>
      </c>
      <c r="Z253" s="12" t="str">
        <f t="shared" si="91"/>
        <v>当日执行</v>
      </c>
      <c r="AA253" s="12">
        <f>IF(原始输入与口径!AW157,1,0)</f>
        <v>1</v>
      </c>
      <c r="AB253" s="12">
        <f>IF(原始输入与口径!AY157,1,0)</f>
        <v>1</v>
      </c>
      <c r="AC253" s="12">
        <f>原始输入与口径!$F$5</f>
        <v>0.25</v>
      </c>
      <c r="AD253" s="18">
        <f>原始输入与口径!CG157</f>
        <v>0.3125</v>
      </c>
      <c r="AE253" s="18">
        <f>原始输入与口径!BQ157</f>
        <v>0.13714285714285715</v>
      </c>
      <c r="AF253" s="18">
        <f t="shared" si="81"/>
        <v>0</v>
      </c>
      <c r="AG253" s="18">
        <f t="shared" si="82"/>
        <v>9.0811428571428571E-2</v>
      </c>
      <c r="AH253" s="12">
        <f>IF(ISNUMBER(原始输入与口径!T157),原始输入与口径!T157,"缺失")</f>
        <v>175</v>
      </c>
      <c r="AI253" s="12">
        <f>IF(ISNUMBER(原始输入与口径!Y157),原始输入与口径!Y157,"缺失")</f>
        <v>175</v>
      </c>
      <c r="AJ253" s="12">
        <f>IF(ISNUMBER(原始输入与口径!AI157),原始输入与口径!AI157,"缺失")</f>
        <v>0</v>
      </c>
      <c r="AK253" s="12">
        <f>IF(ISNUMBER(原始输入与口径!AL157),原始输入与口径!AL157,"缺失")</f>
        <v>3.9729999999999999</v>
      </c>
      <c r="AL253" s="12">
        <f>IF(ISNUMBER(原始输入与口径!O157),原始输入与口径!O157,"缺失")</f>
        <v>71.936000000000007</v>
      </c>
      <c r="AM253" s="12">
        <f>SUMIFS(相位SOC复算!$N$9:$N$929,相位SOC复算!$S$9:$S$929,245)</f>
        <v>2.4392441904761905E-2</v>
      </c>
      <c r="AN253" s="12">
        <f>SUMIFS(相位SOC复算!$Q$9:$Q$929,相位SOC复算!$S$9:$S$929,245)</f>
        <v>9.544868571428573</v>
      </c>
      <c r="AO253" s="12">
        <f>SUMIFS(相位SOC复算!$R$9:$R$929,相位SOC复算!$S$9:$S$929,245)</f>
        <v>0</v>
      </c>
      <c r="AP253" s="12">
        <f>相位SOC复算!J600</f>
        <v>118.27557112049683</v>
      </c>
      <c r="AQ253" s="19">
        <f t="shared" si="83"/>
        <v>0</v>
      </c>
      <c r="AR253" s="12">
        <f>IF(ISBLANK(原始输入与口径!M157),"",原始输入与口径!M157)</f>
        <v>5.2473000000000001</v>
      </c>
      <c r="AS253" s="14">
        <f>IF(ISBLANK(原始输入与口径!L157),"",原始输入与口径!L157)</f>
        <v>46234</v>
      </c>
      <c r="AT253" s="13">
        <f>IF(ISBLANK(原始输入与口径!A157),"",原始输入与口径!A157)</f>
        <v>46236.416666666664</v>
      </c>
      <c r="AU253" s="12" t="str">
        <f>IF(ISBLANK(原始输入与口径!I157),"",原始输入与口径!I157)</f>
        <v>2026-08-02_49</v>
      </c>
      <c r="AV253" s="12">
        <f>IF(ISBLANK(原始输入与口径!J157),"",原始输入与口径!J157)</f>
        <v>15</v>
      </c>
      <c r="AW253" s="12" t="str">
        <f>IF(ISBLANK(原始输入与口径!BB157),"",原始输入与口径!BB157)</f>
        <v>OK</v>
      </c>
      <c r="AX253" s="12">
        <f>原始输入与口径!CI157</f>
        <v>128</v>
      </c>
      <c r="AY253" s="12">
        <f>原始输入与口径!BS157</f>
        <v>175</v>
      </c>
      <c r="AZ253" s="12">
        <f>原始输入与口径!BI157</f>
        <v>175</v>
      </c>
      <c r="BA253" s="12">
        <f>原始输入与口径!CM157</f>
        <v>40</v>
      </c>
      <c r="BB253" s="12">
        <f>原始输入与口径!BV157</f>
        <v>24</v>
      </c>
      <c r="BC253" s="12">
        <f>原始输入与口径!BL157</f>
        <v>24</v>
      </c>
      <c r="BD253" s="14">
        <f>46236</f>
        <v>46236</v>
      </c>
      <c r="BE253" s="1" t="str">
        <f t="shared" si="84"/>
        <v>-36.000000 MW × 3.030000 × 0.250000 h = -27.270000 EUR</v>
      </c>
      <c r="BF253" s="1" t="str">
        <f t="shared" si="85"/>
        <v>40.000000 MW × 66.224535 × 0.250000 h = 662.245345 EUR</v>
      </c>
      <c r="BG253" s="1" t="str">
        <f t="shared" si="86"/>
        <v>24.000000 MW × 5.473291 × 0.250000 h = 32.839746 EUR</v>
      </c>
      <c r="BH253" s="1" t="str">
        <f t="shared" si="87"/>
        <v>24.000000 MW × 6.860671 × 0.250000 h = 41.164027 EUR</v>
      </c>
      <c r="BI253" s="1" t="str">
        <f t="shared" si="88"/>
        <v>零上调激活电量</v>
      </c>
      <c r="BJ253" s="1" t="str">
        <f t="shared" si="89"/>
        <v>−(0.544869 MWh × 34.425514) = -18.757381 EUR</v>
      </c>
      <c r="BK253" s="1" t="str">
        <f t="shared" si="90"/>
        <v>-27.270000 + 662.245345 + 32.839746 + 41.164027 + 0.000000 + -18.757381 = 690.221738 EUR</v>
      </c>
    </row>
    <row r="254" spans="1:63" ht="21" customHeight="1" x14ac:dyDescent="0.45">
      <c r="A254" s="13">
        <f>原始输入与口径!C158</f>
        <v>46236.552083333336</v>
      </c>
      <c r="B254" s="15">
        <f>IF(ISNUMBER(原始输入与口径!H158),原始输入与口径!H158,"缺失")</f>
        <v>3</v>
      </c>
      <c r="C254" s="15">
        <f>IF(ISNUMBER(原始输入与口径!R158),原始输入与口径!R158,"缺失")</f>
        <v>66.224534522516336</v>
      </c>
      <c r="D254" s="15">
        <f>IF(ISNUMBER(原始输入与口径!W158),原始输入与口径!W158,"缺失")</f>
        <v>5.4732910258609184</v>
      </c>
      <c r="E254" s="15">
        <f>IF(ISNUMBER(原始输入与口径!AB158),原始输入与口径!AB158,"缺失")</f>
        <v>6.8606712023326279</v>
      </c>
      <c r="F254" s="15">
        <f>IF(ISNUMBER(原始输入与口径!AG158),原始输入与口径!AG158,"缺失")</f>
        <v>89.209688792331292</v>
      </c>
      <c r="G254" s="15">
        <f>IF(ISNUMBER(原始输入与口径!AJ158),原始输入与口径!AJ158,"缺失")</f>
        <v>12.709012253921065</v>
      </c>
      <c r="H254" s="15" t="str">
        <f t="shared" si="69"/>
        <v>未模拟</v>
      </c>
      <c r="I254" s="16">
        <f>原始输入与口径!CD158</f>
        <v>118.27557112049683</v>
      </c>
      <c r="J254" s="16">
        <f>原始输入与口径!CE158</f>
        <v>126.94556700621112</v>
      </c>
      <c r="K254" s="16">
        <f>原始输入与口径!BZ158</f>
        <v>-36</v>
      </c>
      <c r="L254" s="16">
        <f>原始输入与口径!CK158</f>
        <v>40</v>
      </c>
      <c r="M254" s="16">
        <f>原始输入与口径!BT158</f>
        <v>24</v>
      </c>
      <c r="N254" s="16">
        <f>原始输入与口径!BJ158</f>
        <v>24</v>
      </c>
      <c r="O254" s="16">
        <f t="shared" si="70"/>
        <v>5.7600000000000004E-3</v>
      </c>
      <c r="P254" s="16">
        <f t="shared" si="71"/>
        <v>0.42966857142857146</v>
      </c>
      <c r="Q254" s="17">
        <f t="shared" si="72"/>
        <v>-27</v>
      </c>
      <c r="R254" s="17">
        <f t="shared" si="73"/>
        <v>662.24534522516342</v>
      </c>
      <c r="S254" s="17">
        <f t="shared" si="74"/>
        <v>32.839746155165514</v>
      </c>
      <c r="T254" s="17">
        <f t="shared" si="75"/>
        <v>41.164027213995766</v>
      </c>
      <c r="U254" s="17">
        <f t="shared" si="76"/>
        <v>0.5138478074438283</v>
      </c>
      <c r="V254" s="17">
        <f t="shared" si="77"/>
        <v>-5.4606631394104728</v>
      </c>
      <c r="W254" s="17">
        <f t="shared" si="78"/>
        <v>704.30230326235801</v>
      </c>
      <c r="X254" s="12">
        <f>原始输入与口径!CP158</f>
        <v>704.30230326235801</v>
      </c>
      <c r="Y254" s="19">
        <f t="shared" si="79"/>
        <v>0</v>
      </c>
      <c r="Z254" s="12" t="str">
        <f t="shared" si="91"/>
        <v>当日执行</v>
      </c>
      <c r="AA254" s="12">
        <f>IF(原始输入与口径!AW158,1,0)</f>
        <v>1</v>
      </c>
      <c r="AB254" s="12">
        <f>IF(原始输入与口径!AY158,1,0)</f>
        <v>1</v>
      </c>
      <c r="AC254" s="12">
        <f>原始输入与口径!$F$5</f>
        <v>0.25</v>
      </c>
      <c r="AD254" s="18">
        <f>原始输入与口径!CG158</f>
        <v>0.3125</v>
      </c>
      <c r="AE254" s="18">
        <f>原始输入与口径!BQ158</f>
        <v>0.13714285714285715</v>
      </c>
      <c r="AF254" s="18">
        <f t="shared" si="81"/>
        <v>9.6000000000000002E-4</v>
      </c>
      <c r="AG254" s="18">
        <f t="shared" si="82"/>
        <v>7.1611428571428576E-2</v>
      </c>
      <c r="AH254" s="12">
        <f>IF(ISNUMBER(原始输入与口径!T158),原始输入与口径!T158,"缺失")</f>
        <v>175</v>
      </c>
      <c r="AI254" s="12">
        <f>IF(ISNUMBER(原始输入与口径!Y158),原始输入与口径!Y158,"缺失")</f>
        <v>175</v>
      </c>
      <c r="AJ254" s="12">
        <f>IF(ISNUMBER(原始输入与口径!AI158),原始输入与口径!AI158,"缺失")</f>
        <v>4.2000000000000003E-2</v>
      </c>
      <c r="AK254" s="12">
        <f>IF(ISNUMBER(原始输入与口径!AL158),原始输入与口径!AL158,"缺失")</f>
        <v>3.133</v>
      </c>
      <c r="AL254" s="12">
        <f>IF(ISNUMBER(原始输入与口径!O158),原始输入与口径!O158,"缺失")</f>
        <v>71.936000000000007</v>
      </c>
      <c r="AM254" s="12">
        <f>SUMIFS(相位SOC复算!$N$9:$N$929,相位SOC复算!$S$9:$S$929,246)</f>
        <v>2.4083321904761909E-2</v>
      </c>
      <c r="AN254" s="12">
        <f>SUMIFS(相位SOC复算!$Q$9:$Q$929,相位SOC复算!$S$9:$S$929,246)</f>
        <v>9.4239085714285711</v>
      </c>
      <c r="AO254" s="12">
        <f>SUMIFS(相位SOC复算!$R$9:$R$929,相位SOC复算!$S$9:$S$929,246)</f>
        <v>0</v>
      </c>
      <c r="AP254" s="12">
        <f>相位SOC复算!J603</f>
        <v>126.94556700621112</v>
      </c>
      <c r="AQ254" s="19">
        <f t="shared" si="83"/>
        <v>0</v>
      </c>
      <c r="AR254" s="12">
        <f>IF(ISBLANK(原始输入与口径!M158),"",原始输入与口径!M158)</f>
        <v>5.2473000000000001</v>
      </c>
      <c r="AS254" s="14">
        <f>IF(ISBLANK(原始输入与口径!L158),"",原始输入与口径!L158)</f>
        <v>46234</v>
      </c>
      <c r="AT254" s="13">
        <f>IF(ISBLANK(原始输入与口径!A158),"",原始输入与口径!A158)</f>
        <v>46236.427083333336</v>
      </c>
      <c r="AU254" s="12" t="str">
        <f>IF(ISBLANK(原始输入与口径!I158),"",原始输入与口径!I158)</f>
        <v>2026-08-02_50</v>
      </c>
      <c r="AV254" s="12">
        <f>IF(ISBLANK(原始输入与口径!J158),"",原始输入与口径!J158)</f>
        <v>15</v>
      </c>
      <c r="AW254" s="12" t="str">
        <f>IF(ISBLANK(原始输入与口径!BB158),"",原始输入与口径!BB158)</f>
        <v>OK</v>
      </c>
      <c r="AX254" s="12">
        <f>原始输入与口径!CI158</f>
        <v>128</v>
      </c>
      <c r="AY254" s="12">
        <f>原始输入与口径!BS158</f>
        <v>175</v>
      </c>
      <c r="AZ254" s="12">
        <f>原始输入与口径!BI158</f>
        <v>175</v>
      </c>
      <c r="BA254" s="12">
        <f>原始输入与口径!CM158</f>
        <v>40</v>
      </c>
      <c r="BB254" s="12">
        <f>原始输入与口径!BV158</f>
        <v>24</v>
      </c>
      <c r="BC254" s="12">
        <f>原始输入与口径!BL158</f>
        <v>24</v>
      </c>
      <c r="BD254" s="14">
        <f>46236</f>
        <v>46236</v>
      </c>
      <c r="BE254" s="1" t="str">
        <f t="shared" si="84"/>
        <v>-36.000000 MW × 3.000000 × 0.250000 h = -27.000000 EUR</v>
      </c>
      <c r="BF254" s="1" t="str">
        <f t="shared" si="85"/>
        <v>40.000000 MW × 66.224535 × 0.250000 h = 662.245345 EUR</v>
      </c>
      <c r="BG254" s="1" t="str">
        <f t="shared" si="86"/>
        <v>24.000000 MW × 5.473291 × 0.250000 h = 32.839746 EUR</v>
      </c>
      <c r="BH254" s="1" t="str">
        <f t="shared" si="87"/>
        <v>24.000000 MW × 6.860671 × 0.250000 h = 41.164027 EUR</v>
      </c>
      <c r="BI254" s="1" t="str">
        <f t="shared" si="88"/>
        <v>0.005760 MWh × 89.209689 = 0.513848 EUR</v>
      </c>
      <c r="BJ254" s="1" t="str">
        <f t="shared" si="89"/>
        <v>−(0.429669 MWh × 12.709012) = -5.460663 EUR</v>
      </c>
      <c r="BK254" s="1" t="str">
        <f t="shared" si="90"/>
        <v>-27.000000 + 662.245345 + 32.839746 + 41.164027 + 0.513848 + -5.460663 = 704.302303 EUR</v>
      </c>
    </row>
    <row r="255" spans="1:63" ht="21" customHeight="1" x14ac:dyDescent="0.45">
      <c r="A255" s="13">
        <f>原始输入与口径!C159</f>
        <v>46236.5625</v>
      </c>
      <c r="B255" s="15">
        <f>IF(ISNUMBER(原始输入与口径!H159),原始输入与口径!H159,"缺失")</f>
        <v>3.56</v>
      </c>
      <c r="C255" s="15">
        <f>IF(ISNUMBER(原始输入与口径!R159),原始输入与口径!R159,"缺失")</f>
        <v>66.224534522516336</v>
      </c>
      <c r="D255" s="15">
        <f>IF(ISNUMBER(原始输入与口径!W159),原始输入与口径!W159,"缺失")</f>
        <v>5.4732910258609184</v>
      </c>
      <c r="E255" s="15">
        <f>IF(ISNUMBER(原始输入与口径!AB159),原始输入与口径!AB159,"缺失")</f>
        <v>6.8606712023326279</v>
      </c>
      <c r="F255" s="15">
        <f>IF(ISNUMBER(原始输入与口径!AG159),原始输入与口径!AG159,"缺失")</f>
        <v>89.209688792331292</v>
      </c>
      <c r="G255" s="15">
        <f>IF(ISNUMBER(原始输入与口径!AJ159),原始输入与口径!AJ159,"缺失")</f>
        <v>-2.9539001010043262</v>
      </c>
      <c r="H255" s="15" t="str">
        <f t="shared" si="69"/>
        <v>未模拟</v>
      </c>
      <c r="I255" s="16">
        <f>原始输入与口径!CD159</f>
        <v>126.94556700621112</v>
      </c>
      <c r="J255" s="16">
        <f>原始输入与口径!CE159</f>
        <v>135.72861249192542</v>
      </c>
      <c r="K255" s="16">
        <f>原始输入与口径!BZ159</f>
        <v>-36</v>
      </c>
      <c r="L255" s="16">
        <f>原始输入与口径!CK159</f>
        <v>40</v>
      </c>
      <c r="M255" s="16">
        <f>原始输入与口径!BT159</f>
        <v>24</v>
      </c>
      <c r="N255" s="16">
        <f>原始输入与口径!BJ159</f>
        <v>24</v>
      </c>
      <c r="O255" s="16">
        <f t="shared" si="70"/>
        <v>2.3314285714285715E-3</v>
      </c>
      <c r="P255" s="16">
        <f t="shared" si="71"/>
        <v>0.54911999999999994</v>
      </c>
      <c r="Q255" s="17">
        <f t="shared" si="72"/>
        <v>-32.04</v>
      </c>
      <c r="R255" s="17">
        <f t="shared" si="73"/>
        <v>662.24534522516342</v>
      </c>
      <c r="S255" s="17">
        <f t="shared" si="74"/>
        <v>32.839746155165514</v>
      </c>
      <c r="T255" s="17">
        <f t="shared" si="75"/>
        <v>41.164027213995766</v>
      </c>
      <c r="U255" s="17">
        <f t="shared" si="76"/>
        <v>0.2079860172986924</v>
      </c>
      <c r="V255" s="17">
        <f t="shared" si="77"/>
        <v>1.6220456234634955</v>
      </c>
      <c r="W255" s="17">
        <f t="shared" si="78"/>
        <v>706.03915023508682</v>
      </c>
      <c r="X255" s="12">
        <f>原始输入与口径!CP159</f>
        <v>706.03915023508694</v>
      </c>
      <c r="Y255" s="19">
        <f t="shared" si="79"/>
        <v>0</v>
      </c>
      <c r="Z255" s="12" t="str">
        <f t="shared" si="91"/>
        <v>当日执行</v>
      </c>
      <c r="AA255" s="12">
        <f>IF(原始输入与口径!AW159,1,0)</f>
        <v>1</v>
      </c>
      <c r="AB255" s="12">
        <f>IF(原始输入与口径!AY159,1,0)</f>
        <v>1</v>
      </c>
      <c r="AC255" s="12">
        <f>原始输入与口径!$F$5</f>
        <v>0.25</v>
      </c>
      <c r="AD255" s="18">
        <f>原始输入与口径!CG159</f>
        <v>0.3125</v>
      </c>
      <c r="AE255" s="18">
        <f>原始输入与口径!BQ159</f>
        <v>0.13714285714285715</v>
      </c>
      <c r="AF255" s="18">
        <f t="shared" si="81"/>
        <v>3.8857142857142861E-4</v>
      </c>
      <c r="AG255" s="18">
        <f t="shared" si="82"/>
        <v>9.151999999999999E-2</v>
      </c>
      <c r="AH255" s="12">
        <f>IF(ISNUMBER(原始输入与口径!T159),原始输入与口径!T159,"缺失")</f>
        <v>175</v>
      </c>
      <c r="AI255" s="12">
        <f>IF(ISNUMBER(原始输入与口径!Y159),原始输入与口径!Y159,"缺失")</f>
        <v>175</v>
      </c>
      <c r="AJ255" s="12">
        <f>IF(ISNUMBER(原始输入与口径!AI159),原始输入与口径!AI159,"缺失")</f>
        <v>1.7000000000000001E-2</v>
      </c>
      <c r="AK255" s="12">
        <f>IF(ISNUMBER(原始输入与口径!AL159),原始输入与口径!AL159,"缺失")</f>
        <v>4.0039999999999996</v>
      </c>
      <c r="AL255" s="12">
        <f>IF(ISNUMBER(原始输入与口径!O159),原始输入与口径!O159,"缺失")</f>
        <v>71.936000000000007</v>
      </c>
      <c r="AM255" s="12">
        <f>SUMIFS(相位SOC复算!$N$9:$N$929,相位SOC复算!$S$9:$S$929,247)</f>
        <v>2.4397348571428574E-2</v>
      </c>
      <c r="AN255" s="12">
        <f>SUMIFS(相位SOC复算!$Q$9:$Q$929,相位SOC复算!$S$9:$S$929,247)</f>
        <v>9.5467885714285696</v>
      </c>
      <c r="AO255" s="12">
        <f>SUMIFS(相位SOC复算!$R$9:$R$929,相位SOC复算!$S$9:$S$929,247)</f>
        <v>0</v>
      </c>
      <c r="AP255" s="12">
        <f>相位SOC复算!J606</f>
        <v>135.72861249192542</v>
      </c>
      <c r="AQ255" s="19">
        <f t="shared" si="83"/>
        <v>0</v>
      </c>
      <c r="AR255" s="12">
        <f>IF(ISBLANK(原始输入与口径!M159),"",原始输入与口径!M159)</f>
        <v>5.2473000000000001</v>
      </c>
      <c r="AS255" s="14">
        <f>IF(ISBLANK(原始输入与口径!L159),"",原始输入与口径!L159)</f>
        <v>46234</v>
      </c>
      <c r="AT255" s="13">
        <f>IF(ISBLANK(原始输入与口径!A159),"",原始输入与口径!A159)</f>
        <v>46236.4375</v>
      </c>
      <c r="AU255" s="12" t="str">
        <f>IF(ISBLANK(原始输入与口径!I159),"",原始输入与口径!I159)</f>
        <v>2026-08-02_51</v>
      </c>
      <c r="AV255" s="12">
        <f>IF(ISBLANK(原始输入与口径!J159),"",原始输入与口径!J159)</f>
        <v>15</v>
      </c>
      <c r="AW255" s="12" t="str">
        <f>IF(ISBLANK(原始输入与口径!BB159),"",原始输入与口径!BB159)</f>
        <v>OK</v>
      </c>
      <c r="AX255" s="12">
        <f>原始输入与口径!CI159</f>
        <v>128</v>
      </c>
      <c r="AY255" s="12">
        <f>原始输入与口径!BS159</f>
        <v>175</v>
      </c>
      <c r="AZ255" s="12">
        <f>原始输入与口径!BI159</f>
        <v>175</v>
      </c>
      <c r="BA255" s="12">
        <f>原始输入与口径!CM159</f>
        <v>40</v>
      </c>
      <c r="BB255" s="12">
        <f>原始输入与口径!BV159</f>
        <v>24</v>
      </c>
      <c r="BC255" s="12">
        <f>原始输入与口径!BL159</f>
        <v>24</v>
      </c>
      <c r="BD255" s="14">
        <f>46236</f>
        <v>46236</v>
      </c>
      <c r="BE255" s="1" t="str">
        <f t="shared" si="84"/>
        <v>-36.000000 MW × 3.560000 × 0.250000 h = -32.040000 EUR</v>
      </c>
      <c r="BF255" s="1" t="str">
        <f t="shared" si="85"/>
        <v>40.000000 MW × 66.224535 × 0.250000 h = 662.245345 EUR</v>
      </c>
      <c r="BG255" s="1" t="str">
        <f t="shared" si="86"/>
        <v>24.000000 MW × 5.473291 × 0.250000 h = 32.839746 EUR</v>
      </c>
      <c r="BH255" s="1" t="str">
        <f t="shared" si="87"/>
        <v>24.000000 MW × 6.860671 × 0.250000 h = 41.164027 EUR</v>
      </c>
      <c r="BI255" s="1" t="str">
        <f t="shared" si="88"/>
        <v>0.002331 MWh × 89.209689 = 0.207986 EUR</v>
      </c>
      <c r="BJ255" s="1" t="str">
        <f t="shared" si="89"/>
        <v>−(0.549120 MWh × -2.953900) = 1.622046 EUR</v>
      </c>
      <c r="BK255" s="1" t="str">
        <f t="shared" si="90"/>
        <v>-32.040000 + 662.245345 + 32.839746 + 41.164027 + 0.207986 + 1.622046 = 706.039150 EUR</v>
      </c>
    </row>
    <row r="256" spans="1:63" ht="21" customHeight="1" x14ac:dyDescent="0.45">
      <c r="A256" s="13">
        <f>原始输入与口径!C160</f>
        <v>46236.572916666664</v>
      </c>
      <c r="B256" s="15">
        <f>IF(ISNUMBER(原始输入与口径!H160),原始输入与口径!H160,"缺失")</f>
        <v>4.21</v>
      </c>
      <c r="C256" s="15">
        <f>IF(ISNUMBER(原始输入与口径!R160),原始输入与口径!R160,"缺失")</f>
        <v>66.224534522516336</v>
      </c>
      <c r="D256" s="15">
        <f>IF(ISNUMBER(原始输入与口径!W160),原始输入与口径!W160,"缺失")</f>
        <v>5.4732910258609184</v>
      </c>
      <c r="E256" s="15">
        <f>IF(ISNUMBER(原始输入与口径!AB160),原始输入与口径!AB160,"缺失")</f>
        <v>6.8606712023326279</v>
      </c>
      <c r="F256" s="15">
        <f>IF(ISNUMBER(原始输入与口径!AG160),原始输入与口径!AG160,"缺失")</f>
        <v>0</v>
      </c>
      <c r="G256" s="15">
        <f>IF(ISNUMBER(原始输入与口径!AJ160),原始输入与口径!AJ160,"缺失")</f>
        <v>-22.43973090922951</v>
      </c>
      <c r="H256" s="15" t="str">
        <f t="shared" si="69"/>
        <v>未模拟</v>
      </c>
      <c r="I256" s="16">
        <f>原始输入与口径!CD160</f>
        <v>135.72861249192542</v>
      </c>
      <c r="J256" s="16">
        <f>原始输入与口径!CE160</f>
        <v>137.20343032049684</v>
      </c>
      <c r="K256" s="16">
        <f>原始输入与口径!BZ160</f>
        <v>0</v>
      </c>
      <c r="L256" s="16">
        <f>原始输入与口径!CK160</f>
        <v>40</v>
      </c>
      <c r="M256" s="16">
        <f>原始输入与口径!BT160</f>
        <v>24</v>
      </c>
      <c r="N256" s="16">
        <f>原始输入与口径!BJ160</f>
        <v>24</v>
      </c>
      <c r="O256" s="16">
        <f t="shared" si="70"/>
        <v>0</v>
      </c>
      <c r="P256" s="16">
        <f t="shared" si="71"/>
        <v>1.6030628571428571</v>
      </c>
      <c r="Q256" s="17">
        <f t="shared" si="72"/>
        <v>0</v>
      </c>
      <c r="R256" s="17">
        <f t="shared" si="73"/>
        <v>662.24534522516342</v>
      </c>
      <c r="S256" s="17">
        <f t="shared" si="74"/>
        <v>32.839746155165514</v>
      </c>
      <c r="T256" s="17">
        <f t="shared" si="75"/>
        <v>41.164027213995766</v>
      </c>
      <c r="U256" s="17">
        <f t="shared" si="76"/>
        <v>0</v>
      </c>
      <c r="V256" s="17">
        <f t="shared" si="77"/>
        <v>35.972299144866341</v>
      </c>
      <c r="W256" s="17">
        <f t="shared" si="78"/>
        <v>772.221417739191</v>
      </c>
      <c r="X256" s="12">
        <f>原始输入与口径!CP160</f>
        <v>772.221417739191</v>
      </c>
      <c r="Y256" s="19">
        <f t="shared" si="79"/>
        <v>0</v>
      </c>
      <c r="Z256" s="12" t="str">
        <f t="shared" si="91"/>
        <v>当日执行</v>
      </c>
      <c r="AA256" s="12">
        <f>IF(原始输入与口径!AW160,1,0)</f>
        <v>1</v>
      </c>
      <c r="AB256" s="12">
        <f>IF(原始输入与口径!AY160,1,0)</f>
        <v>1</v>
      </c>
      <c r="AC256" s="12">
        <f>原始输入与口径!$F$5</f>
        <v>0.25</v>
      </c>
      <c r="AD256" s="18">
        <f>原始输入与口径!CG160</f>
        <v>0.3125</v>
      </c>
      <c r="AE256" s="18">
        <f>原始输入与口径!BQ160</f>
        <v>0.13714285714285715</v>
      </c>
      <c r="AF256" s="18">
        <f t="shared" si="81"/>
        <v>0</v>
      </c>
      <c r="AG256" s="18">
        <f t="shared" si="82"/>
        <v>0.26717714285714284</v>
      </c>
      <c r="AH256" s="12">
        <f>IF(ISNUMBER(原始输入与口径!T160),原始输入与口径!T160,"缺失")</f>
        <v>175</v>
      </c>
      <c r="AI256" s="12">
        <f>IF(ISNUMBER(原始输入与口径!Y160),原始输入与口径!Y160,"缺失")</f>
        <v>175</v>
      </c>
      <c r="AJ256" s="12">
        <f>IF(ISNUMBER(原始输入与口径!AI160),原始输入与口径!AI160,"缺失")</f>
        <v>0</v>
      </c>
      <c r="AK256" s="12">
        <f>IF(ISNUMBER(原始输入与口径!AL160),原始输入与口径!AL160,"缺失")</f>
        <v>11.689</v>
      </c>
      <c r="AL256" s="12">
        <f>IF(ISNUMBER(原始输入与口径!O160),原始输入与口径!O160,"缺失")</f>
        <v>71.936000000000007</v>
      </c>
      <c r="AM256" s="12">
        <f>SUMIFS(相位SOC复算!$N$9:$N$929,相位SOC复算!$S$9:$S$929,248)</f>
        <v>4.0967161904761906E-3</v>
      </c>
      <c r="AN256" s="12">
        <f>SUMIFS(相位SOC复算!$Q$9:$Q$929,相位SOC复算!$S$9:$S$929,248)</f>
        <v>1.6030628571428571</v>
      </c>
      <c r="AO256" s="12">
        <f>SUMIFS(相位SOC复算!$R$9:$R$929,相位SOC复算!$S$9:$S$929,248)</f>
        <v>0</v>
      </c>
      <c r="AP256" s="12">
        <f>相位SOC复算!J608</f>
        <v>137.20343032049684</v>
      </c>
      <c r="AQ256" s="19">
        <f t="shared" si="83"/>
        <v>0</v>
      </c>
      <c r="AR256" s="12">
        <f>IF(ISBLANK(原始输入与口径!M160),"",原始输入与口径!M160)</f>
        <v>5.2473000000000001</v>
      </c>
      <c r="AS256" s="14">
        <f>IF(ISBLANK(原始输入与口径!L160),"",原始输入与口径!L160)</f>
        <v>46234</v>
      </c>
      <c r="AT256" s="13">
        <f>IF(ISBLANK(原始输入与口径!A160),"",原始输入与口径!A160)</f>
        <v>46236.447916666664</v>
      </c>
      <c r="AU256" s="12" t="str">
        <f>IF(ISBLANK(原始输入与口径!I160),"",原始输入与口径!I160)</f>
        <v>2026-08-02_52</v>
      </c>
      <c r="AV256" s="12">
        <f>IF(ISBLANK(原始输入与口径!J160),"",原始输入与口径!J160)</f>
        <v>15</v>
      </c>
      <c r="AW256" s="12" t="str">
        <f>IF(ISBLANK(原始输入与口径!BB160),"",原始输入与口径!BB160)</f>
        <v>OK</v>
      </c>
      <c r="AX256" s="12">
        <f>原始输入与口径!CI160</f>
        <v>128</v>
      </c>
      <c r="AY256" s="12">
        <f>原始输入与口径!BS160</f>
        <v>175</v>
      </c>
      <c r="AZ256" s="12">
        <f>原始输入与口径!BI160</f>
        <v>175</v>
      </c>
      <c r="BA256" s="12">
        <f>原始输入与口径!CM160</f>
        <v>40</v>
      </c>
      <c r="BB256" s="12">
        <f>原始输入与口径!BV160</f>
        <v>24</v>
      </c>
      <c r="BC256" s="12">
        <f>原始输入与口径!BL160</f>
        <v>24</v>
      </c>
      <c r="BD256" s="14">
        <f>46236</f>
        <v>46236</v>
      </c>
      <c r="BE256" s="1" t="str">
        <f t="shared" si="84"/>
        <v>零头寸，无结算现金</v>
      </c>
      <c r="BF256" s="1" t="str">
        <f t="shared" si="85"/>
        <v>40.000000 MW × 66.224535 × 0.250000 h = 662.245345 EUR</v>
      </c>
      <c r="BG256" s="1" t="str">
        <f t="shared" si="86"/>
        <v>24.000000 MW × 5.473291 × 0.250000 h = 32.839746 EUR</v>
      </c>
      <c r="BH256" s="1" t="str">
        <f t="shared" si="87"/>
        <v>24.000000 MW × 6.860671 × 0.250000 h = 41.164027 EUR</v>
      </c>
      <c r="BI256" s="1" t="str">
        <f t="shared" si="88"/>
        <v>零上调激活电量</v>
      </c>
      <c r="BJ256" s="1" t="str">
        <f t="shared" si="89"/>
        <v>−(1.603063 MWh × -22.439731) = 35.972299 EUR</v>
      </c>
      <c r="BK256" s="1" t="str">
        <f t="shared" si="90"/>
        <v>0.000000 + 662.245345 + 32.839746 + 41.164027 + 0.000000 + 35.972299 = 772.221418 EUR</v>
      </c>
    </row>
    <row r="257" spans="1:63" ht="21" customHeight="1" x14ac:dyDescent="0.45">
      <c r="A257" s="13">
        <f>原始输入与口径!C161</f>
        <v>46236.583333333336</v>
      </c>
      <c r="B257" s="15">
        <f>IF(ISNUMBER(原始输入与口径!H161),原始输入与口径!H161,"缺失")</f>
        <v>4.21</v>
      </c>
      <c r="C257" s="15">
        <f>IF(ISNUMBER(原始输入与口径!R161),原始输入与口径!R161,"缺失")</f>
        <v>66.224534522516336</v>
      </c>
      <c r="D257" s="15">
        <f>IF(ISNUMBER(原始输入与口径!W161),原始输入与口径!W161,"缺失")</f>
        <v>5.4732910258609184</v>
      </c>
      <c r="E257" s="15">
        <f>IF(ISNUMBER(原始输入与口径!AB161),原始输入与口径!AB161,"缺失")</f>
        <v>6.8606712023326279</v>
      </c>
      <c r="F257" s="15">
        <f>IF(ISNUMBER(原始输入与口径!AG161),原始输入与口径!AG161,"缺失")</f>
        <v>0</v>
      </c>
      <c r="G257" s="15">
        <f>IF(ISNUMBER(原始输入与口径!AJ161),原始输入与口径!AJ161,"缺失")</f>
        <v>-79.688792331294195</v>
      </c>
      <c r="H257" s="15" t="str">
        <f t="shared" si="69"/>
        <v>未模拟</v>
      </c>
      <c r="I257" s="16">
        <f>原始输入与口径!CD161</f>
        <v>137.20343032049684</v>
      </c>
      <c r="J257" s="16">
        <f>原始输入与口径!CE161</f>
        <v>142.53650611677011</v>
      </c>
      <c r="K257" s="16">
        <f>原始输入与口径!BZ161</f>
        <v>-9.7215032136105002</v>
      </c>
      <c r="L257" s="16">
        <f>原始输入与口径!CK161</f>
        <v>40</v>
      </c>
      <c r="M257" s="16">
        <f>原始输入与口径!BT161</f>
        <v>24</v>
      </c>
      <c r="N257" s="16">
        <f>原始输入与口径!BJ161</f>
        <v>24</v>
      </c>
      <c r="O257" s="16">
        <f t="shared" si="70"/>
        <v>0</v>
      </c>
      <c r="P257" s="16">
        <f t="shared" si="71"/>
        <v>3.3664457142857147</v>
      </c>
      <c r="Q257" s="17">
        <f t="shared" si="72"/>
        <v>-10.231882132325051</v>
      </c>
      <c r="R257" s="17">
        <f t="shared" si="73"/>
        <v>662.24534522516342</v>
      </c>
      <c r="S257" s="17">
        <f t="shared" si="74"/>
        <v>32.839746155165514</v>
      </c>
      <c r="T257" s="17">
        <f t="shared" si="75"/>
        <v>41.164027213995766</v>
      </c>
      <c r="U257" s="17">
        <f t="shared" si="76"/>
        <v>0</v>
      </c>
      <c r="V257" s="17">
        <f t="shared" si="77"/>
        <v>268.26799342028966</v>
      </c>
      <c r="W257" s="17">
        <f t="shared" si="78"/>
        <v>994.28522988228929</v>
      </c>
      <c r="X257" s="12">
        <f>原始输入与口径!CP161</f>
        <v>994.28522988228929</v>
      </c>
      <c r="Y257" s="19">
        <f t="shared" si="79"/>
        <v>0</v>
      </c>
      <c r="Z257" s="12" t="str">
        <f t="shared" si="91"/>
        <v>当日执行</v>
      </c>
      <c r="AA257" s="12">
        <f>IF(原始输入与口径!AW161,1,0)</f>
        <v>1</v>
      </c>
      <c r="AB257" s="12">
        <f>IF(原始输入与口径!AY161,1,0)</f>
        <v>1</v>
      </c>
      <c r="AC257" s="12">
        <f>原始输入与口径!$F$5</f>
        <v>0.25</v>
      </c>
      <c r="AD257" s="18">
        <f>原始输入与口径!CG161</f>
        <v>0.3125</v>
      </c>
      <c r="AE257" s="18">
        <f>原始输入与口径!BQ161</f>
        <v>0.13714285714285715</v>
      </c>
      <c r="AF257" s="18">
        <f t="shared" si="81"/>
        <v>0</v>
      </c>
      <c r="AG257" s="18">
        <f t="shared" si="82"/>
        <v>0.56107428571428575</v>
      </c>
      <c r="AH257" s="12">
        <f>IF(ISNUMBER(原始输入与口径!T161),原始输入与口径!T161,"缺失")</f>
        <v>175</v>
      </c>
      <c r="AI257" s="12">
        <f>IF(ISNUMBER(原始输入与口径!Y161),原始输入与口径!Y161,"缺失")</f>
        <v>175</v>
      </c>
      <c r="AJ257" s="12">
        <f>IF(ISNUMBER(原始输入与口径!AI161),原始输入与口径!AI161,"缺失")</f>
        <v>0</v>
      </c>
      <c r="AK257" s="12">
        <f>IF(ISNUMBER(原始输入与口径!AL161),原始输入与口径!AL161,"缺失")</f>
        <v>24.547000000000001</v>
      </c>
      <c r="AL257" s="12">
        <f>IF(ISNUMBER(原始输入与口径!O161),原始输入与口径!O161,"缺失")</f>
        <v>71.936000000000007</v>
      </c>
      <c r="AM257" s="12">
        <f>SUMIFS(相位SOC复算!$N$9:$N$929,相位SOC复算!$S$9:$S$929,249)</f>
        <v>1.4814099434092422E-2</v>
      </c>
      <c r="AN257" s="12">
        <f>SUMIFS(相位SOC复算!$Q$9:$Q$929,相位SOC复算!$S$9:$S$929,249)</f>
        <v>5.7968215176883398</v>
      </c>
      <c r="AO257" s="12">
        <f>SUMIFS(相位SOC复算!$R$9:$R$929,相位SOC复算!$S$9:$S$929,249)</f>
        <v>0</v>
      </c>
      <c r="AP257" s="12">
        <f>相位SOC复算!J610</f>
        <v>142.53650611677011</v>
      </c>
      <c r="AQ257" s="19">
        <f t="shared" si="83"/>
        <v>0</v>
      </c>
      <c r="AR257" s="12">
        <f>IF(ISBLANK(原始输入与口径!M161),"",原始输入与口径!M161)</f>
        <v>5.2473000000000001</v>
      </c>
      <c r="AS257" s="14">
        <f>IF(ISBLANK(原始输入与口径!L161),"",原始输入与口径!L161)</f>
        <v>46234</v>
      </c>
      <c r="AT257" s="13">
        <f>IF(ISBLANK(原始输入与口径!A161),"",原始输入与口径!A161)</f>
        <v>46236.458333333336</v>
      </c>
      <c r="AU257" s="12" t="str">
        <f>IF(ISBLANK(原始输入与口径!I161),"",原始输入与口径!I161)</f>
        <v>2026-08-02_53</v>
      </c>
      <c r="AV257" s="12">
        <f>IF(ISBLANK(原始输入与口径!J161),"",原始输入与口径!J161)</f>
        <v>15</v>
      </c>
      <c r="AW257" s="12" t="str">
        <f>IF(ISBLANK(原始输入与口径!BB161),"",原始输入与口径!BB161)</f>
        <v>OK</v>
      </c>
      <c r="AX257" s="12">
        <f>原始输入与口径!CI161</f>
        <v>128</v>
      </c>
      <c r="AY257" s="12">
        <f>原始输入与口径!BS161</f>
        <v>175</v>
      </c>
      <c r="AZ257" s="12">
        <f>原始输入与口径!BI161</f>
        <v>175</v>
      </c>
      <c r="BA257" s="12">
        <f>原始输入与口径!CM161</f>
        <v>40</v>
      </c>
      <c r="BB257" s="12">
        <f>原始输入与口径!BV161</f>
        <v>24</v>
      </c>
      <c r="BC257" s="12">
        <f>原始输入与口径!BL161</f>
        <v>24</v>
      </c>
      <c r="BD257" s="14">
        <f>46236</f>
        <v>46236</v>
      </c>
      <c r="BE257" s="1" t="str">
        <f t="shared" si="84"/>
        <v>-9.721503 MW × 4.210000 × 0.250000 h = -10.231882 EUR</v>
      </c>
      <c r="BF257" s="1" t="str">
        <f t="shared" si="85"/>
        <v>40.000000 MW × 66.224535 × 0.250000 h = 662.245345 EUR</v>
      </c>
      <c r="BG257" s="1" t="str">
        <f t="shared" si="86"/>
        <v>24.000000 MW × 5.473291 × 0.250000 h = 32.839746 EUR</v>
      </c>
      <c r="BH257" s="1" t="str">
        <f t="shared" si="87"/>
        <v>24.000000 MW × 6.860671 × 0.250000 h = 41.164027 EUR</v>
      </c>
      <c r="BI257" s="1" t="str">
        <f t="shared" si="88"/>
        <v>零上调激活电量</v>
      </c>
      <c r="BJ257" s="1" t="str">
        <f t="shared" si="89"/>
        <v>−(3.366446 MWh × -79.688792) = 268.267993 EUR</v>
      </c>
      <c r="BK257" s="1" t="str">
        <f t="shared" si="90"/>
        <v>-10.231882 + 662.245345 + 32.839746 + 41.164027 + 0.000000 + 268.267993 = 994.285230 EUR</v>
      </c>
    </row>
    <row r="258" spans="1:63" ht="21" customHeight="1" x14ac:dyDescent="0.45">
      <c r="A258" s="13">
        <f>原始输入与口径!C162</f>
        <v>46236.59375</v>
      </c>
      <c r="B258" s="15">
        <f>IF(ISNUMBER(原始输入与口径!H162),原始输入与口径!H162,"缺失")</f>
        <v>2.74</v>
      </c>
      <c r="C258" s="15">
        <f>IF(ISNUMBER(原始输入与口径!R162),原始输入与口径!R162,"缺失")</f>
        <v>66.224534522516336</v>
      </c>
      <c r="D258" s="15">
        <f>IF(ISNUMBER(原始输入与口径!W162),原始输入与口径!W162,"缺失")</f>
        <v>5.4732910258609184</v>
      </c>
      <c r="E258" s="15">
        <f>IF(ISNUMBER(原始输入与口径!AB162),原始输入与口径!AB162,"缺失")</f>
        <v>6.8606712023326279</v>
      </c>
      <c r="F258" s="15">
        <f>IF(ISNUMBER(原始输入与口径!AG162),原始输入与口径!AG162,"缺失")</f>
        <v>0</v>
      </c>
      <c r="G258" s="15">
        <f>IF(ISNUMBER(原始输入与口径!AJ162),原始输入与口径!AJ162,"缺失")</f>
        <v>-75.205153126369751</v>
      </c>
      <c r="H258" s="15" t="str">
        <f t="shared" si="69"/>
        <v>未模拟</v>
      </c>
      <c r="I258" s="16">
        <f>原始输入与口径!CD162</f>
        <v>142.53650611677011</v>
      </c>
      <c r="J258" s="16">
        <f>原始输入与口径!CE162</f>
        <v>152.67753468819868</v>
      </c>
      <c r="K258" s="16">
        <f>原始输入与口径!BZ162</f>
        <v>-36</v>
      </c>
      <c r="L258" s="16">
        <f>原始输入与口径!CK162</f>
        <v>40</v>
      </c>
      <c r="M258" s="16">
        <f>原始输入与口径!BT162</f>
        <v>24</v>
      </c>
      <c r="N258" s="16">
        <f>原始输入与口径!BJ162</f>
        <v>24</v>
      </c>
      <c r="O258" s="16">
        <f t="shared" si="70"/>
        <v>0</v>
      </c>
      <c r="P258" s="16">
        <f t="shared" si="71"/>
        <v>2.0228571428571427</v>
      </c>
      <c r="Q258" s="17">
        <f t="shared" si="72"/>
        <v>-24.660000000000004</v>
      </c>
      <c r="R258" s="17">
        <f t="shared" si="73"/>
        <v>662.24534522516342</v>
      </c>
      <c r="S258" s="17">
        <f t="shared" si="74"/>
        <v>32.839746155165514</v>
      </c>
      <c r="T258" s="17">
        <f t="shared" si="75"/>
        <v>41.164027213995766</v>
      </c>
      <c r="U258" s="17">
        <f t="shared" si="76"/>
        <v>0</v>
      </c>
      <c r="V258" s="17">
        <f t="shared" si="77"/>
        <v>152.12928118134224</v>
      </c>
      <c r="W258" s="17">
        <f t="shared" si="78"/>
        <v>863.71839977566685</v>
      </c>
      <c r="X258" s="12">
        <f>原始输入与口径!CP162</f>
        <v>863.71839977566697</v>
      </c>
      <c r="Y258" s="19">
        <f t="shared" si="79"/>
        <v>0</v>
      </c>
      <c r="Z258" s="12" t="str">
        <f t="shared" si="91"/>
        <v>当日执行</v>
      </c>
      <c r="AA258" s="12">
        <f>IF(原始输入与口径!AW162,1,0)</f>
        <v>1</v>
      </c>
      <c r="AB258" s="12">
        <f>IF(原始输入与口径!AY162,1,0)</f>
        <v>1</v>
      </c>
      <c r="AC258" s="12">
        <f>原始输入与口径!$F$5</f>
        <v>0.25</v>
      </c>
      <c r="AD258" s="18">
        <f>原始输入与口径!CG162</f>
        <v>0.3125</v>
      </c>
      <c r="AE258" s="18">
        <f>原始输入与口径!BQ162</f>
        <v>0.13714285714285715</v>
      </c>
      <c r="AF258" s="18">
        <f t="shared" si="81"/>
        <v>0</v>
      </c>
      <c r="AG258" s="18">
        <f t="shared" si="82"/>
        <v>0.33714285714285713</v>
      </c>
      <c r="AH258" s="12">
        <f>IF(ISNUMBER(原始输入与口径!T162),原始输入与口径!T162,"缺失")</f>
        <v>175</v>
      </c>
      <c r="AI258" s="12">
        <f>IF(ISNUMBER(原始输入与口径!Y162),原始输入与口径!Y162,"缺失")</f>
        <v>175</v>
      </c>
      <c r="AJ258" s="12">
        <f>IF(ISNUMBER(原始输入与口径!AI162),原始输入与口径!AI162,"缺失")</f>
        <v>0</v>
      </c>
      <c r="AK258" s="12">
        <f>IF(ISNUMBER(原始输入与口径!AL162),原始输入与口径!AL162,"缺失")</f>
        <v>14.75</v>
      </c>
      <c r="AL258" s="12">
        <f>IF(ISNUMBER(原始输入与口径!O162),原始输入与口径!O162,"缺失")</f>
        <v>71.936000000000007</v>
      </c>
      <c r="AM258" s="12">
        <f>SUMIFS(相位SOC复算!$N$9:$N$929,相位SOC复算!$S$9:$S$929,250)</f>
        <v>2.8169523809523811E-2</v>
      </c>
      <c r="AN258" s="12">
        <f>SUMIFS(相位SOC复算!$Q$9:$Q$929,相位SOC复算!$S$9:$S$929,250)</f>
        <v>11.022857142857141</v>
      </c>
      <c r="AO258" s="12">
        <f>SUMIFS(相位SOC复算!$R$9:$R$929,相位SOC复算!$S$9:$S$929,250)</f>
        <v>0</v>
      </c>
      <c r="AP258" s="12">
        <f>相位SOC复算!J612</f>
        <v>152.6775346881987</v>
      </c>
      <c r="AQ258" s="19">
        <f t="shared" si="83"/>
        <v>0</v>
      </c>
      <c r="AR258" s="12">
        <f>IF(ISBLANK(原始输入与口径!M162),"",原始输入与口径!M162)</f>
        <v>5.2473000000000001</v>
      </c>
      <c r="AS258" s="14">
        <f>IF(ISBLANK(原始输入与口径!L162),"",原始输入与口径!L162)</f>
        <v>46234</v>
      </c>
      <c r="AT258" s="13">
        <f>IF(ISBLANK(原始输入与口径!A162),"",原始输入与口径!A162)</f>
        <v>46236.46875</v>
      </c>
      <c r="AU258" s="12" t="str">
        <f>IF(ISBLANK(原始输入与口径!I162),"",原始输入与口径!I162)</f>
        <v>2026-08-02_54</v>
      </c>
      <c r="AV258" s="12">
        <f>IF(ISBLANK(原始输入与口径!J162),"",原始输入与口径!J162)</f>
        <v>15</v>
      </c>
      <c r="AW258" s="12" t="str">
        <f>IF(ISBLANK(原始输入与口径!BB162),"",原始输入与口径!BB162)</f>
        <v>OK</v>
      </c>
      <c r="AX258" s="12">
        <f>原始输入与口径!CI162</f>
        <v>128</v>
      </c>
      <c r="AY258" s="12">
        <f>原始输入与口径!BS162</f>
        <v>175</v>
      </c>
      <c r="AZ258" s="12">
        <f>原始输入与口径!BI162</f>
        <v>175</v>
      </c>
      <c r="BA258" s="12">
        <f>原始输入与口径!CM162</f>
        <v>40</v>
      </c>
      <c r="BB258" s="12">
        <f>原始输入与口径!BV162</f>
        <v>24</v>
      </c>
      <c r="BC258" s="12">
        <f>原始输入与口径!BL162</f>
        <v>24</v>
      </c>
      <c r="BD258" s="14">
        <f>46236</f>
        <v>46236</v>
      </c>
      <c r="BE258" s="1" t="str">
        <f t="shared" si="84"/>
        <v>-36.000000 MW × 2.740000 × 0.250000 h = -24.660000 EUR</v>
      </c>
      <c r="BF258" s="1" t="str">
        <f t="shared" si="85"/>
        <v>40.000000 MW × 66.224535 × 0.250000 h = 662.245345 EUR</v>
      </c>
      <c r="BG258" s="1" t="str">
        <f t="shared" si="86"/>
        <v>24.000000 MW × 5.473291 × 0.250000 h = 32.839746 EUR</v>
      </c>
      <c r="BH258" s="1" t="str">
        <f t="shared" si="87"/>
        <v>24.000000 MW × 6.860671 × 0.250000 h = 41.164027 EUR</v>
      </c>
      <c r="BI258" s="1" t="str">
        <f t="shared" si="88"/>
        <v>零上调激活电量</v>
      </c>
      <c r="BJ258" s="1" t="str">
        <f t="shared" si="89"/>
        <v>−(2.022857 MWh × -75.205153) = 152.129281 EUR</v>
      </c>
      <c r="BK258" s="1" t="str">
        <f t="shared" si="90"/>
        <v>-24.660000 + 662.245345 + 32.839746 + 41.164027 + 0.000000 + 152.129281 = 863.718400 EUR</v>
      </c>
    </row>
    <row r="259" spans="1:63" ht="21" customHeight="1" x14ac:dyDescent="0.45">
      <c r="A259" s="13">
        <f>原始输入与口径!C163</f>
        <v>46236.604166666664</v>
      </c>
      <c r="B259" s="15">
        <f>IF(ISNUMBER(原始输入与口径!H163),原始输入与口径!H163,"缺失")</f>
        <v>3.75</v>
      </c>
      <c r="C259" s="15">
        <f>IF(ISNUMBER(原始输入与口径!R163),原始输入与口径!R163,"缺失")</f>
        <v>66.224534522516336</v>
      </c>
      <c r="D259" s="15">
        <f>IF(ISNUMBER(原始输入与口径!W163),原始输入与口径!W163,"缺失")</f>
        <v>5.4732910258609184</v>
      </c>
      <c r="E259" s="15">
        <f>IF(ISNUMBER(原始输入与口径!AB163),原始输入与口径!AB163,"缺失")</f>
        <v>6.8606712023326279</v>
      </c>
      <c r="F259" s="15">
        <f>IF(ISNUMBER(原始输入与口径!AG163),原始输入与口径!AG163,"缺失")</f>
        <v>0</v>
      </c>
      <c r="G259" s="15">
        <f>IF(ISNUMBER(原始输入与口径!AJ163),原始输入与口径!AJ163,"缺失")</f>
        <v>18.340289291635695</v>
      </c>
      <c r="H259" s="15" t="str">
        <f t="shared" si="69"/>
        <v>未模拟</v>
      </c>
      <c r="I259" s="16">
        <f>原始输入与口径!CD163</f>
        <v>152.67753468819868</v>
      </c>
      <c r="J259" s="16">
        <f>原始输入与口径!CE163</f>
        <v>161.38815777391295</v>
      </c>
      <c r="K259" s="16">
        <f>原始输入与口径!BZ163</f>
        <v>-36</v>
      </c>
      <c r="L259" s="16">
        <f>原始输入与口径!CK163</f>
        <v>40</v>
      </c>
      <c r="M259" s="16">
        <f>原始输入与口径!BT163</f>
        <v>24</v>
      </c>
      <c r="N259" s="16">
        <f>原始输入与口径!BJ163</f>
        <v>24</v>
      </c>
      <c r="O259" s="16">
        <f t="shared" si="70"/>
        <v>0</v>
      </c>
      <c r="P259" s="16">
        <f t="shared" si="71"/>
        <v>0.46806857142857139</v>
      </c>
      <c r="Q259" s="17">
        <f t="shared" si="72"/>
        <v>-33.75</v>
      </c>
      <c r="R259" s="17">
        <f t="shared" si="73"/>
        <v>662.24534522516342</v>
      </c>
      <c r="S259" s="17">
        <f t="shared" si="74"/>
        <v>32.839746155165514</v>
      </c>
      <c r="T259" s="17">
        <f t="shared" si="75"/>
        <v>41.164027213995766</v>
      </c>
      <c r="U259" s="17">
        <f t="shared" si="76"/>
        <v>0</v>
      </c>
      <c r="V259" s="17">
        <f t="shared" si="77"/>
        <v>-8.5845130083226451</v>
      </c>
      <c r="W259" s="17">
        <f t="shared" si="78"/>
        <v>693.91460558600193</v>
      </c>
      <c r="X259" s="12">
        <f>原始输入与口径!CP163</f>
        <v>693.91460558600204</v>
      </c>
      <c r="Y259" s="19">
        <f t="shared" si="79"/>
        <v>0</v>
      </c>
      <c r="Z259" s="12" t="str">
        <f t="shared" si="91"/>
        <v>当日执行</v>
      </c>
      <c r="AA259" s="12">
        <f>IF(原始输入与口径!AW163,1,0)</f>
        <v>1</v>
      </c>
      <c r="AB259" s="12">
        <f>IF(原始输入与口径!AY163,1,0)</f>
        <v>1</v>
      </c>
      <c r="AC259" s="12">
        <f>原始输入与口径!$F$5</f>
        <v>0.25</v>
      </c>
      <c r="AD259" s="18">
        <f>原始输入与口径!CG163</f>
        <v>0.3125</v>
      </c>
      <c r="AE259" s="18">
        <f>原始输入与口径!BQ163</f>
        <v>0.13714285714285715</v>
      </c>
      <c r="AF259" s="18">
        <f t="shared" si="81"/>
        <v>0</v>
      </c>
      <c r="AG259" s="18">
        <f t="shared" si="82"/>
        <v>7.8011428571428565E-2</v>
      </c>
      <c r="AH259" s="12">
        <f>IF(ISNUMBER(原始输入与口径!T163),原始输入与口径!T163,"缺失")</f>
        <v>175</v>
      </c>
      <c r="AI259" s="12">
        <f>IF(ISNUMBER(原始输入与口径!Y163),原始输入与口径!Y163,"缺失")</f>
        <v>175</v>
      </c>
      <c r="AJ259" s="12">
        <f>IF(ISNUMBER(原始输入与口径!AI163),原始输入与口径!AI163,"缺失")</f>
        <v>0</v>
      </c>
      <c r="AK259" s="12">
        <f>IF(ISNUMBER(原始输入与口径!AL163),原始输入与口径!AL163,"缺失")</f>
        <v>3.4129999999999998</v>
      </c>
      <c r="AL259" s="12">
        <f>IF(ISNUMBER(原始输入与口径!O163),原始输入与口径!O163,"缺失")</f>
        <v>71.936000000000007</v>
      </c>
      <c r="AM259" s="12">
        <f>SUMIFS(相位SOC复算!$N$9:$N$929,相位SOC复算!$S$9:$S$929,251)</f>
        <v>2.4196175238095242E-2</v>
      </c>
      <c r="AN259" s="12">
        <f>SUMIFS(相位SOC复算!$Q$9:$Q$929,相位SOC复算!$S$9:$S$929,251)</f>
        <v>9.4680685714285708</v>
      </c>
      <c r="AO259" s="12">
        <f>SUMIFS(相位SOC复算!$R$9:$R$929,相位SOC复算!$S$9:$S$929,251)</f>
        <v>0</v>
      </c>
      <c r="AP259" s="12">
        <f>相位SOC复算!J614</f>
        <v>161.38815777391298</v>
      </c>
      <c r="AQ259" s="19">
        <f t="shared" si="83"/>
        <v>0</v>
      </c>
      <c r="AR259" s="12">
        <f>IF(ISBLANK(原始输入与口径!M163),"",原始输入与口径!M163)</f>
        <v>5.2473000000000001</v>
      </c>
      <c r="AS259" s="14">
        <f>IF(ISBLANK(原始输入与口径!L163),"",原始输入与口径!L163)</f>
        <v>46234</v>
      </c>
      <c r="AT259" s="13">
        <f>IF(ISBLANK(原始输入与口径!A163),"",原始输入与口径!A163)</f>
        <v>46236.479166666664</v>
      </c>
      <c r="AU259" s="12" t="str">
        <f>IF(ISBLANK(原始输入与口径!I163),"",原始输入与口径!I163)</f>
        <v>2026-08-02_55</v>
      </c>
      <c r="AV259" s="12">
        <f>IF(ISBLANK(原始输入与口径!J163),"",原始输入与口径!J163)</f>
        <v>15</v>
      </c>
      <c r="AW259" s="12" t="str">
        <f>IF(ISBLANK(原始输入与口径!BB163),"",原始输入与口径!BB163)</f>
        <v>OK</v>
      </c>
      <c r="AX259" s="12">
        <f>原始输入与口径!CI163</f>
        <v>128</v>
      </c>
      <c r="AY259" s="12">
        <f>原始输入与口径!BS163</f>
        <v>175</v>
      </c>
      <c r="AZ259" s="12">
        <f>原始输入与口径!BI163</f>
        <v>175</v>
      </c>
      <c r="BA259" s="12">
        <f>原始输入与口径!CM163</f>
        <v>40</v>
      </c>
      <c r="BB259" s="12">
        <f>原始输入与口径!BV163</f>
        <v>24</v>
      </c>
      <c r="BC259" s="12">
        <f>原始输入与口径!BL163</f>
        <v>24</v>
      </c>
      <c r="BD259" s="14">
        <f>46236</f>
        <v>46236</v>
      </c>
      <c r="BE259" s="1" t="str">
        <f t="shared" si="84"/>
        <v>-36.000000 MW × 3.750000 × 0.250000 h = -33.750000 EUR</v>
      </c>
      <c r="BF259" s="1" t="str">
        <f t="shared" si="85"/>
        <v>40.000000 MW × 66.224535 × 0.250000 h = 662.245345 EUR</v>
      </c>
      <c r="BG259" s="1" t="str">
        <f t="shared" si="86"/>
        <v>24.000000 MW × 5.473291 × 0.250000 h = 32.839746 EUR</v>
      </c>
      <c r="BH259" s="1" t="str">
        <f t="shared" si="87"/>
        <v>24.000000 MW × 6.860671 × 0.250000 h = 41.164027 EUR</v>
      </c>
      <c r="BI259" s="1" t="str">
        <f t="shared" si="88"/>
        <v>零上调激活电量</v>
      </c>
      <c r="BJ259" s="1" t="str">
        <f t="shared" si="89"/>
        <v>−(0.468069 MWh × 18.340289) = -8.584513 EUR</v>
      </c>
      <c r="BK259" s="1" t="str">
        <f t="shared" si="90"/>
        <v>-33.750000 + 662.245345 + 32.839746 + 41.164027 + 0.000000 + -8.584513 = 693.914606 EUR</v>
      </c>
    </row>
    <row r="260" spans="1:63" ht="21" customHeight="1" x14ac:dyDescent="0.45">
      <c r="A260" s="13">
        <f>原始输入与口径!C164</f>
        <v>46236.614583333336</v>
      </c>
      <c r="B260" s="15">
        <f>IF(ISNUMBER(原始输入与口径!H164),原始输入与口径!H164,"缺失")</f>
        <v>2.42</v>
      </c>
      <c r="C260" s="15">
        <f>IF(ISNUMBER(原始输入与口径!R164),原始输入与口径!R164,"缺失")</f>
        <v>66.224534522516336</v>
      </c>
      <c r="D260" s="15">
        <f>IF(ISNUMBER(原始输入与口径!W164),原始输入与口径!W164,"缺失")</f>
        <v>5.4732910258609184</v>
      </c>
      <c r="E260" s="15">
        <f>IF(ISNUMBER(原始输入与口径!AB164),原始输入与口径!AB164,"缺失")</f>
        <v>6.8606712023326279</v>
      </c>
      <c r="F260" s="15">
        <f>IF(ISNUMBER(原始输入与口径!AG164),原始输入与口径!AG164,"缺失")</f>
        <v>89.036266270272321</v>
      </c>
      <c r="G260" s="15">
        <f>IF(ISNUMBER(原始输入与口径!AJ164),原始输入与口径!AJ164,"缺失")</f>
        <v>5.166085415356469</v>
      </c>
      <c r="H260" s="15" t="str">
        <f t="shared" si="69"/>
        <v>未模拟</v>
      </c>
      <c r="I260" s="16">
        <f>原始输入与口径!CD164</f>
        <v>161.38815777391295</v>
      </c>
      <c r="J260" s="16">
        <f>原始输入与口径!CE164</f>
        <v>170.74137194534154</v>
      </c>
      <c r="K260" s="16">
        <f>原始输入与口径!BZ164</f>
        <v>-36</v>
      </c>
      <c r="L260" s="16">
        <f>原始输入与口径!CK164</f>
        <v>40</v>
      </c>
      <c r="M260" s="16">
        <f>原始输入与口径!BT164</f>
        <v>24</v>
      </c>
      <c r="N260" s="16">
        <f>原始输入与口径!BJ164</f>
        <v>24</v>
      </c>
      <c r="O260" s="16">
        <f t="shared" si="70"/>
        <v>3.977142857142857E-3</v>
      </c>
      <c r="P260" s="16">
        <f t="shared" si="71"/>
        <v>1.1705142857142856</v>
      </c>
      <c r="Q260" s="17">
        <f t="shared" si="72"/>
        <v>-21.78</v>
      </c>
      <c r="R260" s="17">
        <f t="shared" si="73"/>
        <v>662.24534522516342</v>
      </c>
      <c r="S260" s="17">
        <f t="shared" si="74"/>
        <v>32.839746155165514</v>
      </c>
      <c r="T260" s="17">
        <f t="shared" si="75"/>
        <v>41.164027213995766</v>
      </c>
      <c r="U260" s="17">
        <f t="shared" si="76"/>
        <v>0.35410995042348303</v>
      </c>
      <c r="V260" s="17">
        <f t="shared" si="77"/>
        <v>-6.0469767798949663</v>
      </c>
      <c r="W260" s="17">
        <f t="shared" si="78"/>
        <v>708.7762517648531</v>
      </c>
      <c r="X260" s="12">
        <f>原始输入与口径!CP164</f>
        <v>708.77625176485321</v>
      </c>
      <c r="Y260" s="19">
        <f t="shared" si="79"/>
        <v>0</v>
      </c>
      <c r="Z260" s="12" t="str">
        <f t="shared" si="91"/>
        <v>当日执行</v>
      </c>
      <c r="AA260" s="12">
        <f>IF(原始输入与口径!AW164,1,0)</f>
        <v>1</v>
      </c>
      <c r="AB260" s="12">
        <f>IF(原始输入与口径!AY164,1,0)</f>
        <v>1</v>
      </c>
      <c r="AC260" s="12">
        <f>原始输入与口径!$F$5</f>
        <v>0.25</v>
      </c>
      <c r="AD260" s="18">
        <f>原始输入与口径!CG164</f>
        <v>0.3125</v>
      </c>
      <c r="AE260" s="18">
        <f>原始输入与口径!BQ164</f>
        <v>0.13714285714285715</v>
      </c>
      <c r="AF260" s="18">
        <f t="shared" si="81"/>
        <v>6.6285714285714288E-4</v>
      </c>
      <c r="AG260" s="18">
        <f t="shared" si="82"/>
        <v>0.19508571428571428</v>
      </c>
      <c r="AH260" s="12">
        <f>IF(ISNUMBER(原始输入与口径!T164),原始输入与口径!T164,"缺失")</f>
        <v>175</v>
      </c>
      <c r="AI260" s="12">
        <f>IF(ISNUMBER(原始输入与口径!Y164),原始输入与口径!Y164,"缺失")</f>
        <v>175</v>
      </c>
      <c r="AJ260" s="12">
        <f>IF(ISNUMBER(原始输入与口径!AI164),原始输入与口径!AI164,"缺失")</f>
        <v>2.9000000000000001E-2</v>
      </c>
      <c r="AK260" s="12">
        <f>IF(ISNUMBER(原始输入与口径!AL164),原始输入与口径!AL164,"缺失")</f>
        <v>8.5350000000000001</v>
      </c>
      <c r="AL260" s="12">
        <f>IF(ISNUMBER(原始输入与口径!O164),原始输入与口径!O164,"缺失")</f>
        <v>71.936000000000007</v>
      </c>
      <c r="AM260" s="12">
        <f>SUMIFS(相位SOC复算!$N$9:$N$929,相位SOC复算!$S$9:$S$929,252)</f>
        <v>2.5981150476190477E-2</v>
      </c>
      <c r="AN260" s="12">
        <f>SUMIFS(相位SOC复算!$Q$9:$Q$929,相位SOC复算!$S$9:$S$929,252)</f>
        <v>10.166537142857143</v>
      </c>
      <c r="AO260" s="12">
        <f>SUMIFS(相位SOC复算!$R$9:$R$929,相位SOC复算!$S$9:$S$929,252)</f>
        <v>0</v>
      </c>
      <c r="AP260" s="12">
        <f>相位SOC复算!J617</f>
        <v>170.74137194534157</v>
      </c>
      <c r="AQ260" s="19">
        <f t="shared" si="83"/>
        <v>0</v>
      </c>
      <c r="AR260" s="12">
        <f>IF(ISBLANK(原始输入与口径!M164),"",原始输入与口径!M164)</f>
        <v>5.2473000000000001</v>
      </c>
      <c r="AS260" s="14">
        <f>IF(ISBLANK(原始输入与口径!L164),"",原始输入与口径!L164)</f>
        <v>46234</v>
      </c>
      <c r="AT260" s="13">
        <f>IF(ISBLANK(原始输入与口径!A164),"",原始输入与口径!A164)</f>
        <v>46236.489583333336</v>
      </c>
      <c r="AU260" s="12" t="str">
        <f>IF(ISBLANK(原始输入与口径!I164),"",原始输入与口径!I164)</f>
        <v>2026-08-02_56</v>
      </c>
      <c r="AV260" s="12">
        <f>IF(ISBLANK(原始输入与口径!J164),"",原始输入与口径!J164)</f>
        <v>15</v>
      </c>
      <c r="AW260" s="12" t="str">
        <f>IF(ISBLANK(原始输入与口径!BB164),"",原始输入与口径!BB164)</f>
        <v>OK</v>
      </c>
      <c r="AX260" s="12">
        <f>原始输入与口径!CI164</f>
        <v>128</v>
      </c>
      <c r="AY260" s="12">
        <f>原始输入与口径!BS164</f>
        <v>175</v>
      </c>
      <c r="AZ260" s="12">
        <f>原始输入与口径!BI164</f>
        <v>175</v>
      </c>
      <c r="BA260" s="12">
        <f>原始输入与口径!CM164</f>
        <v>40</v>
      </c>
      <c r="BB260" s="12">
        <f>原始输入与口径!BV164</f>
        <v>24</v>
      </c>
      <c r="BC260" s="12">
        <f>原始输入与口径!BL164</f>
        <v>24</v>
      </c>
      <c r="BD260" s="14">
        <f>46236</f>
        <v>46236</v>
      </c>
      <c r="BE260" s="1" t="str">
        <f t="shared" si="84"/>
        <v>-36.000000 MW × 2.420000 × 0.250000 h = -21.780000 EUR</v>
      </c>
      <c r="BF260" s="1" t="str">
        <f t="shared" si="85"/>
        <v>40.000000 MW × 66.224535 × 0.250000 h = 662.245345 EUR</v>
      </c>
      <c r="BG260" s="1" t="str">
        <f t="shared" si="86"/>
        <v>24.000000 MW × 5.473291 × 0.250000 h = 32.839746 EUR</v>
      </c>
      <c r="BH260" s="1" t="str">
        <f t="shared" si="87"/>
        <v>24.000000 MW × 6.860671 × 0.250000 h = 41.164027 EUR</v>
      </c>
      <c r="BI260" s="1" t="str">
        <f t="shared" si="88"/>
        <v>0.003977 MWh × 89.036266 = 0.354110 EUR</v>
      </c>
      <c r="BJ260" s="1" t="str">
        <f t="shared" si="89"/>
        <v>−(1.170514 MWh × 5.166085) = -6.046977 EUR</v>
      </c>
      <c r="BK260" s="1" t="str">
        <f t="shared" si="90"/>
        <v>-21.780000 + 662.245345 + 32.839746 + 41.164027 + 0.354110 + -6.046977 = 708.776252 EUR</v>
      </c>
    </row>
    <row r="261" spans="1:63" ht="21" customHeight="1" x14ac:dyDescent="0.45">
      <c r="A261" s="13">
        <f>原始输入与口径!C165</f>
        <v>46236.625</v>
      </c>
      <c r="B261" s="15">
        <f>IF(ISNUMBER(原始输入与口径!H165),原始输入与口径!H165,"缺失")</f>
        <v>5.0999999999999996</v>
      </c>
      <c r="C261" s="15">
        <f>IF(ISNUMBER(原始输入与口径!R165),原始输入与口径!R165,"缺失")</f>
        <v>66.224534522516336</v>
      </c>
      <c r="D261" s="15">
        <f>IF(ISNUMBER(原始输入与口径!W165),原始输入与口径!W165,"缺失")</f>
        <v>5.3627579898233382</v>
      </c>
      <c r="E261" s="15">
        <f>IF(ISNUMBER(原始输入与口径!AB165),原始输入与口径!AB165,"缺失")</f>
        <v>6.8606712023326279</v>
      </c>
      <c r="F261" s="15">
        <f>IF(ISNUMBER(原始输入与口径!AG165),原始输入与口径!AG165,"缺失")</f>
        <v>0</v>
      </c>
      <c r="G261" s="15">
        <f>IF(ISNUMBER(原始输入与口径!AJ165),原始输入与口径!AJ165,"缺失")</f>
        <v>-43.963181064547477</v>
      </c>
      <c r="H261" s="15" t="str">
        <f t="shared" si="69"/>
        <v>未模拟</v>
      </c>
      <c r="I261" s="16">
        <f>原始输入与口径!CD165</f>
        <v>170.74137194534154</v>
      </c>
      <c r="J261" s="16">
        <f>原始输入与口径!CE165</f>
        <v>164.49108623105582</v>
      </c>
      <c r="K261" s="16">
        <f>原始输入与口径!BZ165</f>
        <v>35.999999999999993</v>
      </c>
      <c r="L261" s="16">
        <f>原始输入与口径!CK165</f>
        <v>40</v>
      </c>
      <c r="M261" s="16">
        <f>原始输入与口径!BT165</f>
        <v>24</v>
      </c>
      <c r="N261" s="16">
        <f>原始输入与口径!BJ165</f>
        <v>24</v>
      </c>
      <c r="O261" s="16">
        <f t="shared" si="70"/>
        <v>0</v>
      </c>
      <c r="P261" s="16">
        <f t="shared" si="71"/>
        <v>3.2497371428571431</v>
      </c>
      <c r="Q261" s="17">
        <f t="shared" si="72"/>
        <v>45.899999999999984</v>
      </c>
      <c r="R261" s="17">
        <f t="shared" si="73"/>
        <v>662.24534522516342</v>
      </c>
      <c r="S261" s="17">
        <f t="shared" si="74"/>
        <v>32.176547938940033</v>
      </c>
      <c r="T261" s="17">
        <f t="shared" si="75"/>
        <v>41.164027213995766</v>
      </c>
      <c r="U261" s="17">
        <f t="shared" si="76"/>
        <v>0</v>
      </c>
      <c r="V261" s="17">
        <f t="shared" si="77"/>
        <v>142.86878242361377</v>
      </c>
      <c r="W261" s="17">
        <f t="shared" si="78"/>
        <v>924.35470280171296</v>
      </c>
      <c r="X261" s="12">
        <f>原始输入与口径!CP165</f>
        <v>924.35470280171296</v>
      </c>
      <c r="Y261" s="19">
        <f t="shared" si="79"/>
        <v>0</v>
      </c>
      <c r="Z261" s="12" t="str">
        <f t="shared" si="91"/>
        <v>当日执行</v>
      </c>
      <c r="AA261" s="12">
        <f>IF(原始输入与口径!AW165,1,0)</f>
        <v>1</v>
      </c>
      <c r="AB261" s="12">
        <f>IF(原始输入与口径!AY165,1,0)</f>
        <v>1</v>
      </c>
      <c r="AC261" s="12">
        <f>原始输入与口径!$F$5</f>
        <v>0.25</v>
      </c>
      <c r="AD261" s="18">
        <f>原始输入与口径!CG165</f>
        <v>0.3125</v>
      </c>
      <c r="AE261" s="18">
        <f>原始输入与口径!BQ165</f>
        <v>0.13714285714285715</v>
      </c>
      <c r="AF261" s="18">
        <f t="shared" si="81"/>
        <v>0</v>
      </c>
      <c r="AG261" s="18">
        <f t="shared" si="82"/>
        <v>0.54162285714285718</v>
      </c>
      <c r="AH261" s="12">
        <f>IF(ISNUMBER(原始输入与口径!T165),原始输入与口径!T165,"缺失")</f>
        <v>175</v>
      </c>
      <c r="AI261" s="12">
        <f>IF(ISNUMBER(原始输入与口径!Y165),原始输入与口径!Y165,"缺失")</f>
        <v>175</v>
      </c>
      <c r="AJ261" s="12">
        <f>IF(ISNUMBER(原始输入与口径!AI165),原始输入与口径!AI165,"缺失")</f>
        <v>0</v>
      </c>
      <c r="AK261" s="12">
        <f>IF(ISNUMBER(原始输入与口径!AL165),原始输入与口径!AL165,"缺失")</f>
        <v>23.696000000000002</v>
      </c>
      <c r="AL261" s="12">
        <f>IF(ISNUMBER(原始输入与口径!O165),原始输入与口径!O165,"缺失")</f>
        <v>71.936000000000007</v>
      </c>
      <c r="AM261" s="12">
        <f>SUMIFS(相位SOC复算!$N$9:$N$929,相位SOC复算!$S$9:$S$929,253)</f>
        <v>1.7361904761904759E-2</v>
      </c>
      <c r="AN261" s="12">
        <f>SUMIFS(相位SOC复算!$Q$9:$Q$929,相位SOC复算!$S$9:$S$929,253)</f>
        <v>0</v>
      </c>
      <c r="AO261" s="12">
        <f>SUMIFS(相位SOC复算!$R$9:$R$929,相位SOC复算!$S$9:$S$929,253)</f>
        <v>5.7502628571428547</v>
      </c>
      <c r="AP261" s="12">
        <f>相位SOC复算!J619</f>
        <v>164.49108623105585</v>
      </c>
      <c r="AQ261" s="19">
        <f t="shared" si="83"/>
        <v>0</v>
      </c>
      <c r="AR261" s="12">
        <f>IF(ISBLANK(原始输入与口径!M165),"",原始输入与口径!M165)</f>
        <v>5.2473000000000001</v>
      </c>
      <c r="AS261" s="14">
        <f>IF(ISBLANK(原始输入与口径!L165),"",原始输入与口径!L165)</f>
        <v>46234</v>
      </c>
      <c r="AT261" s="13">
        <f>IF(ISBLANK(原始输入与口径!A165),"",原始输入与口径!A165)</f>
        <v>46236.5</v>
      </c>
      <c r="AU261" s="12" t="str">
        <f>IF(ISBLANK(原始输入与口径!I165),"",原始输入与口径!I165)</f>
        <v>2026-08-02_57</v>
      </c>
      <c r="AV261" s="12">
        <f>IF(ISBLANK(原始输入与口径!J165),"",原始输入与口径!J165)</f>
        <v>15</v>
      </c>
      <c r="AW261" s="12" t="str">
        <f>IF(ISBLANK(原始输入与口径!BB165),"",原始输入与口径!BB165)</f>
        <v>OK</v>
      </c>
      <c r="AX261" s="12">
        <f>原始输入与口径!CI165</f>
        <v>128</v>
      </c>
      <c r="AY261" s="12">
        <f>原始输入与口径!BS165</f>
        <v>175</v>
      </c>
      <c r="AZ261" s="12">
        <f>原始输入与口径!BI165</f>
        <v>175</v>
      </c>
      <c r="BA261" s="12">
        <f>原始输入与口径!CM165</f>
        <v>40</v>
      </c>
      <c r="BB261" s="12">
        <f>原始输入与口径!BV165</f>
        <v>24</v>
      </c>
      <c r="BC261" s="12">
        <f>原始输入与口径!BL165</f>
        <v>24</v>
      </c>
      <c r="BD261" s="14">
        <f>46236</f>
        <v>46236</v>
      </c>
      <c r="BE261" s="1" t="str">
        <f t="shared" si="84"/>
        <v>36.000000 MW × 5.100000 × 0.250000 h = 45.900000 EUR</v>
      </c>
      <c r="BF261" s="1" t="str">
        <f t="shared" si="85"/>
        <v>40.000000 MW × 66.224535 × 0.250000 h = 662.245345 EUR</v>
      </c>
      <c r="BG261" s="1" t="str">
        <f t="shared" si="86"/>
        <v>24.000000 MW × 5.362758 × 0.250000 h = 32.176548 EUR</v>
      </c>
      <c r="BH261" s="1" t="str">
        <f t="shared" si="87"/>
        <v>24.000000 MW × 6.860671 × 0.250000 h = 41.164027 EUR</v>
      </c>
      <c r="BI261" s="1" t="str">
        <f t="shared" si="88"/>
        <v>零上调激活电量</v>
      </c>
      <c r="BJ261" s="1" t="str">
        <f t="shared" si="89"/>
        <v>−(3.249737 MWh × -43.963181) = 142.868782 EUR</v>
      </c>
      <c r="BK261" s="1" t="str">
        <f t="shared" si="90"/>
        <v>45.900000 + 662.245345 + 32.176548 + 41.164027 + 0.000000 + 142.868782 = 924.354703 EUR</v>
      </c>
    </row>
    <row r="262" spans="1:63" ht="21" customHeight="1" x14ac:dyDescent="0.45">
      <c r="A262" s="13">
        <f>原始输入与口径!C166</f>
        <v>46236.635416666664</v>
      </c>
      <c r="B262" s="15">
        <f>IF(ISNUMBER(原始输入与口径!H166),原始输入与口径!H166,"缺失")</f>
        <v>5.09</v>
      </c>
      <c r="C262" s="15">
        <f>IF(ISNUMBER(原始输入与口径!R166),原始输入与口径!R166,"缺失")</f>
        <v>66.224534522516336</v>
      </c>
      <c r="D262" s="15">
        <f>IF(ISNUMBER(原始输入与口径!W166),原始输入与口径!W166,"缺失")</f>
        <v>5.3627579898233382</v>
      </c>
      <c r="E262" s="15">
        <f>IF(ISNUMBER(原始输入与口径!AB166),原始输入与口径!AB166,"缺失")</f>
        <v>6.8606712023326279</v>
      </c>
      <c r="F262" s="15">
        <f>IF(ISNUMBER(原始输入与口径!AG166),原始输入与口径!AG166,"缺失")</f>
        <v>110.4855830617651</v>
      </c>
      <c r="G262" s="15">
        <f>IF(ISNUMBER(原始输入与口径!AJ166),原始输入与口径!AJ166,"缺失")</f>
        <v>-21.570331408533914</v>
      </c>
      <c r="H262" s="15" t="str">
        <f t="shared" si="69"/>
        <v>未模拟</v>
      </c>
      <c r="I262" s="16">
        <f>原始输入与口径!CD166</f>
        <v>164.49108623105582</v>
      </c>
      <c r="J262" s="16">
        <f>原始输入与口径!CE166</f>
        <v>155.88686262857135</v>
      </c>
      <c r="K262" s="16">
        <f>原始输入与口径!BZ166</f>
        <v>35.999999999999993</v>
      </c>
      <c r="L262" s="16">
        <f>原始输入与口径!CK166</f>
        <v>40</v>
      </c>
      <c r="M262" s="16">
        <f>原始输入与口径!BT166</f>
        <v>24</v>
      </c>
      <c r="N262" s="16">
        <f>原始输入与口径!BJ166</f>
        <v>24</v>
      </c>
      <c r="O262" s="16">
        <f t="shared" si="70"/>
        <v>0.10614857142857144</v>
      </c>
      <c r="P262" s="16">
        <f t="shared" si="71"/>
        <v>1.1902628571428573</v>
      </c>
      <c r="Q262" s="17">
        <f t="shared" si="72"/>
        <v>45.809999999999988</v>
      </c>
      <c r="R262" s="17">
        <f t="shared" si="73"/>
        <v>662.24534522516342</v>
      </c>
      <c r="S262" s="17">
        <f t="shared" si="74"/>
        <v>32.176547938940033</v>
      </c>
      <c r="T262" s="17">
        <f t="shared" si="75"/>
        <v>41.164027213995766</v>
      </c>
      <c r="U262" s="17">
        <f t="shared" si="76"/>
        <v>11.727886805459136</v>
      </c>
      <c r="V262" s="17">
        <f t="shared" si="77"/>
        <v>25.67436429183989</v>
      </c>
      <c r="W262" s="17">
        <f t="shared" si="78"/>
        <v>818.79817147539814</v>
      </c>
      <c r="X262" s="12">
        <f>原始输入与口径!CP166</f>
        <v>818.79817147539825</v>
      </c>
      <c r="Y262" s="19">
        <f t="shared" si="79"/>
        <v>0</v>
      </c>
      <c r="Z262" s="12" t="str">
        <f t="shared" si="91"/>
        <v>当日执行</v>
      </c>
      <c r="AA262" s="12">
        <f>IF(原始输入与口径!AW166,1,0)</f>
        <v>1</v>
      </c>
      <c r="AB262" s="12">
        <f>IF(原始输入与口径!AY166,1,0)</f>
        <v>1</v>
      </c>
      <c r="AC262" s="12">
        <f>原始输入与口径!$F$5</f>
        <v>0.25</v>
      </c>
      <c r="AD262" s="18">
        <f>原始输入与口径!CG166</f>
        <v>0.3125</v>
      </c>
      <c r="AE262" s="18">
        <f>原始输入与口径!BQ166</f>
        <v>0.13714285714285715</v>
      </c>
      <c r="AF262" s="18">
        <f t="shared" si="81"/>
        <v>1.7691428571428573E-2</v>
      </c>
      <c r="AG262" s="18">
        <f t="shared" si="82"/>
        <v>0.19837714285714286</v>
      </c>
      <c r="AH262" s="12">
        <f>IF(ISNUMBER(原始输入与口径!T166),原始输入与口径!T166,"缺失")</f>
        <v>175</v>
      </c>
      <c r="AI262" s="12">
        <f>IF(ISNUMBER(原始输入与口径!Y166),原始输入与口径!Y166,"缺失")</f>
        <v>175</v>
      </c>
      <c r="AJ262" s="12">
        <f>IF(ISNUMBER(原始输入与口径!AI166),原始输入与口径!AI166,"缺失")</f>
        <v>0.77400000000000002</v>
      </c>
      <c r="AK262" s="12">
        <f>IF(ISNUMBER(原始输入与口径!AL166),原始输入与口径!AL166,"缺失")</f>
        <v>8.6790000000000003</v>
      </c>
      <c r="AL262" s="12">
        <f>IF(ISNUMBER(原始输入与口径!O166),原始输入与口径!O166,"缺失")</f>
        <v>71.936000000000007</v>
      </c>
      <c r="AM262" s="12">
        <f>SUMIFS(相位SOC复算!$N$9:$N$929,相位SOC复算!$S$9:$S$929,254)</f>
        <v>2.3900621118012416E-2</v>
      </c>
      <c r="AN262" s="12">
        <f>SUMIFS(相位SOC复算!$Q$9:$Q$929,相位SOC复算!$S$9:$S$929,254)</f>
        <v>0</v>
      </c>
      <c r="AO262" s="12">
        <f>SUMIFS(相位SOC复算!$R$9:$R$929,相位SOC复算!$S$9:$S$929,254)</f>
        <v>7.9158857142857117</v>
      </c>
      <c r="AP262" s="12">
        <f>相位SOC复算!J622</f>
        <v>155.88686262857138</v>
      </c>
      <c r="AQ262" s="19">
        <f t="shared" si="83"/>
        <v>0</v>
      </c>
      <c r="AR262" s="12">
        <f>IF(ISBLANK(原始输入与口径!M166),"",原始输入与口径!M166)</f>
        <v>5.2473000000000001</v>
      </c>
      <c r="AS262" s="14">
        <f>IF(ISBLANK(原始输入与口径!L166),"",原始输入与口径!L166)</f>
        <v>46234</v>
      </c>
      <c r="AT262" s="13">
        <f>IF(ISBLANK(原始输入与口径!A166),"",原始输入与口径!A166)</f>
        <v>46236.510416666664</v>
      </c>
      <c r="AU262" s="12" t="str">
        <f>IF(ISBLANK(原始输入与口径!I166),"",原始输入与口径!I166)</f>
        <v>2026-08-02_58</v>
      </c>
      <c r="AV262" s="12">
        <f>IF(ISBLANK(原始输入与口径!J166),"",原始输入与口径!J166)</f>
        <v>15</v>
      </c>
      <c r="AW262" s="12" t="str">
        <f>IF(ISBLANK(原始输入与口径!BB166),"",原始输入与口径!BB166)</f>
        <v>OK</v>
      </c>
      <c r="AX262" s="12">
        <f>原始输入与口径!CI166</f>
        <v>128</v>
      </c>
      <c r="AY262" s="12">
        <f>原始输入与口径!BS166</f>
        <v>175</v>
      </c>
      <c r="AZ262" s="12">
        <f>原始输入与口径!BI166</f>
        <v>175</v>
      </c>
      <c r="BA262" s="12">
        <f>原始输入与口径!CM166</f>
        <v>40</v>
      </c>
      <c r="BB262" s="12">
        <f>原始输入与口径!BV166</f>
        <v>24</v>
      </c>
      <c r="BC262" s="12">
        <f>原始输入与口径!BL166</f>
        <v>24</v>
      </c>
      <c r="BD262" s="14">
        <f>46236</f>
        <v>46236</v>
      </c>
      <c r="BE262" s="1" t="str">
        <f t="shared" si="84"/>
        <v>36.000000 MW × 5.090000 × 0.250000 h = 45.810000 EUR</v>
      </c>
      <c r="BF262" s="1" t="str">
        <f t="shared" si="85"/>
        <v>40.000000 MW × 66.224535 × 0.250000 h = 662.245345 EUR</v>
      </c>
      <c r="BG262" s="1" t="str">
        <f t="shared" si="86"/>
        <v>24.000000 MW × 5.362758 × 0.250000 h = 32.176548 EUR</v>
      </c>
      <c r="BH262" s="1" t="str">
        <f t="shared" si="87"/>
        <v>24.000000 MW × 6.860671 × 0.250000 h = 41.164027 EUR</v>
      </c>
      <c r="BI262" s="1" t="str">
        <f t="shared" si="88"/>
        <v>0.106149 MWh × 110.485583 = 11.727887 EUR</v>
      </c>
      <c r="BJ262" s="1" t="str">
        <f t="shared" si="89"/>
        <v>−(1.190263 MWh × -21.570331) = 25.674364 EUR</v>
      </c>
      <c r="BK262" s="1" t="str">
        <f t="shared" si="90"/>
        <v>45.810000 + 662.245345 + 32.176548 + 41.164027 + 11.727887 + 25.674364 = 818.798171 EUR</v>
      </c>
    </row>
    <row r="263" spans="1:63" ht="21" customHeight="1" x14ac:dyDescent="0.45">
      <c r="A263" s="13">
        <f>原始输入与口径!C167</f>
        <v>46236.645833333336</v>
      </c>
      <c r="B263" s="15">
        <f>IF(ISNUMBER(原始输入与口径!H167),原始输入与口径!H167,"缺失")</f>
        <v>3.9</v>
      </c>
      <c r="C263" s="15">
        <f>IF(ISNUMBER(原始输入与口径!R167),原始输入与口径!R167,"缺失")</f>
        <v>66.224534522516336</v>
      </c>
      <c r="D263" s="15">
        <f>IF(ISNUMBER(原始输入与口径!W167),原始输入与口径!W167,"缺失")</f>
        <v>5.3627579898233382</v>
      </c>
      <c r="E263" s="15">
        <f>IF(ISNUMBER(原始输入与口径!AB167),原始输入与口径!AB167,"缺失")</f>
        <v>6.8606712023326279</v>
      </c>
      <c r="F263" s="15">
        <f>IF(ISNUMBER(原始输入与口径!AG167),原始输入与口径!AG167,"缺失")</f>
        <v>107.0611552608008</v>
      </c>
      <c r="G263" s="15">
        <f>IF(ISNUMBER(原始输入与口径!AJ167),原始输入与口径!AJ167,"缺失")</f>
        <v>0</v>
      </c>
      <c r="H263" s="15" t="str">
        <f t="shared" si="69"/>
        <v>未模拟</v>
      </c>
      <c r="I263" s="16">
        <f>原始输入与口径!CD167</f>
        <v>155.88686262857135</v>
      </c>
      <c r="J263" s="16">
        <f>原始输入与口径!CE167</f>
        <v>163.95653485714277</v>
      </c>
      <c r="K263" s="16">
        <f>原始输入与口径!BZ167</f>
        <v>-36</v>
      </c>
      <c r="L263" s="16">
        <f>原始输入与口径!CK167</f>
        <v>40</v>
      </c>
      <c r="M263" s="16">
        <f>原始输入与口径!BT167</f>
        <v>24</v>
      </c>
      <c r="N263" s="16">
        <f>原始输入与口径!BJ167</f>
        <v>24</v>
      </c>
      <c r="O263" s="16">
        <f t="shared" si="70"/>
        <v>0.22861714285714288</v>
      </c>
      <c r="P263" s="16">
        <f t="shared" si="71"/>
        <v>0</v>
      </c>
      <c r="Q263" s="17">
        <f t="shared" si="72"/>
        <v>-35.1</v>
      </c>
      <c r="R263" s="17">
        <f t="shared" si="73"/>
        <v>662.24534522516342</v>
      </c>
      <c r="S263" s="17">
        <f t="shared" si="74"/>
        <v>32.176547938940033</v>
      </c>
      <c r="T263" s="17">
        <f t="shared" si="75"/>
        <v>41.164027213995766</v>
      </c>
      <c r="U263" s="17">
        <f t="shared" si="76"/>
        <v>24.47601542670925</v>
      </c>
      <c r="V263" s="17">
        <f t="shared" si="77"/>
        <v>0</v>
      </c>
      <c r="W263" s="17">
        <f t="shared" si="78"/>
        <v>724.96193580480849</v>
      </c>
      <c r="X263" s="12">
        <f>原始输入与口径!CP167</f>
        <v>724.96193580480849</v>
      </c>
      <c r="Y263" s="19">
        <f t="shared" si="79"/>
        <v>0</v>
      </c>
      <c r="Z263" s="12" t="str">
        <f t="shared" si="91"/>
        <v>当日执行</v>
      </c>
      <c r="AA263" s="12">
        <f>IF(原始输入与口径!AW167,1,0)</f>
        <v>1</v>
      </c>
      <c r="AB263" s="12">
        <f>IF(原始输入与口径!AY167,1,0)</f>
        <v>1</v>
      </c>
      <c r="AC263" s="12">
        <f>原始输入与口径!$F$5</f>
        <v>0.25</v>
      </c>
      <c r="AD263" s="18">
        <f>原始输入与口径!CG167</f>
        <v>0.3125</v>
      </c>
      <c r="AE263" s="18">
        <f>原始输入与口径!BQ167</f>
        <v>0.13714285714285715</v>
      </c>
      <c r="AF263" s="18">
        <f t="shared" si="81"/>
        <v>3.8102857142857147E-2</v>
      </c>
      <c r="AG263" s="18">
        <f t="shared" si="82"/>
        <v>0</v>
      </c>
      <c r="AH263" s="12">
        <f>IF(ISNUMBER(原始输入与口径!T167),原始输入与口径!T167,"缺失")</f>
        <v>175</v>
      </c>
      <c r="AI263" s="12">
        <f>IF(ISNUMBER(原始输入与口径!Y167),原始输入与口径!Y167,"缺失")</f>
        <v>175</v>
      </c>
      <c r="AJ263" s="12">
        <f>IF(ISNUMBER(原始输入与口径!AI167),原始输入与口径!AI167,"缺失")</f>
        <v>1.667</v>
      </c>
      <c r="AK263" s="12">
        <f>IF(ISNUMBER(原始输入与口径!AL167),原始输入与口径!AL167,"缺失")</f>
        <v>0</v>
      </c>
      <c r="AL263" s="12">
        <f>IF(ISNUMBER(原始输入与口径!O167),原始输入与口径!O167,"缺失")</f>
        <v>71.936000000000007</v>
      </c>
      <c r="AM263" s="12">
        <f>SUMIFS(相位SOC复算!$N$9:$N$929,相位SOC复算!$S$9:$S$929,255)</f>
        <v>2.2415756190476192E-2</v>
      </c>
      <c r="AN263" s="12">
        <f>SUMIFS(相位SOC复算!$Q$9:$Q$929,相位SOC复算!$S$9:$S$929,255)</f>
        <v>8.7713828571428571</v>
      </c>
      <c r="AO263" s="12">
        <f>SUMIFS(相位SOC复算!$R$9:$R$929,相位SOC复算!$S$9:$S$929,255)</f>
        <v>0</v>
      </c>
      <c r="AP263" s="12">
        <f>相位SOC复算!J624</f>
        <v>163.9565348571428</v>
      </c>
      <c r="AQ263" s="19">
        <f t="shared" si="83"/>
        <v>0</v>
      </c>
      <c r="AR263" s="12">
        <f>IF(ISBLANK(原始输入与口径!M167),"",原始输入与口径!M167)</f>
        <v>5.2473000000000001</v>
      </c>
      <c r="AS263" s="14">
        <f>IF(ISBLANK(原始输入与口径!L167),"",原始输入与口径!L167)</f>
        <v>46234</v>
      </c>
      <c r="AT263" s="13">
        <f>IF(ISBLANK(原始输入与口径!A167),"",原始输入与口径!A167)</f>
        <v>46236.520833333336</v>
      </c>
      <c r="AU263" s="12" t="str">
        <f>IF(ISBLANK(原始输入与口径!I167),"",原始输入与口径!I167)</f>
        <v>2026-08-02_59</v>
      </c>
      <c r="AV263" s="12">
        <f>IF(ISBLANK(原始输入与口径!J167),"",原始输入与口径!J167)</f>
        <v>15</v>
      </c>
      <c r="AW263" s="12" t="str">
        <f>IF(ISBLANK(原始输入与口径!BB167),"",原始输入与口径!BB167)</f>
        <v>OK</v>
      </c>
      <c r="AX263" s="12">
        <f>原始输入与口径!CI167</f>
        <v>128</v>
      </c>
      <c r="AY263" s="12">
        <f>原始输入与口径!BS167</f>
        <v>175</v>
      </c>
      <c r="AZ263" s="12">
        <f>原始输入与口径!BI167</f>
        <v>175</v>
      </c>
      <c r="BA263" s="12">
        <f>原始输入与口径!CM167</f>
        <v>40</v>
      </c>
      <c r="BB263" s="12">
        <f>原始输入与口径!BV167</f>
        <v>24</v>
      </c>
      <c r="BC263" s="12">
        <f>原始输入与口径!BL167</f>
        <v>24</v>
      </c>
      <c r="BD263" s="14">
        <f>46236</f>
        <v>46236</v>
      </c>
      <c r="BE263" s="1" t="str">
        <f t="shared" si="84"/>
        <v>-36.000000 MW × 3.900000 × 0.250000 h = -35.100000 EUR</v>
      </c>
      <c r="BF263" s="1" t="str">
        <f t="shared" si="85"/>
        <v>40.000000 MW × 66.224535 × 0.250000 h = 662.245345 EUR</v>
      </c>
      <c r="BG263" s="1" t="str">
        <f t="shared" si="86"/>
        <v>24.000000 MW × 5.362758 × 0.250000 h = 32.176548 EUR</v>
      </c>
      <c r="BH263" s="1" t="str">
        <f t="shared" si="87"/>
        <v>24.000000 MW × 6.860671 × 0.250000 h = 41.164027 EUR</v>
      </c>
      <c r="BI263" s="1" t="str">
        <f t="shared" si="88"/>
        <v>0.228617 MWh × 107.061155 = 24.476015 EUR</v>
      </c>
      <c r="BJ263" s="1" t="str">
        <f t="shared" si="89"/>
        <v>零下调激活电量</v>
      </c>
      <c r="BK263" s="1" t="str">
        <f t="shared" si="90"/>
        <v>-35.100000 + 662.245345 + 32.176548 + 41.164027 + 24.476015 + 0.000000 = 724.961936 EUR</v>
      </c>
    </row>
    <row r="264" spans="1:63" ht="21" customHeight="1" x14ac:dyDescent="0.45">
      <c r="A264" s="13">
        <f>原始输入与口径!C168</f>
        <v>46236.65625</v>
      </c>
      <c r="B264" s="15">
        <f>IF(ISNUMBER(原始输入与口径!H168),原始输入与口径!H168,"缺失")</f>
        <v>3.13</v>
      </c>
      <c r="C264" s="15">
        <f>IF(ISNUMBER(原始输入与口径!R168),原始输入与口径!R168,"缺失")</f>
        <v>66.224534522516336</v>
      </c>
      <c r="D264" s="15">
        <f>IF(ISNUMBER(原始输入与口径!W168),原始输入与口径!W168,"缺失")</f>
        <v>5.3627579898233382</v>
      </c>
      <c r="E264" s="15">
        <f>IF(ISNUMBER(原始输入与口径!AB168),原始输入与口径!AB168,"缺失")</f>
        <v>6.8606712023326279</v>
      </c>
      <c r="F264" s="15">
        <f>IF(ISNUMBER(原始输入与口径!AG168),原始输入与口径!AG168,"缺失")</f>
        <v>117.19493834924627</v>
      </c>
      <c r="G264" s="15">
        <f>IF(ISNUMBER(原始输入与口径!AJ168),原始输入与口径!AJ168,"缺失")</f>
        <v>0</v>
      </c>
      <c r="H264" s="15" t="str">
        <f t="shared" si="69"/>
        <v>未模拟</v>
      </c>
      <c r="I264" s="16">
        <f>原始输入与口径!CD168</f>
        <v>163.95653485714277</v>
      </c>
      <c r="J264" s="16">
        <f>原始输入与口径!CE168</f>
        <v>171.59432228571418</v>
      </c>
      <c r="K264" s="16">
        <f>原始输入与口径!BZ168</f>
        <v>-36</v>
      </c>
      <c r="L264" s="16">
        <f>原始输入与口径!CK168</f>
        <v>40</v>
      </c>
      <c r="M264" s="16">
        <f>原始输入与口径!BT168</f>
        <v>24</v>
      </c>
      <c r="N264" s="16">
        <f>原始输入与口径!BJ168</f>
        <v>24</v>
      </c>
      <c r="O264" s="16">
        <f t="shared" si="70"/>
        <v>0.69805714285714282</v>
      </c>
      <c r="P264" s="16">
        <f t="shared" si="71"/>
        <v>0</v>
      </c>
      <c r="Q264" s="17">
        <f t="shared" si="72"/>
        <v>-28.169999999999998</v>
      </c>
      <c r="R264" s="17">
        <f t="shared" si="73"/>
        <v>662.24534522516342</v>
      </c>
      <c r="S264" s="17">
        <f t="shared" si="74"/>
        <v>32.176547938940033</v>
      </c>
      <c r="T264" s="17">
        <f t="shared" si="75"/>
        <v>41.164027213995766</v>
      </c>
      <c r="U264" s="17">
        <f t="shared" si="76"/>
        <v>81.808763821393853</v>
      </c>
      <c r="V264" s="17">
        <f t="shared" si="77"/>
        <v>0</v>
      </c>
      <c r="W264" s="17">
        <f t="shared" si="78"/>
        <v>789.22468419949314</v>
      </c>
      <c r="X264" s="12">
        <f>原始输入与口径!CP168</f>
        <v>789.22468419949303</v>
      </c>
      <c r="Y264" s="19">
        <f t="shared" si="79"/>
        <v>0</v>
      </c>
      <c r="Z264" s="12" t="str">
        <f t="shared" si="91"/>
        <v>当日执行</v>
      </c>
      <c r="AA264" s="12">
        <f>IF(原始输入与口径!AW168,1,0)</f>
        <v>1</v>
      </c>
      <c r="AB264" s="12">
        <f>IF(原始输入与口径!AY168,1,0)</f>
        <v>1</v>
      </c>
      <c r="AC264" s="12">
        <f>原始输入与口径!$F$5</f>
        <v>0.25</v>
      </c>
      <c r="AD264" s="18">
        <f>原始输入与口径!CG168</f>
        <v>0.3125</v>
      </c>
      <c r="AE264" s="18">
        <f>原始输入与口径!BQ168</f>
        <v>0.13714285714285715</v>
      </c>
      <c r="AF264" s="18">
        <f t="shared" si="81"/>
        <v>0.11634285714285714</v>
      </c>
      <c r="AG264" s="18">
        <f t="shared" si="82"/>
        <v>0</v>
      </c>
      <c r="AH264" s="12">
        <f>IF(ISNUMBER(原始输入与口径!T168),原始输入与口径!T168,"缺失")</f>
        <v>175</v>
      </c>
      <c r="AI264" s="12">
        <f>IF(ISNUMBER(原始输入与口径!Y168),原始输入与口径!Y168,"缺失")</f>
        <v>175</v>
      </c>
      <c r="AJ264" s="12">
        <f>IF(ISNUMBER(原始输入与口径!AI168),原始输入与口径!AI168,"缺失")</f>
        <v>5.09</v>
      </c>
      <c r="AK264" s="12">
        <f>IF(ISNUMBER(原始输入与口径!AL168),原始输入与口径!AL168,"缺失")</f>
        <v>0</v>
      </c>
      <c r="AL264" s="12">
        <f>IF(ISNUMBER(原始输入与口径!O168),原始输入与口径!O168,"缺失")</f>
        <v>71.936000000000007</v>
      </c>
      <c r="AM264" s="12">
        <f>SUMIFS(相位SOC复算!$N$9:$N$929,相位SOC复算!$S$9:$S$929,256)</f>
        <v>2.1216076190476194E-2</v>
      </c>
      <c r="AN264" s="12">
        <f>SUMIFS(相位SOC复算!$Q$9:$Q$929,相位SOC复算!$S$9:$S$929,256)</f>
        <v>8.3019428571428566</v>
      </c>
      <c r="AO264" s="12">
        <f>SUMIFS(相位SOC复算!$R$9:$R$929,相位SOC复算!$S$9:$S$929,256)</f>
        <v>0</v>
      </c>
      <c r="AP264" s="12">
        <f>相位SOC复算!J626</f>
        <v>171.59432228571421</v>
      </c>
      <c r="AQ264" s="19">
        <f t="shared" si="83"/>
        <v>0</v>
      </c>
      <c r="AR264" s="12">
        <f>IF(ISBLANK(原始输入与口径!M168),"",原始输入与口径!M168)</f>
        <v>5.2473000000000001</v>
      </c>
      <c r="AS264" s="14">
        <f>IF(ISBLANK(原始输入与口径!L168),"",原始输入与口径!L168)</f>
        <v>46234</v>
      </c>
      <c r="AT264" s="13">
        <f>IF(ISBLANK(原始输入与口径!A168),"",原始输入与口径!A168)</f>
        <v>46236.53125</v>
      </c>
      <c r="AU264" s="12" t="str">
        <f>IF(ISBLANK(原始输入与口径!I168),"",原始输入与口径!I168)</f>
        <v>2026-08-02_60</v>
      </c>
      <c r="AV264" s="12">
        <f>IF(ISBLANK(原始输入与口径!J168),"",原始输入与口径!J168)</f>
        <v>15</v>
      </c>
      <c r="AW264" s="12" t="str">
        <f>IF(ISBLANK(原始输入与口径!BB168),"",原始输入与口径!BB168)</f>
        <v>OK</v>
      </c>
      <c r="AX264" s="12">
        <f>原始输入与口径!CI168</f>
        <v>128</v>
      </c>
      <c r="AY264" s="12">
        <f>原始输入与口径!BS168</f>
        <v>175</v>
      </c>
      <c r="AZ264" s="12">
        <f>原始输入与口径!BI168</f>
        <v>175</v>
      </c>
      <c r="BA264" s="12">
        <f>原始输入与口径!CM168</f>
        <v>40</v>
      </c>
      <c r="BB264" s="12">
        <f>原始输入与口径!BV168</f>
        <v>24</v>
      </c>
      <c r="BC264" s="12">
        <f>原始输入与口径!BL168</f>
        <v>24</v>
      </c>
      <c r="BD264" s="14">
        <f>46236</f>
        <v>46236</v>
      </c>
      <c r="BE264" s="1" t="str">
        <f t="shared" si="84"/>
        <v>-36.000000 MW × 3.130000 × 0.250000 h = -28.170000 EUR</v>
      </c>
      <c r="BF264" s="1" t="str">
        <f t="shared" si="85"/>
        <v>40.000000 MW × 66.224535 × 0.250000 h = 662.245345 EUR</v>
      </c>
      <c r="BG264" s="1" t="str">
        <f t="shared" si="86"/>
        <v>24.000000 MW × 5.362758 × 0.250000 h = 32.176548 EUR</v>
      </c>
      <c r="BH264" s="1" t="str">
        <f t="shared" si="87"/>
        <v>24.000000 MW × 6.860671 × 0.250000 h = 41.164027 EUR</v>
      </c>
      <c r="BI264" s="1" t="str">
        <f t="shared" si="88"/>
        <v>0.698057 MWh × 117.194938 = 81.808764 EUR</v>
      </c>
      <c r="BJ264" s="1" t="str">
        <f t="shared" si="89"/>
        <v>零下调激活电量</v>
      </c>
      <c r="BK264" s="1" t="str">
        <f t="shared" si="90"/>
        <v>-28.170000 + 662.245345 + 32.176548 + 41.164027 + 81.808764 + 0.000000 = 789.224684 EUR</v>
      </c>
    </row>
    <row r="265" spans="1:63" ht="21" customHeight="1" x14ac:dyDescent="0.45">
      <c r="A265" s="13">
        <f>原始输入与口径!C169</f>
        <v>46236.666666666664</v>
      </c>
      <c r="B265" s="15">
        <f>IF(ISNUMBER(原始输入与口径!H169),原始输入与口径!H169,"缺失")</f>
        <v>7.62</v>
      </c>
      <c r="C265" s="15">
        <f>IF(ISNUMBER(原始输入与口径!R169),原始输入与口径!R169,"缺失")</f>
        <v>66.224534522516336</v>
      </c>
      <c r="D265" s="15">
        <f>IF(ISNUMBER(原始输入与口径!W169),原始输入与口径!W169,"缺失")</f>
        <v>5.2998685038019548</v>
      </c>
      <c r="E265" s="15">
        <f>IF(ISNUMBER(原始输入与口径!AB169),原始输入与口径!AB169,"缺失")</f>
        <v>3.0072608770224685</v>
      </c>
      <c r="F265" s="15">
        <f>IF(ISNUMBER(原始输入与口径!AG169),原始输入与口径!AG169,"缺失")</f>
        <v>128.82815924380157</v>
      </c>
      <c r="G265" s="15">
        <f>IF(ISNUMBER(原始输入与口径!AJ169),原始输入与口径!AJ169,"缺失")</f>
        <v>76.229680025918086</v>
      </c>
      <c r="H265" s="15" t="str">
        <f t="shared" ref="H265:H328" si="92">"未模拟"</f>
        <v>未模拟</v>
      </c>
      <c r="I265" s="16">
        <f>原始输入与口径!CD169</f>
        <v>171.59432228571418</v>
      </c>
      <c r="J265" s="16">
        <f>原始输入与口径!CE169</f>
        <v>171.23522981366452</v>
      </c>
      <c r="K265" s="16">
        <f>原始输入与口径!BZ169</f>
        <v>0</v>
      </c>
      <c r="L265" s="16">
        <f>原始输入与口径!CK169</f>
        <v>40</v>
      </c>
      <c r="M265" s="16">
        <f>原始输入与口径!BT169</f>
        <v>24</v>
      </c>
      <c r="N265" s="16">
        <f>原始输入与口径!BJ169</f>
        <v>24</v>
      </c>
      <c r="O265" s="16">
        <f t="shared" ref="O265:O328" si="93">M265*AF265*AC265</f>
        <v>0.3355885714285714</v>
      </c>
      <c r="P265" s="16">
        <f t="shared" ref="P265:P328" si="94">N265*AG265*AC265</f>
        <v>6.1714285714285716E-3</v>
      </c>
      <c r="Q265" s="17">
        <f t="shared" ref="Q265:Q328" si="95">IF(K265=0,0,IF(ISNUMBER(B265),K265*B265*AC265,NA()))</f>
        <v>0</v>
      </c>
      <c r="R265" s="17">
        <f t="shared" ref="R265:R328" si="96">IF(L265=0,0,IF(ISNUMBER(C265),L265*C265*AC265,NA()))</f>
        <v>662.24534522516342</v>
      </c>
      <c r="S265" s="17">
        <f t="shared" ref="S265:S328" si="97">IF(M265=0,0,IF(ISNUMBER(D265),M265*D265*AC265,NA()))</f>
        <v>31.799211022811729</v>
      </c>
      <c r="T265" s="17">
        <f t="shared" ref="T265:T328" si="98">IF(N265=0,0,IF(ISNUMBER(E265),N265*E265*AC265,NA()))</f>
        <v>18.043565262134813</v>
      </c>
      <c r="U265" s="17">
        <f t="shared" ref="U265:U328" si="99">IF(O265=0,0,O265*F265)</f>
        <v>43.233257920399872</v>
      </c>
      <c r="V265" s="17">
        <f t="shared" ref="V265:V328" si="100">IF(P265=0,0,-P265*G265)</f>
        <v>-0.47044602530280877</v>
      </c>
      <c r="W265" s="17">
        <f t="shared" ref="W265:W328" si="101">SUM(Q265:V265)</f>
        <v>754.850933405207</v>
      </c>
      <c r="X265" s="12">
        <f>原始输入与口径!CP169</f>
        <v>754.850933405207</v>
      </c>
      <c r="Y265" s="19">
        <f t="shared" ref="Y265:Y328" si="102">W265-X265</f>
        <v>0</v>
      </c>
      <c r="Z265" s="12" t="str">
        <f t="shared" ref="Z265:Z296" si="103">"当日执行"</f>
        <v>当日执行</v>
      </c>
      <c r="AA265" s="12">
        <f>IF(原始输入与口径!AW169,1,0)</f>
        <v>1</v>
      </c>
      <c r="AB265" s="12">
        <f>IF(原始输入与口径!AY169,1,0)</f>
        <v>1</v>
      </c>
      <c r="AC265" s="12">
        <f>原始输入与口径!$F$5</f>
        <v>0.25</v>
      </c>
      <c r="AD265" s="18">
        <f>原始输入与口径!CG169</f>
        <v>0.3125</v>
      </c>
      <c r="AE265" s="18">
        <f>原始输入与口径!BQ169</f>
        <v>0.13714285714285715</v>
      </c>
      <c r="AF265" s="18">
        <f t="shared" ref="AF265:AF328" si="104">IF(AA265=0,0,AJ265/(AH265*AC265))</f>
        <v>5.5931428571428569E-2</v>
      </c>
      <c r="AG265" s="18">
        <f t="shared" ref="AG265:AG328" si="105">IF(AA265=0,0,AK265/(AI265*AC265))</f>
        <v>1.0285714285714286E-3</v>
      </c>
      <c r="AH265" s="12">
        <f>IF(ISNUMBER(原始输入与口径!T169),原始输入与口径!T169,"缺失")</f>
        <v>175</v>
      </c>
      <c r="AI265" s="12">
        <f>IF(ISNUMBER(原始输入与口径!Y169),原始输入与口径!Y169,"缺失")</f>
        <v>175</v>
      </c>
      <c r="AJ265" s="12">
        <f>IF(ISNUMBER(原始输入与口径!AI169),原始输入与口径!AI169,"缺失")</f>
        <v>2.4470000000000001</v>
      </c>
      <c r="AK265" s="12">
        <f>IF(ISNUMBER(原始输入与口径!AL169),原始输入与口径!AL169,"缺失")</f>
        <v>4.4999999999999998E-2</v>
      </c>
      <c r="AL265" s="12">
        <f>IF(ISNUMBER(原始输入与口径!O169),原始输入与口径!O169,"缺失")</f>
        <v>71.936000000000007</v>
      </c>
      <c r="AM265" s="12">
        <f>SUMIFS(相位SOC复算!$N$9:$N$929,相位SOC复算!$S$9:$S$929,257)</f>
        <v>1.0290219461697721E-3</v>
      </c>
      <c r="AN265" s="12">
        <f>SUMIFS(相位SOC复算!$Q$9:$Q$929,相位SOC复算!$S$9:$S$929,257)</f>
        <v>6.1714285714285716E-3</v>
      </c>
      <c r="AO265" s="12">
        <f>SUMIFS(相位SOC复算!$R$9:$R$929,相位SOC复算!$S$9:$S$929,257)</f>
        <v>0.3355885714285714</v>
      </c>
      <c r="AP265" s="12">
        <f>相位SOC复算!J629</f>
        <v>171.23522981366455</v>
      </c>
      <c r="AQ265" s="19">
        <f t="shared" ref="AQ265:AQ328" si="106">AP265-J265</f>
        <v>0</v>
      </c>
      <c r="AR265" s="12">
        <f>IF(ISBLANK(原始输入与口径!M169),"",原始输入与口径!M169)</f>
        <v>5.2473000000000001</v>
      </c>
      <c r="AS265" s="14">
        <f>IF(ISBLANK(原始输入与口径!L169),"",原始输入与口径!L169)</f>
        <v>46234</v>
      </c>
      <c r="AT265" s="13">
        <f>IF(ISBLANK(原始输入与口径!A169),"",原始输入与口径!A169)</f>
        <v>46236.541666666664</v>
      </c>
      <c r="AU265" s="12" t="str">
        <f>IF(ISBLANK(原始输入与口径!I169),"",原始输入与口径!I169)</f>
        <v>2026-08-02_61</v>
      </c>
      <c r="AV265" s="12">
        <f>IF(ISBLANK(原始输入与口径!J169),"",原始输入与口径!J169)</f>
        <v>15</v>
      </c>
      <c r="AW265" s="12" t="str">
        <f>IF(ISBLANK(原始输入与口径!BB169),"",原始输入与口径!BB169)</f>
        <v>OK</v>
      </c>
      <c r="AX265" s="12">
        <f>原始输入与口径!CI169</f>
        <v>128</v>
      </c>
      <c r="AY265" s="12">
        <f>原始输入与口径!BS169</f>
        <v>175</v>
      </c>
      <c r="AZ265" s="12">
        <f>原始输入与口径!BI169</f>
        <v>175</v>
      </c>
      <c r="BA265" s="12">
        <f>原始输入与口径!CM169</f>
        <v>40</v>
      </c>
      <c r="BB265" s="12">
        <f>原始输入与口径!BV169</f>
        <v>24</v>
      </c>
      <c r="BC265" s="12">
        <f>原始输入与口径!BL169</f>
        <v>24</v>
      </c>
      <c r="BD265" s="14">
        <f>46236</f>
        <v>46236</v>
      </c>
      <c r="BE265" s="1" t="str">
        <f t="shared" ref="BE265:BE328" si="107">IF(K265=0,"零头寸，无结算现金",TEXT(K265,"0.000000")&amp;" MW × "&amp;TEXT(B265,"0.000000")&amp;" × "&amp;TEXT(AC265,"0.000000")&amp;" h = "&amp;TEXT(Q265,"0.000000")&amp;" EUR")</f>
        <v>零头寸，无结算现金</v>
      </c>
      <c r="BF265" s="1" t="str">
        <f t="shared" ref="BF265:BF328" si="108">IF(L265=0,"零头寸，无结算现金",TEXT(L265,"0.000000")&amp;" MW × "&amp;TEXT(C265,"0.000000")&amp;" × "&amp;TEXT(AC265,"0.000000")&amp;" h = "&amp;TEXT(R265,"0.000000")&amp;" EUR")</f>
        <v>40.000000 MW × 66.224535 × 0.250000 h = 662.245345 EUR</v>
      </c>
      <c r="BG265" s="1" t="str">
        <f t="shared" ref="BG265:BG328" si="109">IF(M265=0,"零头寸，无结算现金",TEXT(M265,"0.000000")&amp;" MW × "&amp;TEXT(D265,"0.000000")&amp;" × "&amp;TEXT(AC265,"0.000000")&amp;" h = "&amp;TEXT(S265,"0.000000")&amp;" EUR")</f>
        <v>24.000000 MW × 5.299869 × 0.250000 h = 31.799211 EUR</v>
      </c>
      <c r="BH265" s="1" t="str">
        <f t="shared" ref="BH265:BH328" si="110">IF(N265=0,"零头寸，无结算现金",TEXT(N265,"0.000000")&amp;" MW × "&amp;TEXT(E265,"0.000000")&amp;" × "&amp;TEXT(AC265,"0.000000")&amp;" h = "&amp;TEXT(T265,"0.000000")&amp;" EUR")</f>
        <v>24.000000 MW × 3.007261 × 0.250000 h = 18.043565 EUR</v>
      </c>
      <c r="BI265" s="1" t="str">
        <f t="shared" ref="BI265:BI328" si="111">IF(O265=0,"零上调激活电量",TEXT(O265,"0.000000")&amp;" MWh × "&amp;TEXT(F265,"0.000000")&amp;" = "&amp;TEXT(U265,"0.000000")&amp;" EUR")</f>
        <v>0.335589 MWh × 128.828159 = 43.233258 EUR</v>
      </c>
      <c r="BJ265" s="1" t="str">
        <f t="shared" ref="BJ265:BJ328" si="112">IF(P265=0,"零下调激活电量","−("&amp;TEXT(P265,"0.000000")&amp;" MWh × "&amp;TEXT(G265,"0.000000")&amp;") = "&amp;TEXT(V265,"0.000000")&amp;" EUR")</f>
        <v>−(0.006171 MWh × 76.229680) = -0.470446 EUR</v>
      </c>
      <c r="BK265" s="1" t="str">
        <f t="shared" ref="BK265:BK328" si="113">TEXT(Q265,"0.000000")&amp;" + "&amp;TEXT(R265,"0.000000")&amp;" + "&amp;TEXT(S265,"0.000000")&amp;" + "&amp;TEXT(T265,"0.000000")&amp;" + "&amp;TEXT(U265,"0.000000")&amp;" + "&amp;TEXT(V265,"0.000000")&amp;" = "&amp;TEXT(W265,"0.000000")&amp;" EUR"</f>
        <v>0.000000 + 662.245345 + 31.799211 + 18.043565 + 43.233258 + -0.470446 = 754.850933 EUR</v>
      </c>
    </row>
    <row r="266" spans="1:63" ht="21" customHeight="1" x14ac:dyDescent="0.45">
      <c r="A266" s="13">
        <f>原始输入与口径!C170</f>
        <v>46236.677083333336</v>
      </c>
      <c r="B266" s="15">
        <f>IF(ISNUMBER(原始输入与口径!H170),原始输入与口径!H170,"缺失")</f>
        <v>7.14</v>
      </c>
      <c r="C266" s="15">
        <f>IF(ISNUMBER(原始输入与口径!R170),原始输入与口径!R170,"缺失")</f>
        <v>66.224534522516336</v>
      </c>
      <c r="D266" s="15">
        <f>IF(ISNUMBER(原始输入与口径!W170),原始输入与口径!W170,"缺失")</f>
        <v>5.2998685038019548</v>
      </c>
      <c r="E266" s="15">
        <f>IF(ISNUMBER(原始输入与口径!AB170),原始输入与口径!AB170,"缺失")</f>
        <v>3.0072608770224685</v>
      </c>
      <c r="F266" s="15">
        <f>IF(ISNUMBER(原始输入与口径!AG170),原始输入与口径!AG170,"缺失")</f>
        <v>93.550969069807323</v>
      </c>
      <c r="G266" s="15">
        <f>IF(ISNUMBER(原始输入与口径!AJ170),原始输入与口径!AJ170,"缺失")</f>
        <v>66.991023955176942</v>
      </c>
      <c r="H266" s="15" t="str">
        <f t="shared" si="92"/>
        <v>未模拟</v>
      </c>
      <c r="I266" s="16">
        <f>原始输入与口径!CD170</f>
        <v>171.23522981366452</v>
      </c>
      <c r="J266" s="16">
        <f>原始输入与口径!CE170</f>
        <v>171.59054708838389</v>
      </c>
      <c r="K266" s="16">
        <f>原始输入与口径!BZ170</f>
        <v>-1.513646080067296</v>
      </c>
      <c r="L266" s="16">
        <f>原始输入与口径!CK170</f>
        <v>40</v>
      </c>
      <c r="M266" s="16">
        <f>原始输入与口径!BT170</f>
        <v>24</v>
      </c>
      <c r="N266" s="16">
        <f>原始输入与口径!BJ170</f>
        <v>24</v>
      </c>
      <c r="O266" s="16">
        <f t="shared" si="93"/>
        <v>1.782857142857143E-2</v>
      </c>
      <c r="P266" s="16">
        <f t="shared" si="94"/>
        <v>2.8662857142857139E-2</v>
      </c>
      <c r="Q266" s="17">
        <f t="shared" si="95"/>
        <v>-2.7018582529201232</v>
      </c>
      <c r="R266" s="17">
        <f t="shared" si="96"/>
        <v>662.24534522516342</v>
      </c>
      <c r="S266" s="17">
        <f t="shared" si="97"/>
        <v>31.799211022811729</v>
      </c>
      <c r="T266" s="17">
        <f t="shared" si="98"/>
        <v>18.043565262134813</v>
      </c>
      <c r="U266" s="17">
        <f t="shared" si="99"/>
        <v>1.6678801342731364</v>
      </c>
      <c r="V266" s="17">
        <f t="shared" si="100"/>
        <v>-1.9201541494809571</v>
      </c>
      <c r="W266" s="17">
        <f t="shared" si="101"/>
        <v>709.13398924198202</v>
      </c>
      <c r="X266" s="12">
        <f>原始输入与口径!CP170</f>
        <v>709.13398924198202</v>
      </c>
      <c r="Y266" s="19">
        <f t="shared" si="102"/>
        <v>0</v>
      </c>
      <c r="Z266" s="12" t="str">
        <f t="shared" si="103"/>
        <v>当日执行</v>
      </c>
      <c r="AA266" s="12">
        <f>IF(原始输入与口径!AW170,1,0)</f>
        <v>1</v>
      </c>
      <c r="AB266" s="12">
        <f>IF(原始输入与口径!AY170,1,0)</f>
        <v>1</v>
      </c>
      <c r="AC266" s="12">
        <f>原始输入与口径!$F$5</f>
        <v>0.25</v>
      </c>
      <c r="AD266" s="18">
        <f>原始输入与口径!CG170</f>
        <v>0.3125</v>
      </c>
      <c r="AE266" s="18">
        <f>原始输入与口径!BQ170</f>
        <v>0.13714285714285715</v>
      </c>
      <c r="AF266" s="18">
        <f t="shared" si="104"/>
        <v>2.9714285714285715E-3</v>
      </c>
      <c r="AG266" s="18">
        <f t="shared" si="105"/>
        <v>4.7771428571428565E-3</v>
      </c>
      <c r="AH266" s="12">
        <f>IF(ISNUMBER(原始输入与口径!T170),原始输入与口径!T170,"缺失")</f>
        <v>175</v>
      </c>
      <c r="AI266" s="12">
        <f>IF(ISNUMBER(原始输入与口径!Y170),原始输入与口径!Y170,"缺失")</f>
        <v>175</v>
      </c>
      <c r="AJ266" s="12">
        <f>IF(ISNUMBER(原始输入与口径!AI170),原始输入与口径!AI170,"缺失")</f>
        <v>0.13</v>
      </c>
      <c r="AK266" s="12">
        <f>IF(ISNUMBER(原始输入与口径!AL170),原始输入与口径!AL170,"缺失")</f>
        <v>0.20899999999999999</v>
      </c>
      <c r="AL266" s="12">
        <f>IF(ISNUMBER(原始输入与口径!O170),原始输入与口径!O170,"缺失")</f>
        <v>71.936000000000007</v>
      </c>
      <c r="AM266" s="12">
        <f>SUMIFS(相位SOC复算!$N$9:$N$929,相位SOC复算!$S$9:$S$929,258)</f>
        <v>1.0878628924948458E-3</v>
      </c>
      <c r="AN266" s="12">
        <f>SUMIFS(相位SOC复算!$Q$9:$Q$929,相位SOC复算!$S$9:$S$929,258)</f>
        <v>0.40594995435734538</v>
      </c>
      <c r="AO266" s="12">
        <f>SUMIFS(相位SOC复算!$R$9:$R$929,相位SOC复算!$S$9:$S$929,258)</f>
        <v>1.6704148626235722E-2</v>
      </c>
      <c r="AP266" s="12">
        <f>相位SOC复算!J632</f>
        <v>171.59054708838391</v>
      </c>
      <c r="AQ266" s="19">
        <f t="shared" si="106"/>
        <v>0</v>
      </c>
      <c r="AR266" s="12">
        <f>IF(ISBLANK(原始输入与口径!M170),"",原始输入与口径!M170)</f>
        <v>5.2473000000000001</v>
      </c>
      <c r="AS266" s="14">
        <f>IF(ISBLANK(原始输入与口径!L170),"",原始输入与口径!L170)</f>
        <v>46234</v>
      </c>
      <c r="AT266" s="13">
        <f>IF(ISBLANK(原始输入与口径!A170),"",原始输入与口径!A170)</f>
        <v>46236.552083333336</v>
      </c>
      <c r="AU266" s="12" t="str">
        <f>IF(ISBLANK(原始输入与口径!I170),"",原始输入与口径!I170)</f>
        <v>2026-08-02_62</v>
      </c>
      <c r="AV266" s="12">
        <f>IF(ISBLANK(原始输入与口径!J170),"",原始输入与口径!J170)</f>
        <v>15</v>
      </c>
      <c r="AW266" s="12" t="str">
        <f>IF(ISBLANK(原始输入与口径!BB170),"",原始输入与口径!BB170)</f>
        <v>OK</v>
      </c>
      <c r="AX266" s="12">
        <f>原始输入与口径!CI170</f>
        <v>128</v>
      </c>
      <c r="AY266" s="12">
        <f>原始输入与口径!BS170</f>
        <v>175</v>
      </c>
      <c r="AZ266" s="12">
        <f>原始输入与口径!BI170</f>
        <v>175</v>
      </c>
      <c r="BA266" s="12">
        <f>原始输入与口径!CM170</f>
        <v>40</v>
      </c>
      <c r="BB266" s="12">
        <f>原始输入与口径!BV170</f>
        <v>24</v>
      </c>
      <c r="BC266" s="12">
        <f>原始输入与口径!BL170</f>
        <v>24</v>
      </c>
      <c r="BD266" s="14">
        <f>46236</f>
        <v>46236</v>
      </c>
      <c r="BE266" s="1" t="str">
        <f t="shared" si="107"/>
        <v>-1.513646 MW × 7.140000 × 0.250000 h = -2.701858 EUR</v>
      </c>
      <c r="BF266" s="1" t="str">
        <f t="shared" si="108"/>
        <v>40.000000 MW × 66.224535 × 0.250000 h = 662.245345 EUR</v>
      </c>
      <c r="BG266" s="1" t="str">
        <f t="shared" si="109"/>
        <v>24.000000 MW × 5.299869 × 0.250000 h = 31.799211 EUR</v>
      </c>
      <c r="BH266" s="1" t="str">
        <f t="shared" si="110"/>
        <v>24.000000 MW × 3.007261 × 0.250000 h = 18.043565 EUR</v>
      </c>
      <c r="BI266" s="1" t="str">
        <f t="shared" si="111"/>
        <v>0.017829 MWh × 93.550969 = 1.667880 EUR</v>
      </c>
      <c r="BJ266" s="1" t="str">
        <f t="shared" si="112"/>
        <v>−(0.028663 MWh × 66.991024) = -1.920154 EUR</v>
      </c>
      <c r="BK266" s="1" t="str">
        <f t="shared" si="113"/>
        <v>-2.701858 + 662.245345 + 31.799211 + 18.043565 + 1.667880 + -1.920154 = 709.133989 EUR</v>
      </c>
    </row>
    <row r="267" spans="1:63" ht="21" customHeight="1" x14ac:dyDescent="0.45">
      <c r="A267" s="13">
        <f>原始输入与口径!C171</f>
        <v>46236.6875</v>
      </c>
      <c r="B267" s="15">
        <f>IF(ISNUMBER(原始输入与口径!H171),原始输入与口径!H171,"缺失")</f>
        <v>7.94</v>
      </c>
      <c r="C267" s="15">
        <f>IF(ISNUMBER(原始输入与口径!R171),原始输入与口径!R171,"缺失")</f>
        <v>66.224534522516336</v>
      </c>
      <c r="D267" s="15">
        <f>IF(ISNUMBER(原始输入与口径!W171),原始输入与口径!W171,"缺失")</f>
        <v>5.2998685038019548</v>
      </c>
      <c r="E267" s="15">
        <f>IF(ISNUMBER(原始输入与口径!AB171),原始输入与口径!AB171,"缺失")</f>
        <v>3.0072608770224685</v>
      </c>
      <c r="F267" s="15">
        <f>IF(ISNUMBER(原始输入与口径!AG171),原始输入与口径!AG171,"缺失")</f>
        <v>132.17673851314009</v>
      </c>
      <c r="G267" s="15">
        <f>IF(ISNUMBER(原始输入与口径!AJ171),原始输入与口径!AJ171,"缺失")</f>
        <v>76.229680025918086</v>
      </c>
      <c r="H267" s="15" t="str">
        <f t="shared" si="92"/>
        <v>未模拟</v>
      </c>
      <c r="I267" s="16">
        <f>原始输入与口径!CD171</f>
        <v>171.59054708838389</v>
      </c>
      <c r="J267" s="16">
        <f>原始输入与口径!CE171</f>
        <v>171.59459487911656</v>
      </c>
      <c r="K267" s="16">
        <f>原始输入与口径!BZ171</f>
        <v>-2.8374356393544509</v>
      </c>
      <c r="L267" s="16">
        <f>原始输入与口径!CK171</f>
        <v>40</v>
      </c>
      <c r="M267" s="16">
        <f>原始输入与口径!BT171</f>
        <v>24</v>
      </c>
      <c r="N267" s="16">
        <f>原始输入与口径!BJ171</f>
        <v>24</v>
      </c>
      <c r="O267" s="16">
        <f t="shared" si="93"/>
        <v>0.61563428571428569</v>
      </c>
      <c r="P267" s="16">
        <f t="shared" si="94"/>
        <v>9.1885714285714296E-3</v>
      </c>
      <c r="Q267" s="17">
        <f t="shared" si="95"/>
        <v>-5.6323097441185856</v>
      </c>
      <c r="R267" s="17">
        <f t="shared" si="96"/>
        <v>662.24534522516342</v>
      </c>
      <c r="S267" s="17">
        <f t="shared" si="97"/>
        <v>31.799211022811729</v>
      </c>
      <c r="T267" s="17">
        <f t="shared" si="98"/>
        <v>18.043565262134813</v>
      </c>
      <c r="U267" s="17">
        <f t="shared" si="99"/>
        <v>81.372532002580911</v>
      </c>
      <c r="V267" s="17">
        <f t="shared" si="100"/>
        <v>-0.70044185989529317</v>
      </c>
      <c r="W267" s="17">
        <f t="shared" si="101"/>
        <v>787.12790190867702</v>
      </c>
      <c r="X267" s="12">
        <f>原始输入与口径!CP171</f>
        <v>787.12790190867702</v>
      </c>
      <c r="Y267" s="19">
        <f t="shared" si="102"/>
        <v>0</v>
      </c>
      <c r="Z267" s="12" t="str">
        <f t="shared" si="103"/>
        <v>当日执行</v>
      </c>
      <c r="AA267" s="12">
        <f>IF(原始输入与口径!AW171,1,0)</f>
        <v>1</v>
      </c>
      <c r="AB267" s="12">
        <f>IF(原始输入与口径!AY171,1,0)</f>
        <v>1</v>
      </c>
      <c r="AC267" s="12">
        <f>原始输入与口径!$F$5</f>
        <v>0.25</v>
      </c>
      <c r="AD267" s="18">
        <f>原始输入与口径!CG171</f>
        <v>0.3125</v>
      </c>
      <c r="AE267" s="18">
        <f>原始输入与口径!BQ171</f>
        <v>0.13714285714285715</v>
      </c>
      <c r="AF267" s="18">
        <f t="shared" si="104"/>
        <v>0.10260571428571429</v>
      </c>
      <c r="AG267" s="18">
        <f t="shared" si="105"/>
        <v>1.5314285714285716E-3</v>
      </c>
      <c r="AH267" s="12">
        <f>IF(ISNUMBER(原始输入与口径!T171),原始输入与口径!T171,"缺失")</f>
        <v>175</v>
      </c>
      <c r="AI267" s="12">
        <f>IF(ISNUMBER(原始输入与口径!Y171),原始输入与口径!Y171,"缺失")</f>
        <v>175</v>
      </c>
      <c r="AJ267" s="12">
        <f>IF(ISNUMBER(原始输入与口径!AI171),原始输入与口径!AI171,"缺失")</f>
        <v>4.4889999999999999</v>
      </c>
      <c r="AK267" s="12">
        <f>IF(ISNUMBER(原始输入与口径!AL171),原始输入与口径!AL171,"缺失")</f>
        <v>6.7000000000000004E-2</v>
      </c>
      <c r="AL267" s="12">
        <f>IF(ISNUMBER(原始输入与口径!O171),原始输入与口径!O171,"缺失")</f>
        <v>71.936000000000007</v>
      </c>
      <c r="AM267" s="12">
        <f>SUMIFS(相位SOC复算!$N$9:$N$929,相位SOC复算!$S$9:$S$929,259)</f>
        <v>3.2893236221158834E-3</v>
      </c>
      <c r="AN267" s="12">
        <f>SUMIFS(相位SOC复算!$Q$9:$Q$929,相位SOC复算!$S$9:$S$929,259)</f>
        <v>0.64576320363825768</v>
      </c>
      <c r="AO267" s="12">
        <f>SUMIFS(相位SOC复算!$R$9:$R$929,相位SOC复算!$S$9:$S$929,259)</f>
        <v>0.54285000808535933</v>
      </c>
      <c r="AP267" s="12">
        <f>相位SOC复算!J635</f>
        <v>171.59459487911658</v>
      </c>
      <c r="AQ267" s="19">
        <f t="shared" si="106"/>
        <v>0</v>
      </c>
      <c r="AR267" s="12">
        <f>IF(ISBLANK(原始输入与口径!M171),"",原始输入与口径!M171)</f>
        <v>5.2473000000000001</v>
      </c>
      <c r="AS267" s="14">
        <f>IF(ISBLANK(原始输入与口径!L171),"",原始输入与口径!L171)</f>
        <v>46234</v>
      </c>
      <c r="AT267" s="13">
        <f>IF(ISBLANK(原始输入与口径!A171),"",原始输入与口径!A171)</f>
        <v>46236.5625</v>
      </c>
      <c r="AU267" s="12" t="str">
        <f>IF(ISBLANK(原始输入与口径!I171),"",原始输入与口径!I171)</f>
        <v>2026-08-02_63</v>
      </c>
      <c r="AV267" s="12">
        <f>IF(ISBLANK(原始输入与口径!J171),"",原始输入与口径!J171)</f>
        <v>15</v>
      </c>
      <c r="AW267" s="12" t="str">
        <f>IF(ISBLANK(原始输入与口径!BB171),"",原始输入与口径!BB171)</f>
        <v>OK</v>
      </c>
      <c r="AX267" s="12">
        <f>原始输入与口径!CI171</f>
        <v>128</v>
      </c>
      <c r="AY267" s="12">
        <f>原始输入与口径!BS171</f>
        <v>175</v>
      </c>
      <c r="AZ267" s="12">
        <f>原始输入与口径!BI171</f>
        <v>175</v>
      </c>
      <c r="BA267" s="12">
        <f>原始输入与口径!CM171</f>
        <v>40</v>
      </c>
      <c r="BB267" s="12">
        <f>原始输入与口径!BV171</f>
        <v>24</v>
      </c>
      <c r="BC267" s="12">
        <f>原始输入与口径!BL171</f>
        <v>24</v>
      </c>
      <c r="BD267" s="14">
        <f>46236</f>
        <v>46236</v>
      </c>
      <c r="BE267" s="1" t="str">
        <f t="shared" si="107"/>
        <v>-2.837436 MW × 7.940000 × 0.250000 h = -5.632310 EUR</v>
      </c>
      <c r="BF267" s="1" t="str">
        <f t="shared" si="108"/>
        <v>40.000000 MW × 66.224535 × 0.250000 h = 662.245345 EUR</v>
      </c>
      <c r="BG267" s="1" t="str">
        <f t="shared" si="109"/>
        <v>24.000000 MW × 5.299869 × 0.250000 h = 31.799211 EUR</v>
      </c>
      <c r="BH267" s="1" t="str">
        <f t="shared" si="110"/>
        <v>24.000000 MW × 3.007261 × 0.250000 h = 18.043565 EUR</v>
      </c>
      <c r="BI267" s="1" t="str">
        <f t="shared" si="111"/>
        <v>0.615634 MWh × 132.176739 = 81.372532 EUR</v>
      </c>
      <c r="BJ267" s="1" t="str">
        <f t="shared" si="112"/>
        <v>−(0.009189 MWh × 76.229680) = -0.700442 EUR</v>
      </c>
      <c r="BK267" s="1" t="str">
        <f t="shared" si="113"/>
        <v>-5.632310 + 662.245345 + 31.799211 + 18.043565 + 81.372532 + -0.700442 = 787.127902 EUR</v>
      </c>
    </row>
    <row r="268" spans="1:63" ht="21" customHeight="1" x14ac:dyDescent="0.45">
      <c r="A268" s="13">
        <f>原始输入与口径!C172</f>
        <v>46236.697916666664</v>
      </c>
      <c r="B268" s="15">
        <f>IF(ISNUMBER(原始输入与口径!H172),原始输入与口径!H172,"缺失")</f>
        <v>8.4700000000000006</v>
      </c>
      <c r="C268" s="15">
        <f>IF(ISNUMBER(原始输入与口径!R172),原始输入与口径!R172,"缺失")</f>
        <v>66.224534522516336</v>
      </c>
      <c r="D268" s="15">
        <f>IF(ISNUMBER(原始输入与口径!W172),原始输入与口径!W172,"缺失")</f>
        <v>5.2998685038019548</v>
      </c>
      <c r="E268" s="15">
        <f>IF(ISNUMBER(原始输入与口径!AB172),原始输入与口径!AB172,"缺失")</f>
        <v>3.0072608770224685</v>
      </c>
      <c r="F268" s="15">
        <f>IF(ISNUMBER(原始输入与口径!AG172),原始输入与口径!AG172,"缺失")</f>
        <v>109.33889809997522</v>
      </c>
      <c r="G268" s="15">
        <f>IF(ISNUMBER(原始输入与口径!AJ172),原始输入与口径!AJ172,"缺失")</f>
        <v>76.229680025918086</v>
      </c>
      <c r="H268" s="15" t="str">
        <f t="shared" si="92"/>
        <v>未模拟</v>
      </c>
      <c r="I268" s="16">
        <f>原始输入与口径!CD172</f>
        <v>171.59459487911656</v>
      </c>
      <c r="J268" s="16">
        <f>原始输入与口径!CE172</f>
        <v>171.57098014626055</v>
      </c>
      <c r="K268" s="16">
        <f>原始输入与口径!BZ172</f>
        <v>-0.47971414569927678</v>
      </c>
      <c r="L268" s="16">
        <f>原始输入与口径!CK172</f>
        <v>40</v>
      </c>
      <c r="M268" s="16">
        <f>原始输入与口径!BT172</f>
        <v>24</v>
      </c>
      <c r="N268" s="16">
        <f>原始输入与口径!BJ172</f>
        <v>24</v>
      </c>
      <c r="O268" s="16">
        <f t="shared" si="93"/>
        <v>0.12850285714285714</v>
      </c>
      <c r="P268" s="16">
        <f t="shared" si="94"/>
        <v>5.7600000000000004E-3</v>
      </c>
      <c r="Q268" s="17">
        <f t="shared" si="95"/>
        <v>-1.0157947035182187</v>
      </c>
      <c r="R268" s="17">
        <f t="shared" si="96"/>
        <v>662.24534522516342</v>
      </c>
      <c r="S268" s="17">
        <f t="shared" si="97"/>
        <v>31.799211022811729</v>
      </c>
      <c r="T268" s="17">
        <f t="shared" si="98"/>
        <v>18.043565262134813</v>
      </c>
      <c r="U268" s="17">
        <f t="shared" si="99"/>
        <v>14.050360802698531</v>
      </c>
      <c r="V268" s="17">
        <f t="shared" si="100"/>
        <v>-0.43908295694928823</v>
      </c>
      <c r="W268" s="17">
        <f t="shared" si="101"/>
        <v>724.68360465234105</v>
      </c>
      <c r="X268" s="12">
        <f>原始输入与口径!CP172</f>
        <v>724.68360465234093</v>
      </c>
      <c r="Y268" s="19">
        <f t="shared" si="102"/>
        <v>0</v>
      </c>
      <c r="Z268" s="12" t="str">
        <f t="shared" si="103"/>
        <v>当日执行</v>
      </c>
      <c r="AA268" s="12">
        <f>IF(原始输入与口径!AW172,1,0)</f>
        <v>1</v>
      </c>
      <c r="AB268" s="12">
        <f>IF(原始输入与口径!AY172,1,0)</f>
        <v>1</v>
      </c>
      <c r="AC268" s="12">
        <f>原始输入与口径!$F$5</f>
        <v>0.25</v>
      </c>
      <c r="AD268" s="18">
        <f>原始输入与口径!CG172</f>
        <v>0.3125</v>
      </c>
      <c r="AE268" s="18">
        <f>原始输入与口径!BQ172</f>
        <v>0.13714285714285715</v>
      </c>
      <c r="AF268" s="18">
        <f t="shared" si="104"/>
        <v>2.1417142857142857E-2</v>
      </c>
      <c r="AG268" s="18">
        <f t="shared" si="105"/>
        <v>9.6000000000000002E-4</v>
      </c>
      <c r="AH268" s="12">
        <f>IF(ISNUMBER(原始输入与口径!T172),原始输入与口径!T172,"缺失")</f>
        <v>175</v>
      </c>
      <c r="AI268" s="12">
        <f>IF(ISNUMBER(原始输入与口径!Y172),原始输入与口径!Y172,"缺失")</f>
        <v>175</v>
      </c>
      <c r="AJ268" s="12">
        <f>IF(ISNUMBER(原始输入与口径!AI172),原始输入与口径!AI172,"缺失")</f>
        <v>0.93700000000000006</v>
      </c>
      <c r="AK268" s="12">
        <f>IF(ISNUMBER(原始输入与口径!AL172),原始输入与口径!AL172,"缺失")</f>
        <v>4.2000000000000003E-2</v>
      </c>
      <c r="AL268" s="12">
        <f>IF(ISNUMBER(原始输入与口径!O172),原始输入与口径!O172,"缺失")</f>
        <v>71.936000000000007</v>
      </c>
      <c r="AM268" s="12">
        <f>SUMIFS(相位SOC复算!$N$9:$N$929,相位SOC复算!$S$9:$S$929,260)</f>
        <v>6.9487653038540517E-4</v>
      </c>
      <c r="AN268" s="12">
        <f>SUMIFS(相位SOC复算!$Q$9:$Q$929,相位SOC复算!$S$9:$S$929,260)</f>
        <v>0.1231200098275608</v>
      </c>
      <c r="AO268" s="12">
        <f>SUMIFS(相位SOC复算!$R$9:$R$929,相位SOC复算!$S$9:$S$929,260)</f>
        <v>0.12593433054559874</v>
      </c>
      <c r="AP268" s="12">
        <f>相位SOC复算!J638</f>
        <v>171.57098014626058</v>
      </c>
      <c r="AQ268" s="19">
        <f t="shared" si="106"/>
        <v>0</v>
      </c>
      <c r="AR268" s="12">
        <f>IF(ISBLANK(原始输入与口径!M172),"",原始输入与口径!M172)</f>
        <v>5.2473000000000001</v>
      </c>
      <c r="AS268" s="14">
        <f>IF(ISBLANK(原始输入与口径!L172),"",原始输入与口径!L172)</f>
        <v>46234</v>
      </c>
      <c r="AT268" s="13">
        <f>IF(ISBLANK(原始输入与口径!A172),"",原始输入与口径!A172)</f>
        <v>46236.572916666664</v>
      </c>
      <c r="AU268" s="12" t="str">
        <f>IF(ISBLANK(原始输入与口径!I172),"",原始输入与口径!I172)</f>
        <v>2026-08-02_64</v>
      </c>
      <c r="AV268" s="12">
        <f>IF(ISBLANK(原始输入与口径!J172),"",原始输入与口径!J172)</f>
        <v>15</v>
      </c>
      <c r="AW268" s="12" t="str">
        <f>IF(ISBLANK(原始输入与口径!BB172),"",原始输入与口径!BB172)</f>
        <v>OK</v>
      </c>
      <c r="AX268" s="12">
        <f>原始输入与口径!CI172</f>
        <v>128</v>
      </c>
      <c r="AY268" s="12">
        <f>原始输入与口径!BS172</f>
        <v>175</v>
      </c>
      <c r="AZ268" s="12">
        <f>原始输入与口径!BI172</f>
        <v>175</v>
      </c>
      <c r="BA268" s="12">
        <f>原始输入与口径!CM172</f>
        <v>40</v>
      </c>
      <c r="BB268" s="12">
        <f>原始输入与口径!BV172</f>
        <v>24</v>
      </c>
      <c r="BC268" s="12">
        <f>原始输入与口径!BL172</f>
        <v>24</v>
      </c>
      <c r="BD268" s="14">
        <f>46236</f>
        <v>46236</v>
      </c>
      <c r="BE268" s="1" t="str">
        <f t="shared" si="107"/>
        <v>-0.479714 MW × 8.470000 × 0.250000 h = -1.015795 EUR</v>
      </c>
      <c r="BF268" s="1" t="str">
        <f t="shared" si="108"/>
        <v>40.000000 MW × 66.224535 × 0.250000 h = 662.245345 EUR</v>
      </c>
      <c r="BG268" s="1" t="str">
        <f t="shared" si="109"/>
        <v>24.000000 MW × 5.299869 × 0.250000 h = 31.799211 EUR</v>
      </c>
      <c r="BH268" s="1" t="str">
        <f t="shared" si="110"/>
        <v>24.000000 MW × 3.007261 × 0.250000 h = 18.043565 EUR</v>
      </c>
      <c r="BI268" s="1" t="str">
        <f t="shared" si="111"/>
        <v>0.128503 MWh × 109.338898 = 14.050361 EUR</v>
      </c>
      <c r="BJ268" s="1" t="str">
        <f t="shared" si="112"/>
        <v>−(0.005760 MWh × 76.229680) = -0.439083 EUR</v>
      </c>
      <c r="BK268" s="1" t="str">
        <f t="shared" si="113"/>
        <v>-1.015795 + 662.245345 + 31.799211 + 18.043565 + 14.050361 + -0.439083 = 724.683605 EUR</v>
      </c>
    </row>
    <row r="269" spans="1:63" ht="21" customHeight="1" x14ac:dyDescent="0.45">
      <c r="A269" s="13">
        <f>原始输入与口径!C173</f>
        <v>46236.708333333336</v>
      </c>
      <c r="B269" s="15">
        <f>IF(ISNUMBER(原始输入与口径!H173),原始输入与口径!H173,"缺失")</f>
        <v>12.63</v>
      </c>
      <c r="C269" s="15">
        <f>IF(ISNUMBER(原始输入与口径!R173),原始输入与口径!R173,"缺失")</f>
        <v>60.030873020410496</v>
      </c>
      <c r="D269" s="15">
        <f>IF(ISNUMBER(原始输入与口径!W173),原始输入与口径!W173,"缺失")</f>
        <v>6.0335791740514164</v>
      </c>
      <c r="E269" s="15">
        <f>IF(ISNUMBER(原始输入与口径!AB173),原始输入与口径!AB173,"缺失")</f>
        <v>3.0072608770224685</v>
      </c>
      <c r="F269" s="15">
        <f>IF(ISNUMBER(原始输入与口径!AG173),原始输入与口径!AG173,"缺失")</f>
        <v>133.21136584529185</v>
      </c>
      <c r="G269" s="15">
        <f>IF(ISNUMBER(原始输入与口径!AJ173),原始输入与口径!AJ173,"缺失")</f>
        <v>76.229680025918086</v>
      </c>
      <c r="H269" s="15" t="str">
        <f t="shared" si="92"/>
        <v>未模拟</v>
      </c>
      <c r="I269" s="16">
        <f>原始输入与口径!CD173</f>
        <v>171.57098014626055</v>
      </c>
      <c r="J269" s="16">
        <f>原始输入与口径!CE173</f>
        <v>171.53194687003597</v>
      </c>
      <c r="K269" s="16">
        <f>原始输入与口径!BZ173</f>
        <v>0.20654795542531273</v>
      </c>
      <c r="L269" s="16">
        <f>原始输入与口径!CK173</f>
        <v>40</v>
      </c>
      <c r="M269" s="16">
        <f>原始输入与口径!BT173</f>
        <v>24</v>
      </c>
      <c r="N269" s="16">
        <f>原始输入与口径!BJ173</f>
        <v>24</v>
      </c>
      <c r="O269" s="16">
        <f t="shared" si="93"/>
        <v>1.1245714285714286E-2</v>
      </c>
      <c r="P269" s="16">
        <f t="shared" si="94"/>
        <v>3.1817142857142856E-2</v>
      </c>
      <c r="Q269" s="17">
        <f t="shared" si="95"/>
        <v>0.65217516925542496</v>
      </c>
      <c r="R269" s="17">
        <f t="shared" si="96"/>
        <v>600.3087302041049</v>
      </c>
      <c r="S269" s="17">
        <f t="shared" si="97"/>
        <v>36.201475044308495</v>
      </c>
      <c r="T269" s="17">
        <f t="shared" si="98"/>
        <v>18.043565262134813</v>
      </c>
      <c r="U269" s="17">
        <f t="shared" si="99"/>
        <v>1.4980569599059106</v>
      </c>
      <c r="V269" s="17">
        <f t="shared" si="100"/>
        <v>-2.4254106193389249</v>
      </c>
      <c r="W269" s="17">
        <f t="shared" si="101"/>
        <v>654.27859202037075</v>
      </c>
      <c r="X269" s="12">
        <f>原始输入与口径!CP173</f>
        <v>654.27859202037064</v>
      </c>
      <c r="Y269" s="19">
        <f t="shared" si="102"/>
        <v>0</v>
      </c>
      <c r="Z269" s="12" t="str">
        <f t="shared" si="103"/>
        <v>当日执行</v>
      </c>
      <c r="AA269" s="12">
        <f>IF(原始输入与口径!AW173,1,0)</f>
        <v>1</v>
      </c>
      <c r="AB269" s="12">
        <f>IF(原始输入与口径!AY173,1,0)</f>
        <v>1</v>
      </c>
      <c r="AC269" s="12">
        <f>原始输入与口径!$F$5</f>
        <v>0.25</v>
      </c>
      <c r="AD269" s="18">
        <f>原始输入与口径!CG173</f>
        <v>0.3125</v>
      </c>
      <c r="AE269" s="18">
        <f>原始输入与口径!BQ173</f>
        <v>0.13714285714285715</v>
      </c>
      <c r="AF269" s="18">
        <f t="shared" si="104"/>
        <v>1.8742857142857144E-3</v>
      </c>
      <c r="AG269" s="18">
        <f t="shared" si="105"/>
        <v>5.302857142857143E-3</v>
      </c>
      <c r="AH269" s="12">
        <f>IF(ISNUMBER(原始输入与口径!T173),原始输入与口径!T173,"缺失")</f>
        <v>175</v>
      </c>
      <c r="AI269" s="12">
        <f>IF(ISNUMBER(原始输入与口径!Y173),原始输入与口径!Y173,"缺失")</f>
        <v>175</v>
      </c>
      <c r="AJ269" s="12">
        <f>IF(ISNUMBER(原始输入与口径!AI173),原始输入与口径!AI173,"缺失")</f>
        <v>8.2000000000000003E-2</v>
      </c>
      <c r="AK269" s="12">
        <f>IF(ISNUMBER(原始输入与口径!AL173),原始输入与口径!AL173,"缺失")</f>
        <v>0.23200000000000001</v>
      </c>
      <c r="AL269" s="12">
        <f>IF(ISNUMBER(原始输入与口径!O173),原始输入与口径!O173,"缺失")</f>
        <v>51.968000000000004</v>
      </c>
      <c r="AM269" s="12">
        <f>SUMIFS(相位SOC复算!$N$9:$N$929,相位SOC复算!$S$9:$S$929,261)</f>
        <v>2.6964717695378293E-4</v>
      </c>
      <c r="AN269" s="12">
        <f>SUMIFS(相位SOC复算!$Q$9:$Q$929,相位SOC复算!$S$9:$S$929,261)</f>
        <v>3.1543319281950442E-2</v>
      </c>
      <c r="AO269" s="12">
        <f>SUMIFS(相位SOC复算!$R$9:$R$929,相位SOC复算!$S$9:$S$929,261)</f>
        <v>6.2608879566850045E-2</v>
      </c>
      <c r="AP269" s="12">
        <f>相位SOC复算!J641</f>
        <v>171.53194687003599</v>
      </c>
      <c r="AQ269" s="19">
        <f t="shared" si="106"/>
        <v>0</v>
      </c>
      <c r="AR269" s="12">
        <f>IF(ISBLANK(原始输入与口径!M173),"",原始输入与口径!M173)</f>
        <v>5.2473000000000001</v>
      </c>
      <c r="AS269" s="14">
        <f>IF(ISBLANK(原始输入与口径!L173),"",原始输入与口径!L173)</f>
        <v>46234</v>
      </c>
      <c r="AT269" s="13">
        <f>IF(ISBLANK(原始输入与口径!A173),"",原始输入与口径!A173)</f>
        <v>46236.583333333336</v>
      </c>
      <c r="AU269" s="12" t="str">
        <f>IF(ISBLANK(原始输入与口径!I173),"",原始输入与口径!I173)</f>
        <v>2026-08-02_65</v>
      </c>
      <c r="AV269" s="12">
        <f>IF(ISBLANK(原始输入与口径!J173),"",原始输入与口径!J173)</f>
        <v>15</v>
      </c>
      <c r="AW269" s="12" t="str">
        <f>IF(ISBLANK(原始输入与口径!BB173),"",原始输入与口径!BB173)</f>
        <v>OK</v>
      </c>
      <c r="AX269" s="12">
        <f>原始输入与口径!CI173</f>
        <v>128</v>
      </c>
      <c r="AY269" s="12">
        <f>原始输入与口径!BS173</f>
        <v>175</v>
      </c>
      <c r="AZ269" s="12">
        <f>原始输入与口径!BI173</f>
        <v>175</v>
      </c>
      <c r="BA269" s="12">
        <f>原始输入与口径!CM173</f>
        <v>40</v>
      </c>
      <c r="BB269" s="12">
        <f>原始输入与口径!BV173</f>
        <v>24</v>
      </c>
      <c r="BC269" s="12">
        <f>原始输入与口径!BL173</f>
        <v>24</v>
      </c>
      <c r="BD269" s="14">
        <f>46236</f>
        <v>46236</v>
      </c>
      <c r="BE269" s="1" t="str">
        <f t="shared" si="107"/>
        <v>0.206548 MW × 12.630000 × 0.250000 h = 0.652175 EUR</v>
      </c>
      <c r="BF269" s="1" t="str">
        <f t="shared" si="108"/>
        <v>40.000000 MW × 60.030873 × 0.250000 h = 600.308730 EUR</v>
      </c>
      <c r="BG269" s="1" t="str">
        <f t="shared" si="109"/>
        <v>24.000000 MW × 6.033579 × 0.250000 h = 36.201475 EUR</v>
      </c>
      <c r="BH269" s="1" t="str">
        <f t="shared" si="110"/>
        <v>24.000000 MW × 3.007261 × 0.250000 h = 18.043565 EUR</v>
      </c>
      <c r="BI269" s="1" t="str">
        <f t="shared" si="111"/>
        <v>0.011246 MWh × 133.211366 = 1.498057 EUR</v>
      </c>
      <c r="BJ269" s="1" t="str">
        <f t="shared" si="112"/>
        <v>−(0.031817 MWh × 76.229680) = -2.425411 EUR</v>
      </c>
      <c r="BK269" s="1" t="str">
        <f t="shared" si="113"/>
        <v>0.652175 + 600.308730 + 36.201475 + 18.043565 + 1.498057 + -2.425411 = 654.278592 EUR</v>
      </c>
    </row>
    <row r="270" spans="1:63" ht="21" customHeight="1" x14ac:dyDescent="0.45">
      <c r="A270" s="13">
        <f>原始输入与口径!C174</f>
        <v>46236.71875</v>
      </c>
      <c r="B270" s="15">
        <f>IF(ISNUMBER(原始输入与口径!H174),原始输入与口径!H174,"缺失")</f>
        <v>15.51</v>
      </c>
      <c r="C270" s="15">
        <f>IF(ISNUMBER(原始输入与口径!R174),原始输入与口径!R174,"缺失")</f>
        <v>60.030873020410496</v>
      </c>
      <c r="D270" s="15">
        <f>IF(ISNUMBER(原始输入与口径!W174),原始输入与口径!W174,"缺失")</f>
        <v>6.0335791740514164</v>
      </c>
      <c r="E270" s="15">
        <f>IF(ISNUMBER(原始输入与口径!AB174),原始输入与口径!AB174,"缺失")</f>
        <v>3.0072608770224685</v>
      </c>
      <c r="F270" s="15">
        <f>IF(ISNUMBER(原始输入与口径!AG174),原始输入与口径!AG174,"缺失")</f>
        <v>172.34920816419873</v>
      </c>
      <c r="G270" s="15">
        <f>IF(ISNUMBER(原始输入与口径!AJ174),原始输入与口径!AJ174,"缺失")</f>
        <v>61.614354048748886</v>
      </c>
      <c r="H270" s="15" t="str">
        <f t="shared" si="92"/>
        <v>未模拟</v>
      </c>
      <c r="I270" s="16">
        <f>原始输入与口径!CD174</f>
        <v>171.53194687003597</v>
      </c>
      <c r="J270" s="16">
        <f>原始输入与口径!CE174</f>
        <v>171.59999999999994</v>
      </c>
      <c r="K270" s="16">
        <f>原始输入与口径!BZ174</f>
        <v>-3.195144646727063</v>
      </c>
      <c r="L270" s="16">
        <f>原始输入与口径!CK174</f>
        <v>40</v>
      </c>
      <c r="M270" s="16">
        <f>原始输入与口径!BT174</f>
        <v>24</v>
      </c>
      <c r="N270" s="16">
        <f>原始输入与口径!BJ174</f>
        <v>24</v>
      </c>
      <c r="O270" s="16">
        <f t="shared" si="93"/>
        <v>0.68269714285714289</v>
      </c>
      <c r="P270" s="16">
        <f t="shared" si="94"/>
        <v>6.5279999999999991E-2</v>
      </c>
      <c r="Q270" s="17">
        <f t="shared" si="95"/>
        <v>-12.389173367684187</v>
      </c>
      <c r="R270" s="17">
        <f t="shared" si="96"/>
        <v>600.3087302041049</v>
      </c>
      <c r="S270" s="17">
        <f t="shared" si="97"/>
        <v>36.201475044308495</v>
      </c>
      <c r="T270" s="17">
        <f t="shared" si="98"/>
        <v>18.043565262134813</v>
      </c>
      <c r="U270" s="17">
        <f t="shared" si="99"/>
        <v>117.66231198738944</v>
      </c>
      <c r="V270" s="17">
        <f t="shared" si="100"/>
        <v>-4.0221850323023265</v>
      </c>
      <c r="W270" s="17">
        <f t="shared" si="101"/>
        <v>755.80472409795118</v>
      </c>
      <c r="X270" s="12">
        <f>原始输入与口径!CP174</f>
        <v>755.80472409795118</v>
      </c>
      <c r="Y270" s="19">
        <f t="shared" si="102"/>
        <v>0</v>
      </c>
      <c r="Z270" s="12" t="str">
        <f t="shared" si="103"/>
        <v>当日执行</v>
      </c>
      <c r="AA270" s="12">
        <f>IF(原始输入与口径!AW174,1,0)</f>
        <v>1</v>
      </c>
      <c r="AB270" s="12">
        <f>IF(原始输入与口径!AY174,1,0)</f>
        <v>1</v>
      </c>
      <c r="AC270" s="12">
        <f>原始输入与口径!$F$5</f>
        <v>0.25</v>
      </c>
      <c r="AD270" s="18">
        <f>原始输入与口径!CG174</f>
        <v>0.3125</v>
      </c>
      <c r="AE270" s="18">
        <f>原始输入与口径!BQ174</f>
        <v>0.13714285714285715</v>
      </c>
      <c r="AF270" s="18">
        <f t="shared" si="104"/>
        <v>0.11378285714285714</v>
      </c>
      <c r="AG270" s="18">
        <f t="shared" si="105"/>
        <v>1.0879999999999999E-2</v>
      </c>
      <c r="AH270" s="12">
        <f>IF(ISNUMBER(原始输入与口径!T174),原始输入与口径!T174,"缺失")</f>
        <v>175</v>
      </c>
      <c r="AI270" s="12">
        <f>IF(ISNUMBER(原始输入与口径!Y174),原始输入与口径!Y174,"缺失")</f>
        <v>175</v>
      </c>
      <c r="AJ270" s="12">
        <f>IF(ISNUMBER(原始输入与口径!AI174),原始输入与口径!AI174,"缺失")</f>
        <v>4.9779999999999998</v>
      </c>
      <c r="AK270" s="12">
        <f>IF(ISNUMBER(原始输入与口径!AL174),原始输入与口径!AL174,"缺失")</f>
        <v>0.47599999999999998</v>
      </c>
      <c r="AL270" s="12">
        <f>IF(ISNUMBER(原始输入与口径!O174),原始输入与口径!O174,"缺失")</f>
        <v>51.968000000000004</v>
      </c>
      <c r="AM270" s="12">
        <f>SUMIFS(相位SOC复算!$N$9:$N$929,相位SOC复算!$S$9:$S$929,262)</f>
        <v>3.7627621432260983E-3</v>
      </c>
      <c r="AN270" s="12">
        <f>SUMIFS(相位SOC复算!$Q$9:$Q$929,相位SOC复算!$S$9:$S$929,262)</f>
        <v>0.77317798995943821</v>
      </c>
      <c r="AO270" s="12">
        <f>SUMIFS(相位SOC复算!$R$9:$R$929,相位SOC复算!$S$9:$S$929,262)</f>
        <v>0.59180897113481534</v>
      </c>
      <c r="AP270" s="12">
        <f>相位SOC复算!J644</f>
        <v>171.59999999999997</v>
      </c>
      <c r="AQ270" s="19">
        <f t="shared" si="106"/>
        <v>0</v>
      </c>
      <c r="AR270" s="12">
        <f>IF(ISBLANK(原始输入与口径!M174),"",原始输入与口径!M174)</f>
        <v>5.2473000000000001</v>
      </c>
      <c r="AS270" s="14">
        <f>IF(ISBLANK(原始输入与口径!L174),"",原始输入与口径!L174)</f>
        <v>46234</v>
      </c>
      <c r="AT270" s="13">
        <f>IF(ISBLANK(原始输入与口径!A174),"",原始输入与口径!A174)</f>
        <v>46236.59375</v>
      </c>
      <c r="AU270" s="12" t="str">
        <f>IF(ISBLANK(原始输入与口径!I174),"",原始输入与口径!I174)</f>
        <v>2026-08-02_66</v>
      </c>
      <c r="AV270" s="12">
        <f>IF(ISBLANK(原始输入与口径!J174),"",原始输入与口径!J174)</f>
        <v>15</v>
      </c>
      <c r="AW270" s="12" t="str">
        <f>IF(ISBLANK(原始输入与口径!BB174),"",原始输入与口径!BB174)</f>
        <v>OK</v>
      </c>
      <c r="AX270" s="12">
        <f>原始输入与口径!CI174</f>
        <v>128</v>
      </c>
      <c r="AY270" s="12">
        <f>原始输入与口径!BS174</f>
        <v>175</v>
      </c>
      <c r="AZ270" s="12">
        <f>原始输入与口径!BI174</f>
        <v>175</v>
      </c>
      <c r="BA270" s="12">
        <f>原始输入与口径!CM174</f>
        <v>40</v>
      </c>
      <c r="BB270" s="12">
        <f>原始输入与口径!BV174</f>
        <v>24</v>
      </c>
      <c r="BC270" s="12">
        <f>原始输入与口径!BL174</f>
        <v>24</v>
      </c>
      <c r="BD270" s="14">
        <f>46236</f>
        <v>46236</v>
      </c>
      <c r="BE270" s="1" t="str">
        <f t="shared" si="107"/>
        <v>-3.195145 MW × 15.510000 × 0.250000 h = -12.389173 EUR</v>
      </c>
      <c r="BF270" s="1" t="str">
        <f t="shared" si="108"/>
        <v>40.000000 MW × 60.030873 × 0.250000 h = 600.308730 EUR</v>
      </c>
      <c r="BG270" s="1" t="str">
        <f t="shared" si="109"/>
        <v>24.000000 MW × 6.033579 × 0.250000 h = 36.201475 EUR</v>
      </c>
      <c r="BH270" s="1" t="str">
        <f t="shared" si="110"/>
        <v>24.000000 MW × 3.007261 × 0.250000 h = 18.043565 EUR</v>
      </c>
      <c r="BI270" s="1" t="str">
        <f t="shared" si="111"/>
        <v>0.682697 MWh × 172.349208 = 117.662312 EUR</v>
      </c>
      <c r="BJ270" s="1" t="str">
        <f t="shared" si="112"/>
        <v>−(0.065280 MWh × 61.614354) = -4.022185 EUR</v>
      </c>
      <c r="BK270" s="1" t="str">
        <f t="shared" si="113"/>
        <v>-12.389173 + 600.308730 + 36.201475 + 18.043565 + 117.662312 + -4.022185 = 755.804724 EUR</v>
      </c>
    </row>
    <row r="271" spans="1:63" ht="21" customHeight="1" x14ac:dyDescent="0.45">
      <c r="A271" s="13">
        <f>原始输入与口径!C175</f>
        <v>46236.729166666664</v>
      </c>
      <c r="B271" s="15">
        <f>IF(ISNUMBER(原始输入与口径!H175),原始输入与口径!H175,"缺失")</f>
        <v>101.95</v>
      </c>
      <c r="C271" s="15">
        <f>IF(ISNUMBER(原始输入与口径!R175),原始输入与口径!R175,"缺失")</f>
        <v>60.030873020410496</v>
      </c>
      <c r="D271" s="15">
        <f>IF(ISNUMBER(原始输入与口径!W175),原始输入与口径!W175,"缺失")</f>
        <v>6.0335791740514164</v>
      </c>
      <c r="E271" s="15">
        <f>IF(ISNUMBER(原始输入与口径!AB175),原始输入与口径!AB175,"缺失")</f>
        <v>3.0072608770224685</v>
      </c>
      <c r="F271" s="15">
        <f>IF(ISNUMBER(原始输入与口径!AG175),原始输入与口径!AG175,"缺失")</f>
        <v>180.66319821622548</v>
      </c>
      <c r="G271" s="15">
        <f>IF(ISNUMBER(原始输入与口径!AJ175),原始输入与口径!AJ175,"缺失")</f>
        <v>0</v>
      </c>
      <c r="H271" s="15" t="str">
        <f t="shared" si="92"/>
        <v>未模拟</v>
      </c>
      <c r="I271" s="16">
        <f>原始输入与口径!CD175</f>
        <v>171.59999999999994</v>
      </c>
      <c r="J271" s="16">
        <f>原始输入与口径!CE175</f>
        <v>170.67224233223922</v>
      </c>
      <c r="K271" s="16">
        <f>原始输入与口径!BZ175</f>
        <v>-5.3278247767648477</v>
      </c>
      <c r="L271" s="16">
        <f>原始输入与口径!CK175</f>
        <v>40</v>
      </c>
      <c r="M271" s="16">
        <f>原始输入与口径!BT175</f>
        <v>24</v>
      </c>
      <c r="N271" s="16">
        <f>原始输入与口径!BJ175</f>
        <v>24</v>
      </c>
      <c r="O271" s="16">
        <f t="shared" si="93"/>
        <v>2.0508342857142861</v>
      </c>
      <c r="P271" s="16">
        <f t="shared" si="94"/>
        <v>0</v>
      </c>
      <c r="Q271" s="17">
        <f t="shared" si="95"/>
        <v>-135.79293399779405</v>
      </c>
      <c r="R271" s="17">
        <f t="shared" si="96"/>
        <v>600.3087302041049</v>
      </c>
      <c r="S271" s="17">
        <f t="shared" si="97"/>
        <v>36.201475044308495</v>
      </c>
      <c r="T271" s="17">
        <f t="shared" si="98"/>
        <v>18.043565262134813</v>
      </c>
      <c r="U271" s="17">
        <f t="shared" si="99"/>
        <v>370.51028106863129</v>
      </c>
      <c r="V271" s="17">
        <f t="shared" si="100"/>
        <v>0</v>
      </c>
      <c r="W271" s="17">
        <f t="shared" si="101"/>
        <v>889.2711175813854</v>
      </c>
      <c r="X271" s="12">
        <f>原始输入与口径!CP175</f>
        <v>889.2711175813854</v>
      </c>
      <c r="Y271" s="19">
        <f t="shared" si="102"/>
        <v>0</v>
      </c>
      <c r="Z271" s="12" t="str">
        <f t="shared" si="103"/>
        <v>当日执行</v>
      </c>
      <c r="AA271" s="12">
        <f>IF(原始输入与口径!AW175,1,0)</f>
        <v>1</v>
      </c>
      <c r="AB271" s="12">
        <f>IF(原始输入与口径!AY175,1,0)</f>
        <v>1</v>
      </c>
      <c r="AC271" s="12">
        <f>原始输入与口径!$F$5</f>
        <v>0.25</v>
      </c>
      <c r="AD271" s="18">
        <f>原始输入与口径!CG175</f>
        <v>0.3125</v>
      </c>
      <c r="AE271" s="18">
        <f>原始输入与口径!BQ175</f>
        <v>0.13714285714285715</v>
      </c>
      <c r="AF271" s="18">
        <f t="shared" si="104"/>
        <v>0.34180571428571432</v>
      </c>
      <c r="AG271" s="18">
        <f t="shared" si="105"/>
        <v>0</v>
      </c>
      <c r="AH271" s="12">
        <f>IF(ISNUMBER(原始输入与口径!T175),原始输入与口径!T175,"缺失")</f>
        <v>175</v>
      </c>
      <c r="AI271" s="12">
        <f>IF(ISNUMBER(原始输入与口径!Y175),原始输入与口径!Y175,"缺失")</f>
        <v>175</v>
      </c>
      <c r="AJ271" s="12">
        <f>IF(ISNUMBER(原始输入与口径!AI175),原始输入与口径!AI175,"缺失")</f>
        <v>14.954000000000001</v>
      </c>
      <c r="AK271" s="12">
        <f>IF(ISNUMBER(原始输入与口径!AL175),原始输入与口径!AL175,"缺失")</f>
        <v>0</v>
      </c>
      <c r="AL271" s="12">
        <f>IF(ISNUMBER(原始输入与口径!O175),原始输入与口径!O175,"缺失")</f>
        <v>51.968000000000004</v>
      </c>
      <c r="AM271" s="12">
        <f>SUMIFS(相位SOC复算!$N$9:$N$929,相位SOC复算!$S$9:$S$929,263)</f>
        <v>7.0579439625093636E-3</v>
      </c>
      <c r="AN271" s="12">
        <f>SUMIFS(相位SOC复算!$Q$9:$Q$929,相位SOC复算!$S$9:$S$929,263)</f>
        <v>0.87668595583840314</v>
      </c>
      <c r="AO271" s="12">
        <f>SUMIFS(相位SOC复算!$R$9:$R$929,相位SOC复算!$S$9:$S$929,263)</f>
        <v>1.5955640473614769</v>
      </c>
      <c r="AP271" s="12">
        <f>相位SOC复算!J646</f>
        <v>170.67224233223925</v>
      </c>
      <c r="AQ271" s="19">
        <f t="shared" si="106"/>
        <v>0</v>
      </c>
      <c r="AR271" s="12">
        <f>IF(ISBLANK(原始输入与口径!M175),"",原始输入与口径!M175)</f>
        <v>5.2473000000000001</v>
      </c>
      <c r="AS271" s="14">
        <f>IF(ISBLANK(原始输入与口径!L175),"",原始输入与口径!L175)</f>
        <v>46234</v>
      </c>
      <c r="AT271" s="13">
        <f>IF(ISBLANK(原始输入与口径!A175),"",原始输入与口径!A175)</f>
        <v>46236.604166666664</v>
      </c>
      <c r="AU271" s="12" t="str">
        <f>IF(ISBLANK(原始输入与口径!I175),"",原始输入与口径!I175)</f>
        <v>2026-08-02_67</v>
      </c>
      <c r="AV271" s="12">
        <f>IF(ISBLANK(原始输入与口径!J175),"",原始输入与口径!J175)</f>
        <v>15</v>
      </c>
      <c r="AW271" s="12" t="str">
        <f>IF(ISBLANK(原始输入与口径!BB175),"",原始输入与口径!BB175)</f>
        <v>OK</v>
      </c>
      <c r="AX271" s="12">
        <f>原始输入与口径!CI175</f>
        <v>128</v>
      </c>
      <c r="AY271" s="12">
        <f>原始输入与口径!BS175</f>
        <v>175</v>
      </c>
      <c r="AZ271" s="12">
        <f>原始输入与口径!BI175</f>
        <v>175</v>
      </c>
      <c r="BA271" s="12">
        <f>原始输入与口径!CM175</f>
        <v>40</v>
      </c>
      <c r="BB271" s="12">
        <f>原始输入与口径!BV175</f>
        <v>24</v>
      </c>
      <c r="BC271" s="12">
        <f>原始输入与口径!BL175</f>
        <v>24</v>
      </c>
      <c r="BD271" s="14">
        <f>46236</f>
        <v>46236</v>
      </c>
      <c r="BE271" s="1" t="str">
        <f t="shared" si="107"/>
        <v>-5.327825 MW × 101.950000 × 0.250000 h = -135.792934 EUR</v>
      </c>
      <c r="BF271" s="1" t="str">
        <f t="shared" si="108"/>
        <v>40.000000 MW × 60.030873 × 0.250000 h = 600.308730 EUR</v>
      </c>
      <c r="BG271" s="1" t="str">
        <f t="shared" si="109"/>
        <v>24.000000 MW × 6.033579 × 0.250000 h = 36.201475 EUR</v>
      </c>
      <c r="BH271" s="1" t="str">
        <f t="shared" si="110"/>
        <v>24.000000 MW × 3.007261 × 0.250000 h = 18.043565 EUR</v>
      </c>
      <c r="BI271" s="1" t="str">
        <f t="shared" si="111"/>
        <v>2.050834 MWh × 180.663198 = 370.510281 EUR</v>
      </c>
      <c r="BJ271" s="1" t="str">
        <f t="shared" si="112"/>
        <v>零下调激活电量</v>
      </c>
      <c r="BK271" s="1" t="str">
        <f t="shared" si="113"/>
        <v>-135.792934 + 600.308730 + 36.201475 + 18.043565 + 370.510281 + 0.000000 = 889.271118 EUR</v>
      </c>
    </row>
    <row r="272" spans="1:63" ht="21" customHeight="1" x14ac:dyDescent="0.45">
      <c r="A272" s="13">
        <f>原始输入与口径!C176</f>
        <v>46236.739583333336</v>
      </c>
      <c r="B272" s="15">
        <f>IF(ISNUMBER(原始输入与口径!H176),原始输入与口径!H176,"缺失")</f>
        <v>157.36000000000001</v>
      </c>
      <c r="C272" s="15">
        <f>IF(ISNUMBER(原始输入与口径!R176),原始输入与口径!R176,"缺失")</f>
        <v>60.030873020410496</v>
      </c>
      <c r="D272" s="15">
        <f>IF(ISNUMBER(原始输入与口径!W176),原始输入与口径!W176,"缺失")</f>
        <v>6.0335791740514164</v>
      </c>
      <c r="E272" s="15">
        <f>IF(ISNUMBER(原始输入与口径!AB176),原始输入与口径!AB176,"缺失")</f>
        <v>3.0072608770224685</v>
      </c>
      <c r="F272" s="15">
        <f>IF(ISNUMBER(原始输入与口径!AG176),原始输入与口径!AG176,"缺失")</f>
        <v>183.34629237893773</v>
      </c>
      <c r="G272" s="15">
        <f>IF(ISNUMBER(原始输入与口径!AJ176),原始输入与口径!AJ176,"缺失")</f>
        <v>60.98374402073447</v>
      </c>
      <c r="H272" s="15" t="str">
        <f t="shared" si="92"/>
        <v>未模拟</v>
      </c>
      <c r="I272" s="16">
        <f>原始输入与口径!CD176</f>
        <v>170.67224233223922</v>
      </c>
      <c r="J272" s="16">
        <f>原始输入与口径!CE176</f>
        <v>157.84461500304667</v>
      </c>
      <c r="K272" s="16">
        <f>原始输入与口径!BZ176</f>
        <v>35.999999999999993</v>
      </c>
      <c r="L272" s="16">
        <f>原始输入与口径!CK176</f>
        <v>40</v>
      </c>
      <c r="M272" s="16">
        <f>原始输入与口径!BT176</f>
        <v>24</v>
      </c>
      <c r="N272" s="16">
        <f>原始输入与口径!BJ176</f>
        <v>24</v>
      </c>
      <c r="O272" s="16">
        <f t="shared" si="93"/>
        <v>2.8075885714285715</v>
      </c>
      <c r="P272" s="16">
        <f t="shared" si="94"/>
        <v>6.1714285714285716E-3</v>
      </c>
      <c r="Q272" s="17">
        <f t="shared" si="95"/>
        <v>1416.2399999999998</v>
      </c>
      <c r="R272" s="17">
        <f t="shared" si="96"/>
        <v>600.3087302041049</v>
      </c>
      <c r="S272" s="17">
        <f t="shared" si="97"/>
        <v>36.201475044308495</v>
      </c>
      <c r="T272" s="17">
        <f t="shared" si="98"/>
        <v>18.043565262134813</v>
      </c>
      <c r="U272" s="17">
        <f t="shared" si="99"/>
        <v>514.76095509690697</v>
      </c>
      <c r="V272" s="17">
        <f t="shared" si="100"/>
        <v>-0.37635682024224704</v>
      </c>
      <c r="W272" s="17">
        <f t="shared" si="101"/>
        <v>2585.178368787213</v>
      </c>
      <c r="X272" s="12">
        <f>原始输入与口径!CP176</f>
        <v>2585.1783687872125</v>
      </c>
      <c r="Y272" s="19">
        <f t="shared" si="102"/>
        <v>0</v>
      </c>
      <c r="Z272" s="12" t="str">
        <f t="shared" si="103"/>
        <v>当日执行</v>
      </c>
      <c r="AA272" s="12">
        <f>IF(原始输入与口径!AW176,1,0)</f>
        <v>1</v>
      </c>
      <c r="AB272" s="12">
        <f>IF(原始输入与口径!AY176,1,0)</f>
        <v>1</v>
      </c>
      <c r="AC272" s="12">
        <f>原始输入与口径!$F$5</f>
        <v>0.25</v>
      </c>
      <c r="AD272" s="18">
        <f>原始输入与口径!CG176</f>
        <v>0.3125</v>
      </c>
      <c r="AE272" s="18">
        <f>原始输入与口径!BQ176</f>
        <v>0.13714285714285715</v>
      </c>
      <c r="AF272" s="18">
        <f t="shared" si="104"/>
        <v>0.46793142857142861</v>
      </c>
      <c r="AG272" s="18">
        <f t="shared" si="105"/>
        <v>1.0285714285714286E-3</v>
      </c>
      <c r="AH272" s="12">
        <f>IF(ISNUMBER(原始输入与口径!T176),原始输入与口径!T176,"缺失")</f>
        <v>175</v>
      </c>
      <c r="AI272" s="12">
        <f>IF(ISNUMBER(原始输入与口径!Y176),原始输入与口径!Y176,"缺失")</f>
        <v>175</v>
      </c>
      <c r="AJ272" s="12">
        <f>IF(ISNUMBER(原始输入与口径!AI176),原始输入与口径!AI176,"缺失")</f>
        <v>20.472000000000001</v>
      </c>
      <c r="AK272" s="12">
        <f>IF(ISNUMBER(原始输入与口径!AL176),原始输入与口径!AL176,"缺失")</f>
        <v>4.4999999999999998E-2</v>
      </c>
      <c r="AL272" s="12">
        <f>IF(ISNUMBER(原始输入与口径!O176),原始输入与口径!O176,"缺失")</f>
        <v>51.968000000000004</v>
      </c>
      <c r="AM272" s="12">
        <f>SUMIFS(相位SOC复算!$N$9:$N$929,相位SOC复算!$S$9:$S$929,264)</f>
        <v>3.5632298136645958E-2</v>
      </c>
      <c r="AN272" s="12">
        <f>SUMIFS(相位SOC复算!$Q$9:$Q$929,相位SOC复算!$S$9:$S$929,264)</f>
        <v>0</v>
      </c>
      <c r="AO272" s="12">
        <f>SUMIFS(相位SOC复算!$R$9:$R$929,相位SOC复算!$S$9:$S$929,264)</f>
        <v>11.801417142857142</v>
      </c>
      <c r="AP272" s="12">
        <f>相位SOC复算!J649</f>
        <v>157.8446150030467</v>
      </c>
      <c r="AQ272" s="19">
        <f t="shared" si="106"/>
        <v>0</v>
      </c>
      <c r="AR272" s="12">
        <f>IF(ISBLANK(原始输入与口径!M176),"",原始输入与口径!M176)</f>
        <v>5.2473000000000001</v>
      </c>
      <c r="AS272" s="14">
        <f>IF(ISBLANK(原始输入与口径!L176),"",原始输入与口径!L176)</f>
        <v>46234</v>
      </c>
      <c r="AT272" s="13">
        <f>IF(ISBLANK(原始输入与口径!A176),"",原始输入与口径!A176)</f>
        <v>46236.614583333336</v>
      </c>
      <c r="AU272" s="12" t="str">
        <f>IF(ISBLANK(原始输入与口径!I176),"",原始输入与口径!I176)</f>
        <v>2026-08-02_68</v>
      </c>
      <c r="AV272" s="12">
        <f>IF(ISBLANK(原始输入与口径!J176),"",原始输入与口径!J176)</f>
        <v>15</v>
      </c>
      <c r="AW272" s="12" t="str">
        <f>IF(ISBLANK(原始输入与口径!BB176),"",原始输入与口径!BB176)</f>
        <v>OK</v>
      </c>
      <c r="AX272" s="12">
        <f>原始输入与口径!CI176</f>
        <v>128</v>
      </c>
      <c r="AY272" s="12">
        <f>原始输入与口径!BS176</f>
        <v>175</v>
      </c>
      <c r="AZ272" s="12">
        <f>原始输入与口径!BI176</f>
        <v>175</v>
      </c>
      <c r="BA272" s="12">
        <f>原始输入与口径!CM176</f>
        <v>40</v>
      </c>
      <c r="BB272" s="12">
        <f>原始输入与口径!BV176</f>
        <v>24</v>
      </c>
      <c r="BC272" s="12">
        <f>原始输入与口径!BL176</f>
        <v>24</v>
      </c>
      <c r="BD272" s="14">
        <f>46236</f>
        <v>46236</v>
      </c>
      <c r="BE272" s="1" t="str">
        <f t="shared" si="107"/>
        <v>36.000000 MW × 157.360000 × 0.250000 h = 1416.240000 EUR</v>
      </c>
      <c r="BF272" s="1" t="str">
        <f t="shared" si="108"/>
        <v>40.000000 MW × 60.030873 × 0.250000 h = 600.308730 EUR</v>
      </c>
      <c r="BG272" s="1" t="str">
        <f t="shared" si="109"/>
        <v>24.000000 MW × 6.033579 × 0.250000 h = 36.201475 EUR</v>
      </c>
      <c r="BH272" s="1" t="str">
        <f t="shared" si="110"/>
        <v>24.000000 MW × 3.007261 × 0.250000 h = 18.043565 EUR</v>
      </c>
      <c r="BI272" s="1" t="str">
        <f t="shared" si="111"/>
        <v>2.807589 MWh × 183.346292 = 514.760955 EUR</v>
      </c>
      <c r="BJ272" s="1" t="str">
        <f t="shared" si="112"/>
        <v>−(0.006171 MWh × 60.983744) = -0.376357 EUR</v>
      </c>
      <c r="BK272" s="1" t="str">
        <f t="shared" si="113"/>
        <v>1416.240000 + 600.308730 + 36.201475 + 18.043565 + 514.760955 + -0.376357 = 2585.178369 EUR</v>
      </c>
    </row>
    <row r="273" spans="1:63" ht="21" customHeight="1" x14ac:dyDescent="0.45">
      <c r="A273" s="13">
        <f>原始输入与口径!C177</f>
        <v>46236.75</v>
      </c>
      <c r="B273" s="15">
        <f>IF(ISNUMBER(原始输入与口径!H177),原始输入与口径!H177,"缺失")</f>
        <v>60.92</v>
      </c>
      <c r="C273" s="15">
        <f>IF(ISNUMBER(原始输入与口径!R177),原始输入与口径!R177,"缺失")</f>
        <v>60.030873020410496</v>
      </c>
      <c r="D273" s="15">
        <f>IF(ISNUMBER(原始输入与口径!W177),原始输入与口径!W177,"缺失")</f>
        <v>7.1274750824233415</v>
      </c>
      <c r="E273" s="15">
        <f>IF(ISNUMBER(原始输入与口径!AB177),原始输入与口径!AB177,"缺失")</f>
        <v>2.595620604882511</v>
      </c>
      <c r="F273" s="15">
        <f>IF(ISNUMBER(原始输入与口径!AG177),原始输入与口径!AG177,"缺失")</f>
        <v>166.16316963009547</v>
      </c>
      <c r="G273" s="15">
        <f>IF(ISNUMBER(原始输入与口径!AJ177),原始输入与口径!AJ177,"缺失")</f>
        <v>72.075924761305814</v>
      </c>
      <c r="H273" s="15" t="str">
        <f t="shared" si="92"/>
        <v>未模拟</v>
      </c>
      <c r="I273" s="16">
        <f>原始输入与口径!CD177</f>
        <v>157.84461500304667</v>
      </c>
      <c r="J273" s="16">
        <f>原始输入与口径!CE177</f>
        <v>171.5950296316181</v>
      </c>
      <c r="K273" s="16">
        <f>原始输入与口径!BZ177</f>
        <v>-60</v>
      </c>
      <c r="L273" s="16">
        <f>原始输入与口径!CK177</f>
        <v>40</v>
      </c>
      <c r="M273" s="16">
        <f>原始输入与口径!BT177</f>
        <v>24</v>
      </c>
      <c r="N273" s="16">
        <f>原始输入与口径!BJ177</f>
        <v>0</v>
      </c>
      <c r="O273" s="16">
        <f t="shared" si="93"/>
        <v>5.3897142857142859E-2</v>
      </c>
      <c r="P273" s="16">
        <f t="shared" si="94"/>
        <v>0</v>
      </c>
      <c r="Q273" s="17">
        <f t="shared" si="95"/>
        <v>-913.80000000000007</v>
      </c>
      <c r="R273" s="17">
        <f t="shared" si="96"/>
        <v>600.3087302041049</v>
      </c>
      <c r="S273" s="17">
        <f t="shared" si="97"/>
        <v>42.764850494540049</v>
      </c>
      <c r="T273" s="17">
        <f t="shared" si="98"/>
        <v>0</v>
      </c>
      <c r="U273" s="17">
        <f t="shared" si="99"/>
        <v>8.9557200911489172</v>
      </c>
      <c r="V273" s="17">
        <f t="shared" si="100"/>
        <v>0</v>
      </c>
      <c r="W273" s="17">
        <f t="shared" si="101"/>
        <v>-261.7706992102062</v>
      </c>
      <c r="X273" s="12">
        <f>原始输入与口径!CP177</f>
        <v>-261.7706992102062</v>
      </c>
      <c r="Y273" s="19">
        <f t="shared" si="102"/>
        <v>0</v>
      </c>
      <c r="Z273" s="12" t="str">
        <f t="shared" si="103"/>
        <v>当日执行</v>
      </c>
      <c r="AA273" s="12">
        <f>IF(原始输入与口径!AW177,1,0)</f>
        <v>1</v>
      </c>
      <c r="AB273" s="12">
        <f>IF(原始输入与口径!AY177,1,0)</f>
        <v>1</v>
      </c>
      <c r="AC273" s="12">
        <f>原始输入与口径!$F$5</f>
        <v>0.25</v>
      </c>
      <c r="AD273" s="18">
        <f>原始输入与口径!CG177</f>
        <v>0.3125</v>
      </c>
      <c r="AE273" s="18">
        <f>原始输入与口径!BQ177</f>
        <v>0.13714285714285715</v>
      </c>
      <c r="AF273" s="18">
        <f t="shared" si="104"/>
        <v>8.9828571428571431E-3</v>
      </c>
      <c r="AG273" s="18">
        <f t="shared" si="105"/>
        <v>1.5611428571428573E-2</v>
      </c>
      <c r="AH273" s="12">
        <f>IF(ISNUMBER(原始输入与口径!T177),原始输入与口径!T177,"缺失")</f>
        <v>175</v>
      </c>
      <c r="AI273" s="12">
        <f>IF(ISNUMBER(原始输入与口径!Y177),原始输入与口径!Y177,"缺失")</f>
        <v>175</v>
      </c>
      <c r="AJ273" s="12">
        <f>IF(ISNUMBER(原始输入与口径!AI177),原始输入与口径!AI177,"缺失")</f>
        <v>0.39300000000000002</v>
      </c>
      <c r="AK273" s="12">
        <f>IF(ISNUMBER(原始输入与口径!AL177),原始输入与口径!AL177,"缺失")</f>
        <v>0.68300000000000005</v>
      </c>
      <c r="AL273" s="12">
        <f>IF(ISNUMBER(原始输入与口径!O177),原始输入与口径!O177,"缺失")</f>
        <v>51.968000000000004</v>
      </c>
      <c r="AM273" s="12">
        <f>SUMIFS(相位SOC复算!$N$9:$N$929,相位SOC复算!$S$9:$S$929,265)</f>
        <v>3.8195596190476189E-2</v>
      </c>
      <c r="AN273" s="12">
        <f>SUMIFS(相位SOC复算!$Q$9:$Q$929,相位SOC复算!$S$9:$S$929,265)</f>
        <v>14.946102857142856</v>
      </c>
      <c r="AO273" s="12">
        <f>SUMIFS(相位SOC复算!$R$9:$R$929,相位SOC复算!$S$9:$S$929,265)</f>
        <v>0</v>
      </c>
      <c r="AP273" s="12">
        <f>相位SOC复算!J652</f>
        <v>171.59502963161813</v>
      </c>
      <c r="AQ273" s="19">
        <f t="shared" si="106"/>
        <v>0</v>
      </c>
      <c r="AR273" s="12">
        <f>IF(ISBLANK(原始输入与口径!M177),"",原始输入与口径!M177)</f>
        <v>5.2473000000000001</v>
      </c>
      <c r="AS273" s="14">
        <f>IF(ISBLANK(原始输入与口径!L177),"",原始输入与口径!L177)</f>
        <v>46234</v>
      </c>
      <c r="AT273" s="13">
        <f>IF(ISBLANK(原始输入与口径!A177),"",原始输入与口径!A177)</f>
        <v>46236.625</v>
      </c>
      <c r="AU273" s="12" t="str">
        <f>IF(ISBLANK(原始输入与口径!I177),"",原始输入与口径!I177)</f>
        <v>2026-08-02_69</v>
      </c>
      <c r="AV273" s="12">
        <f>IF(ISBLANK(原始输入与口径!J177),"",原始输入与口径!J177)</f>
        <v>15</v>
      </c>
      <c r="AW273" s="12" t="str">
        <f>IF(ISBLANK(原始输入与口径!BB177),"",原始输入与口径!BB177)</f>
        <v>OK</v>
      </c>
      <c r="AX273" s="12">
        <f>原始输入与口径!CI177</f>
        <v>128</v>
      </c>
      <c r="AY273" s="12">
        <f>原始输入与口径!BS177</f>
        <v>175</v>
      </c>
      <c r="AZ273" s="12">
        <f>原始输入与口径!BI177</f>
        <v>175</v>
      </c>
      <c r="BA273" s="12">
        <f>原始输入与口径!CM177</f>
        <v>40</v>
      </c>
      <c r="BB273" s="12">
        <f>原始输入与口径!BV177</f>
        <v>24</v>
      </c>
      <c r="BC273" s="12">
        <f>原始输入与口径!BL177</f>
        <v>24</v>
      </c>
      <c r="BD273" s="14">
        <f>46236</f>
        <v>46236</v>
      </c>
      <c r="BE273" s="1" t="str">
        <f t="shared" si="107"/>
        <v>-60.000000 MW × 60.920000 × 0.250000 h = -913.800000 EUR</v>
      </c>
      <c r="BF273" s="1" t="str">
        <f t="shared" si="108"/>
        <v>40.000000 MW × 60.030873 × 0.250000 h = 600.308730 EUR</v>
      </c>
      <c r="BG273" s="1" t="str">
        <f t="shared" si="109"/>
        <v>24.000000 MW × 7.127475 × 0.250000 h = 42.764850 EUR</v>
      </c>
      <c r="BH273" s="1" t="str">
        <f t="shared" si="110"/>
        <v>零头寸，无结算现金</v>
      </c>
      <c r="BI273" s="1" t="str">
        <f t="shared" si="111"/>
        <v>0.053897 MWh × 166.163170 = 8.955720 EUR</v>
      </c>
      <c r="BJ273" s="1" t="str">
        <f t="shared" si="112"/>
        <v>零下调激活电量</v>
      </c>
      <c r="BK273" s="1" t="str">
        <f t="shared" si="113"/>
        <v>-913.800000 + 600.308730 + 42.764850 + 0.000000 + 8.955720 + 0.000000 = -261.770699 EUR</v>
      </c>
    </row>
    <row r="274" spans="1:63" ht="21" customHeight="1" x14ac:dyDescent="0.45">
      <c r="A274" s="13">
        <f>原始输入与口径!C178</f>
        <v>46236.760416666664</v>
      </c>
      <c r="B274" s="15">
        <f>IF(ISNUMBER(原始输入与口径!H178),原始输入与口径!H178,"缺失")</f>
        <v>132.66</v>
      </c>
      <c r="C274" s="15">
        <f>IF(ISNUMBER(原始输入与口径!R178),原始输入与口径!R178,"缺失")</f>
        <v>60.030873020410496</v>
      </c>
      <c r="D274" s="15">
        <f>IF(ISNUMBER(原始输入与口径!W178),原始输入与口径!W178,"缺失")</f>
        <v>7.1274750824233415</v>
      </c>
      <c r="E274" s="15">
        <f>IF(ISNUMBER(原始输入与口径!AB178),原始输入与口径!AB178,"缺失")</f>
        <v>2.595620604882511</v>
      </c>
      <c r="F274" s="15">
        <f>IF(ISNUMBER(原始输入与口径!AG178),原始输入与口径!AG178,"缺失")</f>
        <v>226.09456291807214</v>
      </c>
      <c r="G274" s="15">
        <f>IF(ISNUMBER(原始输入与口径!AJ178),原始输入与口径!AJ178,"缺失")</f>
        <v>76.420254225982887</v>
      </c>
      <c r="H274" s="15" t="str">
        <f t="shared" si="92"/>
        <v>未模拟</v>
      </c>
      <c r="I274" s="16">
        <f>原始输入与口径!CD178</f>
        <v>171.5950296316181</v>
      </c>
      <c r="J274" s="16">
        <f>原始输入与口径!CE178</f>
        <v>171.59999999999994</v>
      </c>
      <c r="K274" s="16">
        <f>原始输入与口径!BZ178</f>
        <v>-4.8734562237868522</v>
      </c>
      <c r="L274" s="16">
        <f>原始输入与口径!CK178</f>
        <v>40</v>
      </c>
      <c r="M274" s="16">
        <f>原始输入与口径!BT178</f>
        <v>24</v>
      </c>
      <c r="N274" s="16">
        <f>原始输入与口径!BJ178</f>
        <v>0</v>
      </c>
      <c r="O274" s="16">
        <f t="shared" si="93"/>
        <v>1.0597028571428573</v>
      </c>
      <c r="P274" s="16">
        <f t="shared" si="94"/>
        <v>0</v>
      </c>
      <c r="Q274" s="17">
        <f t="shared" si="95"/>
        <v>-161.62817566189094</v>
      </c>
      <c r="R274" s="17">
        <f t="shared" si="96"/>
        <v>600.3087302041049</v>
      </c>
      <c r="S274" s="17">
        <f t="shared" si="97"/>
        <v>42.764850494540049</v>
      </c>
      <c r="T274" s="17">
        <f t="shared" si="98"/>
        <v>0</v>
      </c>
      <c r="U274" s="17">
        <f t="shared" si="99"/>
        <v>239.59305430874656</v>
      </c>
      <c r="V274" s="17">
        <f t="shared" si="100"/>
        <v>0</v>
      </c>
      <c r="W274" s="17">
        <f t="shared" si="101"/>
        <v>721.03845934550054</v>
      </c>
      <c r="X274" s="12">
        <f>原始输入与口径!CP178</f>
        <v>721.03845934550054</v>
      </c>
      <c r="Y274" s="19">
        <f t="shared" si="102"/>
        <v>0</v>
      </c>
      <c r="Z274" s="12" t="str">
        <f t="shared" si="103"/>
        <v>当日执行</v>
      </c>
      <c r="AA274" s="12">
        <f>IF(原始输入与口径!AW178,1,0)</f>
        <v>1</v>
      </c>
      <c r="AB274" s="12">
        <f>IF(原始输入与口径!AY178,1,0)</f>
        <v>1</v>
      </c>
      <c r="AC274" s="12">
        <f>原始输入与口径!$F$5</f>
        <v>0.25</v>
      </c>
      <c r="AD274" s="18">
        <f>原始输入与口径!CG178</f>
        <v>0.3125</v>
      </c>
      <c r="AE274" s="18">
        <f>原始输入与口径!BQ178</f>
        <v>0.13714285714285715</v>
      </c>
      <c r="AF274" s="18">
        <f t="shared" si="104"/>
        <v>0.17661714285714286</v>
      </c>
      <c r="AG274" s="18">
        <f t="shared" si="105"/>
        <v>4.4342857142857144E-3</v>
      </c>
      <c r="AH274" s="12">
        <f>IF(ISNUMBER(原始输入与口径!T178),原始输入与口径!T178,"缺失")</f>
        <v>175</v>
      </c>
      <c r="AI274" s="12">
        <f>IF(ISNUMBER(原始输入与口径!Y178),原始输入与口径!Y178,"缺失")</f>
        <v>175</v>
      </c>
      <c r="AJ274" s="12">
        <f>IF(ISNUMBER(原始输入与口径!AI178),原始输入与口径!AI178,"缺失")</f>
        <v>7.7270000000000003</v>
      </c>
      <c r="AK274" s="12">
        <f>IF(ISNUMBER(原始输入与口径!AL178),原始输入与口径!AL178,"缺失")</f>
        <v>0.19400000000000001</v>
      </c>
      <c r="AL274" s="12">
        <f>IF(ISNUMBER(原始输入与口径!O178),原始输入与口径!O178,"缺失")</f>
        <v>51.968000000000004</v>
      </c>
      <c r="AM274" s="12">
        <f>SUMIFS(相位SOC复算!$N$9:$N$929,相位SOC复算!$S$9:$S$929,266)</f>
        <v>5.1135582613366735E-3</v>
      </c>
      <c r="AN274" s="12">
        <f>SUMIFS(相位SOC复算!$Q$9:$Q$929,相位SOC复算!$S$9:$S$929,266)</f>
        <v>1.0031800774255646</v>
      </c>
      <c r="AO274" s="12">
        <f>SUMIFS(相位SOC复算!$R$9:$R$929,相位SOC复算!$S$9:$S$929,266)</f>
        <v>0.84451887862170849</v>
      </c>
      <c r="AP274" s="12">
        <f>相位SOC复算!J655</f>
        <v>171.59999999999997</v>
      </c>
      <c r="AQ274" s="19">
        <f t="shared" si="106"/>
        <v>0</v>
      </c>
      <c r="AR274" s="12">
        <f>IF(ISBLANK(原始输入与口径!M178),"",原始输入与口径!M178)</f>
        <v>5.2473000000000001</v>
      </c>
      <c r="AS274" s="14">
        <f>IF(ISBLANK(原始输入与口径!L178),"",原始输入与口径!L178)</f>
        <v>46234</v>
      </c>
      <c r="AT274" s="13">
        <f>IF(ISBLANK(原始输入与口径!A178),"",原始输入与口径!A178)</f>
        <v>46236.635416666664</v>
      </c>
      <c r="AU274" s="12" t="str">
        <f>IF(ISBLANK(原始输入与口径!I178),"",原始输入与口径!I178)</f>
        <v>2026-08-02_70</v>
      </c>
      <c r="AV274" s="12">
        <f>IF(ISBLANK(原始输入与口径!J178),"",原始输入与口径!J178)</f>
        <v>15</v>
      </c>
      <c r="AW274" s="12" t="str">
        <f>IF(ISBLANK(原始输入与口径!BB178),"",原始输入与口径!BB178)</f>
        <v>OK</v>
      </c>
      <c r="AX274" s="12">
        <f>原始输入与口径!CI178</f>
        <v>128</v>
      </c>
      <c r="AY274" s="12">
        <f>原始输入与口径!BS178</f>
        <v>175</v>
      </c>
      <c r="AZ274" s="12">
        <f>原始输入与口径!BI178</f>
        <v>175</v>
      </c>
      <c r="BA274" s="12">
        <f>原始输入与口径!CM178</f>
        <v>40</v>
      </c>
      <c r="BB274" s="12">
        <f>原始输入与口径!BV178</f>
        <v>24</v>
      </c>
      <c r="BC274" s="12">
        <f>原始输入与口径!BL178</f>
        <v>24</v>
      </c>
      <c r="BD274" s="14">
        <f>46236</f>
        <v>46236</v>
      </c>
      <c r="BE274" s="1" t="str">
        <f t="shared" si="107"/>
        <v>-4.873456 MW × 132.660000 × 0.250000 h = -161.628176 EUR</v>
      </c>
      <c r="BF274" s="1" t="str">
        <f t="shared" si="108"/>
        <v>40.000000 MW × 60.030873 × 0.250000 h = 600.308730 EUR</v>
      </c>
      <c r="BG274" s="1" t="str">
        <f t="shared" si="109"/>
        <v>24.000000 MW × 7.127475 × 0.250000 h = 42.764850 EUR</v>
      </c>
      <c r="BH274" s="1" t="str">
        <f t="shared" si="110"/>
        <v>零头寸，无结算现金</v>
      </c>
      <c r="BI274" s="1" t="str">
        <f t="shared" si="111"/>
        <v>1.059703 MWh × 226.094563 = 239.593054 EUR</v>
      </c>
      <c r="BJ274" s="1" t="str">
        <f t="shared" si="112"/>
        <v>零下调激活电量</v>
      </c>
      <c r="BK274" s="1" t="str">
        <f t="shared" si="113"/>
        <v>-161.628176 + 600.308730 + 42.764850 + 0.000000 + 239.593054 + 0.000000 = 721.038459 EUR</v>
      </c>
    </row>
    <row r="275" spans="1:63" ht="21" customHeight="1" x14ac:dyDescent="0.45">
      <c r="A275" s="13">
        <f>原始输入与口径!C179</f>
        <v>46236.770833333336</v>
      </c>
      <c r="B275" s="15">
        <f>IF(ISNUMBER(原始输入与口径!H179),原始输入与口径!H179,"缺失")</f>
        <v>145.74</v>
      </c>
      <c r="C275" s="15">
        <f>IF(ISNUMBER(原始输入与口径!R179),原始输入与口径!R179,"缺失")</f>
        <v>60.030873020410496</v>
      </c>
      <c r="D275" s="15">
        <f>IF(ISNUMBER(原始输入与口径!W179),原始输入与口径!W179,"缺失")</f>
        <v>7.1274750824233415</v>
      </c>
      <c r="E275" s="15">
        <f>IF(ISNUMBER(原始输入与口径!AB179),原始输入与口径!AB179,"缺失")</f>
        <v>2.595620604882511</v>
      </c>
      <c r="F275" s="15">
        <f>IF(ISNUMBER(原始输入与口径!AG179),原始输入与口径!AG179,"缺失")</f>
        <v>228.65225925714176</v>
      </c>
      <c r="G275" s="15">
        <f>IF(ISNUMBER(原始输入与口径!AJ179),原始输入与口径!AJ179,"缺失")</f>
        <v>0</v>
      </c>
      <c r="H275" s="15" t="str">
        <f t="shared" si="92"/>
        <v>未模拟</v>
      </c>
      <c r="I275" s="16">
        <f>原始输入与口径!CD179</f>
        <v>171.59999999999994</v>
      </c>
      <c r="J275" s="16">
        <f>原始输入与口径!CE179</f>
        <v>171.59999999999994</v>
      </c>
      <c r="K275" s="16">
        <f>原始输入与口径!BZ179</f>
        <v>-13.717014268942636</v>
      </c>
      <c r="L275" s="16">
        <f>原始输入与口径!CK179</f>
        <v>40</v>
      </c>
      <c r="M275" s="16">
        <f>原始输入与口径!BT179</f>
        <v>24</v>
      </c>
      <c r="N275" s="16">
        <f>原始输入与口径!BJ179</f>
        <v>0</v>
      </c>
      <c r="O275" s="16">
        <f t="shared" si="93"/>
        <v>3.181851428571429</v>
      </c>
      <c r="P275" s="16">
        <f t="shared" si="94"/>
        <v>0</v>
      </c>
      <c r="Q275" s="17">
        <f t="shared" si="95"/>
        <v>-499.77941488892498</v>
      </c>
      <c r="R275" s="17">
        <f t="shared" si="96"/>
        <v>600.3087302041049</v>
      </c>
      <c r="S275" s="17">
        <f t="shared" si="97"/>
        <v>42.764850494540049</v>
      </c>
      <c r="T275" s="17">
        <f t="shared" si="98"/>
        <v>0</v>
      </c>
      <c r="U275" s="17">
        <f t="shared" si="99"/>
        <v>727.53751776342131</v>
      </c>
      <c r="V275" s="17">
        <f t="shared" si="100"/>
        <v>0</v>
      </c>
      <c r="W275" s="17">
        <f t="shared" si="101"/>
        <v>870.83168357314128</v>
      </c>
      <c r="X275" s="12">
        <f>原始输入与口径!CP179</f>
        <v>870.83168357314128</v>
      </c>
      <c r="Y275" s="19">
        <f t="shared" si="102"/>
        <v>0</v>
      </c>
      <c r="Z275" s="12" t="str">
        <f t="shared" si="103"/>
        <v>当日执行</v>
      </c>
      <c r="AA275" s="12">
        <f>IF(原始输入与口径!AW179,1,0)</f>
        <v>1</v>
      </c>
      <c r="AB275" s="12">
        <f>IF(原始输入与口径!AY179,1,0)</f>
        <v>1</v>
      </c>
      <c r="AC275" s="12">
        <f>原始输入与口径!$F$5</f>
        <v>0.25</v>
      </c>
      <c r="AD275" s="18">
        <f>原始输入与口径!CG179</f>
        <v>0.3125</v>
      </c>
      <c r="AE275" s="18">
        <f>原始输入与口径!BQ179</f>
        <v>0.13714285714285715</v>
      </c>
      <c r="AF275" s="18">
        <f t="shared" si="104"/>
        <v>0.53030857142857146</v>
      </c>
      <c r="AG275" s="18">
        <f t="shared" si="105"/>
        <v>0</v>
      </c>
      <c r="AH275" s="12">
        <f>IF(ISNUMBER(原始输入与口径!T179),原始输入与口径!T179,"缺失")</f>
        <v>175</v>
      </c>
      <c r="AI275" s="12">
        <f>IF(ISNUMBER(原始输入与口径!Y179),原始输入与口径!Y179,"缺失")</f>
        <v>175</v>
      </c>
      <c r="AJ275" s="12">
        <f>IF(ISNUMBER(原始输入与口径!AI179),原始输入与口径!AI179,"缺失")</f>
        <v>23.201000000000001</v>
      </c>
      <c r="AK275" s="12">
        <f>IF(ISNUMBER(原始输入与口径!AL179),原始输入与口径!AL179,"缺失")</f>
        <v>0</v>
      </c>
      <c r="AL275" s="12">
        <f>IF(ISNUMBER(原始输入与口径!O179),原始输入与口径!O179,"缺失")</f>
        <v>51.968000000000004</v>
      </c>
      <c r="AM275" s="12">
        <f>SUMIFS(相位SOC复算!$N$9:$N$929,相位SOC复算!$S$9:$S$929,267)</f>
        <v>8.23242070207943E-3</v>
      </c>
      <c r="AN275" s="12">
        <f>SUMIFS(相位SOC复算!$Q$9:$Q$929,相位SOC复算!$S$9:$S$929,267)</f>
        <v>1.610691006928584</v>
      </c>
      <c r="AO275" s="12">
        <f>SUMIFS(相位SOC复算!$R$9:$R$929,相位SOC复算!$S$9:$S$929,267)</f>
        <v>1.3632888682643538</v>
      </c>
      <c r="AP275" s="12">
        <f>相位SOC复算!J657</f>
        <v>171.59999999999997</v>
      </c>
      <c r="AQ275" s="19">
        <f t="shared" si="106"/>
        <v>0</v>
      </c>
      <c r="AR275" s="12">
        <f>IF(ISBLANK(原始输入与口径!M179),"",原始输入与口径!M179)</f>
        <v>5.2473000000000001</v>
      </c>
      <c r="AS275" s="14">
        <f>IF(ISBLANK(原始输入与口径!L179),"",原始输入与口径!L179)</f>
        <v>46234</v>
      </c>
      <c r="AT275" s="13">
        <f>IF(ISBLANK(原始输入与口径!A179),"",原始输入与口径!A179)</f>
        <v>46236.645833333336</v>
      </c>
      <c r="AU275" s="12" t="str">
        <f>IF(ISBLANK(原始输入与口径!I179),"",原始输入与口径!I179)</f>
        <v>2026-08-02_71</v>
      </c>
      <c r="AV275" s="12">
        <f>IF(ISBLANK(原始输入与口径!J179),"",原始输入与口径!J179)</f>
        <v>15</v>
      </c>
      <c r="AW275" s="12" t="str">
        <f>IF(ISBLANK(原始输入与口径!BB179),"",原始输入与口径!BB179)</f>
        <v>OK</v>
      </c>
      <c r="AX275" s="12">
        <f>原始输入与口径!CI179</f>
        <v>128</v>
      </c>
      <c r="AY275" s="12">
        <f>原始输入与口径!BS179</f>
        <v>175</v>
      </c>
      <c r="AZ275" s="12">
        <f>原始输入与口径!BI179</f>
        <v>175</v>
      </c>
      <c r="BA275" s="12">
        <f>原始输入与口径!CM179</f>
        <v>40</v>
      </c>
      <c r="BB275" s="12">
        <f>原始输入与口径!BV179</f>
        <v>24</v>
      </c>
      <c r="BC275" s="12">
        <f>原始输入与口径!BL179</f>
        <v>24</v>
      </c>
      <c r="BD275" s="14">
        <f>46236</f>
        <v>46236</v>
      </c>
      <c r="BE275" s="1" t="str">
        <f t="shared" si="107"/>
        <v>-13.717014 MW × 145.740000 × 0.250000 h = -499.779415 EUR</v>
      </c>
      <c r="BF275" s="1" t="str">
        <f t="shared" si="108"/>
        <v>40.000000 MW × 60.030873 × 0.250000 h = 600.308730 EUR</v>
      </c>
      <c r="BG275" s="1" t="str">
        <f t="shared" si="109"/>
        <v>24.000000 MW × 7.127475 × 0.250000 h = 42.764850 EUR</v>
      </c>
      <c r="BH275" s="1" t="str">
        <f t="shared" si="110"/>
        <v>零头寸，无结算现金</v>
      </c>
      <c r="BI275" s="1" t="str">
        <f t="shared" si="111"/>
        <v>3.181851 MWh × 228.652259 = 727.537518 EUR</v>
      </c>
      <c r="BJ275" s="1" t="str">
        <f t="shared" si="112"/>
        <v>零下调激活电量</v>
      </c>
      <c r="BK275" s="1" t="str">
        <f t="shared" si="113"/>
        <v>-499.779415 + 600.308730 + 42.764850 + 0.000000 + 727.537518 + 0.000000 = 870.831684 EUR</v>
      </c>
    </row>
    <row r="276" spans="1:63" ht="21" customHeight="1" x14ac:dyDescent="0.45">
      <c r="A276" s="13">
        <f>原始输入与口径!C180</f>
        <v>46236.78125</v>
      </c>
      <c r="B276" s="15">
        <f>IF(ISNUMBER(原始输入与口径!H180),原始输入与口径!H180,"缺失")</f>
        <v>181.46</v>
      </c>
      <c r="C276" s="15">
        <f>IF(ISNUMBER(原始输入与口径!R180),原始输入与口径!R180,"缺失")</f>
        <v>60.030873020410496</v>
      </c>
      <c r="D276" s="15">
        <f>IF(ISNUMBER(原始输入与口径!W180),原始输入与口径!W180,"缺失")</f>
        <v>7.1274750824233415</v>
      </c>
      <c r="E276" s="15">
        <f>IF(ISNUMBER(原始输入与口径!AB180),原始输入与口径!AB180,"缺失")</f>
        <v>2.595620604882511</v>
      </c>
      <c r="F276" s="15">
        <f>IF(ISNUMBER(原始输入与口径!AG180),原始输入与口径!AG180,"缺失")</f>
        <v>223.7312522630686</v>
      </c>
      <c r="G276" s="15">
        <f>IF(ISNUMBER(原始输入与口径!AJ180),原始输入与口径!AJ180,"缺失")</f>
        <v>0</v>
      </c>
      <c r="H276" s="15" t="str">
        <f t="shared" si="92"/>
        <v>未模拟</v>
      </c>
      <c r="I276" s="16">
        <f>原始输入与口径!CD180</f>
        <v>171.59999999999994</v>
      </c>
      <c r="J276" s="16">
        <f>原始输入与口径!CE180</f>
        <v>171.5851117714285</v>
      </c>
      <c r="K276" s="16">
        <f>原始输入与口径!BZ180</f>
        <v>-7.5110131205901158</v>
      </c>
      <c r="L276" s="16">
        <f>原始输入与口径!CK180</f>
        <v>40</v>
      </c>
      <c r="M276" s="16">
        <f>原始输入与口径!BT180</f>
        <v>24</v>
      </c>
      <c r="N276" s="16">
        <f>原始输入与口径!BJ180</f>
        <v>0</v>
      </c>
      <c r="O276" s="16">
        <f t="shared" si="93"/>
        <v>1.6839771428571431</v>
      </c>
      <c r="P276" s="16">
        <f t="shared" si="94"/>
        <v>0</v>
      </c>
      <c r="Q276" s="17">
        <f t="shared" si="95"/>
        <v>-340.73711021557062</v>
      </c>
      <c r="R276" s="17">
        <f t="shared" si="96"/>
        <v>600.3087302041049</v>
      </c>
      <c r="S276" s="17">
        <f t="shared" si="97"/>
        <v>42.764850494540049</v>
      </c>
      <c r="T276" s="17">
        <f t="shared" si="98"/>
        <v>0</v>
      </c>
      <c r="U276" s="17">
        <f t="shared" si="99"/>
        <v>376.758314953813</v>
      </c>
      <c r="V276" s="17">
        <f t="shared" si="100"/>
        <v>0</v>
      </c>
      <c r="W276" s="17">
        <f t="shared" si="101"/>
        <v>679.09478543688738</v>
      </c>
      <c r="X276" s="12">
        <f>原始输入与口径!CP180</f>
        <v>679.09478543688738</v>
      </c>
      <c r="Y276" s="19">
        <f t="shared" si="102"/>
        <v>0</v>
      </c>
      <c r="Z276" s="12" t="str">
        <f t="shared" si="103"/>
        <v>当日执行</v>
      </c>
      <c r="AA276" s="12">
        <f>IF(原始输入与口径!AW180,1,0)</f>
        <v>1</v>
      </c>
      <c r="AB276" s="12">
        <f>IF(原始输入与口径!AY180,1,0)</f>
        <v>1</v>
      </c>
      <c r="AC276" s="12">
        <f>原始输入与口径!$F$5</f>
        <v>0.25</v>
      </c>
      <c r="AD276" s="18">
        <f>原始输入与口径!CG180</f>
        <v>0.3125</v>
      </c>
      <c r="AE276" s="18">
        <f>原始输入与口径!BQ180</f>
        <v>0.13714285714285715</v>
      </c>
      <c r="AF276" s="18">
        <f t="shared" si="104"/>
        <v>0.28066285714285716</v>
      </c>
      <c r="AG276" s="18">
        <f t="shared" si="105"/>
        <v>0</v>
      </c>
      <c r="AH276" s="12">
        <f>IF(ISNUMBER(原始输入与口径!T180),原始输入与口径!T180,"缺失")</f>
        <v>175</v>
      </c>
      <c r="AI276" s="12">
        <f>IF(ISNUMBER(原始输入与口径!Y180),原始输入与口径!Y180,"缺失")</f>
        <v>175</v>
      </c>
      <c r="AJ276" s="12">
        <f>IF(ISNUMBER(原始输入与口径!AI180),原始输入与口径!AI180,"缺失")</f>
        <v>12.279</v>
      </c>
      <c r="AK276" s="12">
        <f>IF(ISNUMBER(原始输入与口径!AL180),原始输入与口径!AL180,"缺失")</f>
        <v>0</v>
      </c>
      <c r="AL276" s="12">
        <f>IF(ISNUMBER(原始输入与口径!O180),原始输入与口径!O180,"缺失")</f>
        <v>51.968000000000004</v>
      </c>
      <c r="AM276" s="12">
        <f>SUMIFS(相位SOC复算!$N$9:$N$929,相位SOC复算!$S$9:$S$929,268)</f>
        <v>6.9451265525284104E-3</v>
      </c>
      <c r="AN276" s="12">
        <f>SUMIFS(相位SOC复算!$Q$9:$Q$929,相位SOC复算!$S$9:$S$929,268)</f>
        <v>1.3507376795319517</v>
      </c>
      <c r="AO276" s="12">
        <f>SUMIFS(相位SOC复算!$R$9:$R$929,相位SOC复算!$S$9:$S$929,268)</f>
        <v>1.1569615422415658</v>
      </c>
      <c r="AP276" s="12">
        <f>相位SOC复算!J659</f>
        <v>171.58511177142853</v>
      </c>
      <c r="AQ276" s="19">
        <f t="shared" si="106"/>
        <v>0</v>
      </c>
      <c r="AR276" s="12">
        <f>IF(ISBLANK(原始输入与口径!M180),"",原始输入与口径!M180)</f>
        <v>5.2473000000000001</v>
      </c>
      <c r="AS276" s="14">
        <f>IF(ISBLANK(原始输入与口径!L180),"",原始输入与口径!L180)</f>
        <v>46234</v>
      </c>
      <c r="AT276" s="13">
        <f>IF(ISBLANK(原始输入与口径!A180),"",原始输入与口径!A180)</f>
        <v>46236.65625</v>
      </c>
      <c r="AU276" s="12" t="str">
        <f>IF(ISBLANK(原始输入与口径!I180),"",原始输入与口径!I180)</f>
        <v>2026-08-02_72</v>
      </c>
      <c r="AV276" s="12">
        <f>IF(ISBLANK(原始输入与口径!J180),"",原始输入与口径!J180)</f>
        <v>15</v>
      </c>
      <c r="AW276" s="12" t="str">
        <f>IF(ISBLANK(原始输入与口径!BB180),"",原始输入与口径!BB180)</f>
        <v>OK</v>
      </c>
      <c r="AX276" s="12">
        <f>原始输入与口径!CI180</f>
        <v>128</v>
      </c>
      <c r="AY276" s="12">
        <f>原始输入与口径!BS180</f>
        <v>175</v>
      </c>
      <c r="AZ276" s="12">
        <f>原始输入与口径!BI180</f>
        <v>175</v>
      </c>
      <c r="BA276" s="12">
        <f>原始输入与口径!CM180</f>
        <v>40</v>
      </c>
      <c r="BB276" s="12">
        <f>原始输入与口径!BV180</f>
        <v>24</v>
      </c>
      <c r="BC276" s="12">
        <f>原始输入与口径!BL180</f>
        <v>24</v>
      </c>
      <c r="BD276" s="14">
        <f>46236</f>
        <v>46236</v>
      </c>
      <c r="BE276" s="1" t="str">
        <f t="shared" si="107"/>
        <v>-7.511013 MW × 181.460000 × 0.250000 h = -340.737110 EUR</v>
      </c>
      <c r="BF276" s="1" t="str">
        <f t="shared" si="108"/>
        <v>40.000000 MW × 60.030873 × 0.250000 h = 600.308730 EUR</v>
      </c>
      <c r="BG276" s="1" t="str">
        <f t="shared" si="109"/>
        <v>24.000000 MW × 7.127475 × 0.250000 h = 42.764850 EUR</v>
      </c>
      <c r="BH276" s="1" t="str">
        <f t="shared" si="110"/>
        <v>零头寸，无结算现金</v>
      </c>
      <c r="BI276" s="1" t="str">
        <f t="shared" si="111"/>
        <v>1.683977 MWh × 223.731252 = 376.758315 EUR</v>
      </c>
      <c r="BJ276" s="1" t="str">
        <f t="shared" si="112"/>
        <v>零下调激活电量</v>
      </c>
      <c r="BK276" s="1" t="str">
        <f t="shared" si="113"/>
        <v>-340.737110 + 600.308730 + 42.764850 + 0.000000 + 376.758315 + 0.000000 = 679.094785 EUR</v>
      </c>
    </row>
    <row r="277" spans="1:63" ht="21" customHeight="1" x14ac:dyDescent="0.45">
      <c r="A277" s="13">
        <f>原始输入与口径!C181</f>
        <v>46236.791666666664</v>
      </c>
      <c r="B277" s="15">
        <f>IF(ISNUMBER(原始输入与口径!H181),原始输入与口径!H181,"缺失")</f>
        <v>186.08</v>
      </c>
      <c r="C277" s="15">
        <f>IF(ISNUMBER(原始输入与口径!R181),原始输入与口径!R181,"缺失")</f>
        <v>60.030873020410496</v>
      </c>
      <c r="D277" s="15">
        <f>IF(ISNUMBER(原始输入与口径!W181),原始输入与口径!W181,"缺失")</f>
        <v>7.1027004364149189</v>
      </c>
      <c r="E277" s="15">
        <f>IF(ISNUMBER(原始输入与口径!AB181),原始输入与口径!AB181,"缺失")</f>
        <v>2.850990032969337</v>
      </c>
      <c r="F277" s="15">
        <f>IF(ISNUMBER(原始输入与口径!AG181),原始输入与口径!AG181,"缺失")</f>
        <v>217.59857450498353</v>
      </c>
      <c r="G277" s="15">
        <f>IF(ISNUMBER(原始输入与口径!AJ181),原始输入与口径!AJ181,"缺失")</f>
        <v>80.041164027213995</v>
      </c>
      <c r="H277" s="15" t="str">
        <f t="shared" si="92"/>
        <v>未模拟</v>
      </c>
      <c r="I277" s="16">
        <f>原始输入与口径!CD181</f>
        <v>171.5851117714285</v>
      </c>
      <c r="J277" s="16">
        <f>原始输入与口径!CE181</f>
        <v>171.30439751552788</v>
      </c>
      <c r="K277" s="16">
        <f>原始输入与口径!BZ181</f>
        <v>0</v>
      </c>
      <c r="L277" s="16">
        <f>原始输入与口径!CK181</f>
        <v>40</v>
      </c>
      <c r="M277" s="16">
        <f>原始输入与口径!BT181</f>
        <v>24</v>
      </c>
      <c r="N277" s="16">
        <f>原始输入与口径!BJ181</f>
        <v>24</v>
      </c>
      <c r="O277" s="16">
        <f t="shared" si="93"/>
        <v>0.2719542857142857</v>
      </c>
      <c r="P277" s="16">
        <f t="shared" si="94"/>
        <v>1.6182857142857145E-2</v>
      </c>
      <c r="Q277" s="17">
        <f t="shared" si="95"/>
        <v>0</v>
      </c>
      <c r="R277" s="17">
        <f t="shared" si="96"/>
        <v>600.3087302041049</v>
      </c>
      <c r="S277" s="17">
        <f t="shared" si="97"/>
        <v>42.61620261848951</v>
      </c>
      <c r="T277" s="17">
        <f t="shared" si="98"/>
        <v>17.105940197816022</v>
      </c>
      <c r="U277" s="17">
        <f t="shared" si="99"/>
        <v>59.176864901949578</v>
      </c>
      <c r="V277" s="17">
        <f t="shared" si="100"/>
        <v>-1.2952947230004004</v>
      </c>
      <c r="W277" s="17">
        <f t="shared" si="101"/>
        <v>717.91244319935959</v>
      </c>
      <c r="X277" s="12">
        <f>原始输入与口径!CP181</f>
        <v>717.91244319935959</v>
      </c>
      <c r="Y277" s="19">
        <f t="shared" si="102"/>
        <v>0</v>
      </c>
      <c r="Z277" s="12" t="str">
        <f t="shared" si="103"/>
        <v>当日执行</v>
      </c>
      <c r="AA277" s="12">
        <f>IF(原始输入与口径!AW181,1,0)</f>
        <v>1</v>
      </c>
      <c r="AB277" s="12">
        <f>IF(原始输入与口径!AY181,1,0)</f>
        <v>1</v>
      </c>
      <c r="AC277" s="12">
        <f>原始输入与口径!$F$5</f>
        <v>0.25</v>
      </c>
      <c r="AD277" s="18">
        <f>原始输入与口径!CG181</f>
        <v>0.3125</v>
      </c>
      <c r="AE277" s="18">
        <f>原始输入与口径!BQ181</f>
        <v>0.13714285714285715</v>
      </c>
      <c r="AF277" s="18">
        <f t="shared" si="104"/>
        <v>4.5325714285714289E-2</v>
      </c>
      <c r="AG277" s="18">
        <f t="shared" si="105"/>
        <v>2.6971428571428572E-3</v>
      </c>
      <c r="AH277" s="12">
        <f>IF(ISNUMBER(原始输入与口径!T181),原始输入与口径!T181,"缺失")</f>
        <v>175</v>
      </c>
      <c r="AI277" s="12">
        <f>IF(ISNUMBER(原始输入与口径!Y181),原始输入与口径!Y181,"缺失")</f>
        <v>175</v>
      </c>
      <c r="AJ277" s="12">
        <f>IF(ISNUMBER(原始输入与口径!AI181),原始输入与口径!AI181,"缺失")</f>
        <v>1.9830000000000001</v>
      </c>
      <c r="AK277" s="12">
        <f>IF(ISNUMBER(原始输入与口径!AL181),原始输入与口径!AL181,"缺失")</f>
        <v>0.11799999999999999</v>
      </c>
      <c r="AL277" s="12">
        <f>IF(ISNUMBER(原始输入与口径!O181),原始输入与口径!O181,"缺失")</f>
        <v>91.903999999999996</v>
      </c>
      <c r="AM277" s="12">
        <f>SUMIFS(相位SOC复算!$N$9:$N$929,相位SOC复算!$S$9:$S$929,269)</f>
        <v>8.6247420289855073E-4</v>
      </c>
      <c r="AN277" s="12">
        <f>SUMIFS(相位SOC复算!$Q$9:$Q$929,相位SOC复算!$S$9:$S$929,269)</f>
        <v>1.6182857142857145E-2</v>
      </c>
      <c r="AO277" s="12">
        <f>SUMIFS(相位SOC复算!$R$9:$R$929,相位SOC复算!$S$9:$S$929,269)</f>
        <v>0.2719542857142857</v>
      </c>
      <c r="AP277" s="12">
        <f>相位SOC复算!J662</f>
        <v>171.30439751552791</v>
      </c>
      <c r="AQ277" s="19">
        <f t="shared" si="106"/>
        <v>0</v>
      </c>
      <c r="AR277" s="12">
        <f>IF(ISBLANK(原始输入与口径!M181),"",原始输入与口径!M181)</f>
        <v>5.2473000000000001</v>
      </c>
      <c r="AS277" s="14">
        <f>IF(ISBLANK(原始输入与口径!L181),"",原始输入与口径!L181)</f>
        <v>46234</v>
      </c>
      <c r="AT277" s="13">
        <f>IF(ISBLANK(原始输入与口径!A181),"",原始输入与口径!A181)</f>
        <v>46236.666666666664</v>
      </c>
      <c r="AU277" s="12" t="str">
        <f>IF(ISBLANK(原始输入与口径!I181),"",原始输入与口径!I181)</f>
        <v>2026-08-02_73</v>
      </c>
      <c r="AV277" s="12">
        <f>IF(ISBLANK(原始输入与口径!J181),"",原始输入与口径!J181)</f>
        <v>15</v>
      </c>
      <c r="AW277" s="12" t="str">
        <f>IF(ISBLANK(原始输入与口径!BB181),"",原始输入与口径!BB181)</f>
        <v>OK</v>
      </c>
      <c r="AX277" s="12">
        <f>原始输入与口径!CI181</f>
        <v>128</v>
      </c>
      <c r="AY277" s="12">
        <f>原始输入与口径!BS181</f>
        <v>175</v>
      </c>
      <c r="AZ277" s="12">
        <f>原始输入与口径!BI181</f>
        <v>175</v>
      </c>
      <c r="BA277" s="12">
        <f>原始输入与口径!CM181</f>
        <v>40</v>
      </c>
      <c r="BB277" s="12">
        <f>原始输入与口径!BV181</f>
        <v>24</v>
      </c>
      <c r="BC277" s="12">
        <f>原始输入与口径!BL181</f>
        <v>24</v>
      </c>
      <c r="BD277" s="14">
        <f>46236</f>
        <v>46236</v>
      </c>
      <c r="BE277" s="1" t="str">
        <f t="shared" si="107"/>
        <v>零头寸，无结算现金</v>
      </c>
      <c r="BF277" s="1" t="str">
        <f t="shared" si="108"/>
        <v>40.000000 MW × 60.030873 × 0.250000 h = 600.308730 EUR</v>
      </c>
      <c r="BG277" s="1" t="str">
        <f t="shared" si="109"/>
        <v>24.000000 MW × 7.102700 × 0.250000 h = 42.616203 EUR</v>
      </c>
      <c r="BH277" s="1" t="str">
        <f t="shared" si="110"/>
        <v>24.000000 MW × 2.850990 × 0.250000 h = 17.105940 EUR</v>
      </c>
      <c r="BI277" s="1" t="str">
        <f t="shared" si="111"/>
        <v>0.271954 MWh × 217.598575 = 59.176865 EUR</v>
      </c>
      <c r="BJ277" s="1" t="str">
        <f t="shared" si="112"/>
        <v>−(0.016183 MWh × 80.041164) = -1.295295 EUR</v>
      </c>
      <c r="BK277" s="1" t="str">
        <f t="shared" si="113"/>
        <v>0.000000 + 600.308730 + 42.616203 + 17.105940 + 59.176865 + -1.295295 = 717.912443 EUR</v>
      </c>
    </row>
    <row r="278" spans="1:63" ht="21" customHeight="1" x14ac:dyDescent="0.45">
      <c r="A278" s="13">
        <f>原始输入与口径!C182</f>
        <v>46236.802083333336</v>
      </c>
      <c r="B278" s="15">
        <f>IF(ISNUMBER(原始输入与口径!H182),原始输入与口径!H182,"缺失")</f>
        <v>212.63</v>
      </c>
      <c r="C278" s="15">
        <f>IF(ISNUMBER(原始输入与口径!R182),原始输入与口径!R182,"缺失")</f>
        <v>60.030873020410496</v>
      </c>
      <c r="D278" s="15">
        <f>IF(ISNUMBER(原始输入与口径!W182),原始输入与口径!W182,"缺失")</f>
        <v>7.1027004364149189</v>
      </c>
      <c r="E278" s="15">
        <f>IF(ISNUMBER(原始输入与口径!AB182),原始输入与口径!AB182,"缺失")</f>
        <v>2.850990032969337</v>
      </c>
      <c r="F278" s="15">
        <f>IF(ISNUMBER(原始输入与口径!AG182),原始输入与口径!AG182,"缺失")</f>
        <v>239.53423665504161</v>
      </c>
      <c r="G278" s="15">
        <f>IF(ISNUMBER(原始输入与口径!AJ182),原始输入与口径!AJ182,"缺失")</f>
        <v>80.041164027213995</v>
      </c>
      <c r="H278" s="15" t="str">
        <f t="shared" si="92"/>
        <v>未模拟</v>
      </c>
      <c r="I278" s="16">
        <f>原始输入与口径!CD182</f>
        <v>171.30439751552788</v>
      </c>
      <c r="J278" s="16">
        <f>原始输入与口径!CE182</f>
        <v>160.9027080745341</v>
      </c>
      <c r="K278" s="16">
        <f>原始输入与口径!BZ182</f>
        <v>36</v>
      </c>
      <c r="L278" s="16">
        <f>原始输入与口径!CK182</f>
        <v>40</v>
      </c>
      <c r="M278" s="16">
        <f>原始输入与口径!BT182</f>
        <v>24</v>
      </c>
      <c r="N278" s="16">
        <f>原始输入与口径!BJ182</f>
        <v>24</v>
      </c>
      <c r="O278" s="16">
        <f t="shared" si="93"/>
        <v>0.57284571428571418</v>
      </c>
      <c r="P278" s="16">
        <f t="shared" si="94"/>
        <v>3.291428571428571E-3</v>
      </c>
      <c r="Q278" s="17">
        <f t="shared" si="95"/>
        <v>1913.67</v>
      </c>
      <c r="R278" s="17">
        <f t="shared" si="96"/>
        <v>600.3087302041049</v>
      </c>
      <c r="S278" s="17">
        <f t="shared" si="97"/>
        <v>42.61620261848951</v>
      </c>
      <c r="T278" s="17">
        <f t="shared" si="98"/>
        <v>17.105940197816022</v>
      </c>
      <c r="U278" s="17">
        <f t="shared" si="99"/>
        <v>137.21616089254061</v>
      </c>
      <c r="V278" s="17">
        <f t="shared" si="100"/>
        <v>-0.26344977416957288</v>
      </c>
      <c r="W278" s="17">
        <f t="shared" si="101"/>
        <v>2710.6535841387813</v>
      </c>
      <c r="X278" s="12">
        <f>原始输入与口径!CP182</f>
        <v>2710.6535841387818</v>
      </c>
      <c r="Y278" s="19">
        <f t="shared" si="102"/>
        <v>0</v>
      </c>
      <c r="Z278" s="12" t="str">
        <f t="shared" si="103"/>
        <v>当日执行</v>
      </c>
      <c r="AA278" s="12">
        <f>IF(原始输入与口径!AW182,1,0)</f>
        <v>1</v>
      </c>
      <c r="AB278" s="12">
        <f>IF(原始输入与口径!AY182,1,0)</f>
        <v>1</v>
      </c>
      <c r="AC278" s="12">
        <f>原始输入与口径!$F$5</f>
        <v>0.25</v>
      </c>
      <c r="AD278" s="18">
        <f>原始输入与口径!CG182</f>
        <v>0.3125</v>
      </c>
      <c r="AE278" s="18">
        <f>原始输入与口径!BQ182</f>
        <v>0.13714285714285715</v>
      </c>
      <c r="AF278" s="18">
        <f t="shared" si="104"/>
        <v>9.5474285714285706E-2</v>
      </c>
      <c r="AG278" s="18">
        <f t="shared" si="105"/>
        <v>5.4857142857142854E-4</v>
      </c>
      <c r="AH278" s="12">
        <f>IF(ISNUMBER(原始输入与口径!T182),原始输入与口径!T182,"缺失")</f>
        <v>175</v>
      </c>
      <c r="AI278" s="12">
        <f>IF(ISNUMBER(原始输入与口径!Y182),原始输入与口径!Y182,"缺失")</f>
        <v>175</v>
      </c>
      <c r="AJ278" s="12">
        <f>IF(ISNUMBER(原始输入与口径!AI182),原始输入与口径!AI182,"缺失")</f>
        <v>4.1769999999999996</v>
      </c>
      <c r="AK278" s="12">
        <f>IF(ISNUMBER(原始输入与口径!AL182),原始输入与口径!AL182,"缺失")</f>
        <v>2.4E-2</v>
      </c>
      <c r="AL278" s="12">
        <f>IF(ISNUMBER(原始输入与口径!O182),原始输入与口径!O182,"缺失")</f>
        <v>91.903999999999996</v>
      </c>
      <c r="AM278" s="12">
        <f>SUMIFS(相位SOC复算!$N$9:$N$929,相位SOC复算!$S$9:$S$929,270)</f>
        <v>2.8893581780538299E-2</v>
      </c>
      <c r="AN278" s="12">
        <f>SUMIFS(相位SOC复算!$Q$9:$Q$929,相位SOC复算!$S$9:$S$929,270)</f>
        <v>0</v>
      </c>
      <c r="AO278" s="12">
        <f>SUMIFS(相位SOC复算!$R$9:$R$929,相位SOC复算!$S$9:$S$929,270)</f>
        <v>9.5695542857142843</v>
      </c>
      <c r="AP278" s="12">
        <f>相位SOC复算!J665</f>
        <v>160.90270807453413</v>
      </c>
      <c r="AQ278" s="19">
        <f t="shared" si="106"/>
        <v>0</v>
      </c>
      <c r="AR278" s="12">
        <f>IF(ISBLANK(原始输入与口径!M182),"",原始输入与口径!M182)</f>
        <v>5.2473000000000001</v>
      </c>
      <c r="AS278" s="14">
        <f>IF(ISBLANK(原始输入与口径!L182),"",原始输入与口径!L182)</f>
        <v>46234</v>
      </c>
      <c r="AT278" s="13">
        <f>IF(ISBLANK(原始输入与口径!A182),"",原始输入与口径!A182)</f>
        <v>46236.677083333336</v>
      </c>
      <c r="AU278" s="12" t="str">
        <f>IF(ISBLANK(原始输入与口径!I182),"",原始输入与口径!I182)</f>
        <v>2026-08-02_74</v>
      </c>
      <c r="AV278" s="12">
        <f>IF(ISBLANK(原始输入与口径!J182),"",原始输入与口径!J182)</f>
        <v>15</v>
      </c>
      <c r="AW278" s="12" t="str">
        <f>IF(ISBLANK(原始输入与口径!BB182),"",原始输入与口径!BB182)</f>
        <v>OK</v>
      </c>
      <c r="AX278" s="12">
        <f>原始输入与口径!CI182</f>
        <v>128</v>
      </c>
      <c r="AY278" s="12">
        <f>原始输入与口径!BS182</f>
        <v>175</v>
      </c>
      <c r="AZ278" s="12">
        <f>原始输入与口径!BI182</f>
        <v>175</v>
      </c>
      <c r="BA278" s="12">
        <f>原始输入与口径!CM182</f>
        <v>40</v>
      </c>
      <c r="BB278" s="12">
        <f>原始输入与口径!BV182</f>
        <v>24</v>
      </c>
      <c r="BC278" s="12">
        <f>原始输入与口径!BL182</f>
        <v>24</v>
      </c>
      <c r="BD278" s="14">
        <f>46236</f>
        <v>46236</v>
      </c>
      <c r="BE278" s="1" t="str">
        <f t="shared" si="107"/>
        <v>36.000000 MW × 212.630000 × 0.250000 h = 1913.670000 EUR</v>
      </c>
      <c r="BF278" s="1" t="str">
        <f t="shared" si="108"/>
        <v>40.000000 MW × 60.030873 × 0.250000 h = 600.308730 EUR</v>
      </c>
      <c r="BG278" s="1" t="str">
        <f t="shared" si="109"/>
        <v>24.000000 MW × 7.102700 × 0.250000 h = 42.616203 EUR</v>
      </c>
      <c r="BH278" s="1" t="str">
        <f t="shared" si="110"/>
        <v>24.000000 MW × 2.850990 × 0.250000 h = 17.105940 EUR</v>
      </c>
      <c r="BI278" s="1" t="str">
        <f t="shared" si="111"/>
        <v>0.572846 MWh × 239.534237 = 137.216161 EUR</v>
      </c>
      <c r="BJ278" s="1" t="str">
        <f t="shared" si="112"/>
        <v>−(0.003291 MWh × 80.041164) = -0.263450 EUR</v>
      </c>
      <c r="BK278" s="1" t="str">
        <f t="shared" si="113"/>
        <v>1913.670000 + 600.308730 + 42.616203 + 17.105940 + 137.216161 + -0.263450 = 2710.653584 EUR</v>
      </c>
    </row>
    <row r="279" spans="1:63" ht="21" customHeight="1" x14ac:dyDescent="0.45">
      <c r="A279" s="13">
        <f>原始输入与口径!C183</f>
        <v>46236.8125</v>
      </c>
      <c r="B279" s="15">
        <f>IF(ISNUMBER(原始输入与口径!H183),原始输入与口径!H183,"缺失")</f>
        <v>197.63</v>
      </c>
      <c r="C279" s="15">
        <f>IF(ISNUMBER(原始输入与口径!R183),原始输入与口径!R183,"缺失")</f>
        <v>60.030873020410496</v>
      </c>
      <c r="D279" s="15">
        <f>IF(ISNUMBER(原始输入与口径!W183),原始输入与口径!W183,"缺失")</f>
        <v>7.1027004364149189</v>
      </c>
      <c r="E279" s="15">
        <f>IF(ISNUMBER(原始输入与口径!AB183),原始输入与口径!AB183,"缺失")</f>
        <v>2.850990032969337</v>
      </c>
      <c r="F279" s="15">
        <f>IF(ISNUMBER(原始输入与口径!AG183),原始输入与口径!AG183,"缺失")</f>
        <v>242.48337240104436</v>
      </c>
      <c r="G279" s="15">
        <f>IF(ISNUMBER(原始输入与口径!AJ183),原始输入与口径!AJ183,"缺失")</f>
        <v>0</v>
      </c>
      <c r="H279" s="15" t="str">
        <f t="shared" si="92"/>
        <v>未模拟</v>
      </c>
      <c r="I279" s="16">
        <f>原始输入与口径!CD183</f>
        <v>160.9027080745341</v>
      </c>
      <c r="J279" s="16">
        <f>原始输入与口径!CE183</f>
        <v>159.62176397515523</v>
      </c>
      <c r="K279" s="16">
        <f>原始输入与口径!BZ183</f>
        <v>0</v>
      </c>
      <c r="L279" s="16">
        <f>原始输入与口径!CK183</f>
        <v>40</v>
      </c>
      <c r="M279" s="16">
        <f>原始输入与口径!BT183</f>
        <v>24</v>
      </c>
      <c r="N279" s="16">
        <f>原始输入与口径!BJ183</f>
        <v>24</v>
      </c>
      <c r="O279" s="16">
        <f t="shared" si="93"/>
        <v>1.1784685714285714</v>
      </c>
      <c r="P279" s="16">
        <f t="shared" si="94"/>
        <v>0</v>
      </c>
      <c r="Q279" s="17">
        <f t="shared" si="95"/>
        <v>0</v>
      </c>
      <c r="R279" s="17">
        <f t="shared" si="96"/>
        <v>600.3087302041049</v>
      </c>
      <c r="S279" s="17">
        <f t="shared" si="97"/>
        <v>42.61620261848951</v>
      </c>
      <c r="T279" s="17">
        <f t="shared" si="98"/>
        <v>17.105940197816022</v>
      </c>
      <c r="U279" s="17">
        <f t="shared" si="99"/>
        <v>285.75903346864101</v>
      </c>
      <c r="V279" s="17">
        <f t="shared" si="100"/>
        <v>0</v>
      </c>
      <c r="W279" s="17">
        <f t="shared" si="101"/>
        <v>945.78990648905142</v>
      </c>
      <c r="X279" s="12">
        <f>原始输入与口径!CP183</f>
        <v>945.78990648905142</v>
      </c>
      <c r="Y279" s="19">
        <f t="shared" si="102"/>
        <v>0</v>
      </c>
      <c r="Z279" s="12" t="str">
        <f t="shared" si="103"/>
        <v>当日执行</v>
      </c>
      <c r="AA279" s="12">
        <f>IF(原始输入与口径!AW183,1,0)</f>
        <v>1</v>
      </c>
      <c r="AB279" s="12">
        <f>IF(原始输入与口径!AY183,1,0)</f>
        <v>1</v>
      </c>
      <c r="AC279" s="12">
        <f>原始输入与口径!$F$5</f>
        <v>0.25</v>
      </c>
      <c r="AD279" s="18">
        <f>原始输入与口径!CG183</f>
        <v>0.3125</v>
      </c>
      <c r="AE279" s="18">
        <f>原始输入与口径!BQ183</f>
        <v>0.13714285714285715</v>
      </c>
      <c r="AF279" s="18">
        <f t="shared" si="104"/>
        <v>0.19641142857142857</v>
      </c>
      <c r="AG279" s="18">
        <f t="shared" si="105"/>
        <v>0</v>
      </c>
      <c r="AH279" s="12">
        <f>IF(ISNUMBER(原始输入与口径!T183),原始输入与口径!T183,"缺失")</f>
        <v>175</v>
      </c>
      <c r="AI279" s="12">
        <f>IF(ISNUMBER(原始输入与口径!Y183),原始输入与口径!Y183,"缺失")</f>
        <v>175</v>
      </c>
      <c r="AJ279" s="12">
        <f>IF(ISNUMBER(原始输入与口径!AI183),原始输入与口径!AI183,"缺失")</f>
        <v>8.593</v>
      </c>
      <c r="AK279" s="12">
        <f>IF(ISNUMBER(原始输入与口径!AL183),原始输入与口径!AL183,"缺失")</f>
        <v>0</v>
      </c>
      <c r="AL279" s="12">
        <f>IF(ISNUMBER(原始输入与口径!O183),原始输入与口径!O183,"缺失")</f>
        <v>91.903999999999996</v>
      </c>
      <c r="AM279" s="12">
        <f>SUMIFS(相位SOC复算!$N$9:$N$929,相位SOC复算!$S$9:$S$929,271)</f>
        <v>3.5581780538302276E-3</v>
      </c>
      <c r="AN279" s="12">
        <f>SUMIFS(相位SOC复算!$Q$9:$Q$929,相位SOC复算!$S$9:$S$929,271)</f>
        <v>0</v>
      </c>
      <c r="AO279" s="12">
        <f>SUMIFS(相位SOC复算!$R$9:$R$929,相位SOC复算!$S$9:$S$929,271)</f>
        <v>1.1784685714285714</v>
      </c>
      <c r="AP279" s="12">
        <f>相位SOC复算!J667</f>
        <v>159.62176397515526</v>
      </c>
      <c r="AQ279" s="19">
        <f t="shared" si="106"/>
        <v>0</v>
      </c>
      <c r="AR279" s="12">
        <f>IF(ISBLANK(原始输入与口径!M183),"",原始输入与口径!M183)</f>
        <v>5.2473000000000001</v>
      </c>
      <c r="AS279" s="14">
        <f>IF(ISBLANK(原始输入与口径!L183),"",原始输入与口径!L183)</f>
        <v>46234</v>
      </c>
      <c r="AT279" s="13">
        <f>IF(ISBLANK(原始输入与口径!A183),"",原始输入与口径!A183)</f>
        <v>46236.6875</v>
      </c>
      <c r="AU279" s="12" t="str">
        <f>IF(ISBLANK(原始输入与口径!I183),"",原始输入与口径!I183)</f>
        <v>2026-08-02_75</v>
      </c>
      <c r="AV279" s="12">
        <f>IF(ISBLANK(原始输入与口径!J183),"",原始输入与口径!J183)</f>
        <v>15</v>
      </c>
      <c r="AW279" s="12" t="str">
        <f>IF(ISBLANK(原始输入与口径!BB183),"",原始输入与口径!BB183)</f>
        <v>OK</v>
      </c>
      <c r="AX279" s="12">
        <f>原始输入与口径!CI183</f>
        <v>128</v>
      </c>
      <c r="AY279" s="12">
        <f>原始输入与口径!BS183</f>
        <v>175</v>
      </c>
      <c r="AZ279" s="12">
        <f>原始输入与口径!BI183</f>
        <v>175</v>
      </c>
      <c r="BA279" s="12">
        <f>原始输入与口径!CM183</f>
        <v>40</v>
      </c>
      <c r="BB279" s="12">
        <f>原始输入与口径!BV183</f>
        <v>24</v>
      </c>
      <c r="BC279" s="12">
        <f>原始输入与口径!BL183</f>
        <v>24</v>
      </c>
      <c r="BD279" s="14">
        <f>46236</f>
        <v>46236</v>
      </c>
      <c r="BE279" s="1" t="str">
        <f t="shared" si="107"/>
        <v>零头寸，无结算现金</v>
      </c>
      <c r="BF279" s="1" t="str">
        <f t="shared" si="108"/>
        <v>40.000000 MW × 60.030873 × 0.250000 h = 600.308730 EUR</v>
      </c>
      <c r="BG279" s="1" t="str">
        <f t="shared" si="109"/>
        <v>24.000000 MW × 7.102700 × 0.250000 h = 42.616203 EUR</v>
      </c>
      <c r="BH279" s="1" t="str">
        <f t="shared" si="110"/>
        <v>24.000000 MW × 2.850990 × 0.250000 h = 17.105940 EUR</v>
      </c>
      <c r="BI279" s="1" t="str">
        <f t="shared" si="111"/>
        <v>1.178469 MWh × 242.483372 = 285.759033 EUR</v>
      </c>
      <c r="BJ279" s="1" t="str">
        <f t="shared" si="112"/>
        <v>零下调激活电量</v>
      </c>
      <c r="BK279" s="1" t="str">
        <f t="shared" si="113"/>
        <v>0.000000 + 600.308730 + 42.616203 + 17.105940 + 285.759033 + 0.000000 = 945.789906 EUR</v>
      </c>
    </row>
    <row r="280" spans="1:63" ht="21" customHeight="1" x14ac:dyDescent="0.45">
      <c r="A280" s="13">
        <f>原始输入与口径!C184</f>
        <v>46236.822916666664</v>
      </c>
      <c r="B280" s="15">
        <f>IF(ISNUMBER(原始输入与口径!H184),原始输入与口径!H184,"缺失")</f>
        <v>215.78</v>
      </c>
      <c r="C280" s="15">
        <f>IF(ISNUMBER(原始输入与口径!R184),原始输入与口径!R184,"缺失")</f>
        <v>60.030873020410496</v>
      </c>
      <c r="D280" s="15">
        <f>IF(ISNUMBER(原始输入与口径!W184),原始输入与口径!W184,"缺失")</f>
        <v>7.1027004364149189</v>
      </c>
      <c r="E280" s="15">
        <f>IF(ISNUMBER(原始输入与口径!AB184),原始输入与口径!AB184,"缺失")</f>
        <v>2.850990032969337</v>
      </c>
      <c r="F280" s="15">
        <f>IF(ISNUMBER(原始输入与口径!AG184),原始输入与口径!AG184,"缺失")</f>
        <v>228.97490137785147</v>
      </c>
      <c r="G280" s="15">
        <f>IF(ISNUMBER(原始输入与口径!AJ184),原始输入与口径!AJ184,"缺失")</f>
        <v>0</v>
      </c>
      <c r="H280" s="15" t="str">
        <f t="shared" si="92"/>
        <v>未模拟</v>
      </c>
      <c r="I280" s="16">
        <f>原始输入与口径!CD184</f>
        <v>159.62176397515523</v>
      </c>
      <c r="J280" s="16">
        <f>原始输入与口径!CE184</f>
        <v>148.16154037267077</v>
      </c>
      <c r="K280" s="16">
        <f>原始输入与口径!BZ184</f>
        <v>36</v>
      </c>
      <c r="L280" s="16">
        <f>原始输入与口径!CK184</f>
        <v>40</v>
      </c>
      <c r="M280" s="16">
        <f>原始输入与口径!BT184</f>
        <v>24</v>
      </c>
      <c r="N280" s="16">
        <f>原始输入与口径!BJ184</f>
        <v>24</v>
      </c>
      <c r="O280" s="16">
        <f t="shared" si="93"/>
        <v>1.543405714285714</v>
      </c>
      <c r="P280" s="16">
        <f t="shared" si="94"/>
        <v>0</v>
      </c>
      <c r="Q280" s="17">
        <f t="shared" si="95"/>
        <v>1942.02</v>
      </c>
      <c r="R280" s="17">
        <f t="shared" si="96"/>
        <v>600.3087302041049</v>
      </c>
      <c r="S280" s="17">
        <f t="shared" si="97"/>
        <v>42.61620261848951</v>
      </c>
      <c r="T280" s="17">
        <f t="shared" si="98"/>
        <v>17.105940197816022</v>
      </c>
      <c r="U280" s="17">
        <f t="shared" si="99"/>
        <v>353.40117121458377</v>
      </c>
      <c r="V280" s="17">
        <f t="shared" si="100"/>
        <v>0</v>
      </c>
      <c r="W280" s="17">
        <f t="shared" si="101"/>
        <v>2955.452044234994</v>
      </c>
      <c r="X280" s="12">
        <f>原始输入与口径!CP184</f>
        <v>2955.452044234994</v>
      </c>
      <c r="Y280" s="19">
        <f t="shared" si="102"/>
        <v>0</v>
      </c>
      <c r="Z280" s="12" t="str">
        <f t="shared" si="103"/>
        <v>当日执行</v>
      </c>
      <c r="AA280" s="12">
        <f>IF(原始输入与口径!AW184,1,0)</f>
        <v>1</v>
      </c>
      <c r="AB280" s="12">
        <f>IF(原始输入与口径!AY184,1,0)</f>
        <v>1</v>
      </c>
      <c r="AC280" s="12">
        <f>原始输入与口径!$F$5</f>
        <v>0.25</v>
      </c>
      <c r="AD280" s="18">
        <f>原始输入与口径!CG184</f>
        <v>0.3125</v>
      </c>
      <c r="AE280" s="18">
        <f>原始输入与口径!BQ184</f>
        <v>0.13714285714285715</v>
      </c>
      <c r="AF280" s="18">
        <f t="shared" si="104"/>
        <v>0.25723428571428569</v>
      </c>
      <c r="AG280" s="18">
        <f t="shared" si="105"/>
        <v>0</v>
      </c>
      <c r="AH280" s="12">
        <f>IF(ISNUMBER(原始输入与口径!T184),原始输入与口径!T184,"缺失")</f>
        <v>175</v>
      </c>
      <c r="AI280" s="12">
        <f>IF(ISNUMBER(原始输入与口径!Y184),原始输入与口径!Y184,"缺失")</f>
        <v>175</v>
      </c>
      <c r="AJ280" s="12">
        <f>IF(ISNUMBER(原始输入与口径!AI184),原始输入与口径!AI184,"缺失")</f>
        <v>11.254</v>
      </c>
      <c r="AK280" s="12">
        <f>IF(ISNUMBER(原始输入与口径!AL184),原始输入与口径!AL184,"缺失")</f>
        <v>0</v>
      </c>
      <c r="AL280" s="12">
        <f>IF(ISNUMBER(原始输入与口径!O184),原始输入与口径!O184,"缺失")</f>
        <v>91.903999999999996</v>
      </c>
      <c r="AM280" s="12">
        <f>SUMIFS(相位SOC复算!$N$9:$N$929,相位SOC复算!$S$9:$S$929,272)</f>
        <v>3.183395445134575E-2</v>
      </c>
      <c r="AN280" s="12">
        <f>SUMIFS(相位SOC复算!$Q$9:$Q$929,相位SOC复算!$S$9:$S$929,272)</f>
        <v>0</v>
      </c>
      <c r="AO280" s="12">
        <f>SUMIFS(相位SOC复算!$R$9:$R$929,相位SOC复算!$S$9:$S$929,272)</f>
        <v>10.543405714285715</v>
      </c>
      <c r="AP280" s="12">
        <f>相位SOC复算!J669</f>
        <v>148.1615403726708</v>
      </c>
      <c r="AQ280" s="19">
        <f t="shared" si="106"/>
        <v>0</v>
      </c>
      <c r="AR280" s="12">
        <f>IF(ISBLANK(原始输入与口径!M184),"",原始输入与口径!M184)</f>
        <v>5.2473000000000001</v>
      </c>
      <c r="AS280" s="14">
        <f>IF(ISBLANK(原始输入与口径!L184),"",原始输入与口径!L184)</f>
        <v>46234</v>
      </c>
      <c r="AT280" s="13">
        <f>IF(ISBLANK(原始输入与口径!A184),"",原始输入与口径!A184)</f>
        <v>46236.697916666664</v>
      </c>
      <c r="AU280" s="12" t="str">
        <f>IF(ISBLANK(原始输入与口径!I184),"",原始输入与口径!I184)</f>
        <v>2026-08-02_76</v>
      </c>
      <c r="AV280" s="12">
        <f>IF(ISBLANK(原始输入与口径!J184),"",原始输入与口径!J184)</f>
        <v>15</v>
      </c>
      <c r="AW280" s="12" t="str">
        <f>IF(ISBLANK(原始输入与口径!BB184),"",原始输入与口径!BB184)</f>
        <v>OK</v>
      </c>
      <c r="AX280" s="12">
        <f>原始输入与口径!CI184</f>
        <v>128</v>
      </c>
      <c r="AY280" s="12">
        <f>原始输入与口径!BS184</f>
        <v>175</v>
      </c>
      <c r="AZ280" s="12">
        <f>原始输入与口径!BI184</f>
        <v>175</v>
      </c>
      <c r="BA280" s="12">
        <f>原始输入与口径!CM184</f>
        <v>40</v>
      </c>
      <c r="BB280" s="12">
        <f>原始输入与口径!BV184</f>
        <v>24</v>
      </c>
      <c r="BC280" s="12">
        <f>原始输入与口径!BL184</f>
        <v>24</v>
      </c>
      <c r="BD280" s="14">
        <f>46236</f>
        <v>46236</v>
      </c>
      <c r="BE280" s="1" t="str">
        <f t="shared" si="107"/>
        <v>36.000000 MW × 215.780000 × 0.250000 h = 1942.020000 EUR</v>
      </c>
      <c r="BF280" s="1" t="str">
        <f t="shared" si="108"/>
        <v>40.000000 MW × 60.030873 × 0.250000 h = 600.308730 EUR</v>
      </c>
      <c r="BG280" s="1" t="str">
        <f t="shared" si="109"/>
        <v>24.000000 MW × 7.102700 × 0.250000 h = 42.616203 EUR</v>
      </c>
      <c r="BH280" s="1" t="str">
        <f t="shared" si="110"/>
        <v>24.000000 MW × 2.850990 × 0.250000 h = 17.105940 EUR</v>
      </c>
      <c r="BI280" s="1" t="str">
        <f t="shared" si="111"/>
        <v>1.543406 MWh × 228.974901 = 353.401171 EUR</v>
      </c>
      <c r="BJ280" s="1" t="str">
        <f t="shared" si="112"/>
        <v>零下调激活电量</v>
      </c>
      <c r="BK280" s="1" t="str">
        <f t="shared" si="113"/>
        <v>1942.020000 + 600.308730 + 42.616203 + 17.105940 + 353.401171 + 0.000000 = 2955.452044 EUR</v>
      </c>
    </row>
    <row r="281" spans="1:63" ht="21" customHeight="1" x14ac:dyDescent="0.45">
      <c r="A281" s="13">
        <f>原始输入与口径!C185</f>
        <v>46236.833333333336</v>
      </c>
      <c r="B281" s="15">
        <f>IF(ISNUMBER(原始输入与口径!H185),原始输入与口径!H185,"缺失")</f>
        <v>212.83</v>
      </c>
      <c r="C281" s="15">
        <f>IF(ISNUMBER(原始输入与口径!R185),原始输入与口径!R185,"缺失")</f>
        <v>60.030873020410496</v>
      </c>
      <c r="D281" s="15">
        <f>IF(ISNUMBER(原始输入与口径!W185),原始输入与口径!W185,"缺失")</f>
        <v>3.9143940693308936</v>
      </c>
      <c r="E281" s="15">
        <f>IF(ISNUMBER(原始输入与口径!AB185),原始输入与口径!AB185,"缺失")</f>
        <v>2.850990032969337</v>
      </c>
      <c r="F281" s="15">
        <f>IF(ISNUMBER(原始输入与口径!AG185),原始输入与口径!AG185,"缺失")</f>
        <v>218.46130390867685</v>
      </c>
      <c r="G281" s="15">
        <f>IF(ISNUMBER(原始输入与口径!AJ185),原始输入与口径!AJ185,"缺失")</f>
        <v>80.041164027213995</v>
      </c>
      <c r="H281" s="15" t="str">
        <f t="shared" si="92"/>
        <v>未模拟</v>
      </c>
      <c r="I281" s="16">
        <f>原始输入与口径!CD185</f>
        <v>148.16154037267077</v>
      </c>
      <c r="J281" s="16">
        <f>原始输入与口径!CE185</f>
        <v>131.86121739130428</v>
      </c>
      <c r="K281" s="16">
        <f>原始输入与口径!BZ185</f>
        <v>60</v>
      </c>
      <c r="L281" s="16">
        <f>原始输入与口径!CK185</f>
        <v>40</v>
      </c>
      <c r="M281" s="16">
        <f>原始输入与口径!BT185</f>
        <v>0</v>
      </c>
      <c r="N281" s="16">
        <f>原始输入与口径!BJ185</f>
        <v>24</v>
      </c>
      <c r="O281" s="16">
        <f t="shared" si="93"/>
        <v>0</v>
      </c>
      <c r="P281" s="16">
        <f t="shared" si="94"/>
        <v>3.7028571428571427E-3</v>
      </c>
      <c r="Q281" s="17">
        <f t="shared" si="95"/>
        <v>3192.4500000000003</v>
      </c>
      <c r="R281" s="17">
        <f t="shared" si="96"/>
        <v>600.3087302041049</v>
      </c>
      <c r="S281" s="17">
        <f t="shared" si="97"/>
        <v>0</v>
      </c>
      <c r="T281" s="17">
        <f t="shared" si="98"/>
        <v>17.105940197816022</v>
      </c>
      <c r="U281" s="17">
        <f t="shared" si="99"/>
        <v>0</v>
      </c>
      <c r="V281" s="17">
        <f t="shared" si="100"/>
        <v>-0.2963809959407695</v>
      </c>
      <c r="W281" s="17">
        <f t="shared" si="101"/>
        <v>3809.5682894059805</v>
      </c>
      <c r="X281" s="12">
        <f>原始输入与口径!CP185</f>
        <v>3809.5682894059805</v>
      </c>
      <c r="Y281" s="19">
        <f t="shared" si="102"/>
        <v>0</v>
      </c>
      <c r="Z281" s="12" t="str">
        <f t="shared" si="103"/>
        <v>当日执行</v>
      </c>
      <c r="AA281" s="12">
        <f>IF(原始输入与口径!AW185,1,0)</f>
        <v>1</v>
      </c>
      <c r="AB281" s="12">
        <f>IF(原始输入与口径!AY185,1,0)</f>
        <v>1</v>
      </c>
      <c r="AC281" s="12">
        <f>原始输入与口径!$F$5</f>
        <v>0.25</v>
      </c>
      <c r="AD281" s="18">
        <f>原始输入与口径!CG185</f>
        <v>0.3125</v>
      </c>
      <c r="AE281" s="18">
        <f>原始输入与口径!BQ185</f>
        <v>0.13714285714285715</v>
      </c>
      <c r="AF281" s="18">
        <f t="shared" si="104"/>
        <v>5.6457142857142859E-2</v>
      </c>
      <c r="AG281" s="18">
        <f t="shared" si="105"/>
        <v>6.1714285714285712E-4</v>
      </c>
      <c r="AH281" s="12">
        <f>IF(ISNUMBER(原始输入与口径!T185),原始输入与口径!T185,"缺失")</f>
        <v>175</v>
      </c>
      <c r="AI281" s="12">
        <f>IF(ISNUMBER(原始输入与口径!Y185),原始输入与口径!Y185,"缺失")</f>
        <v>175</v>
      </c>
      <c r="AJ281" s="12">
        <f>IF(ISNUMBER(原始输入与口径!AI185),原始输入与口径!AI185,"缺失")</f>
        <v>2.4700000000000002</v>
      </c>
      <c r="AK281" s="12">
        <f>IF(ISNUMBER(原始输入与口径!AL185),原始输入与口径!AL185,"缺失")</f>
        <v>2.7E-2</v>
      </c>
      <c r="AL281" s="12">
        <f>IF(ISNUMBER(原始输入与口径!O185),原始输入与口径!O185,"缺失")</f>
        <v>91.903999999999996</v>
      </c>
      <c r="AM281" s="12">
        <f>SUMIFS(相位SOC复算!$N$9:$N$929,相位SOC复算!$S$9:$S$929,273)</f>
        <v>4.5278674948240165E-2</v>
      </c>
      <c r="AN281" s="12">
        <f>SUMIFS(相位SOC复算!$Q$9:$Q$929,相位SOC复算!$S$9:$S$929,273)</f>
        <v>0</v>
      </c>
      <c r="AO281" s="12">
        <f>SUMIFS(相位SOC复算!$R$9:$R$929,相位SOC复算!$S$9:$S$929,273)</f>
        <v>14.996297142857143</v>
      </c>
      <c r="AP281" s="12">
        <f>相位SOC复算!J672</f>
        <v>131.86121739130431</v>
      </c>
      <c r="AQ281" s="19">
        <f t="shared" si="106"/>
        <v>0</v>
      </c>
      <c r="AR281" s="12">
        <f>IF(ISBLANK(原始输入与口径!M185),"",原始输入与口径!M185)</f>
        <v>5.2473000000000001</v>
      </c>
      <c r="AS281" s="14">
        <f>IF(ISBLANK(原始输入与口径!L185),"",原始输入与口径!L185)</f>
        <v>46234</v>
      </c>
      <c r="AT281" s="13">
        <f>IF(ISBLANK(原始输入与口径!A185),"",原始输入与口径!A185)</f>
        <v>46236.708333333336</v>
      </c>
      <c r="AU281" s="12" t="str">
        <f>IF(ISBLANK(原始输入与口径!I185),"",原始输入与口径!I185)</f>
        <v>2026-08-02_77</v>
      </c>
      <c r="AV281" s="12">
        <f>IF(ISBLANK(原始输入与口径!J185),"",原始输入与口径!J185)</f>
        <v>15</v>
      </c>
      <c r="AW281" s="12" t="str">
        <f>IF(ISBLANK(原始输入与口径!BB185),"",原始输入与口径!BB185)</f>
        <v>OK</v>
      </c>
      <c r="AX281" s="12">
        <f>原始输入与口径!CI185</f>
        <v>128</v>
      </c>
      <c r="AY281" s="12">
        <f>原始输入与口径!BS185</f>
        <v>175</v>
      </c>
      <c r="AZ281" s="12">
        <f>原始输入与口径!BI185</f>
        <v>175</v>
      </c>
      <c r="BA281" s="12">
        <f>原始输入与口径!CM185</f>
        <v>40</v>
      </c>
      <c r="BB281" s="12">
        <f>原始输入与口径!BV185</f>
        <v>24</v>
      </c>
      <c r="BC281" s="12">
        <f>原始输入与口径!BL185</f>
        <v>24</v>
      </c>
      <c r="BD281" s="14">
        <f>46236</f>
        <v>46236</v>
      </c>
      <c r="BE281" s="1" t="str">
        <f t="shared" si="107"/>
        <v>60.000000 MW × 212.830000 × 0.250000 h = 3192.450000 EUR</v>
      </c>
      <c r="BF281" s="1" t="str">
        <f t="shared" si="108"/>
        <v>40.000000 MW × 60.030873 × 0.250000 h = 600.308730 EUR</v>
      </c>
      <c r="BG281" s="1" t="str">
        <f t="shared" si="109"/>
        <v>零头寸，无结算现金</v>
      </c>
      <c r="BH281" s="1" t="str">
        <f t="shared" si="110"/>
        <v>24.000000 MW × 2.850990 × 0.250000 h = 17.105940 EUR</v>
      </c>
      <c r="BI281" s="1" t="str">
        <f t="shared" si="111"/>
        <v>零上调激活电量</v>
      </c>
      <c r="BJ281" s="1" t="str">
        <f t="shared" si="112"/>
        <v>−(0.003703 MWh × 80.041164) = -0.296381 EUR</v>
      </c>
      <c r="BK281" s="1" t="str">
        <f t="shared" si="113"/>
        <v>3192.450000 + 600.308730 + 0.000000 + 17.105940 + 0.000000 + -0.296381 = 3809.568289 EUR</v>
      </c>
    </row>
    <row r="282" spans="1:63" ht="21" customHeight="1" x14ac:dyDescent="0.45">
      <c r="A282" s="13">
        <f>原始输入与口径!C186</f>
        <v>46236.84375</v>
      </c>
      <c r="B282" s="15">
        <f>IF(ISNUMBER(原始输入与口径!H186),原始输入与口径!H186,"缺失")</f>
        <v>215.16</v>
      </c>
      <c r="C282" s="15">
        <f>IF(ISNUMBER(原始输入与口径!R186),原始输入与口径!R186,"缺失")</f>
        <v>60.030873020410496</v>
      </c>
      <c r="D282" s="15">
        <f>IF(ISNUMBER(原始输入与口径!W186),原始输入与口径!W186,"缺失")</f>
        <v>3.9143940693308936</v>
      </c>
      <c r="E282" s="15">
        <f>IF(ISNUMBER(原始输入与口径!AB186),原始输入与口径!AB186,"缺失")</f>
        <v>2.850990032969337</v>
      </c>
      <c r="F282" s="15">
        <f>IF(ISNUMBER(原始输入与口径!AG186),原始输入与口径!AG186,"缺失")</f>
        <v>225.58172774569778</v>
      </c>
      <c r="G282" s="15">
        <f>IF(ISNUMBER(原始输入与口径!AJ186),原始输入与口径!AJ186,"缺失")</f>
        <v>71.936805595258505</v>
      </c>
      <c r="H282" s="15" t="str">
        <f t="shared" si="92"/>
        <v>未模拟</v>
      </c>
      <c r="I282" s="16">
        <f>原始输入与口径!CD186</f>
        <v>131.86121739130428</v>
      </c>
      <c r="J282" s="16">
        <f>原始输入与口径!CE186</f>
        <v>116.02673291925457</v>
      </c>
      <c r="K282" s="16">
        <f>原始输入与口径!BZ186</f>
        <v>60</v>
      </c>
      <c r="L282" s="16">
        <f>原始输入与口径!CK186</f>
        <v>40</v>
      </c>
      <c r="M282" s="16">
        <f>原始输入与口径!BT186</f>
        <v>0</v>
      </c>
      <c r="N282" s="16">
        <f>原始输入与口径!BJ186</f>
        <v>24</v>
      </c>
      <c r="O282" s="16">
        <f t="shared" si="93"/>
        <v>0</v>
      </c>
      <c r="P282" s="16">
        <f t="shared" si="94"/>
        <v>0.43227428571428572</v>
      </c>
      <c r="Q282" s="17">
        <f t="shared" si="95"/>
        <v>3227.4</v>
      </c>
      <c r="R282" s="17">
        <f t="shared" si="96"/>
        <v>600.3087302041049</v>
      </c>
      <c r="S282" s="17">
        <f t="shared" si="97"/>
        <v>0</v>
      </c>
      <c r="T282" s="17">
        <f t="shared" si="98"/>
        <v>17.105940197816022</v>
      </c>
      <c r="U282" s="17">
        <f t="shared" si="99"/>
        <v>0</v>
      </c>
      <c r="V282" s="17">
        <f t="shared" si="100"/>
        <v>-31.096431255257801</v>
      </c>
      <c r="W282" s="17">
        <f t="shared" si="101"/>
        <v>3813.7182391466631</v>
      </c>
      <c r="X282" s="12">
        <f>原始输入与口径!CP186</f>
        <v>3813.7182391466631</v>
      </c>
      <c r="Y282" s="19">
        <f t="shared" si="102"/>
        <v>0</v>
      </c>
      <c r="Z282" s="12" t="str">
        <f t="shared" si="103"/>
        <v>当日执行</v>
      </c>
      <c r="AA282" s="12">
        <f>IF(原始输入与口径!AW186,1,0)</f>
        <v>1</v>
      </c>
      <c r="AB282" s="12">
        <f>IF(原始输入与口径!AY186,1,0)</f>
        <v>1</v>
      </c>
      <c r="AC282" s="12">
        <f>原始输入与口径!$F$5</f>
        <v>0.25</v>
      </c>
      <c r="AD282" s="18">
        <f>原始输入与口径!CG186</f>
        <v>0.3125</v>
      </c>
      <c r="AE282" s="18">
        <f>原始输入与口径!BQ186</f>
        <v>0.13714285714285715</v>
      </c>
      <c r="AF282" s="18">
        <f t="shared" si="104"/>
        <v>2.6354285714285716E-2</v>
      </c>
      <c r="AG282" s="18">
        <f t="shared" si="105"/>
        <v>7.2045714285714282E-2</v>
      </c>
      <c r="AH282" s="12">
        <f>IF(ISNUMBER(原始输入与口径!T186),原始输入与口径!T186,"缺失")</f>
        <v>175</v>
      </c>
      <c r="AI282" s="12">
        <f>IF(ISNUMBER(原始输入与口径!Y186),原始输入与口径!Y186,"缺失")</f>
        <v>175</v>
      </c>
      <c r="AJ282" s="12">
        <f>IF(ISNUMBER(原始输入与口径!AI186),原始输入与口径!AI186,"缺失")</f>
        <v>1.153</v>
      </c>
      <c r="AK282" s="12">
        <f>IF(ISNUMBER(原始输入与口径!AL186),原始输入与口径!AL186,"缺失")</f>
        <v>3.1520000000000001</v>
      </c>
      <c r="AL282" s="12">
        <f>IF(ISNUMBER(原始输入与口径!O186),原始输入与口径!O186,"缺失")</f>
        <v>91.903999999999996</v>
      </c>
      <c r="AM282" s="12">
        <f>SUMIFS(相位SOC复算!$N$9:$N$929,相位SOC复算!$S$9:$S$929,274)</f>
        <v>4.3984679089026923E-2</v>
      </c>
      <c r="AN282" s="12">
        <f>SUMIFS(相位SOC复算!$Q$9:$Q$929,相位SOC复算!$S$9:$S$929,274)</f>
        <v>0</v>
      </c>
      <c r="AO282" s="12">
        <f>SUMIFS(相位SOC复算!$R$9:$R$929,相位SOC复算!$S$9:$S$929,274)</f>
        <v>14.567725714285714</v>
      </c>
      <c r="AP282" s="12">
        <f>相位SOC复算!J675</f>
        <v>116.0267329192546</v>
      </c>
      <c r="AQ282" s="19">
        <f t="shared" si="106"/>
        <v>0</v>
      </c>
      <c r="AR282" s="12">
        <f>IF(ISBLANK(原始输入与口径!M186),"",原始输入与口径!M186)</f>
        <v>5.2473000000000001</v>
      </c>
      <c r="AS282" s="14">
        <f>IF(ISBLANK(原始输入与口径!L186),"",原始输入与口径!L186)</f>
        <v>46234</v>
      </c>
      <c r="AT282" s="13">
        <f>IF(ISBLANK(原始输入与口径!A186),"",原始输入与口径!A186)</f>
        <v>46236.71875</v>
      </c>
      <c r="AU282" s="12" t="str">
        <f>IF(ISBLANK(原始输入与口径!I186),"",原始输入与口径!I186)</f>
        <v>2026-08-02_78</v>
      </c>
      <c r="AV282" s="12">
        <f>IF(ISBLANK(原始输入与口径!J186),"",原始输入与口径!J186)</f>
        <v>15</v>
      </c>
      <c r="AW282" s="12" t="str">
        <f>IF(ISBLANK(原始输入与口径!BB186),"",原始输入与口径!BB186)</f>
        <v>OK</v>
      </c>
      <c r="AX282" s="12">
        <f>原始输入与口径!CI186</f>
        <v>128</v>
      </c>
      <c r="AY282" s="12">
        <f>原始输入与口径!BS186</f>
        <v>175</v>
      </c>
      <c r="AZ282" s="12">
        <f>原始输入与口径!BI186</f>
        <v>175</v>
      </c>
      <c r="BA282" s="12">
        <f>原始输入与口径!CM186</f>
        <v>40</v>
      </c>
      <c r="BB282" s="12">
        <f>原始输入与口径!BV186</f>
        <v>24</v>
      </c>
      <c r="BC282" s="12">
        <f>原始输入与口径!BL186</f>
        <v>24</v>
      </c>
      <c r="BD282" s="14">
        <f>46236</f>
        <v>46236</v>
      </c>
      <c r="BE282" s="1" t="str">
        <f t="shared" si="107"/>
        <v>60.000000 MW × 215.160000 × 0.250000 h = 3227.400000 EUR</v>
      </c>
      <c r="BF282" s="1" t="str">
        <f t="shared" si="108"/>
        <v>40.000000 MW × 60.030873 × 0.250000 h = 600.308730 EUR</v>
      </c>
      <c r="BG282" s="1" t="str">
        <f t="shared" si="109"/>
        <v>零头寸，无结算现金</v>
      </c>
      <c r="BH282" s="1" t="str">
        <f t="shared" si="110"/>
        <v>24.000000 MW × 2.850990 × 0.250000 h = 17.105940 EUR</v>
      </c>
      <c r="BI282" s="1" t="str">
        <f t="shared" si="111"/>
        <v>零上调激活电量</v>
      </c>
      <c r="BJ282" s="1" t="str">
        <f t="shared" si="112"/>
        <v>−(0.432274 MWh × 71.936806) = -31.096431 EUR</v>
      </c>
      <c r="BK282" s="1" t="str">
        <f t="shared" si="113"/>
        <v>3227.400000 + 600.308730 + 0.000000 + 17.105940 + 0.000000 + -31.096431 = 3813.718239 EUR</v>
      </c>
    </row>
    <row r="283" spans="1:63" ht="21" customHeight="1" x14ac:dyDescent="0.45">
      <c r="A283" s="13">
        <f>原始输入与口径!C187</f>
        <v>46236.854166666664</v>
      </c>
      <c r="B283" s="15">
        <f>IF(ISNUMBER(原始输入与口径!H187),原始输入与口径!H187,"缺失")</f>
        <v>215.16</v>
      </c>
      <c r="C283" s="15">
        <f>IF(ISNUMBER(原始输入与口径!R187),原始输入与口径!R187,"缺失")</f>
        <v>60.030873020410496</v>
      </c>
      <c r="D283" s="15">
        <f>IF(ISNUMBER(原始输入与口径!W187),原始输入与口径!W187,"缺失")</f>
        <v>3.9143940693308936</v>
      </c>
      <c r="E283" s="15">
        <f>IF(ISNUMBER(原始输入与口径!AB187),原始输入与口径!AB187,"缺失")</f>
        <v>2.850990032969337</v>
      </c>
      <c r="F283" s="15">
        <f>IF(ISNUMBER(原始输入与口径!AG187),原始输入与口径!AG187,"缺失")</f>
        <v>176.4547481561946</v>
      </c>
      <c r="G283" s="15">
        <f>IF(ISNUMBER(原始输入与口径!AJ187),原始输入与口径!AJ187,"缺失")</f>
        <v>80.041164027213995</v>
      </c>
      <c r="H283" s="15" t="str">
        <f t="shared" si="92"/>
        <v>未模拟</v>
      </c>
      <c r="I283" s="16">
        <f>原始输入与口径!CD187</f>
        <v>116.02673291925457</v>
      </c>
      <c r="J283" s="16">
        <f>原始输入与口径!CE187</f>
        <v>99.724322981366385</v>
      </c>
      <c r="K283" s="16">
        <f>原始输入与口径!BZ187</f>
        <v>60</v>
      </c>
      <c r="L283" s="16">
        <f>原始输入与口径!CK187</f>
        <v>40</v>
      </c>
      <c r="M283" s="16">
        <f>原始输入与口径!BT187</f>
        <v>0</v>
      </c>
      <c r="N283" s="16">
        <f>原始输入与口径!BJ187</f>
        <v>24</v>
      </c>
      <c r="O283" s="16">
        <f t="shared" si="93"/>
        <v>0</v>
      </c>
      <c r="P283" s="16">
        <f t="shared" si="94"/>
        <v>1.7828571428571429E-3</v>
      </c>
      <c r="Q283" s="17">
        <f t="shared" si="95"/>
        <v>3227.4</v>
      </c>
      <c r="R283" s="17">
        <f t="shared" si="96"/>
        <v>600.3087302041049</v>
      </c>
      <c r="S283" s="17">
        <f t="shared" si="97"/>
        <v>0</v>
      </c>
      <c r="T283" s="17">
        <f t="shared" si="98"/>
        <v>17.105940197816022</v>
      </c>
      <c r="U283" s="17">
        <f t="shared" si="99"/>
        <v>0</v>
      </c>
      <c r="V283" s="17">
        <f t="shared" si="100"/>
        <v>-0.14270196100851867</v>
      </c>
      <c r="W283" s="17">
        <f t="shared" si="101"/>
        <v>3844.6719684409122</v>
      </c>
      <c r="X283" s="12">
        <f>原始输入与口径!CP187</f>
        <v>3844.6719684409127</v>
      </c>
      <c r="Y283" s="19">
        <f t="shared" si="102"/>
        <v>0</v>
      </c>
      <c r="Z283" s="12" t="str">
        <f t="shared" si="103"/>
        <v>当日执行</v>
      </c>
      <c r="AA283" s="12">
        <f>IF(原始输入与口径!AW187,1,0)</f>
        <v>1</v>
      </c>
      <c r="AB283" s="12">
        <f>IF(原始输入与口径!AY187,1,0)</f>
        <v>1</v>
      </c>
      <c r="AC283" s="12">
        <f>原始输入与口径!$F$5</f>
        <v>0.25</v>
      </c>
      <c r="AD283" s="18">
        <f>原始输入与口径!CG187</f>
        <v>0.3125</v>
      </c>
      <c r="AE283" s="18">
        <f>原始输入与口径!BQ187</f>
        <v>0.13714285714285715</v>
      </c>
      <c r="AF283" s="18">
        <f t="shared" si="104"/>
        <v>1.1291428571428572E-2</v>
      </c>
      <c r="AG283" s="18">
        <f t="shared" si="105"/>
        <v>2.9714285714285715E-4</v>
      </c>
      <c r="AH283" s="12">
        <f>IF(ISNUMBER(原始输入与口径!T187),原始输入与口径!T187,"缺失")</f>
        <v>175</v>
      </c>
      <c r="AI283" s="12">
        <f>IF(ISNUMBER(原始输入与口径!Y187),原始输入与口径!Y187,"缺失")</f>
        <v>175</v>
      </c>
      <c r="AJ283" s="12">
        <f>IF(ISNUMBER(原始输入与口径!AI187),原始输入与口径!AI187,"缺失")</f>
        <v>0.49399999999999999</v>
      </c>
      <c r="AK283" s="12">
        <f>IF(ISNUMBER(原始输入与口径!AL187),原始输入与口径!AL187,"缺失")</f>
        <v>1.2999999999999999E-2</v>
      </c>
      <c r="AL283" s="12">
        <f>IF(ISNUMBER(原始输入与口径!O187),原始输入与口径!O187,"缺失")</f>
        <v>91.903999999999996</v>
      </c>
      <c r="AM283" s="12">
        <f>SUMIFS(相位SOC复算!$N$9:$N$929,相位SOC复算!$S$9:$S$929,275)</f>
        <v>4.5284472049689439E-2</v>
      </c>
      <c r="AN283" s="12">
        <f>SUMIFS(相位SOC复算!$Q$9:$Q$929,相位SOC复算!$S$9:$S$929,275)</f>
        <v>0</v>
      </c>
      <c r="AO283" s="12">
        <f>SUMIFS(相位SOC复算!$R$9:$R$929,相位SOC复算!$S$9:$S$929,275)</f>
        <v>14.998217142857142</v>
      </c>
      <c r="AP283" s="12">
        <f>相位SOC复算!J678</f>
        <v>99.724322981366413</v>
      </c>
      <c r="AQ283" s="19">
        <f t="shared" si="106"/>
        <v>0</v>
      </c>
      <c r="AR283" s="12">
        <f>IF(ISBLANK(原始输入与口径!M187),"",原始输入与口径!M187)</f>
        <v>5.2473000000000001</v>
      </c>
      <c r="AS283" s="14">
        <f>IF(ISBLANK(原始输入与口径!L187),"",原始输入与口径!L187)</f>
        <v>46234</v>
      </c>
      <c r="AT283" s="13">
        <f>IF(ISBLANK(原始输入与口径!A187),"",原始输入与口径!A187)</f>
        <v>46236.729166666664</v>
      </c>
      <c r="AU283" s="12" t="str">
        <f>IF(ISBLANK(原始输入与口径!I187),"",原始输入与口径!I187)</f>
        <v>2026-08-02_79</v>
      </c>
      <c r="AV283" s="12">
        <f>IF(ISBLANK(原始输入与口径!J187),"",原始输入与口径!J187)</f>
        <v>15</v>
      </c>
      <c r="AW283" s="12" t="str">
        <f>IF(ISBLANK(原始输入与口径!BB187),"",原始输入与口径!BB187)</f>
        <v>OK</v>
      </c>
      <c r="AX283" s="12">
        <f>原始输入与口径!CI187</f>
        <v>128</v>
      </c>
      <c r="AY283" s="12">
        <f>原始输入与口径!BS187</f>
        <v>175</v>
      </c>
      <c r="AZ283" s="12">
        <f>原始输入与口径!BI187</f>
        <v>175</v>
      </c>
      <c r="BA283" s="12">
        <f>原始输入与口径!CM187</f>
        <v>40</v>
      </c>
      <c r="BB283" s="12">
        <f>原始输入与口径!BV187</f>
        <v>24</v>
      </c>
      <c r="BC283" s="12">
        <f>原始输入与口径!BL187</f>
        <v>24</v>
      </c>
      <c r="BD283" s="14">
        <f>46236</f>
        <v>46236</v>
      </c>
      <c r="BE283" s="1" t="str">
        <f t="shared" si="107"/>
        <v>60.000000 MW × 215.160000 × 0.250000 h = 3227.400000 EUR</v>
      </c>
      <c r="BF283" s="1" t="str">
        <f t="shared" si="108"/>
        <v>40.000000 MW × 60.030873 × 0.250000 h = 600.308730 EUR</v>
      </c>
      <c r="BG283" s="1" t="str">
        <f t="shared" si="109"/>
        <v>零头寸，无结算现金</v>
      </c>
      <c r="BH283" s="1" t="str">
        <f t="shared" si="110"/>
        <v>24.000000 MW × 2.850990 × 0.250000 h = 17.105940 EUR</v>
      </c>
      <c r="BI283" s="1" t="str">
        <f t="shared" si="111"/>
        <v>零上调激活电量</v>
      </c>
      <c r="BJ283" s="1" t="str">
        <f t="shared" si="112"/>
        <v>−(0.001783 MWh × 80.041164) = -0.142702 EUR</v>
      </c>
      <c r="BK283" s="1" t="str">
        <f t="shared" si="113"/>
        <v>3227.400000 + 600.308730 + 0.000000 + 17.105940 + 0.000000 + -0.142702 = 3844.671968 EUR</v>
      </c>
    </row>
    <row r="284" spans="1:63" ht="21" customHeight="1" x14ac:dyDescent="0.45">
      <c r="A284" s="13">
        <f>原始输入与口径!C188</f>
        <v>46236.864583333336</v>
      </c>
      <c r="B284" s="15">
        <f>IF(ISNUMBER(原始输入与口径!H188),原始输入与口径!H188,"缺失")</f>
        <v>219.92</v>
      </c>
      <c r="C284" s="15">
        <f>IF(ISNUMBER(原始输入与口径!R188),原始输入与口径!R188,"缺失")</f>
        <v>60.030873020410496</v>
      </c>
      <c r="D284" s="15">
        <f>IF(ISNUMBER(原始输入与口径!W188),原始输入与口径!W188,"缺失")</f>
        <v>3.9143940693308936</v>
      </c>
      <c r="E284" s="15">
        <f>IF(ISNUMBER(原始输入与口径!AB188),原始输入与口径!AB188,"缺失")</f>
        <v>2.850990032969337</v>
      </c>
      <c r="F284" s="15">
        <f>IF(ISNUMBER(原始输入与口径!AG188),原始输入与口径!AG188,"缺失")</f>
        <v>222.13347816972541</v>
      </c>
      <c r="G284" s="15">
        <f>IF(ISNUMBER(原始输入与口径!AJ188),原始输入与口径!AJ188,"缺失")</f>
        <v>80.041164027213995</v>
      </c>
      <c r="H284" s="15" t="str">
        <f t="shared" si="92"/>
        <v>未模拟</v>
      </c>
      <c r="I284" s="16">
        <f>原始输入与口径!CD188</f>
        <v>99.724322981366385</v>
      </c>
      <c r="J284" s="16">
        <f>原始输入与口径!CE188</f>
        <v>83.424596273291854</v>
      </c>
      <c r="K284" s="16">
        <f>原始输入与口径!BZ188</f>
        <v>60</v>
      </c>
      <c r="L284" s="16">
        <f>原始输入与口径!CK188</f>
        <v>40</v>
      </c>
      <c r="M284" s="16">
        <f>原始输入与口径!BT188</f>
        <v>0</v>
      </c>
      <c r="N284" s="16">
        <f>原始输入与口径!BJ188</f>
        <v>24</v>
      </c>
      <c r="O284" s="16">
        <f t="shared" si="93"/>
        <v>0</v>
      </c>
      <c r="P284" s="16">
        <f t="shared" si="94"/>
        <v>4.2514285714285709E-3</v>
      </c>
      <c r="Q284" s="17">
        <f t="shared" si="95"/>
        <v>3298.7999999999997</v>
      </c>
      <c r="R284" s="17">
        <f t="shared" si="96"/>
        <v>600.3087302041049</v>
      </c>
      <c r="S284" s="17">
        <f t="shared" si="97"/>
        <v>0</v>
      </c>
      <c r="T284" s="17">
        <f t="shared" si="98"/>
        <v>17.105940197816022</v>
      </c>
      <c r="U284" s="17">
        <f t="shared" si="99"/>
        <v>0</v>
      </c>
      <c r="V284" s="17">
        <f t="shared" si="100"/>
        <v>-0.34028929163569832</v>
      </c>
      <c r="W284" s="17">
        <f t="shared" si="101"/>
        <v>3915.874381110285</v>
      </c>
      <c r="X284" s="12">
        <f>原始输入与口径!CP188</f>
        <v>3915.874381110285</v>
      </c>
      <c r="Y284" s="19">
        <f t="shared" si="102"/>
        <v>0</v>
      </c>
      <c r="Z284" s="12" t="str">
        <f t="shared" si="103"/>
        <v>当日执行</v>
      </c>
      <c r="AA284" s="12">
        <f>IF(原始输入与口径!AW188,1,0)</f>
        <v>1</v>
      </c>
      <c r="AB284" s="12">
        <f>IF(原始输入与口径!AY188,1,0)</f>
        <v>1</v>
      </c>
      <c r="AC284" s="12">
        <f>原始输入与口径!$F$5</f>
        <v>0.25</v>
      </c>
      <c r="AD284" s="18">
        <f>原始输入与口径!CG188</f>
        <v>0.3125</v>
      </c>
      <c r="AE284" s="18">
        <f>原始输入与口径!BQ188</f>
        <v>0.13714285714285715</v>
      </c>
      <c r="AF284" s="18">
        <f t="shared" si="104"/>
        <v>5.4354285714285716E-2</v>
      </c>
      <c r="AG284" s="18">
        <f t="shared" si="105"/>
        <v>7.0857142857142852E-4</v>
      </c>
      <c r="AH284" s="12">
        <f>IF(ISNUMBER(原始输入与口径!T188),原始输入与口径!T188,"缺失")</f>
        <v>175</v>
      </c>
      <c r="AI284" s="12">
        <f>IF(ISNUMBER(原始输入与口径!Y188),原始输入与口径!Y188,"缺失")</f>
        <v>175</v>
      </c>
      <c r="AJ284" s="12">
        <f>IF(ISNUMBER(原始输入与口径!AI188),原始输入与口径!AI188,"缺失")</f>
        <v>2.3780000000000001</v>
      </c>
      <c r="AK284" s="12">
        <f>IF(ISNUMBER(原始输入与口径!AL188),原始输入与口径!AL188,"缺失")</f>
        <v>3.1E-2</v>
      </c>
      <c r="AL284" s="12">
        <f>IF(ISNUMBER(原始输入与口径!O188),原始输入与口径!O188,"缺失")</f>
        <v>91.903999999999996</v>
      </c>
      <c r="AM284" s="12">
        <f>SUMIFS(相位SOC复算!$N$9:$N$929,相位SOC复算!$S$9:$S$929,276)</f>
        <v>4.5277018633540375E-2</v>
      </c>
      <c r="AN284" s="12">
        <f>SUMIFS(相位SOC复算!$Q$9:$Q$929,相位SOC复算!$S$9:$S$929,276)</f>
        <v>0</v>
      </c>
      <c r="AO284" s="12">
        <f>SUMIFS(相位SOC复算!$R$9:$R$929,相位SOC复算!$S$9:$S$929,276)</f>
        <v>14.995748571428573</v>
      </c>
      <c r="AP284" s="12">
        <f>相位SOC复算!J681</f>
        <v>83.424596273291883</v>
      </c>
      <c r="AQ284" s="19">
        <f t="shared" si="106"/>
        <v>0</v>
      </c>
      <c r="AR284" s="12">
        <f>IF(ISBLANK(原始输入与口径!M188),"",原始输入与口径!M188)</f>
        <v>5.2473000000000001</v>
      </c>
      <c r="AS284" s="14">
        <f>IF(ISBLANK(原始输入与口径!L188),"",原始输入与口径!L188)</f>
        <v>46234</v>
      </c>
      <c r="AT284" s="13">
        <f>IF(ISBLANK(原始输入与口径!A188),"",原始输入与口径!A188)</f>
        <v>46236.739583333336</v>
      </c>
      <c r="AU284" s="12" t="str">
        <f>IF(ISBLANK(原始输入与口径!I188),"",原始输入与口径!I188)</f>
        <v>2026-08-02_80</v>
      </c>
      <c r="AV284" s="12">
        <f>IF(ISBLANK(原始输入与口径!J188),"",原始输入与口径!J188)</f>
        <v>15</v>
      </c>
      <c r="AW284" s="12" t="str">
        <f>IF(ISBLANK(原始输入与口径!BB188),"",原始输入与口径!BB188)</f>
        <v>OK</v>
      </c>
      <c r="AX284" s="12">
        <f>原始输入与口径!CI188</f>
        <v>128</v>
      </c>
      <c r="AY284" s="12">
        <f>原始输入与口径!BS188</f>
        <v>175</v>
      </c>
      <c r="AZ284" s="12">
        <f>原始输入与口径!BI188</f>
        <v>175</v>
      </c>
      <c r="BA284" s="12">
        <f>原始输入与口径!CM188</f>
        <v>40</v>
      </c>
      <c r="BB284" s="12">
        <f>原始输入与口径!BV188</f>
        <v>24</v>
      </c>
      <c r="BC284" s="12">
        <f>原始输入与口径!BL188</f>
        <v>24</v>
      </c>
      <c r="BD284" s="14">
        <f>46236</f>
        <v>46236</v>
      </c>
      <c r="BE284" s="1" t="str">
        <f t="shared" si="107"/>
        <v>60.000000 MW × 219.920000 × 0.250000 h = 3298.800000 EUR</v>
      </c>
      <c r="BF284" s="1" t="str">
        <f t="shared" si="108"/>
        <v>40.000000 MW × 60.030873 × 0.250000 h = 600.308730 EUR</v>
      </c>
      <c r="BG284" s="1" t="str">
        <f t="shared" si="109"/>
        <v>零头寸，无结算现金</v>
      </c>
      <c r="BH284" s="1" t="str">
        <f t="shared" si="110"/>
        <v>24.000000 MW × 2.850990 × 0.250000 h = 17.105940 EUR</v>
      </c>
      <c r="BI284" s="1" t="str">
        <f t="shared" si="111"/>
        <v>零上调激活电量</v>
      </c>
      <c r="BJ284" s="1" t="str">
        <f t="shared" si="112"/>
        <v>−(0.004251 MWh × 80.041164) = -0.340289 EUR</v>
      </c>
      <c r="BK284" s="1" t="str">
        <f t="shared" si="113"/>
        <v>3298.800000 + 600.308730 + 0.000000 + 17.105940 + 0.000000 + -0.340289 = 3915.874381 EUR</v>
      </c>
    </row>
    <row r="285" spans="1:63" ht="21" customHeight="1" x14ac:dyDescent="0.45">
      <c r="A285" s="13">
        <f>原始输入与口径!C189</f>
        <v>46236.875</v>
      </c>
      <c r="B285" s="15">
        <f>IF(ISNUMBER(原始输入与口径!H189),原始输入与口径!H189,"缺失")</f>
        <v>215.16</v>
      </c>
      <c r="C285" s="15">
        <f>IF(ISNUMBER(原始输入与口径!R189),原始输入与口径!R189,"缺失")</f>
        <v>60.030873020410496</v>
      </c>
      <c r="D285" s="15">
        <f>IF(ISNUMBER(原始输入与口径!W189),原始输入与口径!W189,"缺失")</f>
        <v>7.0245650143883518</v>
      </c>
      <c r="E285" s="15">
        <f>IF(ISNUMBER(原始输入与口径!AB189),原始输入与口径!AB189,"缺失")</f>
        <v>2.850990032969337</v>
      </c>
      <c r="F285" s="15">
        <f>IF(ISNUMBER(原始输入与口径!AG189),原始输入与口径!AG189,"缺失")</f>
        <v>228.68904007775427</v>
      </c>
      <c r="G285" s="15">
        <f>IF(ISNUMBER(原始输入与口径!AJ189),原始输入与口径!AJ189,"缺失")</f>
        <v>0</v>
      </c>
      <c r="H285" s="15" t="str">
        <f t="shared" si="92"/>
        <v>未模拟</v>
      </c>
      <c r="I285" s="16">
        <f>原始输入与口径!CD189</f>
        <v>83.424596273291854</v>
      </c>
      <c r="J285" s="16">
        <f>原始输入与口径!CE189</f>
        <v>72.632795031055821</v>
      </c>
      <c r="K285" s="16">
        <f>原始输入与口径!BZ189</f>
        <v>36</v>
      </c>
      <c r="L285" s="16">
        <f>原始输入与口径!CK189</f>
        <v>40</v>
      </c>
      <c r="M285" s="16">
        <f>原始输入与口径!BT189</f>
        <v>24</v>
      </c>
      <c r="N285" s="16">
        <f>原始输入与口径!BJ189</f>
        <v>24</v>
      </c>
      <c r="O285" s="16">
        <f t="shared" si="93"/>
        <v>0.92845714285714276</v>
      </c>
      <c r="P285" s="16">
        <f t="shared" si="94"/>
        <v>0</v>
      </c>
      <c r="Q285" s="17">
        <f t="shared" si="95"/>
        <v>1936.44</v>
      </c>
      <c r="R285" s="17">
        <f t="shared" si="96"/>
        <v>600.3087302041049</v>
      </c>
      <c r="S285" s="17">
        <f t="shared" si="97"/>
        <v>42.147390086330113</v>
      </c>
      <c r="T285" s="17">
        <f t="shared" si="98"/>
        <v>17.105940197816022</v>
      </c>
      <c r="U285" s="17">
        <f t="shared" si="99"/>
        <v>212.32797275333434</v>
      </c>
      <c r="V285" s="17">
        <f t="shared" si="100"/>
        <v>0</v>
      </c>
      <c r="W285" s="17">
        <f t="shared" si="101"/>
        <v>2808.3300332415856</v>
      </c>
      <c r="X285" s="12">
        <f>原始输入与口径!CP189</f>
        <v>2808.3300332415856</v>
      </c>
      <c r="Y285" s="19">
        <f t="shared" si="102"/>
        <v>0</v>
      </c>
      <c r="Z285" s="12" t="str">
        <f t="shared" si="103"/>
        <v>当日执行</v>
      </c>
      <c r="AA285" s="12">
        <f>IF(原始输入与口径!AW189,1,0)</f>
        <v>1</v>
      </c>
      <c r="AB285" s="12">
        <f>IF(原始输入与口径!AY189,1,0)</f>
        <v>1</v>
      </c>
      <c r="AC285" s="12">
        <f>原始输入与口径!$F$5</f>
        <v>0.25</v>
      </c>
      <c r="AD285" s="18">
        <f>原始输入与口径!CG189</f>
        <v>0.3125</v>
      </c>
      <c r="AE285" s="18">
        <f>原始输入与口径!BQ189</f>
        <v>0.13714285714285715</v>
      </c>
      <c r="AF285" s="18">
        <f t="shared" si="104"/>
        <v>0.15474285714285713</v>
      </c>
      <c r="AG285" s="18">
        <f t="shared" si="105"/>
        <v>0</v>
      </c>
      <c r="AH285" s="12">
        <f>IF(ISNUMBER(原始输入与口径!T189),原始输入与口径!T189,"缺失")</f>
        <v>175</v>
      </c>
      <c r="AI285" s="12">
        <f>IF(ISNUMBER(原始输入与口径!Y189),原始输入与口径!Y189,"缺失")</f>
        <v>175</v>
      </c>
      <c r="AJ285" s="12">
        <f>IF(ISNUMBER(原始输入与口径!AI189),原始输入与口径!AI189,"缺失")</f>
        <v>6.77</v>
      </c>
      <c r="AK285" s="12">
        <f>IF(ISNUMBER(原始输入与口径!AL189),原始输入与口径!AL189,"缺失")</f>
        <v>0</v>
      </c>
      <c r="AL285" s="12">
        <f>IF(ISNUMBER(原始输入与口径!O189),原始输入与口径!O189,"缺失")</f>
        <v>91.903999999999996</v>
      </c>
      <c r="AM285" s="12">
        <f>SUMIFS(相位SOC复算!$N$9:$N$929,相位SOC复算!$S$9:$S$929,277)</f>
        <v>2.9977225672877847E-2</v>
      </c>
      <c r="AN285" s="12">
        <f>SUMIFS(相位SOC复算!$Q$9:$Q$929,相位SOC复算!$S$9:$S$929,277)</f>
        <v>0</v>
      </c>
      <c r="AO285" s="12">
        <f>SUMIFS(相位SOC复算!$R$9:$R$929,相位SOC复算!$S$9:$S$929,277)</f>
        <v>9.9284571428571429</v>
      </c>
      <c r="AP285" s="12">
        <f>相位SOC复算!J683</f>
        <v>72.632795031055849</v>
      </c>
      <c r="AQ285" s="19">
        <f t="shared" si="106"/>
        <v>0</v>
      </c>
      <c r="AR285" s="12">
        <f>IF(ISBLANK(原始输入与口径!M189),"",原始输入与口径!M189)</f>
        <v>5.2473000000000001</v>
      </c>
      <c r="AS285" s="14">
        <f>IF(ISBLANK(原始输入与口径!L189),"",原始输入与口径!L189)</f>
        <v>46234</v>
      </c>
      <c r="AT285" s="13">
        <f>IF(ISBLANK(原始输入与口径!A189),"",原始输入与口径!A189)</f>
        <v>46236.75</v>
      </c>
      <c r="AU285" s="12" t="str">
        <f>IF(ISBLANK(原始输入与口径!I189),"",原始输入与口径!I189)</f>
        <v>2026-08-02_81</v>
      </c>
      <c r="AV285" s="12">
        <f>IF(ISBLANK(原始输入与口径!J189),"",原始输入与口径!J189)</f>
        <v>15</v>
      </c>
      <c r="AW285" s="12" t="str">
        <f>IF(ISBLANK(原始输入与口径!BB189),"",原始输入与口径!BB189)</f>
        <v>OK</v>
      </c>
      <c r="AX285" s="12">
        <f>原始输入与口径!CI189</f>
        <v>128</v>
      </c>
      <c r="AY285" s="12">
        <f>原始输入与口径!BS189</f>
        <v>175</v>
      </c>
      <c r="AZ285" s="12">
        <f>原始输入与口径!BI189</f>
        <v>175</v>
      </c>
      <c r="BA285" s="12">
        <f>原始输入与口径!CM189</f>
        <v>40</v>
      </c>
      <c r="BB285" s="12">
        <f>原始输入与口径!BV189</f>
        <v>24</v>
      </c>
      <c r="BC285" s="12">
        <f>原始输入与口径!BL189</f>
        <v>24</v>
      </c>
      <c r="BD285" s="14">
        <f>46236</f>
        <v>46236</v>
      </c>
      <c r="BE285" s="1" t="str">
        <f t="shared" si="107"/>
        <v>36.000000 MW × 215.160000 × 0.250000 h = 1936.440000 EUR</v>
      </c>
      <c r="BF285" s="1" t="str">
        <f t="shared" si="108"/>
        <v>40.000000 MW × 60.030873 × 0.250000 h = 600.308730 EUR</v>
      </c>
      <c r="BG285" s="1" t="str">
        <f t="shared" si="109"/>
        <v>24.000000 MW × 7.024565 × 0.250000 h = 42.147390 EUR</v>
      </c>
      <c r="BH285" s="1" t="str">
        <f t="shared" si="110"/>
        <v>24.000000 MW × 2.850990 × 0.250000 h = 17.105940 EUR</v>
      </c>
      <c r="BI285" s="1" t="str">
        <f t="shared" si="111"/>
        <v>0.928457 MWh × 228.689040 = 212.327973 EUR</v>
      </c>
      <c r="BJ285" s="1" t="str">
        <f t="shared" si="112"/>
        <v>零下调激活电量</v>
      </c>
      <c r="BK285" s="1" t="str">
        <f t="shared" si="113"/>
        <v>1936.440000 + 600.308730 + 42.147390 + 17.105940 + 212.327973 + 0.000000 = 2808.330033 EUR</v>
      </c>
    </row>
    <row r="286" spans="1:63" ht="21" customHeight="1" x14ac:dyDescent="0.45">
      <c r="A286" s="13">
        <f>原始输入与口径!C190</f>
        <v>46236.885416666664</v>
      </c>
      <c r="B286" s="15">
        <f>IF(ISNUMBER(原始输入与口径!H190),原始输入与口径!H190,"缺失")</f>
        <v>217.54</v>
      </c>
      <c r="C286" s="15">
        <f>IF(ISNUMBER(原始输入与口径!R190),原始输入与口径!R190,"缺失")</f>
        <v>60.030873020410496</v>
      </c>
      <c r="D286" s="15">
        <f>IF(ISNUMBER(原始输入与口径!W190),原始输入与口径!W190,"缺失")</f>
        <v>7.0245650143883518</v>
      </c>
      <c r="E286" s="15">
        <f>IF(ISNUMBER(原始输入与口径!AB190),原始输入与口径!AB190,"缺失")</f>
        <v>2.850990032969337</v>
      </c>
      <c r="F286" s="15">
        <f>IF(ISNUMBER(原始输入与口径!AG190),原始输入与口径!AG190,"缺失")</f>
        <v>228.68904007775427</v>
      </c>
      <c r="G286" s="15">
        <f>IF(ISNUMBER(原始输入与口径!AJ190),原始输入与口径!AJ190,"缺失")</f>
        <v>0</v>
      </c>
      <c r="H286" s="15" t="str">
        <f t="shared" si="92"/>
        <v>未模拟</v>
      </c>
      <c r="I286" s="16">
        <f>原始输入与口径!CD190</f>
        <v>72.632795031055821</v>
      </c>
      <c r="J286" s="16">
        <f>原始输入与口径!CE190</f>
        <v>61.188968944099301</v>
      </c>
      <c r="K286" s="16">
        <f>原始输入与口径!BZ190</f>
        <v>36</v>
      </c>
      <c r="L286" s="16">
        <f>原始输入与口径!CK190</f>
        <v>40</v>
      </c>
      <c r="M286" s="16">
        <f>原始输入与口径!BT190</f>
        <v>24</v>
      </c>
      <c r="N286" s="16">
        <f>原始输入与口径!BJ190</f>
        <v>24</v>
      </c>
      <c r="O286" s="16">
        <f t="shared" si="93"/>
        <v>1.5283199999999999</v>
      </c>
      <c r="P286" s="16">
        <f t="shared" si="94"/>
        <v>0</v>
      </c>
      <c r="Q286" s="17">
        <f t="shared" si="95"/>
        <v>1957.86</v>
      </c>
      <c r="R286" s="17">
        <f t="shared" si="96"/>
        <v>600.3087302041049</v>
      </c>
      <c r="S286" s="17">
        <f t="shared" si="97"/>
        <v>42.147390086330113</v>
      </c>
      <c r="T286" s="17">
        <f t="shared" si="98"/>
        <v>17.105940197816022</v>
      </c>
      <c r="U286" s="17">
        <f t="shared" si="99"/>
        <v>349.51003373163337</v>
      </c>
      <c r="V286" s="17">
        <f t="shared" si="100"/>
        <v>0</v>
      </c>
      <c r="W286" s="17">
        <f t="shared" si="101"/>
        <v>2966.9320942198842</v>
      </c>
      <c r="X286" s="12">
        <f>原始输入与口径!CP190</f>
        <v>2966.9320942198842</v>
      </c>
      <c r="Y286" s="19">
        <f t="shared" si="102"/>
        <v>0</v>
      </c>
      <c r="Z286" s="12" t="str">
        <f t="shared" si="103"/>
        <v>当日执行</v>
      </c>
      <c r="AA286" s="12">
        <f>IF(原始输入与口径!AW190,1,0)</f>
        <v>1</v>
      </c>
      <c r="AB286" s="12">
        <f>IF(原始输入与口径!AY190,1,0)</f>
        <v>1</v>
      </c>
      <c r="AC286" s="12">
        <f>原始输入与口径!$F$5</f>
        <v>0.25</v>
      </c>
      <c r="AD286" s="18">
        <f>原始输入与口径!CG190</f>
        <v>0.3125</v>
      </c>
      <c r="AE286" s="18">
        <f>原始输入与口径!BQ190</f>
        <v>0.13714285714285715</v>
      </c>
      <c r="AF286" s="18">
        <f t="shared" si="104"/>
        <v>0.25472</v>
      </c>
      <c r="AG286" s="18">
        <f t="shared" si="105"/>
        <v>0</v>
      </c>
      <c r="AH286" s="12">
        <f>IF(ISNUMBER(原始输入与口径!T190),原始输入与口径!T190,"缺失")</f>
        <v>175</v>
      </c>
      <c r="AI286" s="12">
        <f>IF(ISNUMBER(原始输入与口径!Y190),原始输入与口径!Y190,"缺失")</f>
        <v>175</v>
      </c>
      <c r="AJ286" s="12">
        <f>IF(ISNUMBER(原始输入与口径!AI190),原始输入与口径!AI190,"缺失")</f>
        <v>11.144</v>
      </c>
      <c r="AK286" s="12">
        <f>IF(ISNUMBER(原始输入与口径!AL190),原始输入与口径!AL190,"缺失")</f>
        <v>0</v>
      </c>
      <c r="AL286" s="12">
        <f>IF(ISNUMBER(原始输入与口径!O190),原始输入与口径!O190,"缺失")</f>
        <v>91.903999999999996</v>
      </c>
      <c r="AM286" s="12">
        <f>SUMIFS(相位SOC复算!$N$9:$N$929,相位SOC复算!$S$9:$S$929,278)</f>
        <v>3.1788405797101446E-2</v>
      </c>
      <c r="AN286" s="12">
        <f>SUMIFS(相位SOC复算!$Q$9:$Q$929,相位SOC复算!$S$9:$S$929,278)</f>
        <v>0</v>
      </c>
      <c r="AO286" s="12">
        <f>SUMIFS(相位SOC复算!$R$9:$R$929,相位SOC复算!$S$9:$S$929,278)</f>
        <v>10.528320000000001</v>
      </c>
      <c r="AP286" s="12">
        <f>相位SOC复算!J685</f>
        <v>61.188968944099329</v>
      </c>
      <c r="AQ286" s="19">
        <f t="shared" si="106"/>
        <v>0</v>
      </c>
      <c r="AR286" s="12">
        <f>IF(ISBLANK(原始输入与口径!M190),"",原始输入与口径!M190)</f>
        <v>5.2473000000000001</v>
      </c>
      <c r="AS286" s="14">
        <f>IF(ISBLANK(原始输入与口径!L190),"",原始输入与口径!L190)</f>
        <v>46234</v>
      </c>
      <c r="AT286" s="13">
        <f>IF(ISBLANK(原始输入与口径!A190),"",原始输入与口径!A190)</f>
        <v>46236.760416666664</v>
      </c>
      <c r="AU286" s="12" t="str">
        <f>IF(ISBLANK(原始输入与口径!I190),"",原始输入与口径!I190)</f>
        <v>2026-08-02_82</v>
      </c>
      <c r="AV286" s="12">
        <f>IF(ISBLANK(原始输入与口径!J190),"",原始输入与口径!J190)</f>
        <v>15</v>
      </c>
      <c r="AW286" s="12" t="str">
        <f>IF(ISBLANK(原始输入与口径!BB190),"",原始输入与口径!BB190)</f>
        <v>OK</v>
      </c>
      <c r="AX286" s="12">
        <f>原始输入与口径!CI190</f>
        <v>128</v>
      </c>
      <c r="AY286" s="12">
        <f>原始输入与口径!BS190</f>
        <v>175</v>
      </c>
      <c r="AZ286" s="12">
        <f>原始输入与口径!BI190</f>
        <v>175</v>
      </c>
      <c r="BA286" s="12">
        <f>原始输入与口径!CM190</f>
        <v>40</v>
      </c>
      <c r="BB286" s="12">
        <f>原始输入与口径!BV190</f>
        <v>24</v>
      </c>
      <c r="BC286" s="12">
        <f>原始输入与口径!BL190</f>
        <v>24</v>
      </c>
      <c r="BD286" s="14">
        <f>46236</f>
        <v>46236</v>
      </c>
      <c r="BE286" s="1" t="str">
        <f t="shared" si="107"/>
        <v>36.000000 MW × 217.540000 × 0.250000 h = 1957.860000 EUR</v>
      </c>
      <c r="BF286" s="1" t="str">
        <f t="shared" si="108"/>
        <v>40.000000 MW × 60.030873 × 0.250000 h = 600.308730 EUR</v>
      </c>
      <c r="BG286" s="1" t="str">
        <f t="shared" si="109"/>
        <v>24.000000 MW × 7.024565 × 0.250000 h = 42.147390 EUR</v>
      </c>
      <c r="BH286" s="1" t="str">
        <f t="shared" si="110"/>
        <v>24.000000 MW × 2.850990 × 0.250000 h = 17.105940 EUR</v>
      </c>
      <c r="BI286" s="1" t="str">
        <f t="shared" si="111"/>
        <v>1.528320 MWh × 228.689040 = 349.510034 EUR</v>
      </c>
      <c r="BJ286" s="1" t="str">
        <f t="shared" si="112"/>
        <v>零下调激活电量</v>
      </c>
      <c r="BK286" s="1" t="str">
        <f t="shared" si="113"/>
        <v>1957.860000 + 600.308730 + 42.147390 + 17.105940 + 349.510034 + 0.000000 = 2966.932094 EUR</v>
      </c>
    </row>
    <row r="287" spans="1:63" ht="21" customHeight="1" x14ac:dyDescent="0.45">
      <c r="A287" s="13">
        <f>原始输入与口径!C191</f>
        <v>46236.895833333336</v>
      </c>
      <c r="B287" s="15">
        <f>IF(ISNUMBER(原始输入与口径!H191),原始输入与口径!H191,"缺失")</f>
        <v>208.75</v>
      </c>
      <c r="C287" s="15">
        <f>IF(ISNUMBER(原始输入与口径!R191),原始输入与口径!R191,"缺失")</f>
        <v>60.030873020410496</v>
      </c>
      <c r="D287" s="15">
        <f>IF(ISNUMBER(原始输入与口径!W191),原始输入与口径!W191,"缺失")</f>
        <v>7.0245650143883518</v>
      </c>
      <c r="E287" s="15">
        <f>IF(ISNUMBER(原始输入与口径!AB191),原始输入与口径!AB191,"缺失")</f>
        <v>2.850990032969337</v>
      </c>
      <c r="F287" s="15">
        <f>IF(ISNUMBER(原始输入与口径!AG191),原始输入与口径!AG191,"缺失")</f>
        <v>219.41932041240256</v>
      </c>
      <c r="G287" s="15">
        <f>IF(ISNUMBER(原始输入与口径!AJ191),原始输入与口径!AJ191,"缺失")</f>
        <v>80.041164027213995</v>
      </c>
      <c r="H287" s="15" t="str">
        <f t="shared" si="92"/>
        <v>未模拟</v>
      </c>
      <c r="I287" s="16">
        <f>原始输入与口径!CD191</f>
        <v>61.188968944099301</v>
      </c>
      <c r="J287" s="16">
        <f>原始输入与口径!CE191</f>
        <v>50.891478260869491</v>
      </c>
      <c r="K287" s="16">
        <f>原始输入与口径!BZ191</f>
        <v>36</v>
      </c>
      <c r="L287" s="16">
        <f>原始输入与口径!CK191</f>
        <v>40</v>
      </c>
      <c r="M287" s="16">
        <f>原始输入与口径!BT191</f>
        <v>24</v>
      </c>
      <c r="N287" s="16">
        <f>原始输入与口径!BJ191</f>
        <v>24</v>
      </c>
      <c r="O287" s="16">
        <f t="shared" si="93"/>
        <v>0.47423999999999999</v>
      </c>
      <c r="P287" s="16">
        <f t="shared" si="94"/>
        <v>5.4857142857142865E-4</v>
      </c>
      <c r="Q287" s="17">
        <f t="shared" si="95"/>
        <v>1878.75</v>
      </c>
      <c r="R287" s="17">
        <f t="shared" si="96"/>
        <v>600.3087302041049</v>
      </c>
      <c r="S287" s="17">
        <f t="shared" si="97"/>
        <v>42.147390086330113</v>
      </c>
      <c r="T287" s="17">
        <f t="shared" si="98"/>
        <v>17.105940197816022</v>
      </c>
      <c r="U287" s="17">
        <f t="shared" si="99"/>
        <v>104.05741851237779</v>
      </c>
      <c r="V287" s="17">
        <f t="shared" si="100"/>
        <v>-4.3908295694928823E-2</v>
      </c>
      <c r="W287" s="17">
        <f t="shared" si="101"/>
        <v>2642.3255707049339</v>
      </c>
      <c r="X287" s="12">
        <f>原始输入与口径!CP191</f>
        <v>2642.3255707049339</v>
      </c>
      <c r="Y287" s="19">
        <f t="shared" si="102"/>
        <v>0</v>
      </c>
      <c r="Z287" s="12" t="str">
        <f t="shared" si="103"/>
        <v>当日执行</v>
      </c>
      <c r="AA287" s="12">
        <f>IF(原始输入与口径!AW191,1,0)</f>
        <v>1</v>
      </c>
      <c r="AB287" s="12">
        <f>IF(原始输入与口径!AY191,1,0)</f>
        <v>1</v>
      </c>
      <c r="AC287" s="12">
        <f>原始输入与口径!$F$5</f>
        <v>0.25</v>
      </c>
      <c r="AD287" s="18">
        <f>原始输入与口径!CG191</f>
        <v>0.3125</v>
      </c>
      <c r="AE287" s="18">
        <f>原始输入与口径!BQ191</f>
        <v>0.13714285714285715</v>
      </c>
      <c r="AF287" s="18">
        <f t="shared" si="104"/>
        <v>7.9039999999999999E-2</v>
      </c>
      <c r="AG287" s="18">
        <f t="shared" si="105"/>
        <v>9.1428571428571432E-5</v>
      </c>
      <c r="AH287" s="12">
        <f>IF(ISNUMBER(原始输入与口径!T191),原始输入与口径!T191,"缺失")</f>
        <v>175</v>
      </c>
      <c r="AI287" s="12">
        <f>IF(ISNUMBER(原始输入与口径!Y191),原始输入与口径!Y191,"缺失")</f>
        <v>175</v>
      </c>
      <c r="AJ287" s="12">
        <f>IF(ISNUMBER(原始输入与口径!AI191),原始输入与口径!AI191,"缺失")</f>
        <v>3.4580000000000002</v>
      </c>
      <c r="AK287" s="12">
        <f>IF(ISNUMBER(原始输入与口径!AL191),原始输入与口径!AL191,"缺失")</f>
        <v>4.0000000000000001E-3</v>
      </c>
      <c r="AL287" s="12">
        <f>IF(ISNUMBER(原始输入与口径!O191),原始输入与口径!O191,"缺失")</f>
        <v>91.903999999999996</v>
      </c>
      <c r="AM287" s="12">
        <f>SUMIFS(相位SOC复算!$N$9:$N$929,相位SOC复算!$S$9:$S$929,279)</f>
        <v>2.8604140786749485E-2</v>
      </c>
      <c r="AN287" s="12">
        <f>SUMIFS(相位SOC复算!$Q$9:$Q$929,相位SOC复算!$S$9:$S$929,279)</f>
        <v>0</v>
      </c>
      <c r="AO287" s="12">
        <f>SUMIFS(相位SOC复算!$R$9:$R$929,相位SOC复算!$S$9:$S$929,279)</f>
        <v>9.4736914285714295</v>
      </c>
      <c r="AP287" s="12">
        <f>相位SOC复算!J688</f>
        <v>50.891478260869519</v>
      </c>
      <c r="AQ287" s="19">
        <f t="shared" si="106"/>
        <v>0</v>
      </c>
      <c r="AR287" s="12">
        <f>IF(ISBLANK(原始输入与口径!M191),"",原始输入与口径!M191)</f>
        <v>5.2473000000000001</v>
      </c>
      <c r="AS287" s="14">
        <f>IF(ISBLANK(原始输入与口径!L191),"",原始输入与口径!L191)</f>
        <v>46234</v>
      </c>
      <c r="AT287" s="13">
        <f>IF(ISBLANK(原始输入与口径!A191),"",原始输入与口径!A191)</f>
        <v>46236.770833333336</v>
      </c>
      <c r="AU287" s="12" t="str">
        <f>IF(ISBLANK(原始输入与口径!I191),"",原始输入与口径!I191)</f>
        <v>2026-08-02_83</v>
      </c>
      <c r="AV287" s="12">
        <f>IF(ISBLANK(原始输入与口径!J191),"",原始输入与口径!J191)</f>
        <v>15</v>
      </c>
      <c r="AW287" s="12" t="str">
        <f>IF(ISBLANK(原始输入与口径!BB191),"",原始输入与口径!BB191)</f>
        <v>OK</v>
      </c>
      <c r="AX287" s="12">
        <f>原始输入与口径!CI191</f>
        <v>128</v>
      </c>
      <c r="AY287" s="12">
        <f>原始输入与口径!BS191</f>
        <v>175</v>
      </c>
      <c r="AZ287" s="12">
        <f>原始输入与口径!BI191</f>
        <v>175</v>
      </c>
      <c r="BA287" s="12">
        <f>原始输入与口径!CM191</f>
        <v>40</v>
      </c>
      <c r="BB287" s="12">
        <f>原始输入与口径!BV191</f>
        <v>24</v>
      </c>
      <c r="BC287" s="12">
        <f>原始输入与口径!BL191</f>
        <v>24</v>
      </c>
      <c r="BD287" s="14">
        <f>46236</f>
        <v>46236</v>
      </c>
      <c r="BE287" s="1" t="str">
        <f t="shared" si="107"/>
        <v>36.000000 MW × 208.750000 × 0.250000 h = 1878.750000 EUR</v>
      </c>
      <c r="BF287" s="1" t="str">
        <f t="shared" si="108"/>
        <v>40.000000 MW × 60.030873 × 0.250000 h = 600.308730 EUR</v>
      </c>
      <c r="BG287" s="1" t="str">
        <f t="shared" si="109"/>
        <v>24.000000 MW × 7.024565 × 0.250000 h = 42.147390 EUR</v>
      </c>
      <c r="BH287" s="1" t="str">
        <f t="shared" si="110"/>
        <v>24.000000 MW × 2.850990 × 0.250000 h = 17.105940 EUR</v>
      </c>
      <c r="BI287" s="1" t="str">
        <f t="shared" si="111"/>
        <v>0.474240 MWh × 219.419320 = 104.057419 EUR</v>
      </c>
      <c r="BJ287" s="1" t="str">
        <f t="shared" si="112"/>
        <v>−(0.000549 MWh × 80.041164) = -0.043908 EUR</v>
      </c>
      <c r="BK287" s="1" t="str">
        <f t="shared" si="113"/>
        <v>1878.750000 + 600.308730 + 42.147390 + 17.105940 + 104.057419 + -0.043908 = 2642.325571 EUR</v>
      </c>
    </row>
    <row r="288" spans="1:63" ht="21" customHeight="1" x14ac:dyDescent="0.45">
      <c r="A288" s="13">
        <f>原始输入与口径!C192</f>
        <v>46236.90625</v>
      </c>
      <c r="B288" s="15">
        <f>IF(ISNUMBER(原始输入与口径!H192),原始输入与口径!H192,"缺失")</f>
        <v>197.01</v>
      </c>
      <c r="C288" s="15">
        <f>IF(ISNUMBER(原始输入与口径!R192),原始输入与口径!R192,"缺失")</f>
        <v>60.030873020410496</v>
      </c>
      <c r="D288" s="15">
        <f>IF(ISNUMBER(原始输入与口径!W192),原始输入与口径!W192,"缺失")</f>
        <v>7.0245650143883518</v>
      </c>
      <c r="E288" s="15">
        <f>IF(ISNUMBER(原始输入与口径!AB192),原始输入与口径!AB192,"缺失")</f>
        <v>2.850990032969337</v>
      </c>
      <c r="F288" s="15">
        <f>IF(ISNUMBER(原始输入与口径!AG192),原始输入与口径!AG192,"缺失")</f>
        <v>184.64696129437996</v>
      </c>
      <c r="G288" s="15">
        <f>IF(ISNUMBER(原始输入与口径!AJ192),原始输入与口径!AJ192,"缺失")</f>
        <v>72.255445657766856</v>
      </c>
      <c r="H288" s="15" t="str">
        <f t="shared" si="92"/>
        <v>未模拟</v>
      </c>
      <c r="I288" s="16">
        <f>原始输入与口径!CD192</f>
        <v>50.891478260869491</v>
      </c>
      <c r="J288" s="16">
        <f>原始输入与口径!CE192</f>
        <v>51.127647324223531</v>
      </c>
      <c r="K288" s="16">
        <f>原始输入与口径!BZ192</f>
        <v>0</v>
      </c>
      <c r="L288" s="16">
        <f>原始输入与口径!CK192</f>
        <v>40</v>
      </c>
      <c r="M288" s="16">
        <f>原始输入与口径!BT192</f>
        <v>24</v>
      </c>
      <c r="N288" s="16">
        <f>原始输入与口径!BJ192</f>
        <v>24</v>
      </c>
      <c r="O288" s="16">
        <f t="shared" si="93"/>
        <v>6.9668571428571427E-2</v>
      </c>
      <c r="P288" s="16">
        <f t="shared" si="94"/>
        <v>0.33901714285714285</v>
      </c>
      <c r="Q288" s="17">
        <f t="shared" si="95"/>
        <v>0</v>
      </c>
      <c r="R288" s="17">
        <f t="shared" si="96"/>
        <v>600.3087302041049</v>
      </c>
      <c r="S288" s="17">
        <f t="shared" si="97"/>
        <v>42.147390086330113</v>
      </c>
      <c r="T288" s="17">
        <f t="shared" si="98"/>
        <v>17.105940197816022</v>
      </c>
      <c r="U288" s="17">
        <f t="shared" si="99"/>
        <v>12.864090012006175</v>
      </c>
      <c r="V288" s="17">
        <f t="shared" si="100"/>
        <v>-24.49583474276567</v>
      </c>
      <c r="W288" s="17">
        <f t="shared" si="101"/>
        <v>647.9303157574916</v>
      </c>
      <c r="X288" s="12">
        <f>原始输入与口径!CP192</f>
        <v>647.9303157574916</v>
      </c>
      <c r="Y288" s="19">
        <f t="shared" si="102"/>
        <v>0</v>
      </c>
      <c r="Z288" s="12" t="str">
        <f t="shared" si="103"/>
        <v>当日执行</v>
      </c>
      <c r="AA288" s="12">
        <f>IF(原始输入与口径!AW192,1,0)</f>
        <v>1</v>
      </c>
      <c r="AB288" s="12">
        <f>IF(原始输入与口径!AY192,1,0)</f>
        <v>1</v>
      </c>
      <c r="AC288" s="12">
        <f>原始输入与口径!$F$5</f>
        <v>0.25</v>
      </c>
      <c r="AD288" s="18">
        <f>原始输入与口径!CG192</f>
        <v>0.3125</v>
      </c>
      <c r="AE288" s="18">
        <f>原始输入与口径!BQ192</f>
        <v>0.13714285714285715</v>
      </c>
      <c r="AF288" s="18">
        <f t="shared" si="104"/>
        <v>1.1611428571428571E-2</v>
      </c>
      <c r="AG288" s="18">
        <f t="shared" si="105"/>
        <v>5.6502857142857139E-2</v>
      </c>
      <c r="AH288" s="12">
        <f>IF(ISNUMBER(原始输入与口径!T192),原始输入与口径!T192,"缺失")</f>
        <v>175</v>
      </c>
      <c r="AI288" s="12">
        <f>IF(ISNUMBER(原始输入与口径!Y192),原始输入与口径!Y192,"缺失")</f>
        <v>175</v>
      </c>
      <c r="AJ288" s="12">
        <f>IF(ISNUMBER(原始输入与口径!AI192),原始输入与口径!AI192,"缺失")</f>
        <v>0.50800000000000001</v>
      </c>
      <c r="AK288" s="12">
        <f>IF(ISNUMBER(原始输入与口径!AL192),原始输入与口径!AL192,"缺失")</f>
        <v>2.472</v>
      </c>
      <c r="AL288" s="12">
        <f>IF(ISNUMBER(原始输入与口径!O192),原始输入与口径!O192,"缺失")</f>
        <v>91.903999999999996</v>
      </c>
      <c r="AM288" s="12">
        <f>SUMIFS(相位SOC复算!$N$9:$N$929,相位SOC复算!$S$9:$S$929,280)</f>
        <v>1.0767291097308488E-3</v>
      </c>
      <c r="AN288" s="12">
        <f>SUMIFS(相位SOC复算!$Q$9:$Q$929,相位SOC复算!$S$9:$S$929,280)</f>
        <v>0.33901714285714285</v>
      </c>
      <c r="AO288" s="12">
        <f>SUMIFS(相位SOC复算!$R$9:$R$929,相位SOC复算!$S$9:$S$929,280)</f>
        <v>6.9668571428571427E-2</v>
      </c>
      <c r="AP288" s="12">
        <f>相位SOC复算!J691</f>
        <v>51.12764732422356</v>
      </c>
      <c r="AQ288" s="19">
        <f t="shared" si="106"/>
        <v>0</v>
      </c>
      <c r="AR288" s="12">
        <f>IF(ISBLANK(原始输入与口径!M192),"",原始输入与口径!M192)</f>
        <v>5.2473000000000001</v>
      </c>
      <c r="AS288" s="14">
        <f>IF(ISBLANK(原始输入与口径!L192),"",原始输入与口径!L192)</f>
        <v>46234</v>
      </c>
      <c r="AT288" s="13">
        <f>IF(ISBLANK(原始输入与口径!A192),"",原始输入与口径!A192)</f>
        <v>46236.78125</v>
      </c>
      <c r="AU288" s="12" t="str">
        <f>IF(ISBLANK(原始输入与口径!I192),"",原始输入与口径!I192)</f>
        <v>2026-08-02_84</v>
      </c>
      <c r="AV288" s="12">
        <f>IF(ISBLANK(原始输入与口径!J192),"",原始输入与口径!J192)</f>
        <v>15</v>
      </c>
      <c r="AW288" s="12" t="str">
        <f>IF(ISBLANK(原始输入与口径!BB192),"",原始输入与口径!BB192)</f>
        <v>OK</v>
      </c>
      <c r="AX288" s="12">
        <f>原始输入与口径!CI192</f>
        <v>128</v>
      </c>
      <c r="AY288" s="12">
        <f>原始输入与口径!BS192</f>
        <v>175</v>
      </c>
      <c r="AZ288" s="12">
        <f>原始输入与口径!BI192</f>
        <v>175</v>
      </c>
      <c r="BA288" s="12">
        <f>原始输入与口径!CM192</f>
        <v>40</v>
      </c>
      <c r="BB288" s="12">
        <f>原始输入与口径!BV192</f>
        <v>24</v>
      </c>
      <c r="BC288" s="12">
        <f>原始输入与口径!BL192</f>
        <v>24</v>
      </c>
      <c r="BD288" s="14">
        <f>46236</f>
        <v>46236</v>
      </c>
      <c r="BE288" s="1" t="str">
        <f t="shared" si="107"/>
        <v>零头寸，无结算现金</v>
      </c>
      <c r="BF288" s="1" t="str">
        <f t="shared" si="108"/>
        <v>40.000000 MW × 60.030873 × 0.250000 h = 600.308730 EUR</v>
      </c>
      <c r="BG288" s="1" t="str">
        <f t="shared" si="109"/>
        <v>24.000000 MW × 7.024565 × 0.250000 h = 42.147390 EUR</v>
      </c>
      <c r="BH288" s="1" t="str">
        <f t="shared" si="110"/>
        <v>24.000000 MW × 2.850990 × 0.250000 h = 17.105940 EUR</v>
      </c>
      <c r="BI288" s="1" t="str">
        <f t="shared" si="111"/>
        <v>0.069669 MWh × 184.646961 = 12.864090 EUR</v>
      </c>
      <c r="BJ288" s="1" t="str">
        <f t="shared" si="112"/>
        <v>−(0.339017 MWh × 72.255446) = -24.495835 EUR</v>
      </c>
      <c r="BK288" s="1" t="str">
        <f t="shared" si="113"/>
        <v>0.000000 + 600.308730 + 42.147390 + 17.105940 + 12.864090 + -24.495835 = 647.930316 EUR</v>
      </c>
    </row>
    <row r="289" spans="1:63" ht="21" customHeight="1" x14ac:dyDescent="0.45">
      <c r="A289" s="13">
        <f>原始输入与口径!C193</f>
        <v>46236.916666666664</v>
      </c>
      <c r="B289" s="15">
        <f>IF(ISNUMBER(原始输入与口径!H193),原始输入与口径!H193,"缺失")</f>
        <v>201.42</v>
      </c>
      <c r="C289" s="15">
        <f>IF(ISNUMBER(原始输入与口径!R193),原始输入与口径!R193,"缺失")</f>
        <v>66.224534522516336</v>
      </c>
      <c r="D289" s="15">
        <f>IF(ISNUMBER(原始输入与口径!W193),原始输入与口径!W193,"缺失")</f>
        <v>3.9143940693308936</v>
      </c>
      <c r="E289" s="15">
        <f>IF(ISNUMBER(原始输入与口径!AB193),原始输入与口径!AB193,"缺失")</f>
        <v>2.5937148628818627</v>
      </c>
      <c r="F289" s="15">
        <f>IF(ISNUMBER(原始输入与口径!AG193),原始输入与口径!AG193,"缺失")</f>
        <v>169.02330722466795</v>
      </c>
      <c r="G289" s="15">
        <f>IF(ISNUMBER(原始输入与口径!AJ193),原始输入与口径!AJ193,"缺失")</f>
        <v>76.420254225982887</v>
      </c>
      <c r="H289" s="15" t="str">
        <f t="shared" si="92"/>
        <v>未模拟</v>
      </c>
      <c r="I289" s="16">
        <f>原始输入与口径!CD193</f>
        <v>51.127647324223531</v>
      </c>
      <c r="J289" s="16">
        <f>原始输入与口径!CE193</f>
        <v>51.309228760248374</v>
      </c>
      <c r="K289" s="16">
        <f>原始输入与口径!BZ193</f>
        <v>0</v>
      </c>
      <c r="L289" s="16">
        <f>原始输入与口径!CK193</f>
        <v>40</v>
      </c>
      <c r="M289" s="16">
        <f>原始输入与口径!BT193</f>
        <v>24</v>
      </c>
      <c r="N289" s="16">
        <f>原始输入与口径!BJ193</f>
        <v>24</v>
      </c>
      <c r="O289" s="16">
        <f t="shared" si="93"/>
        <v>2.9348571428571432E-2</v>
      </c>
      <c r="P289" s="16">
        <f t="shared" si="94"/>
        <v>0.23204571428571424</v>
      </c>
      <c r="Q289" s="17">
        <f t="shared" si="95"/>
        <v>0</v>
      </c>
      <c r="R289" s="17">
        <f t="shared" si="96"/>
        <v>662.24534522516342</v>
      </c>
      <c r="S289" s="17">
        <f t="shared" si="97"/>
        <v>23.486364415985364</v>
      </c>
      <c r="T289" s="17">
        <f t="shared" si="98"/>
        <v>15.562289177291177</v>
      </c>
      <c r="U289" s="17">
        <f t="shared" si="99"/>
        <v>4.960592605176541</v>
      </c>
      <c r="V289" s="17">
        <f t="shared" si="100"/>
        <v>-17.732992477764071</v>
      </c>
      <c r="W289" s="17">
        <f t="shared" si="101"/>
        <v>688.52159894585247</v>
      </c>
      <c r="X289" s="12">
        <f>原始输入与口径!CP193</f>
        <v>688.52159894585247</v>
      </c>
      <c r="Y289" s="19">
        <f t="shared" si="102"/>
        <v>0</v>
      </c>
      <c r="Z289" s="12" t="str">
        <f t="shared" si="103"/>
        <v>当日执行</v>
      </c>
      <c r="AA289" s="12">
        <f>IF(原始输入与口径!AW193,1,0)</f>
        <v>1</v>
      </c>
      <c r="AB289" s="12">
        <f>IF(原始输入与口径!AY193,1,0)</f>
        <v>1</v>
      </c>
      <c r="AC289" s="12">
        <f>原始输入与口径!$F$5</f>
        <v>0.25</v>
      </c>
      <c r="AD289" s="18">
        <f>原始输入与口径!CG193</f>
        <v>0.3125</v>
      </c>
      <c r="AE289" s="18">
        <f>原始输入与口径!BQ193</f>
        <v>0.13714285714285715</v>
      </c>
      <c r="AF289" s="18">
        <f t="shared" si="104"/>
        <v>4.8914285714285717E-3</v>
      </c>
      <c r="AG289" s="18">
        <f t="shared" si="105"/>
        <v>3.867428571428571E-2</v>
      </c>
      <c r="AH289" s="12">
        <f>IF(ISNUMBER(原始输入与口径!T193),原始输入与口径!T193,"缺失")</f>
        <v>175</v>
      </c>
      <c r="AI289" s="12">
        <f>IF(ISNUMBER(原始输入与口径!Y193),原始输入与口径!Y193,"缺失")</f>
        <v>175</v>
      </c>
      <c r="AJ289" s="12">
        <f>IF(ISNUMBER(原始输入与口径!AI193),原始输入与口径!AI193,"缺失")</f>
        <v>0.214</v>
      </c>
      <c r="AK289" s="12">
        <f>IF(ISNUMBER(原始输入与口径!AL193),原始输入与口径!AL193,"缺失")</f>
        <v>1.6919999999999999</v>
      </c>
      <c r="AL289" s="12">
        <f>IF(ISNUMBER(原始输入与口径!O193),原始输入与口径!O193,"缺失")</f>
        <v>131.96799999999999</v>
      </c>
      <c r="AM289" s="12">
        <f>SUMIFS(相位SOC复算!$N$9:$N$929,相位SOC复算!$S$9:$S$929,281)</f>
        <v>6.8161855072463771E-4</v>
      </c>
      <c r="AN289" s="12">
        <f>SUMIFS(相位SOC复算!$Q$9:$Q$929,相位SOC复算!$S$9:$S$929,281)</f>
        <v>0.23204571428571424</v>
      </c>
      <c r="AO289" s="12">
        <f>SUMIFS(相位SOC复算!$R$9:$R$929,相位SOC复算!$S$9:$S$929,281)</f>
        <v>2.9348571428571432E-2</v>
      </c>
      <c r="AP289" s="12">
        <f>相位SOC复算!J694</f>
        <v>51.309228760248402</v>
      </c>
      <c r="AQ289" s="19">
        <f t="shared" si="106"/>
        <v>0</v>
      </c>
      <c r="AR289" s="12">
        <f>IF(ISBLANK(原始输入与口径!M193),"",原始输入与口径!M193)</f>
        <v>5.2473000000000001</v>
      </c>
      <c r="AS289" s="14">
        <f>IF(ISBLANK(原始输入与口径!L193),"",原始输入与口径!L193)</f>
        <v>46234</v>
      </c>
      <c r="AT289" s="13">
        <f>IF(ISBLANK(原始输入与口径!A193),"",原始输入与口径!A193)</f>
        <v>46236.791666666664</v>
      </c>
      <c r="AU289" s="12" t="str">
        <f>IF(ISBLANK(原始输入与口径!I193),"",原始输入与口径!I193)</f>
        <v>2026-08-02_85</v>
      </c>
      <c r="AV289" s="12">
        <f>IF(ISBLANK(原始输入与口径!J193),"",原始输入与口径!J193)</f>
        <v>15</v>
      </c>
      <c r="AW289" s="12" t="str">
        <f>IF(ISBLANK(原始输入与口径!BB193),"",原始输入与口径!BB193)</f>
        <v>OK</v>
      </c>
      <c r="AX289" s="12">
        <f>原始输入与口径!CI193</f>
        <v>128</v>
      </c>
      <c r="AY289" s="12">
        <f>原始输入与口径!BS193</f>
        <v>175</v>
      </c>
      <c r="AZ289" s="12">
        <f>原始输入与口径!BI193</f>
        <v>175</v>
      </c>
      <c r="BA289" s="12">
        <f>原始输入与口径!CM193</f>
        <v>40</v>
      </c>
      <c r="BB289" s="12">
        <f>原始输入与口径!BV193</f>
        <v>24</v>
      </c>
      <c r="BC289" s="12">
        <f>原始输入与口径!BL193</f>
        <v>24</v>
      </c>
      <c r="BD289" s="14">
        <f>46236</f>
        <v>46236</v>
      </c>
      <c r="BE289" s="1" t="str">
        <f t="shared" si="107"/>
        <v>零头寸，无结算现金</v>
      </c>
      <c r="BF289" s="1" t="str">
        <f t="shared" si="108"/>
        <v>40.000000 MW × 66.224535 × 0.250000 h = 662.245345 EUR</v>
      </c>
      <c r="BG289" s="1" t="str">
        <f t="shared" si="109"/>
        <v>24.000000 MW × 3.914394 × 0.250000 h = 23.486364 EUR</v>
      </c>
      <c r="BH289" s="1" t="str">
        <f t="shared" si="110"/>
        <v>24.000000 MW × 2.593715 × 0.250000 h = 15.562289 EUR</v>
      </c>
      <c r="BI289" s="1" t="str">
        <f t="shared" si="111"/>
        <v>0.029349 MWh × 169.023307 = 4.960593 EUR</v>
      </c>
      <c r="BJ289" s="1" t="str">
        <f t="shared" si="112"/>
        <v>−(0.232046 MWh × 76.420254) = -17.732992 EUR</v>
      </c>
      <c r="BK289" s="1" t="str">
        <f t="shared" si="113"/>
        <v>0.000000 + 662.245345 + 23.486364 + 15.562289 + 4.960593 + -17.732992 = 688.521599 EUR</v>
      </c>
    </row>
    <row r="290" spans="1:63" ht="21" customHeight="1" x14ac:dyDescent="0.45">
      <c r="A290" s="13">
        <f>原始输入与口径!C194</f>
        <v>46236.927083333336</v>
      </c>
      <c r="B290" s="15">
        <f>IF(ISNUMBER(原始输入与口径!H194),原始输入与口径!H194,"缺失")</f>
        <v>204.65</v>
      </c>
      <c r="C290" s="15">
        <f>IF(ISNUMBER(原始输入与口径!R194),原始输入与口径!R194,"缺失")</f>
        <v>66.224534522516336</v>
      </c>
      <c r="D290" s="15">
        <f>IF(ISNUMBER(原始输入与口径!W194),原始输入与口径!W194,"缺失")</f>
        <v>3.9143940693308936</v>
      </c>
      <c r="E290" s="15">
        <f>IF(ISNUMBER(原始输入与口径!AB194),原始输入与口径!AB194,"缺失")</f>
        <v>2.5937148628818627</v>
      </c>
      <c r="F290" s="15">
        <f>IF(ISNUMBER(原始输入与口径!AG194),原始输入与口径!AG194,"缺失")</f>
        <v>152.45936005183617</v>
      </c>
      <c r="G290" s="15">
        <f>IF(ISNUMBER(原始输入与口径!AJ194),原始输入与口径!AJ194,"缺失")</f>
        <v>72.481085510643567</v>
      </c>
      <c r="H290" s="15" t="str">
        <f t="shared" si="92"/>
        <v>未模拟</v>
      </c>
      <c r="I290" s="16">
        <f>原始输入与口径!CD194</f>
        <v>51.309228760248374</v>
      </c>
      <c r="J290" s="16">
        <f>原始输入与口径!CE194</f>
        <v>51.723129480745271</v>
      </c>
      <c r="K290" s="16">
        <f>原始输入与口径!BZ194</f>
        <v>0</v>
      </c>
      <c r="L290" s="16">
        <f>原始输入与口径!CK194</f>
        <v>40</v>
      </c>
      <c r="M290" s="16">
        <f>原始输入与口径!BT194</f>
        <v>24</v>
      </c>
      <c r="N290" s="16">
        <f>原始输入与口径!BJ194</f>
        <v>24</v>
      </c>
      <c r="O290" s="16">
        <f t="shared" si="93"/>
        <v>3.4285714285714288E-3</v>
      </c>
      <c r="P290" s="16">
        <f t="shared" si="94"/>
        <v>0.45394285714285709</v>
      </c>
      <c r="Q290" s="17">
        <f t="shared" si="95"/>
        <v>0</v>
      </c>
      <c r="R290" s="17">
        <f t="shared" si="96"/>
        <v>662.24534522516342</v>
      </c>
      <c r="S290" s="17">
        <f t="shared" si="97"/>
        <v>23.486364415985364</v>
      </c>
      <c r="T290" s="17">
        <f t="shared" si="98"/>
        <v>15.562289177291177</v>
      </c>
      <c r="U290" s="17">
        <f t="shared" si="99"/>
        <v>0.52271780589200978</v>
      </c>
      <c r="V290" s="17">
        <f t="shared" si="100"/>
        <v>-32.902271045517281</v>
      </c>
      <c r="W290" s="17">
        <f t="shared" si="101"/>
        <v>668.91444557881471</v>
      </c>
      <c r="X290" s="12">
        <f>原始输入与口径!CP194</f>
        <v>668.91444557881471</v>
      </c>
      <c r="Y290" s="19">
        <f t="shared" si="102"/>
        <v>0</v>
      </c>
      <c r="Z290" s="12" t="str">
        <f t="shared" si="103"/>
        <v>当日执行</v>
      </c>
      <c r="AA290" s="12">
        <f>IF(原始输入与口径!AW194,1,0)</f>
        <v>1</v>
      </c>
      <c r="AB290" s="12">
        <f>IF(原始输入与口径!AY194,1,0)</f>
        <v>1</v>
      </c>
      <c r="AC290" s="12">
        <f>原始输入与口径!$F$5</f>
        <v>0.25</v>
      </c>
      <c r="AD290" s="18">
        <f>原始输入与口径!CG194</f>
        <v>0.3125</v>
      </c>
      <c r="AE290" s="18">
        <f>原始输入与口径!BQ194</f>
        <v>0.13714285714285715</v>
      </c>
      <c r="AF290" s="18">
        <f t="shared" si="104"/>
        <v>5.7142857142857147E-4</v>
      </c>
      <c r="AG290" s="18">
        <f t="shared" si="105"/>
        <v>7.5657142857142853E-2</v>
      </c>
      <c r="AH290" s="12">
        <f>IF(ISNUMBER(原始输入与口径!T194),原始输入与口径!T194,"缺失")</f>
        <v>175</v>
      </c>
      <c r="AI290" s="12">
        <f>IF(ISNUMBER(原始输入与口径!Y194),原始输入与口径!Y194,"缺失")</f>
        <v>175</v>
      </c>
      <c r="AJ290" s="12">
        <f>IF(ISNUMBER(原始输入与口径!AI194),原始输入与口径!AI194,"缺失")</f>
        <v>2.5000000000000001E-2</v>
      </c>
      <c r="AK290" s="12">
        <f>IF(ISNUMBER(原始输入与口径!AL194),原始输入与口径!AL194,"缺失")</f>
        <v>3.31</v>
      </c>
      <c r="AL290" s="12">
        <f>IF(ISNUMBER(原始输入与口径!O194),原始输入与口径!O194,"缺失")</f>
        <v>131.96799999999999</v>
      </c>
      <c r="AM290" s="12">
        <f>SUMIFS(相位SOC复算!$N$9:$N$929,相位SOC复算!$S$9:$S$929,282)</f>
        <v>1.1704281573498964E-3</v>
      </c>
      <c r="AN290" s="12">
        <f>SUMIFS(相位SOC复算!$Q$9:$Q$929,相位SOC复算!$S$9:$S$929,282)</f>
        <v>0.45394285714285709</v>
      </c>
      <c r="AO290" s="12">
        <f>SUMIFS(相位SOC复算!$R$9:$R$929,相位SOC复算!$S$9:$S$929,282)</f>
        <v>3.4285714285714288E-3</v>
      </c>
      <c r="AP290" s="12">
        <f>相位SOC复算!J697</f>
        <v>51.7231294807453</v>
      </c>
      <c r="AQ290" s="19">
        <f t="shared" si="106"/>
        <v>0</v>
      </c>
      <c r="AR290" s="12">
        <f>IF(ISBLANK(原始输入与口径!M194),"",原始输入与口径!M194)</f>
        <v>5.2473000000000001</v>
      </c>
      <c r="AS290" s="14">
        <f>IF(ISBLANK(原始输入与口径!L194),"",原始输入与口径!L194)</f>
        <v>46234</v>
      </c>
      <c r="AT290" s="13">
        <f>IF(ISBLANK(原始输入与口径!A194),"",原始输入与口径!A194)</f>
        <v>46236.802083333336</v>
      </c>
      <c r="AU290" s="12" t="str">
        <f>IF(ISBLANK(原始输入与口径!I194),"",原始输入与口径!I194)</f>
        <v>2026-08-02_86</v>
      </c>
      <c r="AV290" s="12">
        <f>IF(ISBLANK(原始输入与口径!J194),"",原始输入与口径!J194)</f>
        <v>15</v>
      </c>
      <c r="AW290" s="12" t="str">
        <f>IF(ISBLANK(原始输入与口径!BB194),"",原始输入与口径!BB194)</f>
        <v>OK</v>
      </c>
      <c r="AX290" s="12">
        <f>原始输入与口径!CI194</f>
        <v>128</v>
      </c>
      <c r="AY290" s="12">
        <f>原始输入与口径!BS194</f>
        <v>175</v>
      </c>
      <c r="AZ290" s="12">
        <f>原始输入与口径!BI194</f>
        <v>175</v>
      </c>
      <c r="BA290" s="12">
        <f>原始输入与口径!CM194</f>
        <v>40</v>
      </c>
      <c r="BB290" s="12">
        <f>原始输入与口径!BV194</f>
        <v>24</v>
      </c>
      <c r="BC290" s="12">
        <f>原始输入与口径!BL194</f>
        <v>24</v>
      </c>
      <c r="BD290" s="14">
        <f>46236</f>
        <v>46236</v>
      </c>
      <c r="BE290" s="1" t="str">
        <f t="shared" si="107"/>
        <v>零头寸，无结算现金</v>
      </c>
      <c r="BF290" s="1" t="str">
        <f t="shared" si="108"/>
        <v>40.000000 MW × 66.224535 × 0.250000 h = 662.245345 EUR</v>
      </c>
      <c r="BG290" s="1" t="str">
        <f t="shared" si="109"/>
        <v>24.000000 MW × 3.914394 × 0.250000 h = 23.486364 EUR</v>
      </c>
      <c r="BH290" s="1" t="str">
        <f t="shared" si="110"/>
        <v>24.000000 MW × 2.593715 × 0.250000 h = 15.562289 EUR</v>
      </c>
      <c r="BI290" s="1" t="str">
        <f t="shared" si="111"/>
        <v>0.003429 MWh × 152.459360 = 0.522718 EUR</v>
      </c>
      <c r="BJ290" s="1" t="str">
        <f t="shared" si="112"/>
        <v>−(0.453943 MWh × 72.481086) = -32.902271 EUR</v>
      </c>
      <c r="BK290" s="1" t="str">
        <f t="shared" si="113"/>
        <v>0.000000 + 662.245345 + 23.486364 + 15.562289 + 0.522718 + -32.902271 = 668.914446 EUR</v>
      </c>
    </row>
    <row r="291" spans="1:63" ht="21" customHeight="1" x14ac:dyDescent="0.45">
      <c r="A291" s="13">
        <f>原始输入与口径!C195</f>
        <v>46236.9375</v>
      </c>
      <c r="B291" s="15">
        <f>IF(ISNUMBER(原始输入与口径!H195),原始输入与口径!H195,"缺失")</f>
        <v>206.96</v>
      </c>
      <c r="C291" s="15">
        <f>IF(ISNUMBER(原始输入与口径!R195),原始输入与口径!R195,"缺失")</f>
        <v>66.224534522516336</v>
      </c>
      <c r="D291" s="15">
        <f>IF(ISNUMBER(原始输入与口径!W195),原始输入与口径!W195,"缺失")</f>
        <v>3.9143940693308936</v>
      </c>
      <c r="E291" s="15">
        <f>IF(ISNUMBER(原始输入与口径!AB195),原始输入与口径!AB195,"缺失")</f>
        <v>2.5937148628818627</v>
      </c>
      <c r="F291" s="15">
        <f>IF(ISNUMBER(原始输入与口径!AG195),原始输入与口径!AG195,"缺失")</f>
        <v>189.78026794732529</v>
      </c>
      <c r="G291" s="15">
        <f>IF(ISNUMBER(原始输入与口径!AJ195),原始输入与口径!AJ195,"缺失")</f>
        <v>76.420254225982887</v>
      </c>
      <c r="H291" s="15" t="str">
        <f t="shared" si="92"/>
        <v>未模拟</v>
      </c>
      <c r="I291" s="16">
        <f>原始输入与口径!CD195</f>
        <v>51.723129480745271</v>
      </c>
      <c r="J291" s="16">
        <f>原始输入与口径!CE195</f>
        <v>51.633389873291854</v>
      </c>
      <c r="K291" s="16">
        <f>原始输入与口径!BZ195</f>
        <v>0</v>
      </c>
      <c r="L291" s="16">
        <f>原始输入与口径!CK195</f>
        <v>40</v>
      </c>
      <c r="M291" s="16">
        <f>原始输入与口径!BT195</f>
        <v>24</v>
      </c>
      <c r="N291" s="16">
        <f>原始输入与口径!BJ195</f>
        <v>24</v>
      </c>
      <c r="O291" s="16">
        <f t="shared" si="93"/>
        <v>0.15360000000000001</v>
      </c>
      <c r="P291" s="16">
        <f t="shared" si="94"/>
        <v>8.3931428571428573E-2</v>
      </c>
      <c r="Q291" s="17">
        <f t="shared" si="95"/>
        <v>0</v>
      </c>
      <c r="R291" s="17">
        <f t="shared" si="96"/>
        <v>662.24534522516342</v>
      </c>
      <c r="S291" s="17">
        <f t="shared" si="97"/>
        <v>23.486364415985364</v>
      </c>
      <c r="T291" s="17">
        <f t="shared" si="98"/>
        <v>15.562289177291177</v>
      </c>
      <c r="U291" s="17">
        <f t="shared" si="99"/>
        <v>29.150249156709165</v>
      </c>
      <c r="V291" s="17">
        <f t="shared" si="100"/>
        <v>-6.4140611089784949</v>
      </c>
      <c r="W291" s="17">
        <f t="shared" si="101"/>
        <v>724.03018686617065</v>
      </c>
      <c r="X291" s="12">
        <f>原始输入与口径!CP195</f>
        <v>724.03018686617065</v>
      </c>
      <c r="Y291" s="19">
        <f t="shared" si="102"/>
        <v>0</v>
      </c>
      <c r="Z291" s="12" t="str">
        <f t="shared" si="103"/>
        <v>当日执行</v>
      </c>
      <c r="AA291" s="12">
        <f>IF(原始输入与口径!AW195,1,0)</f>
        <v>1</v>
      </c>
      <c r="AB291" s="12">
        <f>IF(原始输入与口径!AY195,1,0)</f>
        <v>1</v>
      </c>
      <c r="AC291" s="12">
        <f>原始输入与口径!$F$5</f>
        <v>0.25</v>
      </c>
      <c r="AD291" s="18">
        <f>原始输入与口径!CG195</f>
        <v>0.3125</v>
      </c>
      <c r="AE291" s="18">
        <f>原始输入与口径!BQ195</f>
        <v>0.13714285714285715</v>
      </c>
      <c r="AF291" s="18">
        <f t="shared" si="104"/>
        <v>2.5600000000000001E-2</v>
      </c>
      <c r="AG291" s="18">
        <f t="shared" si="105"/>
        <v>1.3988571428571428E-2</v>
      </c>
      <c r="AH291" s="12">
        <f>IF(ISNUMBER(原始输入与口径!T195),原始输入与口径!T195,"缺失")</f>
        <v>175</v>
      </c>
      <c r="AI291" s="12">
        <f>IF(ISNUMBER(原始输入与口径!Y195),原始输入与口径!Y195,"缺失")</f>
        <v>175</v>
      </c>
      <c r="AJ291" s="12">
        <f>IF(ISNUMBER(原始输入与口径!AI195),原始输入与口径!AI195,"缺失")</f>
        <v>1.1200000000000001</v>
      </c>
      <c r="AK291" s="12">
        <f>IF(ISNUMBER(原始输入与口径!AL195),原始输入与口径!AL195,"缺失")</f>
        <v>0.61199999999999999</v>
      </c>
      <c r="AL291" s="12">
        <f>IF(ISNUMBER(原始输入与口径!O195),原始输入与口径!O195,"缺失")</f>
        <v>131.96799999999999</v>
      </c>
      <c r="AM291" s="12">
        <f>SUMIFS(相位SOC复算!$N$9:$N$929,相位SOC复算!$S$9:$S$929,283)</f>
        <v>6.7825954451345761E-4</v>
      </c>
      <c r="AN291" s="12">
        <f>SUMIFS(相位SOC复算!$Q$9:$Q$929,相位SOC复算!$S$9:$S$929,283)</f>
        <v>8.3931428571428573E-2</v>
      </c>
      <c r="AO291" s="12">
        <f>SUMIFS(相位SOC复算!$R$9:$R$929,相位SOC复算!$S$9:$S$929,283)</f>
        <v>0.15360000000000001</v>
      </c>
      <c r="AP291" s="12">
        <f>相位SOC复算!J700</f>
        <v>51.633389873291883</v>
      </c>
      <c r="AQ291" s="19">
        <f t="shared" si="106"/>
        <v>0</v>
      </c>
      <c r="AR291" s="12">
        <f>IF(ISBLANK(原始输入与口径!M195),"",原始输入与口径!M195)</f>
        <v>5.2473000000000001</v>
      </c>
      <c r="AS291" s="14">
        <f>IF(ISBLANK(原始输入与口径!L195),"",原始输入与口径!L195)</f>
        <v>46234</v>
      </c>
      <c r="AT291" s="13">
        <f>IF(ISBLANK(原始输入与口径!A195),"",原始输入与口径!A195)</f>
        <v>46236.8125</v>
      </c>
      <c r="AU291" s="12" t="str">
        <f>IF(ISBLANK(原始输入与口径!I195),"",原始输入与口径!I195)</f>
        <v>2026-08-02_87</v>
      </c>
      <c r="AV291" s="12">
        <f>IF(ISBLANK(原始输入与口径!J195),"",原始输入与口径!J195)</f>
        <v>15</v>
      </c>
      <c r="AW291" s="12" t="str">
        <f>IF(ISBLANK(原始输入与口径!BB195),"",原始输入与口径!BB195)</f>
        <v>OK</v>
      </c>
      <c r="AX291" s="12">
        <f>原始输入与口径!CI195</f>
        <v>128</v>
      </c>
      <c r="AY291" s="12">
        <f>原始输入与口径!BS195</f>
        <v>175</v>
      </c>
      <c r="AZ291" s="12">
        <f>原始输入与口径!BI195</f>
        <v>175</v>
      </c>
      <c r="BA291" s="12">
        <f>原始输入与口径!CM195</f>
        <v>40</v>
      </c>
      <c r="BB291" s="12">
        <f>原始输入与口径!BV195</f>
        <v>24</v>
      </c>
      <c r="BC291" s="12">
        <f>原始输入与口径!BL195</f>
        <v>24</v>
      </c>
      <c r="BD291" s="14">
        <f>46236</f>
        <v>46236</v>
      </c>
      <c r="BE291" s="1" t="str">
        <f t="shared" si="107"/>
        <v>零头寸，无结算现金</v>
      </c>
      <c r="BF291" s="1" t="str">
        <f t="shared" si="108"/>
        <v>40.000000 MW × 66.224535 × 0.250000 h = 662.245345 EUR</v>
      </c>
      <c r="BG291" s="1" t="str">
        <f t="shared" si="109"/>
        <v>24.000000 MW × 3.914394 × 0.250000 h = 23.486364 EUR</v>
      </c>
      <c r="BH291" s="1" t="str">
        <f t="shared" si="110"/>
        <v>24.000000 MW × 2.593715 × 0.250000 h = 15.562289 EUR</v>
      </c>
      <c r="BI291" s="1" t="str">
        <f t="shared" si="111"/>
        <v>0.153600 MWh × 189.780268 = 29.150249 EUR</v>
      </c>
      <c r="BJ291" s="1" t="str">
        <f t="shared" si="112"/>
        <v>−(0.083931 MWh × 76.420254) = -6.414061 EUR</v>
      </c>
      <c r="BK291" s="1" t="str">
        <f t="shared" si="113"/>
        <v>0.000000 + 662.245345 + 23.486364 + 15.562289 + 29.150249 + -6.414061 = 724.030187 EUR</v>
      </c>
    </row>
    <row r="292" spans="1:63" ht="21" customHeight="1" x14ac:dyDescent="0.45">
      <c r="A292" s="13">
        <f>原始输入与口径!C196</f>
        <v>46236.947916666664</v>
      </c>
      <c r="B292" s="15">
        <f>IF(ISNUMBER(原始输入与口径!H196),原始输入与口径!H196,"缺失")</f>
        <v>208.16</v>
      </c>
      <c r="C292" s="15">
        <f>IF(ISNUMBER(原始输入与口径!R196),原始输入与口径!R196,"缺失")</f>
        <v>66.224534522516336</v>
      </c>
      <c r="D292" s="15">
        <f>IF(ISNUMBER(原始输入与口径!W196),原始输入与口径!W196,"缺失")</f>
        <v>3.9143940693308936</v>
      </c>
      <c r="E292" s="15">
        <f>IF(ISNUMBER(原始输入与口径!AB196),原始输入与口径!AB196,"缺失")</f>
        <v>2.5937148628818627</v>
      </c>
      <c r="F292" s="15">
        <f>IF(ISNUMBER(原始输入与口径!AG196),原始输入与口径!AG196,"缺失")</f>
        <v>217.5791359365769</v>
      </c>
      <c r="G292" s="15">
        <f>IF(ISNUMBER(原始输入与口径!AJ196),原始输入与口径!AJ196,"缺失")</f>
        <v>76.420254225982887</v>
      </c>
      <c r="H292" s="15" t="str">
        <f t="shared" si="92"/>
        <v>未模拟</v>
      </c>
      <c r="I292" s="16">
        <f>原始输入与口径!CD196</f>
        <v>51.633389873291854</v>
      </c>
      <c r="J292" s="16">
        <f>原始输入与口径!CE196</f>
        <v>47.104043488198684</v>
      </c>
      <c r="K292" s="16">
        <f>原始输入与口径!BZ196</f>
        <v>12.29386279910916</v>
      </c>
      <c r="L292" s="16">
        <f>原始输入与口径!CK196</f>
        <v>40</v>
      </c>
      <c r="M292" s="16">
        <f>原始输入与口径!BT196</f>
        <v>24</v>
      </c>
      <c r="N292" s="16">
        <f>原始输入与口径!BJ196</f>
        <v>24</v>
      </c>
      <c r="O292" s="16">
        <f t="shared" si="93"/>
        <v>1.1674971428571428</v>
      </c>
      <c r="P292" s="16">
        <f t="shared" si="94"/>
        <v>7.99542857142857E-2</v>
      </c>
      <c r="Q292" s="17">
        <f t="shared" si="95"/>
        <v>639.77262006564069</v>
      </c>
      <c r="R292" s="17">
        <f t="shared" si="96"/>
        <v>662.24534522516342</v>
      </c>
      <c r="S292" s="17">
        <f t="shared" si="97"/>
        <v>23.486364415985364</v>
      </c>
      <c r="T292" s="17">
        <f t="shared" si="98"/>
        <v>15.562289177291177</v>
      </c>
      <c r="U292" s="17">
        <f t="shared" si="99"/>
        <v>254.02301955127942</v>
      </c>
      <c r="V292" s="17">
        <f t="shared" si="100"/>
        <v>-6.1101268407425851</v>
      </c>
      <c r="W292" s="17">
        <f t="shared" si="101"/>
        <v>1588.9795115946176</v>
      </c>
      <c r="X292" s="12">
        <f>原始输入与口径!CP196</f>
        <v>1588.9795115946174</v>
      </c>
      <c r="Y292" s="19">
        <f t="shared" si="102"/>
        <v>0</v>
      </c>
      <c r="Z292" s="12" t="str">
        <f t="shared" si="103"/>
        <v>当日执行</v>
      </c>
      <c r="AA292" s="12">
        <f>IF(原始输入与口径!AW196,1,0)</f>
        <v>1</v>
      </c>
      <c r="AB292" s="12">
        <f>IF(原始输入与口径!AY196,1,0)</f>
        <v>1</v>
      </c>
      <c r="AC292" s="12">
        <f>原始输入与口径!$F$5</f>
        <v>0.25</v>
      </c>
      <c r="AD292" s="18">
        <f>原始输入与口径!CG196</f>
        <v>0.3125</v>
      </c>
      <c r="AE292" s="18">
        <f>原始输入与口径!BQ196</f>
        <v>0.13714285714285715</v>
      </c>
      <c r="AF292" s="18">
        <f t="shared" si="104"/>
        <v>0.19458285714285714</v>
      </c>
      <c r="AG292" s="18">
        <f t="shared" si="105"/>
        <v>1.3325714285714284E-2</v>
      </c>
      <c r="AH292" s="12">
        <f>IF(ISNUMBER(原始输入与口径!T196),原始输入与口径!T196,"缺失")</f>
        <v>175</v>
      </c>
      <c r="AI292" s="12">
        <f>IF(ISNUMBER(原始输入与口径!Y196),原始输入与口径!Y196,"缺失")</f>
        <v>175</v>
      </c>
      <c r="AJ292" s="12">
        <f>IF(ISNUMBER(原始输入与口径!AI196),原始输入与口径!AI196,"缺失")</f>
        <v>8.5129999999999999</v>
      </c>
      <c r="AK292" s="12">
        <f>IF(ISNUMBER(原始输入与口径!AL196),原始输入与口径!AL196,"缺失")</f>
        <v>0.58299999999999996</v>
      </c>
      <c r="AL292" s="12">
        <f>IF(ISNUMBER(原始输入与口径!O196),原始输入与口径!O196,"缺失")</f>
        <v>131.96799999999999</v>
      </c>
      <c r="AM292" s="12">
        <f>SUMIFS(相位SOC复算!$N$9:$N$929,相位SOC复算!$S$9:$S$929,284)</f>
        <v>1.2780841664911825E-2</v>
      </c>
      <c r="AN292" s="12">
        <f>SUMIFS(相位SOC复算!$Q$9:$Q$929,相位SOC复算!$S$9:$S$929,284)</f>
        <v>3.8998159932110622E-2</v>
      </c>
      <c r="AO292" s="12">
        <f>SUMIFS(相位SOC复算!$R$9:$R$929,相位SOC复算!$S$9:$S$929,284)</f>
        <v>4.2000067168522577</v>
      </c>
      <c r="AP292" s="12">
        <f>相位SOC复算!J703</f>
        <v>47.104043488198705</v>
      </c>
      <c r="AQ292" s="19">
        <f t="shared" si="106"/>
        <v>0</v>
      </c>
      <c r="AR292" s="12">
        <f>IF(ISBLANK(原始输入与口径!M196),"",原始输入与口径!M196)</f>
        <v>5.2473000000000001</v>
      </c>
      <c r="AS292" s="14">
        <f>IF(ISBLANK(原始输入与口径!L196),"",原始输入与口径!L196)</f>
        <v>46234</v>
      </c>
      <c r="AT292" s="13">
        <f>IF(ISBLANK(原始输入与口径!A196),"",原始输入与口径!A196)</f>
        <v>46236.822916666664</v>
      </c>
      <c r="AU292" s="12" t="str">
        <f>IF(ISBLANK(原始输入与口径!I196),"",原始输入与口径!I196)</f>
        <v>2026-08-02_88</v>
      </c>
      <c r="AV292" s="12">
        <f>IF(ISBLANK(原始输入与口径!J196),"",原始输入与口径!J196)</f>
        <v>15</v>
      </c>
      <c r="AW292" s="12" t="str">
        <f>IF(ISBLANK(原始输入与口径!BB196),"",原始输入与口径!BB196)</f>
        <v>OK</v>
      </c>
      <c r="AX292" s="12">
        <f>原始输入与口径!CI196</f>
        <v>128</v>
      </c>
      <c r="AY292" s="12">
        <f>原始输入与口径!BS196</f>
        <v>175</v>
      </c>
      <c r="AZ292" s="12">
        <f>原始输入与口径!BI196</f>
        <v>175</v>
      </c>
      <c r="BA292" s="12">
        <f>原始输入与口径!CM196</f>
        <v>40</v>
      </c>
      <c r="BB292" s="12">
        <f>原始输入与口径!BV196</f>
        <v>24</v>
      </c>
      <c r="BC292" s="12">
        <f>原始输入与口径!BL196</f>
        <v>24</v>
      </c>
      <c r="BD292" s="14">
        <f>46236</f>
        <v>46236</v>
      </c>
      <c r="BE292" s="1" t="str">
        <f t="shared" si="107"/>
        <v>12.293863 MW × 208.160000 × 0.250000 h = 639.772620 EUR</v>
      </c>
      <c r="BF292" s="1" t="str">
        <f t="shared" si="108"/>
        <v>40.000000 MW × 66.224535 × 0.250000 h = 662.245345 EUR</v>
      </c>
      <c r="BG292" s="1" t="str">
        <f t="shared" si="109"/>
        <v>24.000000 MW × 3.914394 × 0.250000 h = 23.486364 EUR</v>
      </c>
      <c r="BH292" s="1" t="str">
        <f t="shared" si="110"/>
        <v>24.000000 MW × 2.593715 × 0.250000 h = 15.562289 EUR</v>
      </c>
      <c r="BI292" s="1" t="str">
        <f t="shared" si="111"/>
        <v>1.167497 MWh × 217.579136 = 254.023020 EUR</v>
      </c>
      <c r="BJ292" s="1" t="str">
        <f t="shared" si="112"/>
        <v>−(0.079954 MWh × 76.420254) = -6.110127 EUR</v>
      </c>
      <c r="BK292" s="1" t="str">
        <f t="shared" si="113"/>
        <v>639.772620 + 662.245345 + 23.486364 + 15.562289 + 254.023020 + -6.110127 = 1588.979512 EUR</v>
      </c>
    </row>
    <row r="293" spans="1:63" ht="21" customHeight="1" x14ac:dyDescent="0.45">
      <c r="A293" s="13">
        <f>原始输入与口径!C197</f>
        <v>46236.958333333336</v>
      </c>
      <c r="B293" s="15">
        <f>IF(ISNUMBER(原始输入与口径!H197),原始输入与口径!H197,"缺失")</f>
        <v>204.49</v>
      </c>
      <c r="C293" s="15">
        <f>IF(ISNUMBER(原始输入与口径!R197),原始输入与口径!R197,"缺失")</f>
        <v>66.224534522516336</v>
      </c>
      <c r="D293" s="15">
        <f>IF(ISNUMBER(原始输入与口径!W197),原始输入与口径!W197,"缺失")</f>
        <v>7.1274750824233415</v>
      </c>
      <c r="E293" s="15">
        <f>IF(ISNUMBER(原始输入与口径!AB197),原始输入与口径!AB197,"缺失")</f>
        <v>2.5937148628818627</v>
      </c>
      <c r="F293" s="15">
        <f>IF(ISNUMBER(原始输入与口径!AG197),原始输入与口径!AG197,"缺失")</f>
        <v>223.50885217159299</v>
      </c>
      <c r="G293" s="15">
        <f>IF(ISNUMBER(原始输入与口径!AJ197),原始输入与口径!AJ197,"缺失")</f>
        <v>76.420254225982887</v>
      </c>
      <c r="H293" s="15" t="str">
        <f t="shared" si="92"/>
        <v>未模拟</v>
      </c>
      <c r="I293" s="16">
        <f>原始输入与口径!CD197</f>
        <v>47.104043488198684</v>
      </c>
      <c r="J293" s="16">
        <f>原始输入与口径!CE197</f>
        <v>45.392961669565146</v>
      </c>
      <c r="K293" s="16">
        <f>原始输入与口径!BZ197</f>
        <v>0</v>
      </c>
      <c r="L293" s="16">
        <f>原始输入与口径!CK197</f>
        <v>40</v>
      </c>
      <c r="M293" s="16">
        <f>原始输入与口径!BT197</f>
        <v>24</v>
      </c>
      <c r="N293" s="16">
        <f>原始输入与口径!BJ197</f>
        <v>24</v>
      </c>
      <c r="O293" s="16">
        <f t="shared" si="93"/>
        <v>1.5889371428571428</v>
      </c>
      <c r="P293" s="16">
        <f t="shared" si="94"/>
        <v>1.7417142857142857E-2</v>
      </c>
      <c r="Q293" s="17">
        <f t="shared" si="95"/>
        <v>0</v>
      </c>
      <c r="R293" s="17">
        <f t="shared" si="96"/>
        <v>662.24534522516342</v>
      </c>
      <c r="S293" s="17">
        <f t="shared" si="97"/>
        <v>42.764850494540049</v>
      </c>
      <c r="T293" s="17">
        <f t="shared" si="98"/>
        <v>15.562289177291177</v>
      </c>
      <c r="U293" s="17">
        <f t="shared" si="99"/>
        <v>355.14151697281045</v>
      </c>
      <c r="V293" s="17">
        <f t="shared" si="100"/>
        <v>-1.3310224850331192</v>
      </c>
      <c r="W293" s="17">
        <f t="shared" si="101"/>
        <v>1074.3829793847719</v>
      </c>
      <c r="X293" s="12">
        <f>原始输入与口径!CP197</f>
        <v>1074.3829793847719</v>
      </c>
      <c r="Y293" s="19">
        <f t="shared" si="102"/>
        <v>0</v>
      </c>
      <c r="Z293" s="12" t="str">
        <f t="shared" si="103"/>
        <v>当日执行</v>
      </c>
      <c r="AA293" s="12">
        <f>IF(原始输入与口径!AW197,1,0)</f>
        <v>1</v>
      </c>
      <c r="AB293" s="12">
        <f>IF(原始输入与口径!AY197,1,0)</f>
        <v>1</v>
      </c>
      <c r="AC293" s="12">
        <f>原始输入与口径!$F$5</f>
        <v>0.25</v>
      </c>
      <c r="AD293" s="18">
        <f>原始输入与口径!CG197</f>
        <v>0.3125</v>
      </c>
      <c r="AE293" s="18">
        <f>原始输入与口径!BQ197</f>
        <v>0.13714285714285715</v>
      </c>
      <c r="AF293" s="18">
        <f t="shared" si="104"/>
        <v>0.26482285714285714</v>
      </c>
      <c r="AG293" s="18">
        <f t="shared" si="105"/>
        <v>2.9028571428571428E-3</v>
      </c>
      <c r="AH293" s="12">
        <f>IF(ISNUMBER(原始输入与口径!T197),原始输入与口径!T197,"缺失")</f>
        <v>175</v>
      </c>
      <c r="AI293" s="12">
        <f>IF(ISNUMBER(原始输入与口径!Y197),原始输入与口径!Y197,"缺失")</f>
        <v>175</v>
      </c>
      <c r="AJ293" s="12">
        <f>IF(ISNUMBER(原始输入与口径!AI197),原始输入与口径!AI197,"缺失")</f>
        <v>11.586</v>
      </c>
      <c r="AK293" s="12">
        <f>IF(ISNUMBER(原始输入与口径!AL197),原始输入与口径!AL197,"缺失")</f>
        <v>0.127</v>
      </c>
      <c r="AL293" s="12">
        <f>IF(ISNUMBER(原始输入与口径!O197),原始输入与口径!O197,"缺失")</f>
        <v>131.96799999999999</v>
      </c>
      <c r="AM293" s="12">
        <f>SUMIFS(相位SOC复算!$N$9:$N$929,相位SOC复算!$S$9:$S$929,285)</f>
        <v>4.8420260041407868E-3</v>
      </c>
      <c r="AN293" s="12">
        <f>SUMIFS(相位SOC复算!$Q$9:$Q$929,相位SOC复算!$S$9:$S$929,285)</f>
        <v>1.7417142857142857E-2</v>
      </c>
      <c r="AO293" s="12">
        <f>SUMIFS(相位SOC复算!$R$9:$R$929,相位SOC复算!$S$9:$S$929,285)</f>
        <v>1.5889371428571428</v>
      </c>
      <c r="AP293" s="12">
        <f>相位SOC复算!J706</f>
        <v>45.392961669565167</v>
      </c>
      <c r="AQ293" s="19">
        <f t="shared" si="106"/>
        <v>0</v>
      </c>
      <c r="AR293" s="12">
        <f>IF(ISBLANK(原始输入与口径!M197),"",原始输入与口径!M197)</f>
        <v>5.2473000000000001</v>
      </c>
      <c r="AS293" s="14">
        <f>IF(ISBLANK(原始输入与口径!L197),"",原始输入与口径!L197)</f>
        <v>46234</v>
      </c>
      <c r="AT293" s="13">
        <f>IF(ISBLANK(原始输入与口径!A197),"",原始输入与口径!A197)</f>
        <v>46236.833333333336</v>
      </c>
      <c r="AU293" s="12" t="str">
        <f>IF(ISBLANK(原始输入与口径!I197),"",原始输入与口径!I197)</f>
        <v>2026-08-02_89</v>
      </c>
      <c r="AV293" s="12">
        <f>IF(ISBLANK(原始输入与口径!J197),"",原始输入与口径!J197)</f>
        <v>15</v>
      </c>
      <c r="AW293" s="12" t="str">
        <f>IF(ISBLANK(原始输入与口径!BB197),"",原始输入与口径!BB197)</f>
        <v>OK</v>
      </c>
      <c r="AX293" s="12">
        <f>原始输入与口径!CI197</f>
        <v>128</v>
      </c>
      <c r="AY293" s="12">
        <f>原始输入与口径!BS197</f>
        <v>175</v>
      </c>
      <c r="AZ293" s="12">
        <f>原始输入与口径!BI197</f>
        <v>175</v>
      </c>
      <c r="BA293" s="12">
        <f>原始输入与口径!CM197</f>
        <v>40</v>
      </c>
      <c r="BB293" s="12">
        <f>原始输入与口径!BV197</f>
        <v>24</v>
      </c>
      <c r="BC293" s="12">
        <f>原始输入与口径!BL197</f>
        <v>24</v>
      </c>
      <c r="BD293" s="14">
        <f>46236</f>
        <v>46236</v>
      </c>
      <c r="BE293" s="1" t="str">
        <f t="shared" si="107"/>
        <v>零头寸，无结算现金</v>
      </c>
      <c r="BF293" s="1" t="str">
        <f t="shared" si="108"/>
        <v>40.000000 MW × 66.224535 × 0.250000 h = 662.245345 EUR</v>
      </c>
      <c r="BG293" s="1" t="str">
        <f t="shared" si="109"/>
        <v>24.000000 MW × 7.127475 × 0.250000 h = 42.764850 EUR</v>
      </c>
      <c r="BH293" s="1" t="str">
        <f t="shared" si="110"/>
        <v>24.000000 MW × 2.593715 × 0.250000 h = 15.562289 EUR</v>
      </c>
      <c r="BI293" s="1" t="str">
        <f t="shared" si="111"/>
        <v>1.588937 MWh × 223.508852 = 355.141517 EUR</v>
      </c>
      <c r="BJ293" s="1" t="str">
        <f t="shared" si="112"/>
        <v>−(0.017417 MWh × 76.420254) = -1.331022 EUR</v>
      </c>
      <c r="BK293" s="1" t="str">
        <f t="shared" si="113"/>
        <v>0.000000 + 662.245345 + 42.764850 + 15.562289 + 355.141517 + -1.331022 = 1074.382979 EUR</v>
      </c>
    </row>
    <row r="294" spans="1:63" ht="21" customHeight="1" x14ac:dyDescent="0.45">
      <c r="A294" s="13">
        <f>原始输入与口径!C198</f>
        <v>46236.96875</v>
      </c>
      <c r="B294" s="15">
        <f>IF(ISNUMBER(原始输入与口径!H198),原始输入与口径!H198,"缺失")</f>
        <v>211.53</v>
      </c>
      <c r="C294" s="15">
        <f>IF(ISNUMBER(原始输入与口径!R198),原始输入与口径!R198,"缺失")</f>
        <v>66.224534522516336</v>
      </c>
      <c r="D294" s="15">
        <f>IF(ISNUMBER(原始输入与口径!W198),原始输入与口径!W198,"缺失")</f>
        <v>7.1274750824233415</v>
      </c>
      <c r="E294" s="15">
        <f>IF(ISNUMBER(原始输入与口径!AB198),原始输入与口径!AB198,"缺失")</f>
        <v>2.5937148628818627</v>
      </c>
      <c r="F294" s="15">
        <f>IF(ISNUMBER(原始输入与口径!AG198),原始输入与口径!AG198,"缺失")</f>
        <v>224.42837268690565</v>
      </c>
      <c r="G294" s="15">
        <f>IF(ISNUMBER(原始输入与口径!AJ198),原始输入与口径!AJ198,"缺失")</f>
        <v>0</v>
      </c>
      <c r="H294" s="15" t="str">
        <f t="shared" si="92"/>
        <v>未模拟</v>
      </c>
      <c r="I294" s="16">
        <f>原始输入与口径!CD198</f>
        <v>45.392961669565146</v>
      </c>
      <c r="J294" s="16">
        <f>原始输入与口径!CE198</f>
        <v>33.514899557763911</v>
      </c>
      <c r="K294" s="16">
        <f>原始输入与口径!BZ198</f>
        <v>36</v>
      </c>
      <c r="L294" s="16">
        <f>原始输入与口径!CK198</f>
        <v>40</v>
      </c>
      <c r="M294" s="16">
        <f>原始输入与口径!BT198</f>
        <v>24</v>
      </c>
      <c r="N294" s="16">
        <f>原始输入与口径!BJ198</f>
        <v>24</v>
      </c>
      <c r="O294" s="16">
        <f t="shared" si="93"/>
        <v>1.9278171428571431</v>
      </c>
      <c r="P294" s="16">
        <f t="shared" si="94"/>
        <v>0</v>
      </c>
      <c r="Q294" s="17">
        <f t="shared" si="95"/>
        <v>1903.77</v>
      </c>
      <c r="R294" s="17">
        <f t="shared" si="96"/>
        <v>662.24534522516342</v>
      </c>
      <c r="S294" s="17">
        <f t="shared" si="97"/>
        <v>42.764850494540049</v>
      </c>
      <c r="T294" s="17">
        <f t="shared" si="98"/>
        <v>15.562289177291177</v>
      </c>
      <c r="U294" s="17">
        <f t="shared" si="99"/>
        <v>432.65686420934856</v>
      </c>
      <c r="V294" s="17">
        <f t="shared" si="100"/>
        <v>0</v>
      </c>
      <c r="W294" s="17">
        <f t="shared" si="101"/>
        <v>3056.9993491063428</v>
      </c>
      <c r="X294" s="12">
        <f>原始输入与口径!CP198</f>
        <v>3056.9993491063433</v>
      </c>
      <c r="Y294" s="19">
        <f t="shared" si="102"/>
        <v>0</v>
      </c>
      <c r="Z294" s="12" t="str">
        <f t="shared" si="103"/>
        <v>当日执行</v>
      </c>
      <c r="AA294" s="12">
        <f>IF(原始输入与口径!AW198,1,0)</f>
        <v>1</v>
      </c>
      <c r="AB294" s="12">
        <f>IF(原始输入与口径!AY198,1,0)</f>
        <v>1</v>
      </c>
      <c r="AC294" s="12">
        <f>原始输入与口径!$F$5</f>
        <v>0.25</v>
      </c>
      <c r="AD294" s="18">
        <f>原始输入与口径!CG198</f>
        <v>0.3125</v>
      </c>
      <c r="AE294" s="18">
        <f>原始输入与口径!BQ198</f>
        <v>0.13714285714285715</v>
      </c>
      <c r="AF294" s="18">
        <f t="shared" si="104"/>
        <v>0.32130285714285717</v>
      </c>
      <c r="AG294" s="18">
        <f t="shared" si="105"/>
        <v>0</v>
      </c>
      <c r="AH294" s="12">
        <f>IF(ISNUMBER(原始输入与口径!T198),原始输入与口径!T198,"缺失")</f>
        <v>175</v>
      </c>
      <c r="AI294" s="12">
        <f>IF(ISNUMBER(原始输入与口径!Y198),原始输入与口径!Y198,"缺失")</f>
        <v>175</v>
      </c>
      <c r="AJ294" s="12">
        <f>IF(ISNUMBER(原始输入与口径!AI198),原始输入与口径!AI198,"缺失")</f>
        <v>14.057</v>
      </c>
      <c r="AK294" s="12">
        <f>IF(ISNUMBER(原始输入与口径!AL198),原始输入与口径!AL198,"缺失")</f>
        <v>0</v>
      </c>
      <c r="AL294" s="12">
        <f>IF(ISNUMBER(原始输入与口径!O198),原始输入与口径!O198,"缺失")</f>
        <v>131.96799999999999</v>
      </c>
      <c r="AM294" s="12">
        <f>SUMIFS(相位SOC复算!$N$9:$N$929,相位SOC复算!$S$9:$S$929,286)</f>
        <v>3.2994616977225673E-2</v>
      </c>
      <c r="AN294" s="12">
        <f>SUMIFS(相位SOC复算!$Q$9:$Q$929,相位SOC复算!$S$9:$S$929,286)</f>
        <v>0</v>
      </c>
      <c r="AO294" s="12">
        <f>SUMIFS(相位SOC复算!$R$9:$R$929,相位SOC复算!$S$9:$S$929,286)</f>
        <v>10.927817142857144</v>
      </c>
      <c r="AP294" s="12">
        <f>相位SOC复算!J708</f>
        <v>33.514899557763918</v>
      </c>
      <c r="AQ294" s="19">
        <f t="shared" si="106"/>
        <v>0</v>
      </c>
      <c r="AR294" s="12">
        <f>IF(ISBLANK(原始输入与口径!M198),"",原始输入与口径!M198)</f>
        <v>5.2473000000000001</v>
      </c>
      <c r="AS294" s="14">
        <f>IF(ISBLANK(原始输入与口径!L198),"",原始输入与口径!L198)</f>
        <v>46234</v>
      </c>
      <c r="AT294" s="13">
        <f>IF(ISBLANK(原始输入与口径!A198),"",原始输入与口径!A198)</f>
        <v>46236.84375</v>
      </c>
      <c r="AU294" s="12" t="str">
        <f>IF(ISBLANK(原始输入与口径!I198),"",原始输入与口径!I198)</f>
        <v>2026-08-02_90</v>
      </c>
      <c r="AV294" s="12">
        <f>IF(ISBLANK(原始输入与口径!J198),"",原始输入与口径!J198)</f>
        <v>15</v>
      </c>
      <c r="AW294" s="12" t="str">
        <f>IF(ISBLANK(原始输入与口径!BB198),"",原始输入与口径!BB198)</f>
        <v>OK</v>
      </c>
      <c r="AX294" s="12">
        <f>原始输入与口径!CI198</f>
        <v>128</v>
      </c>
      <c r="AY294" s="12">
        <f>原始输入与口径!BS198</f>
        <v>175</v>
      </c>
      <c r="AZ294" s="12">
        <f>原始输入与口径!BI198</f>
        <v>175</v>
      </c>
      <c r="BA294" s="12">
        <f>原始输入与口径!CM198</f>
        <v>40</v>
      </c>
      <c r="BB294" s="12">
        <f>原始输入与口径!BV198</f>
        <v>24</v>
      </c>
      <c r="BC294" s="12">
        <f>原始输入与口径!BL198</f>
        <v>24</v>
      </c>
      <c r="BD294" s="14">
        <f>46236</f>
        <v>46236</v>
      </c>
      <c r="BE294" s="1" t="str">
        <f t="shared" si="107"/>
        <v>36.000000 MW × 211.530000 × 0.250000 h = 1903.770000 EUR</v>
      </c>
      <c r="BF294" s="1" t="str">
        <f t="shared" si="108"/>
        <v>40.000000 MW × 66.224535 × 0.250000 h = 662.245345 EUR</v>
      </c>
      <c r="BG294" s="1" t="str">
        <f t="shared" si="109"/>
        <v>24.000000 MW × 7.127475 × 0.250000 h = 42.764850 EUR</v>
      </c>
      <c r="BH294" s="1" t="str">
        <f t="shared" si="110"/>
        <v>24.000000 MW × 2.593715 × 0.250000 h = 15.562289 EUR</v>
      </c>
      <c r="BI294" s="1" t="str">
        <f t="shared" si="111"/>
        <v>1.927817 MWh × 224.428373 = 432.656864 EUR</v>
      </c>
      <c r="BJ294" s="1" t="str">
        <f t="shared" si="112"/>
        <v>零下调激活电量</v>
      </c>
      <c r="BK294" s="1" t="str">
        <f t="shared" si="113"/>
        <v>1903.770000 + 662.245345 + 42.764850 + 15.562289 + 432.656864 + 0.000000 = 3056.999349 EUR</v>
      </c>
    </row>
    <row r="295" spans="1:63" ht="21" customHeight="1" x14ac:dyDescent="0.45">
      <c r="A295" s="13">
        <f>原始输入与口径!C199</f>
        <v>46236.979166666664</v>
      </c>
      <c r="B295" s="15">
        <f>IF(ISNUMBER(原始输入与口径!H199),原始输入与口径!H199,"缺失")</f>
        <v>208.43</v>
      </c>
      <c r="C295" s="15">
        <f>IF(ISNUMBER(原始输入与口径!R199),原始输入与口径!R199,"缺失")</f>
        <v>66.224534522516336</v>
      </c>
      <c r="D295" s="15">
        <f>IF(ISNUMBER(原始输入与口径!W199),原始输入与口径!W199,"缺失")</f>
        <v>7.1274750824233415</v>
      </c>
      <c r="E295" s="15">
        <f>IF(ISNUMBER(原始输入与口径!AB199),原始输入与口径!AB199,"缺失")</f>
        <v>2.5937148628818627</v>
      </c>
      <c r="F295" s="15">
        <f>IF(ISNUMBER(原始输入与口径!AG199),原始输入与口径!AG199,"缺失")</f>
        <v>211.84513940502734</v>
      </c>
      <c r="G295" s="15">
        <f>IF(ISNUMBER(原始输入与口径!AJ199),原始输入与口径!AJ199,"缺失")</f>
        <v>0</v>
      </c>
      <c r="H295" s="15" t="str">
        <f t="shared" si="92"/>
        <v>未模拟</v>
      </c>
      <c r="I295" s="16">
        <f>原始输入与口径!CD199</f>
        <v>33.514899557763911</v>
      </c>
      <c r="J295" s="16">
        <f>原始输入与口径!CE199</f>
        <v>32.659843657142794</v>
      </c>
      <c r="K295" s="16">
        <f>原始输入与口径!BZ199</f>
        <v>0</v>
      </c>
      <c r="L295" s="16">
        <f>原始输入与口径!CK199</f>
        <v>40</v>
      </c>
      <c r="M295" s="16">
        <f>原始输入与口径!BT199</f>
        <v>24</v>
      </c>
      <c r="N295" s="16">
        <f>原始输入与口径!BJ199</f>
        <v>24</v>
      </c>
      <c r="O295" s="16">
        <f t="shared" si="93"/>
        <v>0.78665142857142856</v>
      </c>
      <c r="P295" s="16">
        <f t="shared" si="94"/>
        <v>0</v>
      </c>
      <c r="Q295" s="17">
        <f t="shared" si="95"/>
        <v>0</v>
      </c>
      <c r="R295" s="17">
        <f t="shared" si="96"/>
        <v>662.24534522516342</v>
      </c>
      <c r="S295" s="17">
        <f t="shared" si="97"/>
        <v>42.764850494540049</v>
      </c>
      <c r="T295" s="17">
        <f t="shared" si="98"/>
        <v>15.562289177291177</v>
      </c>
      <c r="U295" s="17">
        <f t="shared" si="99"/>
        <v>166.6482815488782</v>
      </c>
      <c r="V295" s="17">
        <f t="shared" si="100"/>
        <v>0</v>
      </c>
      <c r="W295" s="17">
        <f t="shared" si="101"/>
        <v>887.22076644587287</v>
      </c>
      <c r="X295" s="12">
        <f>原始输入与口径!CP199</f>
        <v>887.22076644587287</v>
      </c>
      <c r="Y295" s="19">
        <f t="shared" si="102"/>
        <v>0</v>
      </c>
      <c r="Z295" s="12" t="str">
        <f t="shared" si="103"/>
        <v>当日执行</v>
      </c>
      <c r="AA295" s="12">
        <f>IF(原始输入与口径!AW199,1,0)</f>
        <v>1</v>
      </c>
      <c r="AB295" s="12">
        <f>IF(原始输入与口径!AY199,1,0)</f>
        <v>1</v>
      </c>
      <c r="AC295" s="12">
        <f>原始输入与口径!$F$5</f>
        <v>0.25</v>
      </c>
      <c r="AD295" s="18">
        <f>原始输入与口径!CG199</f>
        <v>0.3125</v>
      </c>
      <c r="AE295" s="18">
        <f>原始输入与口径!BQ199</f>
        <v>0.13714285714285715</v>
      </c>
      <c r="AF295" s="18">
        <f t="shared" si="104"/>
        <v>0.13110857142857144</v>
      </c>
      <c r="AG295" s="18">
        <f t="shared" si="105"/>
        <v>0</v>
      </c>
      <c r="AH295" s="12">
        <f>IF(ISNUMBER(原始输入与口径!T199),原始输入与口径!T199,"缺失")</f>
        <v>175</v>
      </c>
      <c r="AI295" s="12">
        <f>IF(ISNUMBER(原始输入与口径!Y199),原始输入与口径!Y199,"缺失")</f>
        <v>175</v>
      </c>
      <c r="AJ295" s="12">
        <f>IF(ISNUMBER(原始输入与口径!AI199),原始输入与口径!AI199,"缺失")</f>
        <v>5.7359999999999998</v>
      </c>
      <c r="AK295" s="12">
        <f>IF(ISNUMBER(原始输入与口径!AL199),原始输入与口径!AL199,"缺失")</f>
        <v>0</v>
      </c>
      <c r="AL295" s="12">
        <f>IF(ISNUMBER(原始输入与口径!O199),原始输入与口径!O199,"缺失")</f>
        <v>131.96799999999999</v>
      </c>
      <c r="AM295" s="12">
        <f>SUMIFS(相位SOC复算!$N$9:$N$929,相位SOC复算!$S$9:$S$929,287)</f>
        <v>2.3751552795031054E-3</v>
      </c>
      <c r="AN295" s="12">
        <f>SUMIFS(相位SOC复算!$Q$9:$Q$929,相位SOC复算!$S$9:$S$929,287)</f>
        <v>0</v>
      </c>
      <c r="AO295" s="12">
        <f>SUMIFS(相位SOC复算!$R$9:$R$929,相位SOC复算!$S$9:$S$929,287)</f>
        <v>0.78665142857142856</v>
      </c>
      <c r="AP295" s="12">
        <f>相位SOC复算!J710</f>
        <v>32.659843657142801</v>
      </c>
      <c r="AQ295" s="19">
        <f t="shared" si="106"/>
        <v>0</v>
      </c>
      <c r="AR295" s="12">
        <f>IF(ISBLANK(原始输入与口径!M199),"",原始输入与口径!M199)</f>
        <v>5.2473000000000001</v>
      </c>
      <c r="AS295" s="14">
        <f>IF(ISBLANK(原始输入与口径!L199),"",原始输入与口径!L199)</f>
        <v>46234</v>
      </c>
      <c r="AT295" s="13">
        <f>IF(ISBLANK(原始输入与口径!A199),"",原始输入与口径!A199)</f>
        <v>46236.854166666664</v>
      </c>
      <c r="AU295" s="12" t="str">
        <f>IF(ISBLANK(原始输入与口径!I199),"",原始输入与口径!I199)</f>
        <v>2026-08-02_91</v>
      </c>
      <c r="AV295" s="12">
        <f>IF(ISBLANK(原始输入与口径!J199),"",原始输入与口径!J199)</f>
        <v>15</v>
      </c>
      <c r="AW295" s="12" t="str">
        <f>IF(ISBLANK(原始输入与口径!BB199),"",原始输入与口径!BB199)</f>
        <v>OK</v>
      </c>
      <c r="AX295" s="12">
        <f>原始输入与口径!CI199</f>
        <v>128</v>
      </c>
      <c r="AY295" s="12">
        <f>原始输入与口径!BS199</f>
        <v>175</v>
      </c>
      <c r="AZ295" s="12">
        <f>原始输入与口径!BI199</f>
        <v>175</v>
      </c>
      <c r="BA295" s="12">
        <f>原始输入与口径!CM199</f>
        <v>40</v>
      </c>
      <c r="BB295" s="12">
        <f>原始输入与口径!BV199</f>
        <v>24</v>
      </c>
      <c r="BC295" s="12">
        <f>原始输入与口径!BL199</f>
        <v>24</v>
      </c>
      <c r="BD295" s="14">
        <f>46236</f>
        <v>46236</v>
      </c>
      <c r="BE295" s="1" t="str">
        <f t="shared" si="107"/>
        <v>零头寸，无结算现金</v>
      </c>
      <c r="BF295" s="1" t="str">
        <f t="shared" si="108"/>
        <v>40.000000 MW × 66.224535 × 0.250000 h = 662.245345 EUR</v>
      </c>
      <c r="BG295" s="1" t="str">
        <f t="shared" si="109"/>
        <v>24.000000 MW × 7.127475 × 0.250000 h = 42.764850 EUR</v>
      </c>
      <c r="BH295" s="1" t="str">
        <f t="shared" si="110"/>
        <v>24.000000 MW × 2.593715 × 0.250000 h = 15.562289 EUR</v>
      </c>
      <c r="BI295" s="1" t="str">
        <f t="shared" si="111"/>
        <v>0.786651 MWh × 211.845139 = 166.648282 EUR</v>
      </c>
      <c r="BJ295" s="1" t="str">
        <f t="shared" si="112"/>
        <v>零下调激活电量</v>
      </c>
      <c r="BK295" s="1" t="str">
        <f t="shared" si="113"/>
        <v>0.000000 + 662.245345 + 42.764850 + 15.562289 + 166.648282 + 0.000000 = 887.220766 EUR</v>
      </c>
    </row>
    <row r="296" spans="1:63" ht="21" customHeight="1" x14ac:dyDescent="0.45">
      <c r="A296" s="13">
        <f>原始输入与口径!C200</f>
        <v>46236.989583333336</v>
      </c>
      <c r="B296" s="15">
        <f>IF(ISNUMBER(原始输入与口径!H200),原始输入与口径!H200,"缺失")</f>
        <v>183.75</v>
      </c>
      <c r="C296" s="15">
        <f>IF(ISNUMBER(原始输入与口径!R200),原始输入与口径!R200,"缺失")</f>
        <v>66.224534522516336</v>
      </c>
      <c r="D296" s="15">
        <f>IF(ISNUMBER(原始输入与口径!W200),原始输入与口径!W200,"缺失")</f>
        <v>7.1274750824233415</v>
      </c>
      <c r="E296" s="15">
        <f>IF(ISNUMBER(原始输入与口径!AB200),原始输入与口径!AB200,"缺失")</f>
        <v>2.5937148628818627</v>
      </c>
      <c r="F296" s="15">
        <f>IF(ISNUMBER(原始输入与口径!AG200),原始输入与口径!AG200,"缺失")</f>
        <v>218.74849922817447</v>
      </c>
      <c r="G296" s="15">
        <f>IF(ISNUMBER(原始输入与口径!AJ200),原始输入与口径!AJ200,"缺失")</f>
        <v>76.420254225982887</v>
      </c>
      <c r="H296" s="15" t="str">
        <f t="shared" si="92"/>
        <v>未模拟</v>
      </c>
      <c r="I296" s="16">
        <f>原始输入与口径!CD200</f>
        <v>32.659843657142794</v>
      </c>
      <c r="J296" s="16">
        <f>原始输入与口径!CE200</f>
        <v>31.739130434782549</v>
      </c>
      <c r="K296" s="16">
        <f>原始输入与口径!BZ200</f>
        <v>0</v>
      </c>
      <c r="L296" s="16">
        <f>原始输入与口径!CK200</f>
        <v>40</v>
      </c>
      <c r="M296" s="16">
        <f>原始输入与口径!BT200</f>
        <v>24</v>
      </c>
      <c r="N296" s="16">
        <f>原始输入与口径!BJ200</f>
        <v>24</v>
      </c>
      <c r="O296" s="16">
        <f t="shared" si="93"/>
        <v>0.85193142857142856</v>
      </c>
      <c r="P296" s="16">
        <f t="shared" si="94"/>
        <v>5.7600000000000004E-3</v>
      </c>
      <c r="Q296" s="17">
        <f t="shared" si="95"/>
        <v>0</v>
      </c>
      <c r="R296" s="17">
        <f t="shared" si="96"/>
        <v>662.24534522516342</v>
      </c>
      <c r="S296" s="17">
        <f t="shared" si="97"/>
        <v>42.764850494540049</v>
      </c>
      <c r="T296" s="17">
        <f t="shared" si="98"/>
        <v>15.562289177291177</v>
      </c>
      <c r="U296" s="17">
        <f t="shared" si="99"/>
        <v>186.3587214453147</v>
      </c>
      <c r="V296" s="17">
        <f t="shared" si="100"/>
        <v>-0.44018066434166148</v>
      </c>
      <c r="W296" s="17">
        <f t="shared" si="101"/>
        <v>906.49102567796763</v>
      </c>
      <c r="X296" s="12">
        <f>原始输入与口径!CP200</f>
        <v>906.49102567796763</v>
      </c>
      <c r="Y296" s="19">
        <f t="shared" si="102"/>
        <v>0</v>
      </c>
      <c r="Z296" s="12" t="str">
        <f t="shared" si="103"/>
        <v>当日执行</v>
      </c>
      <c r="AA296" s="12">
        <f>IF(原始输入与口径!AW200,1,0)</f>
        <v>1</v>
      </c>
      <c r="AB296" s="12">
        <f>IF(原始输入与口径!AY200,1,0)</f>
        <v>1</v>
      </c>
      <c r="AC296" s="12">
        <f>原始输入与口径!$F$5</f>
        <v>0.25</v>
      </c>
      <c r="AD296" s="18">
        <f>原始输入与口径!CG200</f>
        <v>0.3125</v>
      </c>
      <c r="AE296" s="18">
        <f>原始输入与口径!BQ200</f>
        <v>0.13714285714285715</v>
      </c>
      <c r="AF296" s="18">
        <f t="shared" si="104"/>
        <v>0.14198857142857144</v>
      </c>
      <c r="AG296" s="18">
        <f t="shared" si="105"/>
        <v>9.6000000000000002E-4</v>
      </c>
      <c r="AH296" s="12">
        <f>IF(ISNUMBER(原始输入与口径!T200),原始输入与口径!T200,"缺失")</f>
        <v>175</v>
      </c>
      <c r="AI296" s="12">
        <f>IF(ISNUMBER(原始输入与口径!Y200),原始输入与口径!Y200,"缺失")</f>
        <v>175</v>
      </c>
      <c r="AJ296" s="12">
        <f>IF(ISNUMBER(原始输入与口径!AI200),原始输入与口径!AI200,"缺失")</f>
        <v>6.2119999999999997</v>
      </c>
      <c r="AK296" s="12">
        <f>IF(ISNUMBER(原始输入与口径!AL200),原始输入与口径!AL200,"缺失")</f>
        <v>4.2000000000000003E-2</v>
      </c>
      <c r="AL296" s="12">
        <f>IF(ISNUMBER(原始输入与口径!O200),原始输入与口径!O200,"缺失")</f>
        <v>131.96799999999999</v>
      </c>
      <c r="AM296" s="12">
        <f>SUMIFS(相位SOC复算!$N$9:$N$929,相位SOC复算!$S$9:$S$929,288)</f>
        <v>2.5869767287784681E-3</v>
      </c>
      <c r="AN296" s="12">
        <f>SUMIFS(相位SOC复算!$Q$9:$Q$929,相位SOC复算!$S$9:$S$929,288)</f>
        <v>5.7600000000000004E-3</v>
      </c>
      <c r="AO296" s="12">
        <f>SUMIFS(相位SOC复算!$R$9:$R$929,相位SOC复算!$S$9:$S$929,288)</f>
        <v>0.85193142857142856</v>
      </c>
      <c r="AP296" s="12">
        <f>相位SOC复算!J713</f>
        <v>31.739130434782556</v>
      </c>
      <c r="AQ296" s="19">
        <f t="shared" si="106"/>
        <v>0</v>
      </c>
      <c r="AR296" s="12">
        <f>IF(ISBLANK(原始输入与口径!M200),"",原始输入与口径!M200)</f>
        <v>5.2473000000000001</v>
      </c>
      <c r="AS296" s="14">
        <f>IF(ISBLANK(原始输入与口径!L200),"",原始输入与口径!L200)</f>
        <v>46234</v>
      </c>
      <c r="AT296" s="13">
        <f>IF(ISBLANK(原始输入与口径!A200),"",原始输入与口径!A200)</f>
        <v>46236.864583333336</v>
      </c>
      <c r="AU296" s="12" t="str">
        <f>IF(ISBLANK(原始输入与口径!I200),"",原始输入与口径!I200)</f>
        <v>2026-08-02_92</v>
      </c>
      <c r="AV296" s="12">
        <f>IF(ISBLANK(原始输入与口径!J200),"",原始输入与口径!J200)</f>
        <v>15</v>
      </c>
      <c r="AW296" s="12" t="str">
        <f>IF(ISBLANK(原始输入与口径!BB200),"",原始输入与口径!BB200)</f>
        <v>OK</v>
      </c>
      <c r="AX296" s="12">
        <f>原始输入与口径!CI200</f>
        <v>128</v>
      </c>
      <c r="AY296" s="12">
        <f>原始输入与口径!BS200</f>
        <v>175</v>
      </c>
      <c r="AZ296" s="12">
        <f>原始输入与口径!BI200</f>
        <v>175</v>
      </c>
      <c r="BA296" s="12">
        <f>原始输入与口径!CM200</f>
        <v>40</v>
      </c>
      <c r="BB296" s="12">
        <f>原始输入与口径!BV200</f>
        <v>24</v>
      </c>
      <c r="BC296" s="12">
        <f>原始输入与口径!BL200</f>
        <v>24</v>
      </c>
      <c r="BD296" s="14">
        <f>46236</f>
        <v>46236</v>
      </c>
      <c r="BE296" s="1" t="str">
        <f t="shared" si="107"/>
        <v>零头寸，无结算现金</v>
      </c>
      <c r="BF296" s="1" t="str">
        <f t="shared" si="108"/>
        <v>40.000000 MW × 66.224535 × 0.250000 h = 662.245345 EUR</v>
      </c>
      <c r="BG296" s="1" t="str">
        <f t="shared" si="109"/>
        <v>24.000000 MW × 7.127475 × 0.250000 h = 42.764850 EUR</v>
      </c>
      <c r="BH296" s="1" t="str">
        <f t="shared" si="110"/>
        <v>24.000000 MW × 2.593715 × 0.250000 h = 15.562289 EUR</v>
      </c>
      <c r="BI296" s="1" t="str">
        <f t="shared" si="111"/>
        <v>0.851931 MWh × 218.748499 = 186.358721 EUR</v>
      </c>
      <c r="BJ296" s="1" t="str">
        <f t="shared" si="112"/>
        <v>−(0.005760 MWh × 76.420254) = -0.440181 EUR</v>
      </c>
      <c r="BK296" s="1" t="str">
        <f t="shared" si="113"/>
        <v>0.000000 + 662.245345 + 42.764850 + 15.562289 + 186.358721 + -0.440181 = 906.491026 EUR</v>
      </c>
    </row>
    <row r="297" spans="1:63" ht="21" customHeight="1" x14ac:dyDescent="0.45">
      <c r="A297" s="13">
        <f>原始输入与口径!C201</f>
        <v>46237</v>
      </c>
      <c r="B297" s="15">
        <f>IF(ISNUMBER(原始输入与口径!H201),原始输入与口径!H201,"缺失")</f>
        <v>228.39</v>
      </c>
      <c r="C297" s="15">
        <f>IF(ISNUMBER(原始输入与口径!R201),原始输入与口径!R201,"缺失")</f>
        <v>66.224534522516336</v>
      </c>
      <c r="D297" s="15">
        <f>IF(ISNUMBER(原始输入与口径!W201),原始输入与口径!W201,"缺失")</f>
        <v>7.0664913384026065</v>
      </c>
      <c r="E297" s="15">
        <f>IF(ISNUMBER(原始输入与口径!AB201),原始输入与口径!AB201,"缺失")</f>
        <v>2.7061536409200921</v>
      </c>
      <c r="F297" s="15">
        <f>IF(ISNUMBER(原始输入与口径!AG201),原始输入与口径!AG201,"缺失")</f>
        <v>222.77056772054198</v>
      </c>
      <c r="G297" s="15">
        <f>IF(ISNUMBER(原始输入与口径!AJ201),原始输入与口径!AJ201,"缺失")</f>
        <v>0</v>
      </c>
      <c r="H297" s="15" t="str">
        <f t="shared" si="92"/>
        <v>未模拟</v>
      </c>
      <c r="I297" s="16">
        <f>原始输入与口径!CD201</f>
        <v>31.739130434782549</v>
      </c>
      <c r="J297" s="16">
        <f>原始输入与口径!CE201</f>
        <v>30.75295184590528</v>
      </c>
      <c r="K297" s="16">
        <f>原始输入与口径!BZ201</f>
        <v>-0.55953635405774615</v>
      </c>
      <c r="L297" s="16">
        <f>原始输入与口径!CK201</f>
        <v>38</v>
      </c>
      <c r="M297" s="16">
        <f>原始输入与口径!BT201</f>
        <v>19</v>
      </c>
      <c r="N297" s="16">
        <f>原始输入与口径!BJ201</f>
        <v>24</v>
      </c>
      <c r="O297" s="16">
        <f t="shared" si="93"/>
        <v>1.0303428571428572</v>
      </c>
      <c r="P297" s="16">
        <f t="shared" si="94"/>
        <v>0</v>
      </c>
      <c r="Q297" s="17">
        <f t="shared" si="95"/>
        <v>-31.948126975812158</v>
      </c>
      <c r="R297" s="17">
        <f t="shared" si="96"/>
        <v>629.13307796390518</v>
      </c>
      <c r="S297" s="17">
        <f t="shared" si="97"/>
        <v>33.565833857412379</v>
      </c>
      <c r="T297" s="17">
        <f t="shared" si="98"/>
        <v>16.236921845520552</v>
      </c>
      <c r="U297" s="17">
        <f t="shared" si="99"/>
        <v>229.53006323251958</v>
      </c>
      <c r="V297" s="17">
        <f t="shared" si="100"/>
        <v>0</v>
      </c>
      <c r="W297" s="17">
        <f t="shared" si="101"/>
        <v>876.51776992354553</v>
      </c>
      <c r="X297" s="12">
        <f>原始输入与口径!CP201</f>
        <v>876.51776992354553</v>
      </c>
      <c r="Y297" s="19">
        <f t="shared" si="102"/>
        <v>0</v>
      </c>
      <c r="Z297" s="12" t="str">
        <f t="shared" ref="Z297:Z328" si="114">"次日冻结计划复原"</f>
        <v>次日冻结计划复原</v>
      </c>
      <c r="AA297" s="12">
        <f>IF(原始输入与口径!AW201,1,0)</f>
        <v>1</v>
      </c>
      <c r="AB297" s="12">
        <f>IF(原始输入与口径!AY201,1,0)</f>
        <v>1</v>
      </c>
      <c r="AC297" s="12">
        <f>原始输入与口径!$F$5</f>
        <v>0.25</v>
      </c>
      <c r="AD297" s="18">
        <f>原始输入与口径!CG201</f>
        <v>0.3125</v>
      </c>
      <c r="AE297" s="18">
        <f>原始输入与口径!BQ201</f>
        <v>0.13714285714285715</v>
      </c>
      <c r="AF297" s="18">
        <f t="shared" si="104"/>
        <v>0.21691428571428573</v>
      </c>
      <c r="AG297" s="18">
        <f t="shared" si="105"/>
        <v>0</v>
      </c>
      <c r="AH297" s="12">
        <f>IF(ISNUMBER(原始输入与口径!T201),原始输入与口径!T201,"缺失")</f>
        <v>175</v>
      </c>
      <c r="AI297" s="12">
        <f>IF(ISNUMBER(原始输入与口径!Y201),原始输入与口径!Y201,"缺失")</f>
        <v>175</v>
      </c>
      <c r="AJ297" s="12">
        <f>IF(ISNUMBER(原始输入与口径!AI201),原始输入与口径!AI201,"缺失")</f>
        <v>9.49</v>
      </c>
      <c r="AK297" s="12">
        <f>IF(ISNUMBER(原始输入与口径!AL201),原始输入与口径!AL201,"缺失")</f>
        <v>0</v>
      </c>
      <c r="AL297" s="12">
        <f>IF(ISNUMBER(原始输入与口径!O201),原始输入与口径!O201,"缺失")</f>
        <v>131.96799999999999</v>
      </c>
      <c r="AM297" s="12">
        <f>SUMIFS(相位SOC复算!$N$9:$N$929,相位SOC复算!$S$9:$S$929,289)</f>
        <v>3.2992623738913665E-3</v>
      </c>
      <c r="AN297" s="12">
        <f>SUMIFS(相位SOC复算!$Q$9:$Q$929,相位SOC复算!$S$9:$S$929,289)</f>
        <v>0.10954123137153361</v>
      </c>
      <c r="AO297" s="12">
        <f>SUMIFS(相位SOC复算!$R$9:$R$929,相位SOC复算!$S$9:$S$929,289)</f>
        <v>0.99999999999995437</v>
      </c>
      <c r="AP297" s="12">
        <f>相位SOC复算!J715</f>
        <v>30.752951845905287</v>
      </c>
      <c r="AQ297" s="19">
        <f t="shared" si="106"/>
        <v>0</v>
      </c>
      <c r="AR297" s="12">
        <f>IF(ISBLANK(原始输入与口径!M201),"",原始输入与口径!M201)</f>
        <v>5.2473000000000001</v>
      </c>
      <c r="AS297" s="14">
        <f>IF(ISBLANK(原始输入与口径!L201),"",原始输入与口径!L201)</f>
        <v>46234</v>
      </c>
      <c r="AT297" s="13">
        <f>IF(ISBLANK(原始输入与口径!A201),"",原始输入与口径!A201)</f>
        <v>46236.875</v>
      </c>
      <c r="AU297" s="12" t="str">
        <f>IF(ISBLANK(原始输入与口径!I201),"",原始输入与口径!I201)</f>
        <v>2026-08-02_93</v>
      </c>
      <c r="AV297" s="12">
        <f>IF(ISBLANK(原始输入与口径!J201),"",原始输入与口径!J201)</f>
        <v>15</v>
      </c>
      <c r="AW297" s="12" t="str">
        <f>IF(ISBLANK(原始输入与口径!BB201),"",原始输入与口径!BB201)</f>
        <v>OK</v>
      </c>
      <c r="AX297" s="12">
        <f>原始输入与口径!CI201</f>
        <v>128</v>
      </c>
      <c r="AY297" s="12">
        <f>原始输入与口径!BS201</f>
        <v>175</v>
      </c>
      <c r="AZ297" s="12">
        <f>原始输入与口径!BI201</f>
        <v>175</v>
      </c>
      <c r="BA297" s="12">
        <f>原始输入与口径!CM201</f>
        <v>40</v>
      </c>
      <c r="BB297" s="12">
        <f>原始输入与口径!BV201</f>
        <v>24</v>
      </c>
      <c r="BC297" s="12">
        <f>原始输入与口径!BL201</f>
        <v>24</v>
      </c>
      <c r="BD297" s="14">
        <f>46236</f>
        <v>46236</v>
      </c>
      <c r="BE297" s="1" t="str">
        <f t="shared" si="107"/>
        <v>-0.559536 MW × 228.390000 × 0.250000 h = -31.948127 EUR</v>
      </c>
      <c r="BF297" s="1" t="str">
        <f t="shared" si="108"/>
        <v>38.000000 MW × 66.224535 × 0.250000 h = 629.133078 EUR</v>
      </c>
      <c r="BG297" s="1" t="str">
        <f t="shared" si="109"/>
        <v>19.000000 MW × 7.066491 × 0.250000 h = 33.565834 EUR</v>
      </c>
      <c r="BH297" s="1" t="str">
        <f t="shared" si="110"/>
        <v>24.000000 MW × 2.706154 × 0.250000 h = 16.236922 EUR</v>
      </c>
      <c r="BI297" s="1" t="str">
        <f t="shared" si="111"/>
        <v>1.030343 MWh × 222.770568 = 229.530063 EUR</v>
      </c>
      <c r="BJ297" s="1" t="str">
        <f t="shared" si="112"/>
        <v>零下调激活电量</v>
      </c>
      <c r="BK297" s="1" t="str">
        <f t="shared" si="113"/>
        <v>-31.948127 + 629.133078 + 33.565834 + 16.236922 + 229.530063 + 0.000000 = 876.517770 EUR</v>
      </c>
    </row>
    <row r="298" spans="1:63" ht="21" customHeight="1" x14ac:dyDescent="0.45">
      <c r="A298" s="13">
        <f>原始输入与口径!C202</f>
        <v>46237.010416666664</v>
      </c>
      <c r="B298" s="15">
        <f>IF(ISNUMBER(原始输入与口径!H202),原始输入与口径!H202,"缺失")</f>
        <v>192.84</v>
      </c>
      <c r="C298" s="15">
        <f>IF(ISNUMBER(原始输入与口径!R202),原始输入与口径!R202,"缺失")</f>
        <v>66.224534522516336</v>
      </c>
      <c r="D298" s="15">
        <f>IF(ISNUMBER(原始输入与口径!W202),原始输入与口径!W202,"缺失")</f>
        <v>7.0664913384026065</v>
      </c>
      <c r="E298" s="15">
        <f>IF(ISNUMBER(原始输入与口径!AB202),原始输入与口径!AB202,"缺失")</f>
        <v>2.7061536409200921</v>
      </c>
      <c r="F298" s="15">
        <f>IF(ISNUMBER(原始输入与口径!AG202),原始输入与口径!AG202,"缺失")</f>
        <v>173.76517447068017</v>
      </c>
      <c r="G298" s="15">
        <f>IF(ISNUMBER(原始输入与口径!AJ202),原始输入与口径!AJ202,"缺失")</f>
        <v>76.420254225982887</v>
      </c>
      <c r="H298" s="15" t="str">
        <f t="shared" si="92"/>
        <v>未模拟</v>
      </c>
      <c r="I298" s="16">
        <f>原始输入与口径!CD202</f>
        <v>30.75295184590528</v>
      </c>
      <c r="J298" s="16">
        <f>原始输入与口径!CE202</f>
        <v>30.719740546526399</v>
      </c>
      <c r="K298" s="16">
        <f>原始输入与口径!BZ202</f>
        <v>0</v>
      </c>
      <c r="L298" s="16">
        <f>原始输入与口径!CK202</f>
        <v>38</v>
      </c>
      <c r="M298" s="16">
        <f>原始输入与口径!BT202</f>
        <v>19</v>
      </c>
      <c r="N298" s="16">
        <f>原始输入与口径!BJ202</f>
        <v>24</v>
      </c>
      <c r="O298" s="16">
        <f t="shared" si="93"/>
        <v>4.8314285714285712E-2</v>
      </c>
      <c r="P298" s="16">
        <f t="shared" si="94"/>
        <v>2.0982857142857143E-2</v>
      </c>
      <c r="Q298" s="17">
        <f t="shared" si="95"/>
        <v>0</v>
      </c>
      <c r="R298" s="17">
        <f t="shared" si="96"/>
        <v>629.13307796390518</v>
      </c>
      <c r="S298" s="17">
        <f t="shared" si="97"/>
        <v>33.565833857412379</v>
      </c>
      <c r="T298" s="17">
        <f t="shared" si="98"/>
        <v>16.236921845520552</v>
      </c>
      <c r="U298" s="17">
        <f t="shared" si="99"/>
        <v>8.3953402865691462</v>
      </c>
      <c r="V298" s="17">
        <f t="shared" si="100"/>
        <v>-1.6035152772446237</v>
      </c>
      <c r="W298" s="17">
        <f t="shared" si="101"/>
        <v>685.72765867616272</v>
      </c>
      <c r="X298" s="12">
        <f>原始输入与口径!CP202</f>
        <v>685.7276586761626</v>
      </c>
      <c r="Y298" s="19">
        <f t="shared" si="102"/>
        <v>0</v>
      </c>
      <c r="Z298" s="12" t="str">
        <f t="shared" si="114"/>
        <v>次日冻结计划复原</v>
      </c>
      <c r="AA298" s="12">
        <f>IF(原始输入与口径!AW202,1,0)</f>
        <v>1</v>
      </c>
      <c r="AB298" s="12">
        <f>IF(原始输入与口径!AY202,1,0)</f>
        <v>1</v>
      </c>
      <c r="AC298" s="12">
        <f>原始输入与口径!$F$5</f>
        <v>0.25</v>
      </c>
      <c r="AD298" s="18">
        <f>原始输入与口径!CG202</f>
        <v>0.3125</v>
      </c>
      <c r="AE298" s="18">
        <f>原始输入与口径!BQ202</f>
        <v>0.13714285714285715</v>
      </c>
      <c r="AF298" s="18">
        <f t="shared" si="104"/>
        <v>1.0171428571428571E-2</v>
      </c>
      <c r="AG298" s="18">
        <f t="shared" si="105"/>
        <v>3.4971428571428571E-3</v>
      </c>
      <c r="AH298" s="12">
        <f>IF(ISNUMBER(原始输入与口径!T202),原始输入与口径!T202,"缺失")</f>
        <v>175</v>
      </c>
      <c r="AI298" s="12">
        <f>IF(ISNUMBER(原始输入与口径!Y202),原始输入与口径!Y202,"缺失")</f>
        <v>175</v>
      </c>
      <c r="AJ298" s="12">
        <f>IF(ISNUMBER(原始输入与口径!AI202),原始输入与口径!AI202,"缺失")</f>
        <v>0.44500000000000001</v>
      </c>
      <c r="AK298" s="12">
        <f>IF(ISNUMBER(原始输入与口径!AL202),原始输入与口径!AL202,"缺失")</f>
        <v>0.153</v>
      </c>
      <c r="AL298" s="12">
        <f>IF(ISNUMBER(原始输入与口径!O202),原始输入与口径!O202,"缺失")</f>
        <v>131.96799999999999</v>
      </c>
      <c r="AM298" s="12">
        <f>SUMIFS(相位SOC复算!$N$9:$N$929,相位SOC复算!$S$9:$S$929,290)</f>
        <v>1.9949932367149757E-4</v>
      </c>
      <c r="AN298" s="12">
        <f>SUMIFS(相位SOC复算!$Q$9:$Q$929,相位SOC复算!$S$9:$S$929,290)</f>
        <v>2.0982857142857143E-2</v>
      </c>
      <c r="AO298" s="12">
        <f>SUMIFS(相位SOC复算!$R$9:$R$929,相位SOC复算!$S$9:$S$929,290)</f>
        <v>4.8314285714285712E-2</v>
      </c>
      <c r="AP298" s="12">
        <f>相位SOC复算!J718</f>
        <v>30.719740546526406</v>
      </c>
      <c r="AQ298" s="19">
        <f t="shared" si="106"/>
        <v>0</v>
      </c>
      <c r="AR298" s="12">
        <f>IF(ISBLANK(原始输入与口径!M202),"",原始输入与口径!M202)</f>
        <v>5.2473000000000001</v>
      </c>
      <c r="AS298" s="14">
        <f>IF(ISBLANK(原始输入与口径!L202),"",原始输入与口径!L202)</f>
        <v>46234</v>
      </c>
      <c r="AT298" s="13">
        <f>IF(ISBLANK(原始输入与口径!A202),"",原始输入与口径!A202)</f>
        <v>46236.885416666664</v>
      </c>
      <c r="AU298" s="12" t="str">
        <f>IF(ISBLANK(原始输入与口径!I202),"",原始输入与口径!I202)</f>
        <v>2026-08-02_94</v>
      </c>
      <c r="AV298" s="12">
        <f>IF(ISBLANK(原始输入与口径!J202),"",原始输入与口径!J202)</f>
        <v>15</v>
      </c>
      <c r="AW298" s="12" t="str">
        <f>IF(ISBLANK(原始输入与口径!BB202),"",原始输入与口径!BB202)</f>
        <v>OK</v>
      </c>
      <c r="AX298" s="12">
        <f>原始输入与口径!CI202</f>
        <v>128</v>
      </c>
      <c r="AY298" s="12">
        <f>原始输入与口径!BS202</f>
        <v>175</v>
      </c>
      <c r="AZ298" s="12">
        <f>原始输入与口径!BI202</f>
        <v>175</v>
      </c>
      <c r="BA298" s="12">
        <f>原始输入与口径!CM202</f>
        <v>40</v>
      </c>
      <c r="BB298" s="12">
        <f>原始输入与口径!BV202</f>
        <v>24</v>
      </c>
      <c r="BC298" s="12">
        <f>原始输入与口径!BL202</f>
        <v>24</v>
      </c>
      <c r="BD298" s="14">
        <f>46236</f>
        <v>46236</v>
      </c>
      <c r="BE298" s="1" t="str">
        <f t="shared" si="107"/>
        <v>零头寸，无结算现金</v>
      </c>
      <c r="BF298" s="1" t="str">
        <f t="shared" si="108"/>
        <v>38.000000 MW × 66.224535 × 0.250000 h = 629.133078 EUR</v>
      </c>
      <c r="BG298" s="1" t="str">
        <f t="shared" si="109"/>
        <v>19.000000 MW × 7.066491 × 0.250000 h = 33.565834 EUR</v>
      </c>
      <c r="BH298" s="1" t="str">
        <f t="shared" si="110"/>
        <v>24.000000 MW × 2.706154 × 0.250000 h = 16.236922 EUR</v>
      </c>
      <c r="BI298" s="1" t="str">
        <f t="shared" si="111"/>
        <v>0.048314 MWh × 173.765174 = 8.395340 EUR</v>
      </c>
      <c r="BJ298" s="1" t="str">
        <f t="shared" si="112"/>
        <v>−(0.020983 MWh × 76.420254) = -1.603515 EUR</v>
      </c>
      <c r="BK298" s="1" t="str">
        <f t="shared" si="113"/>
        <v>0.000000 + 629.133078 + 33.565834 + 16.236922 + 8.395340 + -1.603515 = 685.727659 EUR</v>
      </c>
    </row>
    <row r="299" spans="1:63" ht="21" customHeight="1" x14ac:dyDescent="0.45">
      <c r="A299" s="13">
        <f>原始输入与口径!C203</f>
        <v>46237.020833333336</v>
      </c>
      <c r="B299" s="15">
        <f>IF(ISNUMBER(原始输入与口径!H203),原始输入与口径!H203,"缺失")</f>
        <v>180.88</v>
      </c>
      <c r="C299" s="15">
        <f>IF(ISNUMBER(原始输入与口径!R203),原始输入与口径!R203,"缺失")</f>
        <v>66.224534522516336</v>
      </c>
      <c r="D299" s="15">
        <f>IF(ISNUMBER(原始输入与口径!W203),原始输入与口径!W203,"缺失")</f>
        <v>7.0664913384026065</v>
      </c>
      <c r="E299" s="15">
        <f>IF(ISNUMBER(原始输入与口径!AB203),原始输入与口径!AB203,"缺失")</f>
        <v>2.7061536409200921</v>
      </c>
      <c r="F299" s="15">
        <f>IF(ISNUMBER(原始输入与口径!AG203),原始输入与口径!AG203,"缺失")</f>
        <v>187.97838888571266</v>
      </c>
      <c r="G299" s="15">
        <f>IF(ISNUMBER(原始输入与口径!AJ203),原始输入与口径!AJ203,"缺失")</f>
        <v>76.420254225982887</v>
      </c>
      <c r="H299" s="15" t="str">
        <f t="shared" si="92"/>
        <v>未模拟</v>
      </c>
      <c r="I299" s="16">
        <f>原始输入与口径!CD203</f>
        <v>30.719740546526399</v>
      </c>
      <c r="J299" s="16">
        <f>原始输入与口径!CE203</f>
        <v>34.654510914724355</v>
      </c>
      <c r="K299" s="16">
        <f>原始输入与口径!BZ203</f>
        <v>-17.755276847213757</v>
      </c>
      <c r="L299" s="16">
        <f>原始输入与口径!CK203</f>
        <v>38</v>
      </c>
      <c r="M299" s="16">
        <f>原始输入与口径!BT203</f>
        <v>19</v>
      </c>
      <c r="N299" s="16">
        <f>原始输入与口径!BJ203</f>
        <v>24</v>
      </c>
      <c r="O299" s="16">
        <f t="shared" si="93"/>
        <v>0.16947999999999999</v>
      </c>
      <c r="P299" s="16">
        <f t="shared" si="94"/>
        <v>9.6000000000000009E-3</v>
      </c>
      <c r="Q299" s="17">
        <f t="shared" si="95"/>
        <v>-802.8936190310061</v>
      </c>
      <c r="R299" s="17">
        <f t="shared" si="96"/>
        <v>629.13307796390518</v>
      </c>
      <c r="S299" s="17">
        <f t="shared" si="97"/>
        <v>33.565833857412379</v>
      </c>
      <c r="T299" s="17">
        <f t="shared" si="98"/>
        <v>16.236921845520552</v>
      </c>
      <c r="U299" s="17">
        <f t="shared" si="99"/>
        <v>31.858577348350579</v>
      </c>
      <c r="V299" s="17">
        <f t="shared" si="100"/>
        <v>-0.73363444056943583</v>
      </c>
      <c r="W299" s="17">
        <f t="shared" si="101"/>
        <v>-92.832842456386842</v>
      </c>
      <c r="X299" s="12">
        <f>原始输入与口径!CP203</f>
        <v>-92.832842456386842</v>
      </c>
      <c r="Y299" s="19">
        <f t="shared" si="102"/>
        <v>0</v>
      </c>
      <c r="Z299" s="12" t="str">
        <f t="shared" si="114"/>
        <v>次日冻结计划复原</v>
      </c>
      <c r="AA299" s="12">
        <f>IF(原始输入与口径!AW203,1,0)</f>
        <v>1</v>
      </c>
      <c r="AB299" s="12">
        <f>IF(原始输入与口径!AY203,1,0)</f>
        <v>1</v>
      </c>
      <c r="AC299" s="12">
        <f>原始输入与口径!$F$5</f>
        <v>0.25</v>
      </c>
      <c r="AD299" s="18">
        <f>原始输入与口径!CG203</f>
        <v>0.3125</v>
      </c>
      <c r="AE299" s="18">
        <f>原始输入与口径!BQ203</f>
        <v>0.13714285714285715</v>
      </c>
      <c r="AF299" s="18">
        <f t="shared" si="104"/>
        <v>3.5679999999999996E-2</v>
      </c>
      <c r="AG299" s="18">
        <f t="shared" si="105"/>
        <v>1.6000000000000001E-3</v>
      </c>
      <c r="AH299" s="12">
        <f>IF(ISNUMBER(原始输入与口径!T203),原始输入与口径!T203,"缺失")</f>
        <v>175</v>
      </c>
      <c r="AI299" s="12">
        <f>IF(ISNUMBER(原始输入与口径!Y203),原始输入与口径!Y203,"缺失")</f>
        <v>175</v>
      </c>
      <c r="AJ299" s="12">
        <f>IF(ISNUMBER(原始输入与口径!AI203),原始输入与口径!AI203,"缺失")</f>
        <v>1.5609999999999999</v>
      </c>
      <c r="AK299" s="12">
        <f>IF(ISNUMBER(原始输入与口径!AL203),原始输入与口径!AL203,"缺失")</f>
        <v>7.0000000000000007E-2</v>
      </c>
      <c r="AL299" s="12">
        <f>IF(ISNUMBER(原始输入与口径!O203),原始输入与口径!O203,"缺失")</f>
        <v>131.96799999999999</v>
      </c>
      <c r="AM299" s="12">
        <f>SUMIFS(相位SOC复算!$N$9:$N$929,相位SOC复算!$S$9:$S$929,291)</f>
        <v>1.0996964371340059E-2</v>
      </c>
      <c r="AN299" s="12">
        <f>SUMIFS(相位SOC复算!$Q$9:$Q$929,相位SOC复算!$S$9:$S$929,291)</f>
        <v>4.2900421423262918</v>
      </c>
      <c r="AO299" s="12">
        <f>SUMIFS(相位SOC复算!$R$9:$R$929,相位SOC复算!$S$9:$S$929,291)</f>
        <v>1.1102930522853285E-2</v>
      </c>
      <c r="AP299" s="12">
        <f>相位SOC复算!J721</f>
        <v>34.654510914724362</v>
      </c>
      <c r="AQ299" s="19">
        <f t="shared" si="106"/>
        <v>0</v>
      </c>
      <c r="AR299" s="12">
        <f>IF(ISBLANK(原始输入与口径!M203),"",原始输入与口径!M203)</f>
        <v>5.2473000000000001</v>
      </c>
      <c r="AS299" s="14">
        <f>IF(ISBLANK(原始输入与口径!L203),"",原始输入与口径!L203)</f>
        <v>46234</v>
      </c>
      <c r="AT299" s="13">
        <f>IF(ISBLANK(原始输入与口径!A203),"",原始输入与口径!A203)</f>
        <v>46236.895833333336</v>
      </c>
      <c r="AU299" s="12" t="str">
        <f>IF(ISBLANK(原始输入与口径!I203),"",原始输入与口径!I203)</f>
        <v>2026-08-02_95</v>
      </c>
      <c r="AV299" s="12">
        <f>IF(ISBLANK(原始输入与口径!J203),"",原始输入与口径!J203)</f>
        <v>15</v>
      </c>
      <c r="AW299" s="12" t="str">
        <f>IF(ISBLANK(原始输入与口径!BB203),"",原始输入与口径!BB203)</f>
        <v>OK</v>
      </c>
      <c r="AX299" s="12">
        <f>原始输入与口径!CI203</f>
        <v>128</v>
      </c>
      <c r="AY299" s="12">
        <f>原始输入与口径!BS203</f>
        <v>175</v>
      </c>
      <c r="AZ299" s="12">
        <f>原始输入与口径!BI203</f>
        <v>175</v>
      </c>
      <c r="BA299" s="12">
        <f>原始输入与口径!CM203</f>
        <v>40</v>
      </c>
      <c r="BB299" s="12">
        <f>原始输入与口径!BV203</f>
        <v>24</v>
      </c>
      <c r="BC299" s="12">
        <f>原始输入与口径!BL203</f>
        <v>24</v>
      </c>
      <c r="BD299" s="14">
        <f>46236</f>
        <v>46236</v>
      </c>
      <c r="BE299" s="1" t="str">
        <f t="shared" si="107"/>
        <v>-17.755277 MW × 180.880000 × 0.250000 h = -802.893619 EUR</v>
      </c>
      <c r="BF299" s="1" t="str">
        <f t="shared" si="108"/>
        <v>38.000000 MW × 66.224535 × 0.250000 h = 629.133078 EUR</v>
      </c>
      <c r="BG299" s="1" t="str">
        <f t="shared" si="109"/>
        <v>19.000000 MW × 7.066491 × 0.250000 h = 33.565834 EUR</v>
      </c>
      <c r="BH299" s="1" t="str">
        <f t="shared" si="110"/>
        <v>24.000000 MW × 2.706154 × 0.250000 h = 16.236922 EUR</v>
      </c>
      <c r="BI299" s="1" t="str">
        <f t="shared" si="111"/>
        <v>0.169480 MWh × 187.978389 = 31.858577 EUR</v>
      </c>
      <c r="BJ299" s="1" t="str">
        <f t="shared" si="112"/>
        <v>−(0.009600 MWh × 76.420254) = -0.733634 EUR</v>
      </c>
      <c r="BK299" s="1" t="str">
        <f t="shared" si="113"/>
        <v>-802.893619 + 629.133078 + 33.565834 + 16.236922 + 31.858577 + -0.733634 = -92.832842 EUR</v>
      </c>
    </row>
    <row r="300" spans="1:63" ht="21" customHeight="1" x14ac:dyDescent="0.45">
      <c r="A300" s="13">
        <f>原始输入与口径!C204</f>
        <v>46237.03125</v>
      </c>
      <c r="B300" s="15">
        <f>IF(ISNUMBER(原始输入与口径!H204),原始输入与口径!H204,"缺失")</f>
        <v>183.55</v>
      </c>
      <c r="C300" s="15">
        <f>IF(ISNUMBER(原始输入与口径!R204),原始输入与口径!R204,"缺失")</f>
        <v>66.224534522516336</v>
      </c>
      <c r="D300" s="15">
        <f>IF(ISNUMBER(原始输入与口径!W204),原始输入与口径!W204,"缺失")</f>
        <v>7.0664913384026065</v>
      </c>
      <c r="E300" s="15">
        <f>IF(ISNUMBER(原始输入与口径!AB204),原始输入与口径!AB204,"缺失")</f>
        <v>2.7061536409200921</v>
      </c>
      <c r="F300" s="15">
        <f>IF(ISNUMBER(原始输入与口径!AG204),原始输入与口径!AG204,"缺失")</f>
        <v>178.98728870085569</v>
      </c>
      <c r="G300" s="15">
        <f>IF(ISNUMBER(原始输入与口径!AJ204),原始输入与口径!AJ204,"缺失")</f>
        <v>76.420254225982887</v>
      </c>
      <c r="H300" s="15" t="str">
        <f t="shared" si="92"/>
        <v>未模拟</v>
      </c>
      <c r="I300" s="16">
        <f>原始输入与口径!CD204</f>
        <v>34.654510914724355</v>
      </c>
      <c r="J300" s="16">
        <f>原始输入与口径!CE204</f>
        <v>34.585587873730567</v>
      </c>
      <c r="K300" s="16">
        <f>原始输入与口径!BZ204</f>
        <v>0</v>
      </c>
      <c r="L300" s="16">
        <f>原始输入与口径!CK204</f>
        <v>38</v>
      </c>
      <c r="M300" s="16">
        <f>原始输入与口径!BT204</f>
        <v>19</v>
      </c>
      <c r="N300" s="16">
        <f>原始输入与口径!BJ204</f>
        <v>24</v>
      </c>
      <c r="O300" s="16">
        <f t="shared" si="93"/>
        <v>6.5034285714285711E-2</v>
      </c>
      <c r="P300" s="16">
        <f t="shared" si="94"/>
        <v>1.9200000000000003E-3</v>
      </c>
      <c r="Q300" s="17">
        <f t="shared" si="95"/>
        <v>0</v>
      </c>
      <c r="R300" s="17">
        <f t="shared" si="96"/>
        <v>629.13307796390518</v>
      </c>
      <c r="S300" s="17">
        <f t="shared" si="97"/>
        <v>33.565833857412379</v>
      </c>
      <c r="T300" s="17">
        <f t="shared" si="98"/>
        <v>16.236921845520552</v>
      </c>
      <c r="U300" s="17">
        <f t="shared" si="99"/>
        <v>11.640310472596791</v>
      </c>
      <c r="V300" s="17">
        <f t="shared" si="100"/>
        <v>-0.14672688811388718</v>
      </c>
      <c r="W300" s="17">
        <f t="shared" si="101"/>
        <v>690.42941725132096</v>
      </c>
      <c r="X300" s="12">
        <f>原始输入与口径!CP204</f>
        <v>690.42941725132107</v>
      </c>
      <c r="Y300" s="19">
        <f t="shared" si="102"/>
        <v>0</v>
      </c>
      <c r="Z300" s="12" t="str">
        <f t="shared" si="114"/>
        <v>次日冻结计划复原</v>
      </c>
      <c r="AA300" s="12">
        <f>IF(原始输入与口径!AW204,1,0)</f>
        <v>1</v>
      </c>
      <c r="AB300" s="12">
        <f>IF(原始输入与口径!AY204,1,0)</f>
        <v>1</v>
      </c>
      <c r="AC300" s="12">
        <f>原始输入与口径!$F$5</f>
        <v>0.25</v>
      </c>
      <c r="AD300" s="18">
        <f>原始输入与口径!CG204</f>
        <v>0.3125</v>
      </c>
      <c r="AE300" s="18">
        <f>原始输入与口径!BQ204</f>
        <v>0.13714285714285715</v>
      </c>
      <c r="AF300" s="18">
        <f t="shared" si="104"/>
        <v>1.3691428571428571E-2</v>
      </c>
      <c r="AG300" s="18">
        <f t="shared" si="105"/>
        <v>3.2000000000000003E-4</v>
      </c>
      <c r="AH300" s="12">
        <f>IF(ISNUMBER(原始输入与口径!T204),原始输入与口径!T204,"缺失")</f>
        <v>175</v>
      </c>
      <c r="AI300" s="12">
        <f>IF(ISNUMBER(原始输入与口径!Y204),原始输入与口径!Y204,"缺失")</f>
        <v>175</v>
      </c>
      <c r="AJ300" s="12">
        <f>IF(ISNUMBER(原始输入与口径!AI204),原始输入与口径!AI204,"缺失")</f>
        <v>0.59899999999999998</v>
      </c>
      <c r="AK300" s="12">
        <f>IF(ISNUMBER(原始输入与口径!AL204),原始输入与口径!AL204,"缺失")</f>
        <v>1.4E-2</v>
      </c>
      <c r="AL300" s="12">
        <f>IF(ISNUMBER(原始输入与口径!O204),原始输入与口径!O204,"缺失")</f>
        <v>131.96799999999999</v>
      </c>
      <c r="AM300" s="12">
        <f>SUMIFS(相位SOC复算!$N$9:$N$929,相位SOC复算!$S$9:$S$929,292)</f>
        <v>2.0126622498274673E-4</v>
      </c>
      <c r="AN300" s="12">
        <f>SUMIFS(相位SOC复算!$Q$9:$Q$929,相位SOC复算!$S$9:$S$929,292)</f>
        <v>1.9200000000000003E-3</v>
      </c>
      <c r="AO300" s="12">
        <f>SUMIFS(相位SOC复算!$R$9:$R$929,相位SOC复算!$S$9:$S$929,292)</f>
        <v>6.5034285714285711E-2</v>
      </c>
      <c r="AP300" s="12">
        <f>相位SOC复算!J724</f>
        <v>34.585587873730574</v>
      </c>
      <c r="AQ300" s="19">
        <f t="shared" si="106"/>
        <v>0</v>
      </c>
      <c r="AR300" s="12">
        <f>IF(ISBLANK(原始输入与口径!M204),"",原始输入与口径!M204)</f>
        <v>5.2473000000000001</v>
      </c>
      <c r="AS300" s="14">
        <f>IF(ISBLANK(原始输入与口径!L204),"",原始输入与口径!L204)</f>
        <v>46234</v>
      </c>
      <c r="AT300" s="13">
        <f>IF(ISBLANK(原始输入与口径!A204),"",原始输入与口径!A204)</f>
        <v>46236.90625</v>
      </c>
      <c r="AU300" s="12" t="str">
        <f>IF(ISBLANK(原始输入与口径!I204),"",原始输入与口径!I204)</f>
        <v>2026-08-02_96</v>
      </c>
      <c r="AV300" s="12">
        <f>IF(ISBLANK(原始输入与口径!J204),"",原始输入与口径!J204)</f>
        <v>15</v>
      </c>
      <c r="AW300" s="12" t="str">
        <f>IF(ISBLANK(原始输入与口径!BB204),"",原始输入与口径!BB204)</f>
        <v>OK</v>
      </c>
      <c r="AX300" s="12">
        <f>原始输入与口径!CI204</f>
        <v>128</v>
      </c>
      <c r="AY300" s="12">
        <f>原始输入与口径!BS204</f>
        <v>175</v>
      </c>
      <c r="AZ300" s="12">
        <f>原始输入与口径!BI204</f>
        <v>175</v>
      </c>
      <c r="BA300" s="12">
        <f>原始输入与口径!CM204</f>
        <v>40</v>
      </c>
      <c r="BB300" s="12">
        <f>原始输入与口径!BV204</f>
        <v>24</v>
      </c>
      <c r="BC300" s="12">
        <f>原始输入与口径!BL204</f>
        <v>24</v>
      </c>
      <c r="BD300" s="14">
        <f>46236</f>
        <v>46236</v>
      </c>
      <c r="BE300" s="1" t="str">
        <f t="shared" si="107"/>
        <v>零头寸，无结算现金</v>
      </c>
      <c r="BF300" s="1" t="str">
        <f t="shared" si="108"/>
        <v>38.000000 MW × 66.224535 × 0.250000 h = 629.133078 EUR</v>
      </c>
      <c r="BG300" s="1" t="str">
        <f t="shared" si="109"/>
        <v>19.000000 MW × 7.066491 × 0.250000 h = 33.565834 EUR</v>
      </c>
      <c r="BH300" s="1" t="str">
        <f t="shared" si="110"/>
        <v>24.000000 MW × 2.706154 × 0.250000 h = 16.236922 EUR</v>
      </c>
      <c r="BI300" s="1" t="str">
        <f t="shared" si="111"/>
        <v>0.065034 MWh × 178.987289 = 11.640310 EUR</v>
      </c>
      <c r="BJ300" s="1" t="str">
        <f t="shared" si="112"/>
        <v>−(0.001920 MWh × 76.420254) = -0.146727 EUR</v>
      </c>
      <c r="BK300" s="1" t="str">
        <f t="shared" si="113"/>
        <v>0.000000 + 629.133078 + 33.565834 + 16.236922 + 11.640310 + -0.146727 = 690.429417 EUR</v>
      </c>
    </row>
    <row r="301" spans="1:63" ht="21" customHeight="1" x14ac:dyDescent="0.45">
      <c r="A301" s="13">
        <f>原始输入与口径!C205</f>
        <v>46237.041666666664</v>
      </c>
      <c r="B301" s="15">
        <f>IF(ISNUMBER(原始输入与口径!H205),原始输入与口径!H205,"缺失")</f>
        <v>198.08</v>
      </c>
      <c r="C301" s="15">
        <f>IF(ISNUMBER(原始输入与口径!R205),原始输入与口径!R205,"缺失")</f>
        <v>66.224534522516336</v>
      </c>
      <c r="D301" s="15">
        <f>IF(ISNUMBER(原始输入与口径!W205),原始输入与口径!W205,"缺失")</f>
        <v>7.0664913384026065</v>
      </c>
      <c r="E301" s="15">
        <f>IF(ISNUMBER(原始输入与口径!AB205),原始输入与口径!AB205,"缺失")</f>
        <v>2.7061536409200921</v>
      </c>
      <c r="F301" s="15">
        <f>IF(ISNUMBER(原始输入与口径!AG205),原始输入与口径!AG205,"缺失")</f>
        <v>236.93270824995713</v>
      </c>
      <c r="G301" s="15">
        <f>IF(ISNUMBER(原始输入与口径!AJ205),原始输入与口径!AJ205,"缺失")</f>
        <v>0</v>
      </c>
      <c r="H301" s="15" t="str">
        <f t="shared" si="92"/>
        <v>未模拟</v>
      </c>
      <c r="I301" s="16">
        <f>原始输入与口径!CD205</f>
        <v>34.585587873730567</v>
      </c>
      <c r="J301" s="16">
        <f>原始输入与口径!CE205</f>
        <v>32.827177935842371</v>
      </c>
      <c r="K301" s="16">
        <f>原始输入与口径!BZ205</f>
        <v>0</v>
      </c>
      <c r="L301" s="16">
        <f>原始输入与口径!CK205</f>
        <v>40</v>
      </c>
      <c r="M301" s="16">
        <f>原始输入与口径!BT205</f>
        <v>24</v>
      </c>
      <c r="N301" s="16">
        <f>原始输入与口径!BJ205</f>
        <v>24</v>
      </c>
      <c r="O301" s="16">
        <f t="shared" si="93"/>
        <v>1.6177371428571425</v>
      </c>
      <c r="P301" s="16">
        <f t="shared" si="94"/>
        <v>0</v>
      </c>
      <c r="Q301" s="17">
        <f t="shared" si="95"/>
        <v>0</v>
      </c>
      <c r="R301" s="17">
        <f t="shared" si="96"/>
        <v>662.24534522516342</v>
      </c>
      <c r="S301" s="17">
        <f t="shared" si="97"/>
        <v>42.398948030415639</v>
      </c>
      <c r="T301" s="17">
        <f t="shared" si="98"/>
        <v>16.236921845520552</v>
      </c>
      <c r="U301" s="17">
        <f t="shared" si="99"/>
        <v>383.29484249369057</v>
      </c>
      <c r="V301" s="17">
        <f t="shared" si="100"/>
        <v>0</v>
      </c>
      <c r="W301" s="17">
        <f t="shared" si="101"/>
        <v>1104.1760575947901</v>
      </c>
      <c r="X301" s="12">
        <f>原始输入与口径!CP205</f>
        <v>1104.1760575947901</v>
      </c>
      <c r="Y301" s="19">
        <f t="shared" si="102"/>
        <v>0</v>
      </c>
      <c r="Z301" s="12" t="str">
        <f t="shared" si="114"/>
        <v>次日冻结计划复原</v>
      </c>
      <c r="AA301" s="12">
        <f>IF(原始输入与口径!AW205,1,0)</f>
        <v>1</v>
      </c>
      <c r="AB301" s="12">
        <f>IF(原始输入与口径!AY205,1,0)</f>
        <v>1</v>
      </c>
      <c r="AC301" s="12">
        <f>原始输入与口径!$F$5</f>
        <v>0.25</v>
      </c>
      <c r="AD301" s="18">
        <f>原始输入与口径!CG205</f>
        <v>0.3125</v>
      </c>
      <c r="AE301" s="18">
        <f>原始输入与口径!BQ205</f>
        <v>0.13714285714285715</v>
      </c>
      <c r="AF301" s="18">
        <f t="shared" si="104"/>
        <v>0.26962285714285711</v>
      </c>
      <c r="AG301" s="18">
        <f t="shared" si="105"/>
        <v>0</v>
      </c>
      <c r="AH301" s="12">
        <f>IF(ISNUMBER(原始输入与口径!T205),原始输入与口径!T205,"缺失")</f>
        <v>175</v>
      </c>
      <c r="AI301" s="12">
        <f>IF(ISNUMBER(原始输入与口径!Y205),原始输入与口径!Y205,"缺失")</f>
        <v>175</v>
      </c>
      <c r="AJ301" s="12">
        <f>IF(ISNUMBER(原始输入与口径!AI205),原始输入与口径!AI205,"缺失")</f>
        <v>11.795999999999999</v>
      </c>
      <c r="AK301" s="12">
        <f>IF(ISNUMBER(原始输入与口径!AL205),原始输入与口径!AL205,"缺失")</f>
        <v>0</v>
      </c>
      <c r="AL301" s="12">
        <f>IF(ISNUMBER(原始输入与口径!O205),原始输入与口径!O205,"缺失")</f>
        <v>119.93600000000001</v>
      </c>
      <c r="AM301" s="12">
        <f>SUMIFS(相位SOC复算!$N$9:$N$929,相位SOC复算!$S$9:$S$929,293)</f>
        <v>4.88447204968944E-3</v>
      </c>
      <c r="AN301" s="12">
        <f>SUMIFS(相位SOC复算!$Q$9:$Q$929,相位SOC复算!$S$9:$S$929,293)</f>
        <v>0</v>
      </c>
      <c r="AO301" s="12">
        <f>SUMIFS(相位SOC复算!$R$9:$R$929,相位SOC复算!$S$9:$S$929,293)</f>
        <v>1.6177371428571425</v>
      </c>
      <c r="AP301" s="12">
        <f>相位SOC复算!J726</f>
        <v>32.827177935842379</v>
      </c>
      <c r="AQ301" s="19">
        <f t="shared" si="106"/>
        <v>0</v>
      </c>
      <c r="AR301" s="12">
        <f>IF(ISBLANK(原始输入与口径!M205),"",原始输入与口径!M205)</f>
        <v>5.2473000000000001</v>
      </c>
      <c r="AS301" s="14">
        <f>IF(ISBLANK(原始输入与口径!L205),"",原始输入与口径!L205)</f>
        <v>46234</v>
      </c>
      <c r="AT301" s="13">
        <f>IF(ISBLANK(原始输入与口径!A205),"",原始输入与口径!A205)</f>
        <v>46236.916666666664</v>
      </c>
      <c r="AU301" s="12" t="str">
        <f>IF(ISBLANK(原始输入与口径!I205),"",原始输入与口径!I205)</f>
        <v>2026-08-03_1</v>
      </c>
      <c r="AV301" s="12">
        <f>IF(ISBLANK(原始输入与口径!J205),"",原始输入与口径!J205)</f>
        <v>15</v>
      </c>
      <c r="AW301" s="12" t="str">
        <f>IF(ISBLANK(原始输入与口径!BB205),"",原始输入与口径!BB205)</f>
        <v>OK</v>
      </c>
      <c r="AX301" s="12">
        <f>原始输入与口径!CI205</f>
        <v>128</v>
      </c>
      <c r="AY301" s="12">
        <f>原始输入与口径!BS205</f>
        <v>175</v>
      </c>
      <c r="AZ301" s="12">
        <f>原始输入与口径!BI205</f>
        <v>175</v>
      </c>
      <c r="BA301" s="12">
        <f>原始输入与口径!CM205</f>
        <v>40</v>
      </c>
      <c r="BB301" s="12">
        <f>原始输入与口径!BV205</f>
        <v>24</v>
      </c>
      <c r="BC301" s="12">
        <f>原始输入与口径!BL205</f>
        <v>24</v>
      </c>
      <c r="BD301" s="14">
        <f>46236</f>
        <v>46236</v>
      </c>
      <c r="BE301" s="1" t="str">
        <f t="shared" si="107"/>
        <v>零头寸，无结算现金</v>
      </c>
      <c r="BF301" s="1" t="str">
        <f t="shared" si="108"/>
        <v>40.000000 MW × 66.224535 × 0.250000 h = 662.245345 EUR</v>
      </c>
      <c r="BG301" s="1" t="str">
        <f t="shared" si="109"/>
        <v>24.000000 MW × 7.066491 × 0.250000 h = 42.398948 EUR</v>
      </c>
      <c r="BH301" s="1" t="str">
        <f t="shared" si="110"/>
        <v>24.000000 MW × 2.706154 × 0.250000 h = 16.236922 EUR</v>
      </c>
      <c r="BI301" s="1" t="str">
        <f t="shared" si="111"/>
        <v>1.617737 MWh × 236.932708 = 383.294842 EUR</v>
      </c>
      <c r="BJ301" s="1" t="str">
        <f t="shared" si="112"/>
        <v>零下调激活电量</v>
      </c>
      <c r="BK301" s="1" t="str">
        <f t="shared" si="113"/>
        <v>0.000000 + 662.245345 + 42.398948 + 16.236922 + 383.294842 + 0.000000 = 1104.176058 EUR</v>
      </c>
    </row>
    <row r="302" spans="1:63" ht="21" customHeight="1" x14ac:dyDescent="0.45">
      <c r="A302" s="13">
        <f>原始输入与口径!C206</f>
        <v>46237.052083333336</v>
      </c>
      <c r="B302" s="15">
        <f>IF(ISNUMBER(原始输入与口径!H206),原始输入与口径!H206,"缺失")</f>
        <v>194.74</v>
      </c>
      <c r="C302" s="15">
        <f>IF(ISNUMBER(原始输入与口径!R206),原始输入与口径!R206,"缺失")</f>
        <v>66.224534522516336</v>
      </c>
      <c r="D302" s="15">
        <f>IF(ISNUMBER(原始输入与口径!W206),原始输入与口径!W206,"缺失")</f>
        <v>7.0664913384026065</v>
      </c>
      <c r="E302" s="15">
        <f>IF(ISNUMBER(原始输入与口径!AB206),原始输入与口径!AB206,"缺失")</f>
        <v>2.7061536409200921</v>
      </c>
      <c r="F302" s="15">
        <f>IF(ISNUMBER(原始输入与口径!AG206),原始输入与口径!AG206,"缺失")</f>
        <v>186.47685476340212</v>
      </c>
      <c r="G302" s="15">
        <f>IF(ISNUMBER(原始输入与口径!AJ206),原始输入与口径!AJ206,"缺失")</f>
        <v>0</v>
      </c>
      <c r="H302" s="15" t="str">
        <f t="shared" si="92"/>
        <v>未模拟</v>
      </c>
      <c r="I302" s="16">
        <f>原始输入与口径!CD206</f>
        <v>32.827177935842371</v>
      </c>
      <c r="J302" s="16">
        <f>原始输入与口径!CE206</f>
        <v>32.624594084910697</v>
      </c>
      <c r="K302" s="16">
        <f>原始输入与口径!BZ206</f>
        <v>0</v>
      </c>
      <c r="L302" s="16">
        <f>原始输入与口径!CK206</f>
        <v>40</v>
      </c>
      <c r="M302" s="16">
        <f>原始输入与口径!BT206</f>
        <v>24</v>
      </c>
      <c r="N302" s="16">
        <f>原始输入与口径!BJ206</f>
        <v>24</v>
      </c>
      <c r="O302" s="16">
        <f t="shared" si="93"/>
        <v>0.18637714285714285</v>
      </c>
      <c r="P302" s="16">
        <f t="shared" si="94"/>
        <v>0</v>
      </c>
      <c r="Q302" s="17">
        <f t="shared" si="95"/>
        <v>0</v>
      </c>
      <c r="R302" s="17">
        <f t="shared" si="96"/>
        <v>662.24534522516342</v>
      </c>
      <c r="S302" s="17">
        <f t="shared" si="97"/>
        <v>42.398948030415639</v>
      </c>
      <c r="T302" s="17">
        <f t="shared" si="98"/>
        <v>16.236921845520552</v>
      </c>
      <c r="U302" s="17">
        <f t="shared" si="99"/>
        <v>34.755023399789273</v>
      </c>
      <c r="V302" s="17">
        <f t="shared" si="100"/>
        <v>0</v>
      </c>
      <c r="W302" s="17">
        <f t="shared" si="101"/>
        <v>755.63623850088891</v>
      </c>
      <c r="X302" s="12">
        <f>原始输入与口径!CP206</f>
        <v>755.63623850088891</v>
      </c>
      <c r="Y302" s="19">
        <f t="shared" si="102"/>
        <v>0</v>
      </c>
      <c r="Z302" s="12" t="str">
        <f t="shared" si="114"/>
        <v>次日冻结计划复原</v>
      </c>
      <c r="AA302" s="12">
        <f>IF(原始输入与口径!AW206,1,0)</f>
        <v>1</v>
      </c>
      <c r="AB302" s="12">
        <f>IF(原始输入与口径!AY206,1,0)</f>
        <v>1</v>
      </c>
      <c r="AC302" s="12">
        <f>原始输入与口径!$F$5</f>
        <v>0.25</v>
      </c>
      <c r="AD302" s="18">
        <f>原始输入与口径!CG206</f>
        <v>0.3125</v>
      </c>
      <c r="AE302" s="18">
        <f>原始输入与口径!BQ206</f>
        <v>0.13714285714285715</v>
      </c>
      <c r="AF302" s="18">
        <f t="shared" si="104"/>
        <v>3.1062857142857142E-2</v>
      </c>
      <c r="AG302" s="18">
        <f t="shared" si="105"/>
        <v>0</v>
      </c>
      <c r="AH302" s="12">
        <f>IF(ISNUMBER(原始输入与口径!T206),原始输入与口径!T206,"缺失")</f>
        <v>175</v>
      </c>
      <c r="AI302" s="12">
        <f>IF(ISNUMBER(原始输入与口径!Y206),原始输入与口径!Y206,"缺失")</f>
        <v>175</v>
      </c>
      <c r="AJ302" s="12">
        <f>IF(ISNUMBER(原始输入与口径!AI206),原始输入与口径!AI206,"缺失")</f>
        <v>1.359</v>
      </c>
      <c r="AK302" s="12">
        <f>IF(ISNUMBER(原始输入与口径!AL206),原始输入与口径!AL206,"缺失")</f>
        <v>0</v>
      </c>
      <c r="AL302" s="12">
        <f>IF(ISNUMBER(原始输入与口径!O206),原始输入与口径!O206,"缺失")</f>
        <v>119.93600000000001</v>
      </c>
      <c r="AM302" s="12">
        <f>SUMIFS(相位SOC复算!$N$9:$N$929,相位SOC复算!$S$9:$S$929,294)</f>
        <v>5.6273291925465832E-4</v>
      </c>
      <c r="AN302" s="12">
        <f>SUMIFS(相位SOC复算!$Q$9:$Q$929,相位SOC复算!$S$9:$S$929,294)</f>
        <v>0</v>
      </c>
      <c r="AO302" s="12">
        <f>SUMIFS(相位SOC复算!$R$9:$R$929,相位SOC复算!$S$9:$S$929,294)</f>
        <v>0.18637714285714285</v>
      </c>
      <c r="AP302" s="12">
        <f>相位SOC复算!J728</f>
        <v>32.624594084910704</v>
      </c>
      <c r="AQ302" s="19">
        <f t="shared" si="106"/>
        <v>0</v>
      </c>
      <c r="AR302" s="12">
        <f>IF(ISBLANK(原始输入与口径!M206),"",原始输入与口径!M206)</f>
        <v>5.2473000000000001</v>
      </c>
      <c r="AS302" s="14">
        <f>IF(ISBLANK(原始输入与口径!L206),"",原始输入与口径!L206)</f>
        <v>46234</v>
      </c>
      <c r="AT302" s="13">
        <f>IF(ISBLANK(原始输入与口径!A206),"",原始输入与口径!A206)</f>
        <v>46236.927083333336</v>
      </c>
      <c r="AU302" s="12" t="str">
        <f>IF(ISBLANK(原始输入与口径!I206),"",原始输入与口径!I206)</f>
        <v>2026-08-03_2</v>
      </c>
      <c r="AV302" s="12">
        <f>IF(ISBLANK(原始输入与口径!J206),"",原始输入与口径!J206)</f>
        <v>15</v>
      </c>
      <c r="AW302" s="12" t="str">
        <f>IF(ISBLANK(原始输入与口径!BB206),"",原始输入与口径!BB206)</f>
        <v>OK</v>
      </c>
      <c r="AX302" s="12">
        <f>原始输入与口径!CI206</f>
        <v>128</v>
      </c>
      <c r="AY302" s="12">
        <f>原始输入与口径!BS206</f>
        <v>175</v>
      </c>
      <c r="AZ302" s="12">
        <f>原始输入与口径!BI206</f>
        <v>175</v>
      </c>
      <c r="BA302" s="12">
        <f>原始输入与口径!CM206</f>
        <v>40</v>
      </c>
      <c r="BB302" s="12">
        <f>原始输入与口径!BV206</f>
        <v>24</v>
      </c>
      <c r="BC302" s="12">
        <f>原始输入与口径!BL206</f>
        <v>24</v>
      </c>
      <c r="BD302" s="14">
        <f>46236</f>
        <v>46236</v>
      </c>
      <c r="BE302" s="1" t="str">
        <f t="shared" si="107"/>
        <v>零头寸，无结算现金</v>
      </c>
      <c r="BF302" s="1" t="str">
        <f t="shared" si="108"/>
        <v>40.000000 MW × 66.224535 × 0.250000 h = 662.245345 EUR</v>
      </c>
      <c r="BG302" s="1" t="str">
        <f t="shared" si="109"/>
        <v>24.000000 MW × 7.066491 × 0.250000 h = 42.398948 EUR</v>
      </c>
      <c r="BH302" s="1" t="str">
        <f t="shared" si="110"/>
        <v>24.000000 MW × 2.706154 × 0.250000 h = 16.236922 EUR</v>
      </c>
      <c r="BI302" s="1" t="str">
        <f t="shared" si="111"/>
        <v>0.186377 MWh × 186.476855 = 34.755023 EUR</v>
      </c>
      <c r="BJ302" s="1" t="str">
        <f t="shared" si="112"/>
        <v>零下调激活电量</v>
      </c>
      <c r="BK302" s="1" t="str">
        <f t="shared" si="113"/>
        <v>0.000000 + 662.245345 + 42.398948 + 16.236922 + 34.755023 + 0.000000 = 755.636239 EUR</v>
      </c>
    </row>
    <row r="303" spans="1:63" ht="21" customHeight="1" x14ac:dyDescent="0.45">
      <c r="A303" s="13">
        <f>原始输入与口径!C207</f>
        <v>46237.0625</v>
      </c>
      <c r="B303" s="15">
        <f>IF(ISNUMBER(原始输入与口径!H207),原始输入与口径!H207,"缺失")</f>
        <v>187.51</v>
      </c>
      <c r="C303" s="15">
        <f>IF(ISNUMBER(原始输入与口径!R207),原始输入与口径!R207,"缺失")</f>
        <v>66.224534522516336</v>
      </c>
      <c r="D303" s="15">
        <f>IF(ISNUMBER(原始输入与口径!W207),原始输入与口径!W207,"缺失")</f>
        <v>7.0664913384026065</v>
      </c>
      <c r="E303" s="15">
        <f>IF(ISNUMBER(原始输入与口径!AB207),原始输入与口径!AB207,"缺失")</f>
        <v>2.7061536409200921</v>
      </c>
      <c r="F303" s="15">
        <f>IF(ISNUMBER(原始输入与口径!AG207),原始输入与口径!AG207,"缺失")</f>
        <v>173.72439159186629</v>
      </c>
      <c r="G303" s="15">
        <f>IF(ISNUMBER(原始输入与口径!AJ207),原始输入与口径!AJ207,"缺失")</f>
        <v>76.420254225982887</v>
      </c>
      <c r="H303" s="15" t="str">
        <f t="shared" si="92"/>
        <v>未模拟</v>
      </c>
      <c r="I303" s="16">
        <f>原始输入与口径!CD207</f>
        <v>32.624594084910697</v>
      </c>
      <c r="J303" s="16">
        <f>原始输入与口径!CE207</f>
        <v>32.567661672488335</v>
      </c>
      <c r="K303" s="16">
        <f>原始输入与口径!BZ207</f>
        <v>0</v>
      </c>
      <c r="L303" s="16">
        <f>原始输入与口径!CK207</f>
        <v>40</v>
      </c>
      <c r="M303" s="16">
        <f>原始输入与口径!BT207</f>
        <v>24</v>
      </c>
      <c r="N303" s="16">
        <f>原始输入与口径!BJ207</f>
        <v>24</v>
      </c>
      <c r="O303" s="16">
        <f t="shared" si="93"/>
        <v>5.307428571428572E-2</v>
      </c>
      <c r="P303" s="16">
        <f t="shared" si="94"/>
        <v>8.2285714285714275E-4</v>
      </c>
      <c r="Q303" s="17">
        <f t="shared" si="95"/>
        <v>0</v>
      </c>
      <c r="R303" s="17">
        <f t="shared" si="96"/>
        <v>662.24534522516342</v>
      </c>
      <c r="S303" s="17">
        <f t="shared" si="97"/>
        <v>42.398948030415639</v>
      </c>
      <c r="T303" s="17">
        <f t="shared" si="98"/>
        <v>16.236921845520552</v>
      </c>
      <c r="U303" s="17">
        <f t="shared" si="99"/>
        <v>9.2202979948871668</v>
      </c>
      <c r="V303" s="17">
        <f t="shared" si="100"/>
        <v>-6.2882952048808768E-2</v>
      </c>
      <c r="W303" s="17">
        <f t="shared" si="101"/>
        <v>730.03863014393801</v>
      </c>
      <c r="X303" s="12">
        <f>原始输入与口径!CP207</f>
        <v>730.03863014393801</v>
      </c>
      <c r="Y303" s="19">
        <f t="shared" si="102"/>
        <v>0</v>
      </c>
      <c r="Z303" s="12" t="str">
        <f t="shared" si="114"/>
        <v>次日冻结计划复原</v>
      </c>
      <c r="AA303" s="12">
        <f>IF(原始输入与口径!AW207,1,0)</f>
        <v>1</v>
      </c>
      <c r="AB303" s="12">
        <f>IF(原始输入与口径!AY207,1,0)</f>
        <v>1</v>
      </c>
      <c r="AC303" s="12">
        <f>原始输入与口径!$F$5</f>
        <v>0.25</v>
      </c>
      <c r="AD303" s="18">
        <f>原始输入与口径!CG207</f>
        <v>0.3125</v>
      </c>
      <c r="AE303" s="18">
        <f>原始输入与口径!BQ207</f>
        <v>0.13714285714285715</v>
      </c>
      <c r="AF303" s="18">
        <f t="shared" si="104"/>
        <v>8.8457142857142866E-3</v>
      </c>
      <c r="AG303" s="18">
        <f t="shared" si="105"/>
        <v>1.3714285714285713E-4</v>
      </c>
      <c r="AH303" s="12">
        <f>IF(ISNUMBER(原始输入与口径!T207),原始输入与口径!T207,"缺失")</f>
        <v>175</v>
      </c>
      <c r="AI303" s="12">
        <f>IF(ISNUMBER(原始输入与口径!Y207),原始输入与口径!Y207,"缺失")</f>
        <v>175</v>
      </c>
      <c r="AJ303" s="12">
        <f>IF(ISNUMBER(原始输入与口径!AI207),原始输入与口径!AI207,"缺失")</f>
        <v>0.38700000000000001</v>
      </c>
      <c r="AK303" s="12">
        <f>IF(ISNUMBER(原始输入与口径!AL207),原始输入与口径!AL207,"缺失")</f>
        <v>6.0000000000000001E-3</v>
      </c>
      <c r="AL303" s="12">
        <f>IF(ISNUMBER(原始输入与口径!O207),原始输入与口径!O207,"缺失")</f>
        <v>119.93600000000001</v>
      </c>
      <c r="AM303" s="12">
        <f>SUMIFS(相位SOC复算!$N$9:$N$929,相位SOC复算!$S$9:$S$929,295)</f>
        <v>1.6235130434782611E-4</v>
      </c>
      <c r="AN303" s="12">
        <f>SUMIFS(相位SOC复算!$Q$9:$Q$929,相位SOC复算!$S$9:$S$929,295)</f>
        <v>8.2285714285714275E-4</v>
      </c>
      <c r="AO303" s="12">
        <f>SUMIFS(相位SOC复算!$R$9:$R$929,相位SOC复算!$S$9:$S$929,295)</f>
        <v>5.307428571428572E-2</v>
      </c>
      <c r="AP303" s="12">
        <f>相位SOC复算!J731</f>
        <v>32.567661672488342</v>
      </c>
      <c r="AQ303" s="19">
        <f t="shared" si="106"/>
        <v>0</v>
      </c>
      <c r="AR303" s="12">
        <f>IF(ISBLANK(原始输入与口径!M207),"",原始输入与口径!M207)</f>
        <v>5.2473000000000001</v>
      </c>
      <c r="AS303" s="14">
        <f>IF(ISBLANK(原始输入与口径!L207),"",原始输入与口径!L207)</f>
        <v>46234</v>
      </c>
      <c r="AT303" s="13">
        <f>IF(ISBLANK(原始输入与口径!A207),"",原始输入与口径!A207)</f>
        <v>46236.9375</v>
      </c>
      <c r="AU303" s="12" t="str">
        <f>IF(ISBLANK(原始输入与口径!I207),"",原始输入与口径!I207)</f>
        <v>2026-08-03_3</v>
      </c>
      <c r="AV303" s="12">
        <f>IF(ISBLANK(原始输入与口径!J207),"",原始输入与口径!J207)</f>
        <v>15</v>
      </c>
      <c r="AW303" s="12" t="str">
        <f>IF(ISBLANK(原始输入与口径!BB207),"",原始输入与口径!BB207)</f>
        <v>OK</v>
      </c>
      <c r="AX303" s="12">
        <f>原始输入与口径!CI207</f>
        <v>128</v>
      </c>
      <c r="AY303" s="12">
        <f>原始输入与口径!BS207</f>
        <v>175</v>
      </c>
      <c r="AZ303" s="12">
        <f>原始输入与口径!BI207</f>
        <v>175</v>
      </c>
      <c r="BA303" s="12">
        <f>原始输入与口径!CM207</f>
        <v>40</v>
      </c>
      <c r="BB303" s="12">
        <f>原始输入与口径!BV207</f>
        <v>24</v>
      </c>
      <c r="BC303" s="12">
        <f>原始输入与口径!BL207</f>
        <v>24</v>
      </c>
      <c r="BD303" s="14">
        <f>46236</f>
        <v>46236</v>
      </c>
      <c r="BE303" s="1" t="str">
        <f t="shared" si="107"/>
        <v>零头寸，无结算现金</v>
      </c>
      <c r="BF303" s="1" t="str">
        <f t="shared" si="108"/>
        <v>40.000000 MW × 66.224535 × 0.250000 h = 662.245345 EUR</v>
      </c>
      <c r="BG303" s="1" t="str">
        <f t="shared" si="109"/>
        <v>24.000000 MW × 7.066491 × 0.250000 h = 42.398948 EUR</v>
      </c>
      <c r="BH303" s="1" t="str">
        <f t="shared" si="110"/>
        <v>24.000000 MW × 2.706154 × 0.250000 h = 16.236922 EUR</v>
      </c>
      <c r="BI303" s="1" t="str">
        <f t="shared" si="111"/>
        <v>0.053074 MWh × 173.724392 = 9.220298 EUR</v>
      </c>
      <c r="BJ303" s="1" t="str">
        <f t="shared" si="112"/>
        <v>−(0.000823 MWh × 76.420254) = -0.062883 EUR</v>
      </c>
      <c r="BK303" s="1" t="str">
        <f t="shared" si="113"/>
        <v>0.000000 + 662.245345 + 42.398948 + 16.236922 + 9.220298 + -0.062883 = 730.038630 EUR</v>
      </c>
    </row>
    <row r="304" spans="1:63" ht="21" customHeight="1" x14ac:dyDescent="0.45">
      <c r="A304" s="13">
        <f>原始输入与口径!C208</f>
        <v>46237.072916666664</v>
      </c>
      <c r="B304" s="15">
        <f>IF(ISNUMBER(原始输入与口径!H208),原始输入与口径!H208,"缺失")</f>
        <v>182.42</v>
      </c>
      <c r="C304" s="15">
        <f>IF(ISNUMBER(原始输入与口径!R208),原始输入与口径!R208,"缺失")</f>
        <v>66.224534522516336</v>
      </c>
      <c r="D304" s="15">
        <f>IF(ISNUMBER(原始输入与口径!W208),原始输入与口径!W208,"缺失")</f>
        <v>7.0664913384026065</v>
      </c>
      <c r="E304" s="15">
        <f>IF(ISNUMBER(原始输入与口径!AB208),原始输入与口径!AB208,"缺失")</f>
        <v>2.7061536409200921</v>
      </c>
      <c r="F304" s="15">
        <f>IF(ISNUMBER(原始输入与口径!AG208),原始输入与口径!AG208,"缺失")</f>
        <v>206.71373849408269</v>
      </c>
      <c r="G304" s="15">
        <f>IF(ISNUMBER(原始输入与口径!AJ208),原始输入与口径!AJ208,"缺失")</f>
        <v>0</v>
      </c>
      <c r="H304" s="15" t="str">
        <f t="shared" si="92"/>
        <v>未模拟</v>
      </c>
      <c r="I304" s="16">
        <f>原始输入与口径!CD208</f>
        <v>32.567661672488335</v>
      </c>
      <c r="J304" s="16">
        <f>原始输入与口径!CE208</f>
        <v>32.249046119389646</v>
      </c>
      <c r="K304" s="16">
        <f>原始输入与口径!BZ208</f>
        <v>-2.5850811894971497</v>
      </c>
      <c r="L304" s="16">
        <f>原始输入与口径!CK208</f>
        <v>40</v>
      </c>
      <c r="M304" s="16">
        <f>原始输入与口径!BT208</f>
        <v>24</v>
      </c>
      <c r="N304" s="16">
        <f>原始输入与口径!BJ208</f>
        <v>24</v>
      </c>
      <c r="O304" s="16">
        <f t="shared" si="93"/>
        <v>0.85426285714285721</v>
      </c>
      <c r="P304" s="16">
        <f t="shared" si="94"/>
        <v>0</v>
      </c>
      <c r="Q304" s="17">
        <f t="shared" si="95"/>
        <v>-117.89262764701751</v>
      </c>
      <c r="R304" s="17">
        <f t="shared" si="96"/>
        <v>662.24534522516342</v>
      </c>
      <c r="S304" s="17">
        <f t="shared" si="97"/>
        <v>42.398948030415639</v>
      </c>
      <c r="T304" s="17">
        <f t="shared" si="98"/>
        <v>16.236921845520552</v>
      </c>
      <c r="U304" s="17">
        <f t="shared" si="99"/>
        <v>176.5878688566365</v>
      </c>
      <c r="V304" s="17">
        <f t="shared" si="100"/>
        <v>0</v>
      </c>
      <c r="W304" s="17">
        <f t="shared" si="101"/>
        <v>779.57645631071864</v>
      </c>
      <c r="X304" s="12">
        <f>原始输入与口径!CP208</f>
        <v>779.57645631071864</v>
      </c>
      <c r="Y304" s="19">
        <f t="shared" si="102"/>
        <v>0</v>
      </c>
      <c r="Z304" s="12" t="str">
        <f t="shared" si="114"/>
        <v>次日冻结计划复原</v>
      </c>
      <c r="AA304" s="12">
        <f>IF(原始输入与口径!AW208,1,0)</f>
        <v>1</v>
      </c>
      <c r="AB304" s="12">
        <f>IF(原始输入与口径!AY208,1,0)</f>
        <v>1</v>
      </c>
      <c r="AC304" s="12">
        <f>原始输入与口径!$F$5</f>
        <v>0.25</v>
      </c>
      <c r="AD304" s="18">
        <f>原始输入与口径!CG208</f>
        <v>0.3125</v>
      </c>
      <c r="AE304" s="18">
        <f>原始输入与口径!BQ208</f>
        <v>0.13714285714285715</v>
      </c>
      <c r="AF304" s="18">
        <f t="shared" si="104"/>
        <v>0.14237714285714287</v>
      </c>
      <c r="AG304" s="18">
        <f t="shared" si="105"/>
        <v>0</v>
      </c>
      <c r="AH304" s="12">
        <f>IF(ISNUMBER(原始输入与口径!T208),原始输入与口径!T208,"缺失")</f>
        <v>175</v>
      </c>
      <c r="AI304" s="12">
        <f>IF(ISNUMBER(原始输入与口径!Y208),原始输入与口径!Y208,"缺失")</f>
        <v>175</v>
      </c>
      <c r="AJ304" s="12">
        <f>IF(ISNUMBER(原始输入与口径!AI208),原始输入与口径!AI208,"缺失")</f>
        <v>6.2290000000000001</v>
      </c>
      <c r="AK304" s="12">
        <f>IF(ISNUMBER(原始输入与口径!AL208),原始输入与口径!AL208,"缺失")</f>
        <v>0</v>
      </c>
      <c r="AL304" s="12">
        <f>IF(ISNUMBER(原始输入与口径!O208),原始输入与口径!O208,"缺失")</f>
        <v>119.93600000000001</v>
      </c>
      <c r="AM304" s="12">
        <f>SUMIFS(相位SOC复算!$N$9:$N$929,相位SOC复算!$S$9:$S$929,296)</f>
        <v>3.7179081175354798E-3</v>
      </c>
      <c r="AN304" s="12">
        <f>SUMIFS(相位SOC复算!$Q$9:$Q$929,相位SOC复算!$S$9:$S$929,296)</f>
        <v>0.55425617892070034</v>
      </c>
      <c r="AO304" s="12">
        <f>SUMIFS(相位SOC复算!$R$9:$R$929,相位SOC复算!$S$9:$S$929,296)</f>
        <v>0.76224873868927012</v>
      </c>
      <c r="AP304" s="12">
        <f>相位SOC复算!J733</f>
        <v>32.249046119389661</v>
      </c>
      <c r="AQ304" s="19">
        <f t="shared" si="106"/>
        <v>0</v>
      </c>
      <c r="AR304" s="12">
        <f>IF(ISBLANK(原始输入与口径!M208),"",原始输入与口径!M208)</f>
        <v>5.2473000000000001</v>
      </c>
      <c r="AS304" s="14">
        <f>IF(ISBLANK(原始输入与口径!L208),"",原始输入与口径!L208)</f>
        <v>46234</v>
      </c>
      <c r="AT304" s="13">
        <f>IF(ISBLANK(原始输入与口径!A208),"",原始输入与口径!A208)</f>
        <v>46236.947916666664</v>
      </c>
      <c r="AU304" s="12" t="str">
        <f>IF(ISBLANK(原始输入与口径!I208),"",原始输入与口径!I208)</f>
        <v>2026-08-03_4</v>
      </c>
      <c r="AV304" s="12">
        <f>IF(ISBLANK(原始输入与口径!J208),"",原始输入与口径!J208)</f>
        <v>15</v>
      </c>
      <c r="AW304" s="12" t="str">
        <f>IF(ISBLANK(原始输入与口径!BB208),"",原始输入与口径!BB208)</f>
        <v>OK</v>
      </c>
      <c r="AX304" s="12">
        <f>原始输入与口径!CI208</f>
        <v>128</v>
      </c>
      <c r="AY304" s="12">
        <f>原始输入与口径!BS208</f>
        <v>175</v>
      </c>
      <c r="AZ304" s="12">
        <f>原始输入与口径!BI208</f>
        <v>175</v>
      </c>
      <c r="BA304" s="12">
        <f>原始输入与口径!CM208</f>
        <v>40</v>
      </c>
      <c r="BB304" s="12">
        <f>原始输入与口径!BV208</f>
        <v>24</v>
      </c>
      <c r="BC304" s="12">
        <f>原始输入与口径!BL208</f>
        <v>24</v>
      </c>
      <c r="BD304" s="14">
        <f>46236</f>
        <v>46236</v>
      </c>
      <c r="BE304" s="1" t="str">
        <f t="shared" si="107"/>
        <v>-2.585081 MW × 182.420000 × 0.250000 h = -117.892628 EUR</v>
      </c>
      <c r="BF304" s="1" t="str">
        <f t="shared" si="108"/>
        <v>40.000000 MW × 66.224535 × 0.250000 h = 662.245345 EUR</v>
      </c>
      <c r="BG304" s="1" t="str">
        <f t="shared" si="109"/>
        <v>24.000000 MW × 7.066491 × 0.250000 h = 42.398948 EUR</v>
      </c>
      <c r="BH304" s="1" t="str">
        <f t="shared" si="110"/>
        <v>24.000000 MW × 2.706154 × 0.250000 h = 16.236922 EUR</v>
      </c>
      <c r="BI304" s="1" t="str">
        <f t="shared" si="111"/>
        <v>0.854263 MWh × 206.713738 = 176.587869 EUR</v>
      </c>
      <c r="BJ304" s="1" t="str">
        <f t="shared" si="112"/>
        <v>零下调激活电量</v>
      </c>
      <c r="BK304" s="1" t="str">
        <f t="shared" si="113"/>
        <v>-117.892628 + 662.245345 + 42.398948 + 16.236922 + 176.587869 + 0.000000 = 779.576456 EUR</v>
      </c>
    </row>
    <row r="305" spans="1:63" ht="21" customHeight="1" x14ac:dyDescent="0.45">
      <c r="A305" s="13">
        <f>原始输入与口径!C209</f>
        <v>46237.083333333336</v>
      </c>
      <c r="B305" s="15">
        <f>IF(ISNUMBER(原始输入与口径!H209),原始输入与口径!H209,"缺失")</f>
        <v>179.95</v>
      </c>
      <c r="C305" s="15">
        <f>IF(ISNUMBER(原始输入与口径!R209),原始输入与口径!R209,"缺失")</f>
        <v>66.224534522516336</v>
      </c>
      <c r="D305" s="15">
        <f>IF(ISNUMBER(原始输入与口径!W209),原始输入与口径!W209,"缺失")</f>
        <v>7.0664913384026065</v>
      </c>
      <c r="E305" s="15">
        <f>IF(ISNUMBER(原始输入与口径!AB209),原始输入与口径!AB209,"缺失")</f>
        <v>2.7061536409200921</v>
      </c>
      <c r="F305" s="15">
        <f>IF(ISNUMBER(原始输入与口径!AG209),原始输入与口径!AG209,"缺失")</f>
        <v>179.61999504507079</v>
      </c>
      <c r="G305" s="15">
        <f>IF(ISNUMBER(原始输入与口径!AJ209),原始输入与口径!AJ209,"缺失")</f>
        <v>0</v>
      </c>
      <c r="H305" s="15" t="str">
        <f t="shared" si="92"/>
        <v>未模拟</v>
      </c>
      <c r="I305" s="16">
        <f>原始输入与口径!CD209</f>
        <v>32.249046119389646</v>
      </c>
      <c r="J305" s="16">
        <f>原始输入与口径!CE209</f>
        <v>31.792535771428561</v>
      </c>
      <c r="K305" s="16">
        <f>原始输入与口径!BZ209</f>
        <v>-0.25211882506950212</v>
      </c>
      <c r="L305" s="16">
        <f>原始输入与口径!CK209</f>
        <v>40</v>
      </c>
      <c r="M305" s="16">
        <f>原始输入与口径!BT209</f>
        <v>24</v>
      </c>
      <c r="N305" s="16">
        <f>原始输入与口径!BJ209</f>
        <v>24</v>
      </c>
      <c r="O305" s="16">
        <f t="shared" si="93"/>
        <v>0.47410285714285716</v>
      </c>
      <c r="P305" s="16">
        <f t="shared" si="94"/>
        <v>0</v>
      </c>
      <c r="Q305" s="17">
        <f t="shared" si="95"/>
        <v>-11.342195642814225</v>
      </c>
      <c r="R305" s="17">
        <f t="shared" si="96"/>
        <v>662.24534522516342</v>
      </c>
      <c r="S305" s="17">
        <f t="shared" si="97"/>
        <v>42.398948030415639</v>
      </c>
      <c r="T305" s="17">
        <f t="shared" si="98"/>
        <v>16.236921845520552</v>
      </c>
      <c r="U305" s="17">
        <f t="shared" si="99"/>
        <v>85.158352850853916</v>
      </c>
      <c r="V305" s="17">
        <f t="shared" si="100"/>
        <v>0</v>
      </c>
      <c r="W305" s="17">
        <f t="shared" si="101"/>
        <v>794.69737230913938</v>
      </c>
      <c r="X305" s="12">
        <f>原始输入与口径!CP209</f>
        <v>794.69737230913927</v>
      </c>
      <c r="Y305" s="19">
        <f t="shared" si="102"/>
        <v>0</v>
      </c>
      <c r="Z305" s="12" t="str">
        <f t="shared" si="114"/>
        <v>次日冻结计划复原</v>
      </c>
      <c r="AA305" s="12">
        <f>IF(原始输入与口径!AW209,1,0)</f>
        <v>1</v>
      </c>
      <c r="AB305" s="12">
        <f>IF(原始输入与口径!AY209,1,0)</f>
        <v>1</v>
      </c>
      <c r="AC305" s="12">
        <f>原始输入与口径!$F$5</f>
        <v>0.25</v>
      </c>
      <c r="AD305" s="18">
        <f>原始输入与口径!CG209</f>
        <v>0.3125</v>
      </c>
      <c r="AE305" s="18">
        <f>原始输入与口径!BQ209</f>
        <v>0.13714285714285715</v>
      </c>
      <c r="AF305" s="18">
        <f t="shared" si="104"/>
        <v>7.9017142857142855E-2</v>
      </c>
      <c r="AG305" s="18">
        <f t="shared" si="105"/>
        <v>0</v>
      </c>
      <c r="AH305" s="12">
        <f>IF(ISNUMBER(原始输入与口径!T209),原始输入与口径!T209,"缺失")</f>
        <v>175</v>
      </c>
      <c r="AI305" s="12">
        <f>IF(ISNUMBER(原始输入与口径!Y209),原始输入与口径!Y209,"缺失")</f>
        <v>175</v>
      </c>
      <c r="AJ305" s="12">
        <f>IF(ISNUMBER(原始输入与口径!AI209),原始输入与口径!AI209,"缺失")</f>
        <v>3.4569999999999999</v>
      </c>
      <c r="AK305" s="12">
        <f>IF(ISNUMBER(原始输入与口径!AL209),原始输入与口径!AL209,"缺失")</f>
        <v>0</v>
      </c>
      <c r="AL305" s="12">
        <f>IF(ISNUMBER(原始输入与口径!O209),原始输入与口径!O209,"缺失")</f>
        <v>119.93600000000001</v>
      </c>
      <c r="AM305" s="12">
        <f>SUMIFS(相位SOC复算!$N$9:$N$929,相位SOC复算!$S$9:$S$929,297)</f>
        <v>1.5647806145916952E-3</v>
      </c>
      <c r="AN305" s="12">
        <f>SUMIFS(相位SOC复算!$Q$9:$Q$929,相位SOC复算!$S$9:$S$929,297)</f>
        <v>5.8049278963002562E-2</v>
      </c>
      <c r="AO305" s="12">
        <f>SUMIFS(相位SOC复算!$R$9:$R$929,相位SOC复算!$S$9:$S$929,297)</f>
        <v>0.46912242983848418</v>
      </c>
      <c r="AP305" s="12">
        <f>相位SOC复算!J735</f>
        <v>31.792535771428575</v>
      </c>
      <c r="AQ305" s="19">
        <f t="shared" si="106"/>
        <v>0</v>
      </c>
      <c r="AR305" s="12">
        <f>IF(ISBLANK(原始输入与口径!M209),"",原始输入与口径!M209)</f>
        <v>5.2473000000000001</v>
      </c>
      <c r="AS305" s="14">
        <f>IF(ISBLANK(原始输入与口径!L209),"",原始输入与口径!L209)</f>
        <v>46234</v>
      </c>
      <c r="AT305" s="13">
        <f>IF(ISBLANK(原始输入与口径!A209),"",原始输入与口径!A209)</f>
        <v>46236.958333333336</v>
      </c>
      <c r="AU305" s="12" t="str">
        <f>IF(ISBLANK(原始输入与口径!I209),"",原始输入与口径!I209)</f>
        <v>2026-08-03_5</v>
      </c>
      <c r="AV305" s="12">
        <f>IF(ISBLANK(原始输入与口径!J209),"",原始输入与口径!J209)</f>
        <v>15</v>
      </c>
      <c r="AW305" s="12" t="str">
        <f>IF(ISBLANK(原始输入与口径!BB209),"",原始输入与口径!BB209)</f>
        <v>OK</v>
      </c>
      <c r="AX305" s="12">
        <f>原始输入与口径!CI209</f>
        <v>128</v>
      </c>
      <c r="AY305" s="12">
        <f>原始输入与口径!BS209</f>
        <v>175</v>
      </c>
      <c r="AZ305" s="12">
        <f>原始输入与口径!BI209</f>
        <v>175</v>
      </c>
      <c r="BA305" s="12">
        <f>原始输入与口径!CM209</f>
        <v>40</v>
      </c>
      <c r="BB305" s="12">
        <f>原始输入与口径!BV209</f>
        <v>24</v>
      </c>
      <c r="BC305" s="12">
        <f>原始输入与口径!BL209</f>
        <v>24</v>
      </c>
      <c r="BD305" s="14">
        <f>46236</f>
        <v>46236</v>
      </c>
      <c r="BE305" s="1" t="str">
        <f t="shared" si="107"/>
        <v>-0.252119 MW × 179.950000 × 0.250000 h = -11.342196 EUR</v>
      </c>
      <c r="BF305" s="1" t="str">
        <f t="shared" si="108"/>
        <v>40.000000 MW × 66.224535 × 0.250000 h = 662.245345 EUR</v>
      </c>
      <c r="BG305" s="1" t="str">
        <f t="shared" si="109"/>
        <v>24.000000 MW × 7.066491 × 0.250000 h = 42.398948 EUR</v>
      </c>
      <c r="BH305" s="1" t="str">
        <f t="shared" si="110"/>
        <v>24.000000 MW × 2.706154 × 0.250000 h = 16.236922 EUR</v>
      </c>
      <c r="BI305" s="1" t="str">
        <f t="shared" si="111"/>
        <v>0.474103 MWh × 179.619995 = 85.158353 EUR</v>
      </c>
      <c r="BJ305" s="1" t="str">
        <f t="shared" si="112"/>
        <v>零下调激活电量</v>
      </c>
      <c r="BK305" s="1" t="str">
        <f t="shared" si="113"/>
        <v>-11.342196 + 662.245345 + 42.398948 + 16.236922 + 85.158353 + 0.000000 = 794.697372 EUR</v>
      </c>
    </row>
    <row r="306" spans="1:63" ht="21" customHeight="1" x14ac:dyDescent="0.45">
      <c r="A306" s="13">
        <f>原始输入与口径!C210</f>
        <v>46237.09375</v>
      </c>
      <c r="B306" s="15">
        <f>IF(ISNUMBER(原始输入与口径!H210),原始输入与口径!H210,"缺失")</f>
        <v>171.86</v>
      </c>
      <c r="C306" s="15">
        <f>IF(ISNUMBER(原始输入与口径!R210),原始输入与口径!R210,"缺失")</f>
        <v>66.224534522516336</v>
      </c>
      <c r="D306" s="15">
        <f>IF(ISNUMBER(原始输入与口径!W210),原始输入与口径!W210,"缺失")</f>
        <v>7.0664913384026065</v>
      </c>
      <c r="E306" s="15">
        <f>IF(ISNUMBER(原始输入与口径!AB210),原始输入与口径!AB210,"缺失")</f>
        <v>2.7061536409200921</v>
      </c>
      <c r="F306" s="15">
        <f>IF(ISNUMBER(原始输入与口径!AG210),原始输入与口径!AG210,"缺失")</f>
        <v>168.01650372572561</v>
      </c>
      <c r="G306" s="15">
        <f>IF(ISNUMBER(原始输入与口径!AJ210),原始输入与口径!AJ210,"缺失")</f>
        <v>76.420254225982887</v>
      </c>
      <c r="H306" s="15" t="str">
        <f t="shared" si="92"/>
        <v>未模拟</v>
      </c>
      <c r="I306" s="16">
        <f>原始输入与口径!CD210</f>
        <v>31.792535771428561</v>
      </c>
      <c r="J306" s="16">
        <f>原始输入与口径!CE210</f>
        <v>31.739130434782599</v>
      </c>
      <c r="K306" s="16">
        <f>原始输入与口径!BZ210</f>
        <v>0</v>
      </c>
      <c r="L306" s="16">
        <f>原始输入与口径!CK210</f>
        <v>40</v>
      </c>
      <c r="M306" s="16">
        <f>原始输入与口径!BT210</f>
        <v>24</v>
      </c>
      <c r="N306" s="16">
        <f>原始输入与口径!BJ210</f>
        <v>24</v>
      </c>
      <c r="O306" s="16">
        <f t="shared" si="93"/>
        <v>0.10752</v>
      </c>
      <c r="P306" s="16">
        <f t="shared" si="94"/>
        <v>6.8982857142857137E-2</v>
      </c>
      <c r="Q306" s="17">
        <f t="shared" si="95"/>
        <v>0</v>
      </c>
      <c r="R306" s="17">
        <f t="shared" si="96"/>
        <v>662.24534522516342</v>
      </c>
      <c r="S306" s="17">
        <f t="shared" si="97"/>
        <v>42.398948030415639</v>
      </c>
      <c r="T306" s="17">
        <f t="shared" si="98"/>
        <v>16.236921845520552</v>
      </c>
      <c r="U306" s="17">
        <f t="shared" si="99"/>
        <v>18.065134480590018</v>
      </c>
      <c r="V306" s="17">
        <f t="shared" si="100"/>
        <v>-5.2716874800918019</v>
      </c>
      <c r="W306" s="17">
        <f t="shared" si="101"/>
        <v>733.67466210159785</v>
      </c>
      <c r="X306" s="12">
        <f>原始输入与口径!CP210</f>
        <v>733.67466210159785</v>
      </c>
      <c r="Y306" s="19">
        <f t="shared" si="102"/>
        <v>0</v>
      </c>
      <c r="Z306" s="12" t="str">
        <f t="shared" si="114"/>
        <v>次日冻结计划复原</v>
      </c>
      <c r="AA306" s="12">
        <f>IF(原始输入与口径!AW210,1,0)</f>
        <v>1</v>
      </c>
      <c r="AB306" s="12">
        <f>IF(原始输入与口径!AY210,1,0)</f>
        <v>1</v>
      </c>
      <c r="AC306" s="12">
        <f>原始输入与口径!$F$5</f>
        <v>0.25</v>
      </c>
      <c r="AD306" s="18">
        <f>原始输入与口径!CG210</f>
        <v>0.3125</v>
      </c>
      <c r="AE306" s="18">
        <f>原始输入与口径!BQ210</f>
        <v>0.13714285714285715</v>
      </c>
      <c r="AF306" s="18">
        <f t="shared" si="104"/>
        <v>1.7920000000000002E-2</v>
      </c>
      <c r="AG306" s="18">
        <f t="shared" si="105"/>
        <v>1.1497142857142857E-2</v>
      </c>
      <c r="AH306" s="12">
        <f>IF(ISNUMBER(原始输入与口径!T210),原始输入与口径!T210,"缺失")</f>
        <v>175</v>
      </c>
      <c r="AI306" s="12">
        <f>IF(ISNUMBER(原始输入与口径!Y210),原始输入与口径!Y210,"缺失")</f>
        <v>175</v>
      </c>
      <c r="AJ306" s="12">
        <f>IF(ISNUMBER(原始输入与口径!AI210),原始输入与口径!AI210,"缺失")</f>
        <v>0.78400000000000003</v>
      </c>
      <c r="AK306" s="12">
        <f>IF(ISNUMBER(原始输入与口径!AL210),原始输入与口径!AL210,"缺失")</f>
        <v>0.503</v>
      </c>
      <c r="AL306" s="12">
        <f>IF(ISNUMBER(原始输入与口径!O210),原始输入与口径!O210,"缺失")</f>
        <v>119.93600000000001</v>
      </c>
      <c r="AM306" s="12">
        <f>SUMIFS(相位SOC复算!$N$9:$N$929,相位SOC复算!$S$9:$S$929,298)</f>
        <v>5.0092720496894413E-4</v>
      </c>
      <c r="AN306" s="12">
        <f>SUMIFS(相位SOC复算!$Q$9:$Q$929,相位SOC复算!$S$9:$S$929,298)</f>
        <v>6.8982857142857137E-2</v>
      </c>
      <c r="AO306" s="12">
        <f>SUMIFS(相位SOC复算!$R$9:$R$929,相位SOC复算!$S$9:$S$929,298)</f>
        <v>0.10752</v>
      </c>
      <c r="AP306" s="12">
        <f>相位SOC复算!J738</f>
        <v>31.739130434782613</v>
      </c>
      <c r="AQ306" s="19">
        <f t="shared" si="106"/>
        <v>0</v>
      </c>
      <c r="AR306" s="12">
        <f>IF(ISBLANK(原始输入与口径!M210),"",原始输入与口径!M210)</f>
        <v>5.2473000000000001</v>
      </c>
      <c r="AS306" s="14">
        <f>IF(ISBLANK(原始输入与口径!L210),"",原始输入与口径!L210)</f>
        <v>46234</v>
      </c>
      <c r="AT306" s="13">
        <f>IF(ISBLANK(原始输入与口径!A210),"",原始输入与口径!A210)</f>
        <v>46236.96875</v>
      </c>
      <c r="AU306" s="12" t="str">
        <f>IF(ISBLANK(原始输入与口径!I210),"",原始输入与口径!I210)</f>
        <v>2026-08-03_6</v>
      </c>
      <c r="AV306" s="12">
        <f>IF(ISBLANK(原始输入与口径!J210),"",原始输入与口径!J210)</f>
        <v>15</v>
      </c>
      <c r="AW306" s="12" t="str">
        <f>IF(ISBLANK(原始输入与口径!BB210),"",原始输入与口径!BB210)</f>
        <v>OK</v>
      </c>
      <c r="AX306" s="12">
        <f>原始输入与口径!CI210</f>
        <v>128</v>
      </c>
      <c r="AY306" s="12">
        <f>原始输入与口径!BS210</f>
        <v>175</v>
      </c>
      <c r="AZ306" s="12">
        <f>原始输入与口径!BI210</f>
        <v>175</v>
      </c>
      <c r="BA306" s="12">
        <f>原始输入与口径!CM210</f>
        <v>40</v>
      </c>
      <c r="BB306" s="12">
        <f>原始输入与口径!BV210</f>
        <v>24</v>
      </c>
      <c r="BC306" s="12">
        <f>原始输入与口径!BL210</f>
        <v>24</v>
      </c>
      <c r="BD306" s="14">
        <f>46236</f>
        <v>46236</v>
      </c>
      <c r="BE306" s="1" t="str">
        <f t="shared" si="107"/>
        <v>零头寸，无结算现金</v>
      </c>
      <c r="BF306" s="1" t="str">
        <f t="shared" si="108"/>
        <v>40.000000 MW × 66.224535 × 0.250000 h = 662.245345 EUR</v>
      </c>
      <c r="BG306" s="1" t="str">
        <f t="shared" si="109"/>
        <v>24.000000 MW × 7.066491 × 0.250000 h = 42.398948 EUR</v>
      </c>
      <c r="BH306" s="1" t="str">
        <f t="shared" si="110"/>
        <v>24.000000 MW × 2.706154 × 0.250000 h = 16.236922 EUR</v>
      </c>
      <c r="BI306" s="1" t="str">
        <f t="shared" si="111"/>
        <v>0.107520 MWh × 168.016504 = 18.065134 EUR</v>
      </c>
      <c r="BJ306" s="1" t="str">
        <f t="shared" si="112"/>
        <v>−(0.068983 MWh × 76.420254) = -5.271687 EUR</v>
      </c>
      <c r="BK306" s="1" t="str">
        <f t="shared" si="113"/>
        <v>0.000000 + 662.245345 + 42.398948 + 16.236922 + 18.065134 + -5.271687 = 733.674662 EUR</v>
      </c>
    </row>
    <row r="307" spans="1:63" ht="21" customHeight="1" x14ac:dyDescent="0.45">
      <c r="A307" s="13">
        <f>原始输入与口径!C211</f>
        <v>46237.104166666664</v>
      </c>
      <c r="B307" s="15">
        <f>IF(ISNUMBER(原始输入与口径!H211),原始输入与口径!H211,"缺失")</f>
        <v>170.97</v>
      </c>
      <c r="C307" s="15">
        <f>IF(ISNUMBER(原始输入与口径!R211),原始输入与口径!R211,"缺失")</f>
        <v>66.224534522516336</v>
      </c>
      <c r="D307" s="15">
        <f>IF(ISNUMBER(原始输入与口径!W211),原始输入与口径!W211,"缺失")</f>
        <v>7.0664913384026065</v>
      </c>
      <c r="E307" s="15">
        <f>IF(ISNUMBER(原始输入与口径!AB211),原始输入与口径!AB211,"缺失")</f>
        <v>2.7061536409200921</v>
      </c>
      <c r="F307" s="15">
        <f>IF(ISNUMBER(原始输入与口径!AG211),原始输入与口径!AG211,"缺失")</f>
        <v>170.21744516227392</v>
      </c>
      <c r="G307" s="15">
        <f>IF(ISNUMBER(原始输入与口径!AJ211),原始输入与口径!AJ211,"缺失")</f>
        <v>76.420254225982887</v>
      </c>
      <c r="H307" s="15" t="str">
        <f t="shared" si="92"/>
        <v>未模拟</v>
      </c>
      <c r="I307" s="16">
        <f>原始输入与口径!CD211</f>
        <v>31.739130434782599</v>
      </c>
      <c r="J307" s="16">
        <f>原始输入与口径!CE211</f>
        <v>31.833679943230525</v>
      </c>
      <c r="K307" s="16">
        <f>原始输入与口径!BZ211</f>
        <v>-0.18545338880325624</v>
      </c>
      <c r="L307" s="16">
        <f>原始输入与口径!CK211</f>
        <v>40</v>
      </c>
      <c r="M307" s="16">
        <f>原始输入与口径!BT211</f>
        <v>24</v>
      </c>
      <c r="N307" s="16">
        <f>原始输入与口径!BJ211</f>
        <v>24</v>
      </c>
      <c r="O307" s="16">
        <f t="shared" si="93"/>
        <v>2.4137142857142854E-2</v>
      </c>
      <c r="P307" s="16">
        <f t="shared" si="94"/>
        <v>8.4891428571428576E-2</v>
      </c>
      <c r="Q307" s="17">
        <f t="shared" si="95"/>
        <v>-7.9267414709231794</v>
      </c>
      <c r="R307" s="17">
        <f t="shared" si="96"/>
        <v>662.24534522516342</v>
      </c>
      <c r="S307" s="17">
        <f t="shared" si="97"/>
        <v>42.398948030415639</v>
      </c>
      <c r="T307" s="17">
        <f t="shared" si="98"/>
        <v>16.236921845520552</v>
      </c>
      <c r="U307" s="17">
        <f t="shared" si="99"/>
        <v>4.1085627906596853</v>
      </c>
      <c r="V307" s="17">
        <f t="shared" si="100"/>
        <v>-6.4874245530354386</v>
      </c>
      <c r="W307" s="17">
        <f t="shared" si="101"/>
        <v>710.57561186780072</v>
      </c>
      <c r="X307" s="12">
        <f>原始输入与口径!CP211</f>
        <v>710.57561186780072</v>
      </c>
      <c r="Y307" s="19">
        <f t="shared" si="102"/>
        <v>0</v>
      </c>
      <c r="Z307" s="12" t="str">
        <f t="shared" si="114"/>
        <v>次日冻结计划复原</v>
      </c>
      <c r="AA307" s="12">
        <f>IF(原始输入与口径!AW211,1,0)</f>
        <v>1</v>
      </c>
      <c r="AB307" s="12">
        <f>IF(原始输入与口径!AY211,1,0)</f>
        <v>1</v>
      </c>
      <c r="AC307" s="12">
        <f>原始输入与口径!$F$5</f>
        <v>0.25</v>
      </c>
      <c r="AD307" s="18">
        <f>原始输入与口径!CG211</f>
        <v>0.3125</v>
      </c>
      <c r="AE307" s="18">
        <f>原始输入与口径!BQ211</f>
        <v>0.13714285714285715</v>
      </c>
      <c r="AF307" s="18">
        <f t="shared" si="104"/>
        <v>4.0228571428571423E-3</v>
      </c>
      <c r="AG307" s="18">
        <f t="shared" si="105"/>
        <v>1.4148571428571429E-2</v>
      </c>
      <c r="AH307" s="12">
        <f>IF(ISNUMBER(原始输入与口径!T211),原始输入与口径!T211,"缺失")</f>
        <v>175</v>
      </c>
      <c r="AI307" s="12">
        <f>IF(ISNUMBER(原始输入与口径!Y211),原始输入与口径!Y211,"缺失")</f>
        <v>175</v>
      </c>
      <c r="AJ307" s="12">
        <f>IF(ISNUMBER(原始输入与口径!AI211),原始输入与口径!AI211,"缺失")</f>
        <v>0.17599999999999999</v>
      </c>
      <c r="AK307" s="12">
        <f>IF(ISNUMBER(原始输入与口径!AL211),原始输入与口径!AL211,"缺失")</f>
        <v>0.61899999999999999</v>
      </c>
      <c r="AL307" s="12">
        <f>IF(ISNUMBER(原始输入与口径!O211),原始输入与口径!O211,"缺失")</f>
        <v>119.93600000000001</v>
      </c>
      <c r="AM307" s="12">
        <f>SUMIFS(相位SOC复算!$N$9:$N$929,相位SOC复算!$S$9:$S$929,299)</f>
        <v>4.0726693007690459E-4</v>
      </c>
      <c r="AN307" s="12">
        <f>SUMIFS(相位SOC复算!$Q$9:$Q$929,相位SOC复算!$S$9:$S$929,299)</f>
        <v>0.13106826264978907</v>
      </c>
      <c r="AO307" s="12">
        <f>SUMIFS(相位SOC复算!$R$9:$R$929,相位SOC复算!$S$9:$S$929,299)</f>
        <v>2.3950629734689293E-2</v>
      </c>
      <c r="AP307" s="12">
        <f>相位SOC复算!J741</f>
        <v>31.833679943230539</v>
      </c>
      <c r="AQ307" s="19">
        <f t="shared" si="106"/>
        <v>0</v>
      </c>
      <c r="AR307" s="12">
        <f>IF(ISBLANK(原始输入与口径!M211),"",原始输入与口径!M211)</f>
        <v>5.2473000000000001</v>
      </c>
      <c r="AS307" s="14">
        <f>IF(ISBLANK(原始输入与口径!L211),"",原始输入与口径!L211)</f>
        <v>46234</v>
      </c>
      <c r="AT307" s="13">
        <f>IF(ISBLANK(原始输入与口径!A211),"",原始输入与口径!A211)</f>
        <v>46236.979166666664</v>
      </c>
      <c r="AU307" s="12" t="str">
        <f>IF(ISBLANK(原始输入与口径!I211),"",原始输入与口径!I211)</f>
        <v>2026-08-03_7</v>
      </c>
      <c r="AV307" s="12">
        <f>IF(ISBLANK(原始输入与口径!J211),"",原始输入与口径!J211)</f>
        <v>15</v>
      </c>
      <c r="AW307" s="12" t="str">
        <f>IF(ISBLANK(原始输入与口径!BB211),"",原始输入与口径!BB211)</f>
        <v>OK</v>
      </c>
      <c r="AX307" s="12">
        <f>原始输入与口径!CI211</f>
        <v>128</v>
      </c>
      <c r="AY307" s="12">
        <f>原始输入与口径!BS211</f>
        <v>175</v>
      </c>
      <c r="AZ307" s="12">
        <f>原始输入与口径!BI211</f>
        <v>175</v>
      </c>
      <c r="BA307" s="12">
        <f>原始输入与口径!CM211</f>
        <v>40</v>
      </c>
      <c r="BB307" s="12">
        <f>原始输入与口径!BV211</f>
        <v>24</v>
      </c>
      <c r="BC307" s="12">
        <f>原始输入与口径!BL211</f>
        <v>24</v>
      </c>
      <c r="BD307" s="14">
        <f>46236</f>
        <v>46236</v>
      </c>
      <c r="BE307" s="1" t="str">
        <f t="shared" si="107"/>
        <v>-0.185453 MW × 170.970000 × 0.250000 h = -7.926741 EUR</v>
      </c>
      <c r="BF307" s="1" t="str">
        <f t="shared" si="108"/>
        <v>40.000000 MW × 66.224535 × 0.250000 h = 662.245345 EUR</v>
      </c>
      <c r="BG307" s="1" t="str">
        <f t="shared" si="109"/>
        <v>24.000000 MW × 7.066491 × 0.250000 h = 42.398948 EUR</v>
      </c>
      <c r="BH307" s="1" t="str">
        <f t="shared" si="110"/>
        <v>24.000000 MW × 2.706154 × 0.250000 h = 16.236922 EUR</v>
      </c>
      <c r="BI307" s="1" t="str">
        <f t="shared" si="111"/>
        <v>0.024137 MWh × 170.217445 = 4.108563 EUR</v>
      </c>
      <c r="BJ307" s="1" t="str">
        <f t="shared" si="112"/>
        <v>−(0.084891 MWh × 76.420254) = -6.487425 EUR</v>
      </c>
      <c r="BK307" s="1" t="str">
        <f t="shared" si="113"/>
        <v>-7.926741 + 662.245345 + 42.398948 + 16.236922 + 4.108563 + -6.487425 = 710.575612 EUR</v>
      </c>
    </row>
    <row r="308" spans="1:63" ht="21" customHeight="1" x14ac:dyDescent="0.45">
      <c r="A308" s="13">
        <f>原始输入与口径!C212</f>
        <v>46237.114583333336</v>
      </c>
      <c r="B308" s="15">
        <f>IF(ISNUMBER(原始输入与口径!H212),原始输入与口径!H212,"缺失")</f>
        <v>167.16</v>
      </c>
      <c r="C308" s="15">
        <f>IF(ISNUMBER(原始输入与口径!R212),原始输入与口径!R212,"缺失")</f>
        <v>66.224534522516336</v>
      </c>
      <c r="D308" s="15">
        <f>IF(ISNUMBER(原始输入与口径!W212),原始输入与口径!W212,"缺失")</f>
        <v>7.0664913384026065</v>
      </c>
      <c r="E308" s="15">
        <f>IF(ISNUMBER(原始输入与口径!AB212),原始输入与口径!AB212,"缺失")</f>
        <v>2.7061536409200921</v>
      </c>
      <c r="F308" s="15">
        <f>IF(ISNUMBER(原始输入与口径!AG212),原始输入与口径!AG212,"缺失")</f>
        <v>182.50776589865265</v>
      </c>
      <c r="G308" s="15">
        <f>IF(ISNUMBER(原始输入与口径!AJ212),原始输入与口径!AJ212,"缺失")</f>
        <v>76.420254225982887</v>
      </c>
      <c r="H308" s="15" t="str">
        <f t="shared" si="92"/>
        <v>未模拟</v>
      </c>
      <c r="I308" s="16">
        <f>原始输入与口径!CD212</f>
        <v>31.833679943230525</v>
      </c>
      <c r="J308" s="16">
        <f>原始输入与口径!CE212</f>
        <v>31.837366459627315</v>
      </c>
      <c r="K308" s="16">
        <f>原始输入与口径!BZ212</f>
        <v>-0.47501653307417124</v>
      </c>
      <c r="L308" s="16">
        <f>原始输入与口径!CK212</f>
        <v>40</v>
      </c>
      <c r="M308" s="16">
        <f>原始输入与口径!BT212</f>
        <v>24</v>
      </c>
      <c r="N308" s="16">
        <f>原始输入与口径!BJ212</f>
        <v>24</v>
      </c>
      <c r="O308" s="16">
        <f t="shared" si="93"/>
        <v>0.3305142857142857</v>
      </c>
      <c r="P308" s="16">
        <f t="shared" si="94"/>
        <v>0.27455999999999997</v>
      </c>
      <c r="Q308" s="17">
        <f t="shared" si="95"/>
        <v>-19.850940917169616</v>
      </c>
      <c r="R308" s="17">
        <f t="shared" si="96"/>
        <v>662.24534522516342</v>
      </c>
      <c r="S308" s="17">
        <f t="shared" si="97"/>
        <v>42.398948030415639</v>
      </c>
      <c r="T308" s="17">
        <f t="shared" si="98"/>
        <v>16.236921845520552</v>
      </c>
      <c r="U308" s="17">
        <f t="shared" si="99"/>
        <v>60.321423883303254</v>
      </c>
      <c r="V308" s="17">
        <f t="shared" si="100"/>
        <v>-20.981945000285858</v>
      </c>
      <c r="W308" s="17">
        <f t="shared" si="101"/>
        <v>740.36975306694751</v>
      </c>
      <c r="X308" s="12">
        <f>原始输入与口径!CP212</f>
        <v>740.3697530669474</v>
      </c>
      <c r="Y308" s="19">
        <f t="shared" si="102"/>
        <v>0</v>
      </c>
      <c r="Z308" s="12" t="str">
        <f t="shared" si="114"/>
        <v>次日冻结计划复原</v>
      </c>
      <c r="AA308" s="12">
        <f>IF(原始输入与口径!AW212,1,0)</f>
        <v>1</v>
      </c>
      <c r="AB308" s="12">
        <f>IF(原始输入与口径!AY212,1,0)</f>
        <v>1</v>
      </c>
      <c r="AC308" s="12">
        <f>原始输入与口径!$F$5</f>
        <v>0.25</v>
      </c>
      <c r="AD308" s="18">
        <f>原始输入与口径!CG212</f>
        <v>0.3125</v>
      </c>
      <c r="AE308" s="18">
        <f>原始输入与口径!BQ212</f>
        <v>0.13714285714285715</v>
      </c>
      <c r="AF308" s="18">
        <f t="shared" si="104"/>
        <v>5.5085714285714286E-2</v>
      </c>
      <c r="AG308" s="18">
        <f t="shared" si="105"/>
        <v>4.5759999999999995E-2</v>
      </c>
      <c r="AH308" s="12">
        <f>IF(ISNUMBER(原始输入与口径!T212),原始输入与口径!T212,"缺失")</f>
        <v>175</v>
      </c>
      <c r="AI308" s="12">
        <f>IF(ISNUMBER(原始输入与口径!Y212),原始输入与口径!Y212,"缺失")</f>
        <v>175</v>
      </c>
      <c r="AJ308" s="12">
        <f>IF(ISNUMBER(原始输入与口径!AI212),原始输入与口径!AI212,"缺失")</f>
        <v>2.41</v>
      </c>
      <c r="AK308" s="12">
        <f>IF(ISNUMBER(原始输入与口径!AL212),原始输入与口径!AL212,"缺失")</f>
        <v>2.0019999999999998</v>
      </c>
      <c r="AL308" s="12">
        <f>IF(ISNUMBER(原始输入与口径!O212),原始输入与口径!O212,"缺失")</f>
        <v>119.93600000000001</v>
      </c>
      <c r="AM308" s="12">
        <f>SUMIFS(相位SOC复算!$N$9:$N$929,相位SOC复算!$S$9:$S$929,300)</f>
        <v>1.9665967814090114E-3</v>
      </c>
      <c r="AN308" s="12">
        <f>SUMIFS(相位SOC复算!$Q$9:$Q$929,相位SOC复算!$S$9:$S$929,300)</f>
        <v>0.38677247701306416</v>
      </c>
      <c r="AO308" s="12">
        <f>SUMIFS(相位SOC复算!$R$9:$R$929,相位SOC复算!$S$9:$S$929,300)</f>
        <v>0.32397262945880712</v>
      </c>
      <c r="AP308" s="12">
        <f>相位SOC复算!J744</f>
        <v>31.837366459627329</v>
      </c>
      <c r="AQ308" s="19">
        <f t="shared" si="106"/>
        <v>0</v>
      </c>
      <c r="AR308" s="12">
        <f>IF(ISBLANK(原始输入与口径!M212),"",原始输入与口径!M212)</f>
        <v>5.2473000000000001</v>
      </c>
      <c r="AS308" s="14">
        <f>IF(ISBLANK(原始输入与口径!L212),"",原始输入与口径!L212)</f>
        <v>46234</v>
      </c>
      <c r="AT308" s="13">
        <f>IF(ISBLANK(原始输入与口径!A212),"",原始输入与口径!A212)</f>
        <v>46236.989583333336</v>
      </c>
      <c r="AU308" s="12" t="str">
        <f>IF(ISBLANK(原始输入与口径!I212),"",原始输入与口径!I212)</f>
        <v>2026-08-03_8</v>
      </c>
      <c r="AV308" s="12">
        <f>IF(ISBLANK(原始输入与口径!J212),"",原始输入与口径!J212)</f>
        <v>15</v>
      </c>
      <c r="AW308" s="12" t="str">
        <f>IF(ISBLANK(原始输入与口径!BB212),"",原始输入与口径!BB212)</f>
        <v>OK</v>
      </c>
      <c r="AX308" s="12">
        <f>原始输入与口径!CI212</f>
        <v>128</v>
      </c>
      <c r="AY308" s="12">
        <f>原始输入与口径!BS212</f>
        <v>175</v>
      </c>
      <c r="AZ308" s="12">
        <f>原始输入与口径!BI212</f>
        <v>175</v>
      </c>
      <c r="BA308" s="12">
        <f>原始输入与口径!CM212</f>
        <v>40</v>
      </c>
      <c r="BB308" s="12">
        <f>原始输入与口径!BV212</f>
        <v>24</v>
      </c>
      <c r="BC308" s="12">
        <f>原始输入与口径!BL212</f>
        <v>24</v>
      </c>
      <c r="BD308" s="14">
        <f>46236</f>
        <v>46236</v>
      </c>
      <c r="BE308" s="1" t="str">
        <f t="shared" si="107"/>
        <v>-0.475017 MW × 167.160000 × 0.250000 h = -19.850941 EUR</v>
      </c>
      <c r="BF308" s="1" t="str">
        <f t="shared" si="108"/>
        <v>40.000000 MW × 66.224535 × 0.250000 h = 662.245345 EUR</v>
      </c>
      <c r="BG308" s="1" t="str">
        <f t="shared" si="109"/>
        <v>24.000000 MW × 7.066491 × 0.250000 h = 42.398948 EUR</v>
      </c>
      <c r="BH308" s="1" t="str">
        <f t="shared" si="110"/>
        <v>24.000000 MW × 2.706154 × 0.250000 h = 16.236922 EUR</v>
      </c>
      <c r="BI308" s="1" t="str">
        <f t="shared" si="111"/>
        <v>0.330514 MWh × 182.507766 = 60.321424 EUR</v>
      </c>
      <c r="BJ308" s="1" t="str">
        <f t="shared" si="112"/>
        <v>−(0.274560 MWh × 76.420254) = -20.981945 EUR</v>
      </c>
      <c r="BK308" s="1" t="str">
        <f t="shared" si="113"/>
        <v>-19.850941 + 662.245345 + 42.398948 + 16.236922 + 60.321424 + -20.981945 = 740.369753 EUR</v>
      </c>
    </row>
    <row r="309" spans="1:63" ht="21" customHeight="1" x14ac:dyDescent="0.45">
      <c r="A309" s="13">
        <f>原始输入与口径!C213</f>
        <v>46237.125</v>
      </c>
      <c r="B309" s="15">
        <f>IF(ISNUMBER(原始输入与口径!H213),原始输入与口径!H213,"缺失")</f>
        <v>168.99</v>
      </c>
      <c r="C309" s="15">
        <f>IF(ISNUMBER(原始输入与口径!R213),原始输入与口径!R213,"缺失")</f>
        <v>66.224534522516336</v>
      </c>
      <c r="D309" s="15">
        <f>IF(ISNUMBER(原始输入与口径!W213),原始输入与口径!W213,"缺失")</f>
        <v>7.0664913384026065</v>
      </c>
      <c r="E309" s="15">
        <f>IF(ISNUMBER(原始输入与口径!AB213),原始输入与口径!AB213,"缺失")</f>
        <v>4.2097840794313264</v>
      </c>
      <c r="F309" s="15">
        <f>IF(ISNUMBER(原始输入与口径!AG213),原始输入与口径!AG213,"缺失")</f>
        <v>167.41028719531948</v>
      </c>
      <c r="G309" s="15">
        <f>IF(ISNUMBER(原始输入与口径!AJ213),原始输入与口径!AJ213,"缺失")</f>
        <v>0</v>
      </c>
      <c r="H309" s="15" t="str">
        <f t="shared" si="92"/>
        <v>未模拟</v>
      </c>
      <c r="I309" s="16">
        <f>原始输入与口径!CD213</f>
        <v>31.837366459627315</v>
      </c>
      <c r="J309" s="16">
        <f>原始输入与口径!CE213</f>
        <v>31.739130434782595</v>
      </c>
      <c r="K309" s="16">
        <f>原始输入与口径!BZ213</f>
        <v>0</v>
      </c>
      <c r="L309" s="16">
        <f>原始输入与口径!CK213</f>
        <v>40</v>
      </c>
      <c r="M309" s="16">
        <f>原始输入与口径!BT213</f>
        <v>24</v>
      </c>
      <c r="N309" s="16">
        <f>原始输入与口径!BJ213</f>
        <v>24</v>
      </c>
      <c r="O309" s="16">
        <f t="shared" si="93"/>
        <v>9.0377142857142864E-2</v>
      </c>
      <c r="P309" s="16">
        <f t="shared" si="94"/>
        <v>0</v>
      </c>
      <c r="Q309" s="17">
        <f t="shared" si="95"/>
        <v>0</v>
      </c>
      <c r="R309" s="17">
        <f t="shared" si="96"/>
        <v>662.24534522516342</v>
      </c>
      <c r="S309" s="17">
        <f t="shared" si="97"/>
        <v>42.398948030415639</v>
      </c>
      <c r="T309" s="17">
        <f t="shared" si="98"/>
        <v>25.258704476587958</v>
      </c>
      <c r="U309" s="17">
        <f t="shared" si="99"/>
        <v>15.130063441606703</v>
      </c>
      <c r="V309" s="17">
        <f t="shared" si="100"/>
        <v>0</v>
      </c>
      <c r="W309" s="17">
        <f t="shared" si="101"/>
        <v>745.03306117377372</v>
      </c>
      <c r="X309" s="12">
        <f>原始输入与口径!CP213</f>
        <v>745.03306117377372</v>
      </c>
      <c r="Y309" s="19">
        <f t="shared" si="102"/>
        <v>0</v>
      </c>
      <c r="Z309" s="12" t="str">
        <f t="shared" si="114"/>
        <v>次日冻结计划复原</v>
      </c>
      <c r="AA309" s="12">
        <f>IF(原始输入与口径!AW213,1,0)</f>
        <v>1</v>
      </c>
      <c r="AB309" s="12">
        <f>IF(原始输入与口径!AY213,1,0)</f>
        <v>1</v>
      </c>
      <c r="AC309" s="12">
        <f>原始输入与口径!$F$5</f>
        <v>0.25</v>
      </c>
      <c r="AD309" s="18">
        <f>原始输入与口径!CG213</f>
        <v>0.3125</v>
      </c>
      <c r="AE309" s="18">
        <f>原始输入与口径!BQ213</f>
        <v>0.13714285714285715</v>
      </c>
      <c r="AF309" s="18">
        <f t="shared" si="104"/>
        <v>1.5062857142857143E-2</v>
      </c>
      <c r="AG309" s="18">
        <f t="shared" si="105"/>
        <v>0</v>
      </c>
      <c r="AH309" s="12">
        <f>IF(ISNUMBER(原始输入与口径!T213),原始输入与口径!T213,"缺失")</f>
        <v>175</v>
      </c>
      <c r="AI309" s="12">
        <f>IF(ISNUMBER(原始输入与口径!Y213),原始输入与口径!Y213,"缺失")</f>
        <v>175</v>
      </c>
      <c r="AJ309" s="12">
        <f>IF(ISNUMBER(原始输入与口径!AI213),原始输入与口径!AI213,"缺失")</f>
        <v>0.65900000000000003</v>
      </c>
      <c r="AK309" s="12">
        <f>IF(ISNUMBER(原始输入与口径!AL213),原始输入与口径!AL213,"缺失")</f>
        <v>0</v>
      </c>
      <c r="AL309" s="12">
        <f>IF(ISNUMBER(原始输入与口径!O213),原始输入与口径!O213,"缺失")</f>
        <v>119.93600000000001</v>
      </c>
      <c r="AM309" s="12">
        <f>SUMIFS(相位SOC复算!$N$9:$N$929,相位SOC复算!$S$9:$S$929,301)</f>
        <v>2.7287784679089027E-4</v>
      </c>
      <c r="AN309" s="12">
        <f>SUMIFS(相位SOC复算!$Q$9:$Q$929,相位SOC复算!$S$9:$S$929,301)</f>
        <v>0</v>
      </c>
      <c r="AO309" s="12">
        <f>SUMIFS(相位SOC复算!$R$9:$R$929,相位SOC复算!$S$9:$S$929,301)</f>
        <v>9.0377142857142864E-2</v>
      </c>
      <c r="AP309" s="12">
        <f>相位SOC复算!J746</f>
        <v>31.739130434782609</v>
      </c>
      <c r="AQ309" s="19">
        <f t="shared" si="106"/>
        <v>0</v>
      </c>
      <c r="AR309" s="12">
        <f>IF(ISBLANK(原始输入与口径!M213),"",原始输入与口径!M213)</f>
        <v>5.2473000000000001</v>
      </c>
      <c r="AS309" s="14">
        <f>IF(ISBLANK(原始输入与口径!L213),"",原始输入与口径!L213)</f>
        <v>46234</v>
      </c>
      <c r="AT309" s="13">
        <f>IF(ISBLANK(原始输入与口径!A213),"",原始输入与口径!A213)</f>
        <v>46237</v>
      </c>
      <c r="AU309" s="12" t="str">
        <f>IF(ISBLANK(原始输入与口径!I213),"",原始输入与口径!I213)</f>
        <v>2026-08-03_9</v>
      </c>
      <c r="AV309" s="12">
        <f>IF(ISBLANK(原始输入与口径!J213),"",原始输入与口径!J213)</f>
        <v>15</v>
      </c>
      <c r="AW309" s="12" t="str">
        <f>IF(ISBLANK(原始输入与口径!BB213),"",原始输入与口径!BB213)</f>
        <v>OK</v>
      </c>
      <c r="AX309" s="12">
        <f>原始输入与口径!CI213</f>
        <v>128</v>
      </c>
      <c r="AY309" s="12">
        <f>原始输入与口径!BS213</f>
        <v>175</v>
      </c>
      <c r="AZ309" s="12">
        <f>原始输入与口径!BI213</f>
        <v>175</v>
      </c>
      <c r="BA309" s="12">
        <f>原始输入与口径!CM213</f>
        <v>40</v>
      </c>
      <c r="BB309" s="12">
        <f>原始输入与口径!BV213</f>
        <v>24</v>
      </c>
      <c r="BC309" s="12">
        <f>原始输入与口径!BL213</f>
        <v>24</v>
      </c>
      <c r="BD309" s="14">
        <f>46236</f>
        <v>46236</v>
      </c>
      <c r="BE309" s="1" t="str">
        <f t="shared" si="107"/>
        <v>零头寸，无结算现金</v>
      </c>
      <c r="BF309" s="1" t="str">
        <f t="shared" si="108"/>
        <v>40.000000 MW × 66.224535 × 0.250000 h = 662.245345 EUR</v>
      </c>
      <c r="BG309" s="1" t="str">
        <f t="shared" si="109"/>
        <v>24.000000 MW × 7.066491 × 0.250000 h = 42.398948 EUR</v>
      </c>
      <c r="BH309" s="1" t="str">
        <f t="shared" si="110"/>
        <v>24.000000 MW × 4.209784 × 0.250000 h = 25.258704 EUR</v>
      </c>
      <c r="BI309" s="1" t="str">
        <f t="shared" si="111"/>
        <v>0.090377 MWh × 167.410287 = 15.130063 EUR</v>
      </c>
      <c r="BJ309" s="1" t="str">
        <f t="shared" si="112"/>
        <v>零下调激活电量</v>
      </c>
      <c r="BK309" s="1" t="str">
        <f t="shared" si="113"/>
        <v>0.000000 + 662.245345 + 42.398948 + 25.258704 + 15.130063 + 0.000000 = 745.033061 EUR</v>
      </c>
    </row>
    <row r="310" spans="1:63" ht="21" customHeight="1" x14ac:dyDescent="0.45">
      <c r="A310" s="13">
        <f>原始输入与口径!C214</f>
        <v>46237.135416666664</v>
      </c>
      <c r="B310" s="15">
        <f>IF(ISNUMBER(原始输入与口径!H214),原始输入与口径!H214,"缺失")</f>
        <v>165.88</v>
      </c>
      <c r="C310" s="15">
        <f>IF(ISNUMBER(原始输入与口径!R214),原始输入与口径!R214,"缺失")</f>
        <v>66.224534522516336</v>
      </c>
      <c r="D310" s="15">
        <f>IF(ISNUMBER(原始输入与口径!W214),原始输入与口径!W214,"缺失")</f>
        <v>7.0664913384026065</v>
      </c>
      <c r="E310" s="15">
        <f>IF(ISNUMBER(原始输入与口径!AB214),原始输入与口径!AB214,"缺失")</f>
        <v>4.2097840794313264</v>
      </c>
      <c r="F310" s="15">
        <f>IF(ISNUMBER(原始输入与口径!AG214),原始输入与口径!AG214,"缺失")</f>
        <v>152.45936005183617</v>
      </c>
      <c r="G310" s="15">
        <f>IF(ISNUMBER(原始输入与口径!AJ214),原始输入与口径!AJ214,"缺失")</f>
        <v>76.397004173574985</v>
      </c>
      <c r="H310" s="15" t="str">
        <f t="shared" si="92"/>
        <v>未模拟</v>
      </c>
      <c r="I310" s="16">
        <f>原始输入与口径!CD214</f>
        <v>31.739130434782595</v>
      </c>
      <c r="J310" s="16">
        <f>原始输入与口径!CE214</f>
        <v>32.316961470807442</v>
      </c>
      <c r="K310" s="16">
        <f>原始输入与口径!BZ214</f>
        <v>0</v>
      </c>
      <c r="L310" s="16">
        <f>原始输入与口径!CK214</f>
        <v>40</v>
      </c>
      <c r="M310" s="16">
        <f>原始输入与口径!BT214</f>
        <v>24</v>
      </c>
      <c r="N310" s="16">
        <f>原始输入与口径!BJ214</f>
        <v>24</v>
      </c>
      <c r="O310" s="16">
        <f t="shared" si="93"/>
        <v>9.6000000000000013E-4</v>
      </c>
      <c r="P310" s="16">
        <f t="shared" si="94"/>
        <v>0.62921142857142864</v>
      </c>
      <c r="Q310" s="17">
        <f t="shared" si="95"/>
        <v>0</v>
      </c>
      <c r="R310" s="17">
        <f t="shared" si="96"/>
        <v>662.24534522516342</v>
      </c>
      <c r="S310" s="17">
        <f t="shared" si="97"/>
        <v>42.398948030415639</v>
      </c>
      <c r="T310" s="17">
        <f t="shared" si="98"/>
        <v>25.258704476587958</v>
      </c>
      <c r="U310" s="17">
        <f t="shared" si="99"/>
        <v>0.14636098564976274</v>
      </c>
      <c r="V310" s="17">
        <f t="shared" si="100"/>
        <v>-48.069868134632515</v>
      </c>
      <c r="W310" s="17">
        <f t="shared" si="101"/>
        <v>681.9794905831842</v>
      </c>
      <c r="X310" s="12">
        <f>原始输入与口径!CP214</f>
        <v>681.97949058318432</v>
      </c>
      <c r="Y310" s="19">
        <f t="shared" si="102"/>
        <v>0</v>
      </c>
      <c r="Z310" s="12" t="str">
        <f t="shared" si="114"/>
        <v>次日冻结计划复原</v>
      </c>
      <c r="AA310" s="12">
        <f>IF(原始输入与口径!AW214,1,0)</f>
        <v>1</v>
      </c>
      <c r="AB310" s="12">
        <f>IF(原始输入与口径!AY214,1,0)</f>
        <v>1</v>
      </c>
      <c r="AC310" s="12">
        <f>原始输入与口径!$F$5</f>
        <v>0.25</v>
      </c>
      <c r="AD310" s="18">
        <f>原始输入与口径!CG214</f>
        <v>0.3125</v>
      </c>
      <c r="AE310" s="18">
        <f>原始输入与口径!BQ214</f>
        <v>0.13714285714285715</v>
      </c>
      <c r="AF310" s="18">
        <f t="shared" si="104"/>
        <v>1.6000000000000001E-4</v>
      </c>
      <c r="AG310" s="18">
        <f t="shared" si="105"/>
        <v>0.10486857142857144</v>
      </c>
      <c r="AH310" s="12">
        <f>IF(ISNUMBER(原始输入与口径!T214),原始输入与口径!T214,"缺失")</f>
        <v>175</v>
      </c>
      <c r="AI310" s="12">
        <f>IF(ISNUMBER(原始输入与口径!Y214),原始输入与口径!Y214,"缺失")</f>
        <v>175</v>
      </c>
      <c r="AJ310" s="12">
        <f>IF(ISNUMBER(原始输入与口径!AI214),原始输入与口径!AI214,"缺失")</f>
        <v>7.0000000000000001E-3</v>
      </c>
      <c r="AK310" s="12">
        <f>IF(ISNUMBER(原始输入与口径!AL214),原始输入与口径!AL214,"缺失")</f>
        <v>4.5880000000000001</v>
      </c>
      <c r="AL310" s="12">
        <f>IF(ISNUMBER(原始输入与口径!O214),原始输入与口径!O214,"缺失")</f>
        <v>119.93600000000001</v>
      </c>
      <c r="AM310" s="12">
        <f>SUMIFS(相位SOC复算!$N$9:$N$929,相位SOC复算!$S$9:$S$929,302)</f>
        <v>1.6108833126293998E-3</v>
      </c>
      <c r="AN310" s="12">
        <f>SUMIFS(相位SOC复算!$Q$9:$Q$929,相位SOC复算!$S$9:$S$929,302)</f>
        <v>0.62921142857142864</v>
      </c>
      <c r="AO310" s="12">
        <f>SUMIFS(相位SOC复算!$R$9:$R$929,相位SOC复算!$S$9:$S$929,302)</f>
        <v>9.6000000000000013E-4</v>
      </c>
      <c r="AP310" s="12">
        <f>相位SOC复算!J749</f>
        <v>32.316961470807456</v>
      </c>
      <c r="AQ310" s="19">
        <f t="shared" si="106"/>
        <v>0</v>
      </c>
      <c r="AR310" s="12">
        <f>IF(ISBLANK(原始输入与口径!M214),"",原始输入与口径!M214)</f>
        <v>5.2473000000000001</v>
      </c>
      <c r="AS310" s="14">
        <f>IF(ISBLANK(原始输入与口径!L214),"",原始输入与口径!L214)</f>
        <v>46234</v>
      </c>
      <c r="AT310" s="13">
        <f>IF(ISBLANK(原始输入与口径!A214),"",原始输入与口径!A214)</f>
        <v>46237.010416666664</v>
      </c>
      <c r="AU310" s="12" t="str">
        <f>IF(ISBLANK(原始输入与口径!I214),"",原始输入与口径!I214)</f>
        <v>2026-08-03_10</v>
      </c>
      <c r="AV310" s="12">
        <f>IF(ISBLANK(原始输入与口径!J214),"",原始输入与口径!J214)</f>
        <v>15</v>
      </c>
      <c r="AW310" s="12" t="str">
        <f>IF(ISBLANK(原始输入与口径!BB214),"",原始输入与口径!BB214)</f>
        <v>OK</v>
      </c>
      <c r="AX310" s="12">
        <f>原始输入与口径!CI214</f>
        <v>128</v>
      </c>
      <c r="AY310" s="12">
        <f>原始输入与口径!BS214</f>
        <v>175</v>
      </c>
      <c r="AZ310" s="12">
        <f>原始输入与口径!BI214</f>
        <v>175</v>
      </c>
      <c r="BA310" s="12">
        <f>原始输入与口径!CM214</f>
        <v>40</v>
      </c>
      <c r="BB310" s="12">
        <f>原始输入与口径!BV214</f>
        <v>24</v>
      </c>
      <c r="BC310" s="12">
        <f>原始输入与口径!BL214</f>
        <v>24</v>
      </c>
      <c r="BD310" s="14">
        <f>46236</f>
        <v>46236</v>
      </c>
      <c r="BE310" s="1" t="str">
        <f t="shared" si="107"/>
        <v>零头寸，无结算现金</v>
      </c>
      <c r="BF310" s="1" t="str">
        <f t="shared" si="108"/>
        <v>40.000000 MW × 66.224535 × 0.250000 h = 662.245345 EUR</v>
      </c>
      <c r="BG310" s="1" t="str">
        <f t="shared" si="109"/>
        <v>24.000000 MW × 7.066491 × 0.250000 h = 42.398948 EUR</v>
      </c>
      <c r="BH310" s="1" t="str">
        <f t="shared" si="110"/>
        <v>24.000000 MW × 4.209784 × 0.250000 h = 25.258704 EUR</v>
      </c>
      <c r="BI310" s="1" t="str">
        <f t="shared" si="111"/>
        <v>0.000960 MWh × 152.459360 = 0.146361 EUR</v>
      </c>
      <c r="BJ310" s="1" t="str">
        <f t="shared" si="112"/>
        <v>−(0.629211 MWh × 76.397004) = -48.069868 EUR</v>
      </c>
      <c r="BK310" s="1" t="str">
        <f t="shared" si="113"/>
        <v>0.000000 + 662.245345 + 42.398948 + 25.258704 + 0.146361 + -48.069868 = 681.979491 EUR</v>
      </c>
    </row>
    <row r="311" spans="1:63" ht="21" customHeight="1" x14ac:dyDescent="0.45">
      <c r="A311" s="13">
        <f>原始输入与口径!C215</f>
        <v>46237.145833333336</v>
      </c>
      <c r="B311" s="15">
        <f>IF(ISNUMBER(原始输入与口径!H215),原始输入与口径!H215,"缺失")</f>
        <v>160.81</v>
      </c>
      <c r="C311" s="15">
        <f>IF(ISNUMBER(原始输入与口径!R215),原始输入与口径!R215,"缺失")</f>
        <v>66.224534522516336</v>
      </c>
      <c r="D311" s="15">
        <f>IF(ISNUMBER(原始输入与口径!W215),原始输入与口径!W215,"缺失")</f>
        <v>7.0664913384026065</v>
      </c>
      <c r="E311" s="15">
        <f>IF(ISNUMBER(原始输入与口径!AB215),原始输入与口径!AB215,"缺失")</f>
        <v>4.2097840794313264</v>
      </c>
      <c r="F311" s="15">
        <f>IF(ISNUMBER(原始输入与口径!AG215),原始输入与口径!AG215,"缺失")</f>
        <v>152.45936005183617</v>
      </c>
      <c r="G311" s="15">
        <f>IF(ISNUMBER(原始输入与口径!AJ215),原始输入与口径!AJ215,"缺失")</f>
        <v>76.420254225982887</v>
      </c>
      <c r="H311" s="15" t="str">
        <f t="shared" si="92"/>
        <v>未模拟</v>
      </c>
      <c r="I311" s="16">
        <f>原始输入与口径!CD215</f>
        <v>32.316961470807442</v>
      </c>
      <c r="J311" s="16">
        <f>原始输入与口径!CE215</f>
        <v>32.390232963975144</v>
      </c>
      <c r="K311" s="16">
        <f>原始输入与口径!BZ215</f>
        <v>0</v>
      </c>
      <c r="L311" s="16">
        <f>原始输入与口径!CK215</f>
        <v>40</v>
      </c>
      <c r="M311" s="16">
        <f>原始输入与口径!BT215</f>
        <v>24</v>
      </c>
      <c r="N311" s="16">
        <f>原始输入与口径!BJ215</f>
        <v>24</v>
      </c>
      <c r="O311" s="16">
        <f t="shared" si="93"/>
        <v>9.6000000000000013E-4</v>
      </c>
      <c r="P311" s="16">
        <f t="shared" si="94"/>
        <v>8.0777142857142853E-2</v>
      </c>
      <c r="Q311" s="17">
        <f t="shared" si="95"/>
        <v>0</v>
      </c>
      <c r="R311" s="17">
        <f t="shared" si="96"/>
        <v>662.24534522516342</v>
      </c>
      <c r="S311" s="17">
        <f t="shared" si="97"/>
        <v>42.398948030415639</v>
      </c>
      <c r="T311" s="17">
        <f t="shared" si="98"/>
        <v>25.258704476587958</v>
      </c>
      <c r="U311" s="17">
        <f t="shared" si="99"/>
        <v>0.14636098564976274</v>
      </c>
      <c r="V311" s="17">
        <f t="shared" si="100"/>
        <v>-6.1730097927913947</v>
      </c>
      <c r="W311" s="17">
        <f t="shared" si="101"/>
        <v>723.87634892502535</v>
      </c>
      <c r="X311" s="12">
        <f>原始输入与口径!CP215</f>
        <v>723.87634892502535</v>
      </c>
      <c r="Y311" s="19">
        <f t="shared" si="102"/>
        <v>0</v>
      </c>
      <c r="Z311" s="12" t="str">
        <f t="shared" si="114"/>
        <v>次日冻结计划复原</v>
      </c>
      <c r="AA311" s="12">
        <f>IF(原始输入与口径!AW215,1,0)</f>
        <v>1</v>
      </c>
      <c r="AB311" s="12">
        <f>IF(原始输入与口径!AY215,1,0)</f>
        <v>1</v>
      </c>
      <c r="AC311" s="12">
        <f>原始输入与口径!$F$5</f>
        <v>0.25</v>
      </c>
      <c r="AD311" s="18">
        <f>原始输入与口径!CG215</f>
        <v>0.3125</v>
      </c>
      <c r="AE311" s="18">
        <f>原始输入与口径!BQ215</f>
        <v>0.13714285714285715</v>
      </c>
      <c r="AF311" s="18">
        <f t="shared" si="104"/>
        <v>1.6000000000000001E-4</v>
      </c>
      <c r="AG311" s="18">
        <f t="shared" si="105"/>
        <v>1.3462857142857143E-2</v>
      </c>
      <c r="AH311" s="12">
        <f>IF(ISNUMBER(原始输入与口径!T215),原始输入与口径!T215,"缺失")</f>
        <v>175</v>
      </c>
      <c r="AI311" s="12">
        <f>IF(ISNUMBER(原始输入与口径!Y215),原始输入与口径!Y215,"缺失")</f>
        <v>175</v>
      </c>
      <c r="AJ311" s="12">
        <f>IF(ISNUMBER(原始输入与口径!AI215),原始输入与口径!AI215,"缺失")</f>
        <v>7.0000000000000001E-3</v>
      </c>
      <c r="AK311" s="12">
        <f>IF(ISNUMBER(原始输入与口径!AL215),原始输入与口径!AL215,"缺失")</f>
        <v>0.58899999999999997</v>
      </c>
      <c r="AL311" s="12">
        <f>IF(ISNUMBER(原始输入与口径!O215),原始输入与口径!O215,"缺失")</f>
        <v>119.93600000000001</v>
      </c>
      <c r="AM311" s="12">
        <f>SUMIFS(相位SOC复算!$N$9:$N$929,相位SOC复算!$S$9:$S$929,303)</f>
        <v>2.0932902691511387E-4</v>
      </c>
      <c r="AN311" s="12">
        <f>SUMIFS(相位SOC复算!$Q$9:$Q$929,相位SOC复算!$S$9:$S$929,303)</f>
        <v>8.0777142857142853E-2</v>
      </c>
      <c r="AO311" s="12">
        <f>SUMIFS(相位SOC复算!$R$9:$R$929,相位SOC复算!$S$9:$S$929,303)</f>
        <v>9.6000000000000013E-4</v>
      </c>
      <c r="AP311" s="12">
        <f>相位SOC复算!J752</f>
        <v>32.390232963975158</v>
      </c>
      <c r="AQ311" s="19">
        <f t="shared" si="106"/>
        <v>0</v>
      </c>
      <c r="AR311" s="12">
        <f>IF(ISBLANK(原始输入与口径!M215),"",原始输入与口径!M215)</f>
        <v>5.2473000000000001</v>
      </c>
      <c r="AS311" s="14">
        <f>IF(ISBLANK(原始输入与口径!L215),"",原始输入与口径!L215)</f>
        <v>46234</v>
      </c>
      <c r="AT311" s="13">
        <f>IF(ISBLANK(原始输入与口径!A215),"",原始输入与口径!A215)</f>
        <v>46237.020833333336</v>
      </c>
      <c r="AU311" s="12" t="str">
        <f>IF(ISBLANK(原始输入与口径!I215),"",原始输入与口径!I215)</f>
        <v>2026-08-03_11</v>
      </c>
      <c r="AV311" s="12">
        <f>IF(ISBLANK(原始输入与口径!J215),"",原始输入与口径!J215)</f>
        <v>15</v>
      </c>
      <c r="AW311" s="12" t="str">
        <f>IF(ISBLANK(原始输入与口径!BB215),"",原始输入与口径!BB215)</f>
        <v>OK</v>
      </c>
      <c r="AX311" s="12">
        <f>原始输入与口径!CI215</f>
        <v>128</v>
      </c>
      <c r="AY311" s="12">
        <f>原始输入与口径!BS215</f>
        <v>175</v>
      </c>
      <c r="AZ311" s="12">
        <f>原始输入与口径!BI215</f>
        <v>175</v>
      </c>
      <c r="BA311" s="12">
        <f>原始输入与口径!CM215</f>
        <v>40</v>
      </c>
      <c r="BB311" s="12">
        <f>原始输入与口径!BV215</f>
        <v>24</v>
      </c>
      <c r="BC311" s="12">
        <f>原始输入与口径!BL215</f>
        <v>24</v>
      </c>
      <c r="BD311" s="14">
        <f>46236</f>
        <v>46236</v>
      </c>
      <c r="BE311" s="1" t="str">
        <f t="shared" si="107"/>
        <v>零头寸，无结算现金</v>
      </c>
      <c r="BF311" s="1" t="str">
        <f t="shared" si="108"/>
        <v>40.000000 MW × 66.224535 × 0.250000 h = 662.245345 EUR</v>
      </c>
      <c r="BG311" s="1" t="str">
        <f t="shared" si="109"/>
        <v>24.000000 MW × 7.066491 × 0.250000 h = 42.398948 EUR</v>
      </c>
      <c r="BH311" s="1" t="str">
        <f t="shared" si="110"/>
        <v>24.000000 MW × 4.209784 × 0.250000 h = 25.258704 EUR</v>
      </c>
      <c r="BI311" s="1" t="str">
        <f t="shared" si="111"/>
        <v>0.000960 MWh × 152.459360 = 0.146361 EUR</v>
      </c>
      <c r="BJ311" s="1" t="str">
        <f t="shared" si="112"/>
        <v>−(0.080777 MWh × 76.420254) = -6.173010 EUR</v>
      </c>
      <c r="BK311" s="1" t="str">
        <f t="shared" si="113"/>
        <v>0.000000 + 662.245345 + 42.398948 + 25.258704 + 0.146361 + -6.173010 = 723.876349 EUR</v>
      </c>
    </row>
    <row r="312" spans="1:63" ht="21" customHeight="1" x14ac:dyDescent="0.45">
      <c r="A312" s="13">
        <f>原始输入与口径!C216</f>
        <v>46237.15625</v>
      </c>
      <c r="B312" s="15">
        <f>IF(ISNUMBER(原始输入与口径!H216),原始输入与口径!H216,"缺失")</f>
        <v>157.62</v>
      </c>
      <c r="C312" s="15">
        <f>IF(ISNUMBER(原始输入与口径!R216),原始输入与口径!R216,"缺失")</f>
        <v>66.224534522516336</v>
      </c>
      <c r="D312" s="15">
        <f>IF(ISNUMBER(原始输入与口径!W216),原始输入与口径!W216,"缺失")</f>
        <v>7.0664913384026065</v>
      </c>
      <c r="E312" s="15">
        <f>IF(ISNUMBER(原始输入与口径!AB216),原始输入与口径!AB216,"缺失")</f>
        <v>4.2097840794313264</v>
      </c>
      <c r="F312" s="15">
        <f>IF(ISNUMBER(原始输入与口径!AG216),原始输入与口径!AG216,"缺失")</f>
        <v>0</v>
      </c>
      <c r="G312" s="15">
        <f>IF(ISNUMBER(原始输入与口径!AJ216),原始输入与口径!AJ216,"缺失")</f>
        <v>74.472014178720485</v>
      </c>
      <c r="H312" s="15" t="str">
        <f t="shared" si="92"/>
        <v>未模拟</v>
      </c>
      <c r="I312" s="16">
        <f>原始输入与口径!CD216</f>
        <v>32.390232963975144</v>
      </c>
      <c r="J312" s="16">
        <f>原始输入与口径!CE216</f>
        <v>33.002038221117999</v>
      </c>
      <c r="K312" s="16">
        <f>原始输入与口径!BZ216</f>
        <v>0</v>
      </c>
      <c r="L312" s="16">
        <f>原始输入与口径!CK216</f>
        <v>40</v>
      </c>
      <c r="M312" s="16">
        <f>原始输入与口径!BT216</f>
        <v>24</v>
      </c>
      <c r="N312" s="16">
        <f>原始输入与口径!BJ216</f>
        <v>24</v>
      </c>
      <c r="O312" s="16">
        <f t="shared" si="93"/>
        <v>0</v>
      </c>
      <c r="P312" s="16">
        <f t="shared" si="94"/>
        <v>0.66500571428571431</v>
      </c>
      <c r="Q312" s="17">
        <f t="shared" si="95"/>
        <v>0</v>
      </c>
      <c r="R312" s="17">
        <f t="shared" si="96"/>
        <v>662.24534522516342</v>
      </c>
      <c r="S312" s="17">
        <f t="shared" si="97"/>
        <v>42.398948030415639</v>
      </c>
      <c r="T312" s="17">
        <f t="shared" si="98"/>
        <v>25.258704476587958</v>
      </c>
      <c r="U312" s="17">
        <f t="shared" si="99"/>
        <v>0</v>
      </c>
      <c r="V312" s="17">
        <f t="shared" si="100"/>
        <v>-49.524314983215859</v>
      </c>
      <c r="W312" s="17">
        <f t="shared" si="101"/>
        <v>680.37868274895118</v>
      </c>
      <c r="X312" s="12">
        <f>原始输入与口径!CP216</f>
        <v>680.37868274895118</v>
      </c>
      <c r="Y312" s="19">
        <f t="shared" si="102"/>
        <v>0</v>
      </c>
      <c r="Z312" s="12" t="str">
        <f t="shared" si="114"/>
        <v>次日冻结计划复原</v>
      </c>
      <c r="AA312" s="12">
        <f>IF(原始输入与口径!AW216,1,0)</f>
        <v>1</v>
      </c>
      <c r="AB312" s="12">
        <f>IF(原始输入与口径!AY216,1,0)</f>
        <v>1</v>
      </c>
      <c r="AC312" s="12">
        <f>原始输入与口径!$F$5</f>
        <v>0.25</v>
      </c>
      <c r="AD312" s="18">
        <f>原始输入与口径!CG216</f>
        <v>0.3125</v>
      </c>
      <c r="AE312" s="18">
        <f>原始输入与口径!BQ216</f>
        <v>0.13714285714285715</v>
      </c>
      <c r="AF312" s="18">
        <f t="shared" si="104"/>
        <v>0</v>
      </c>
      <c r="AG312" s="18">
        <f t="shared" si="105"/>
        <v>0.11083428571428572</v>
      </c>
      <c r="AH312" s="12">
        <f>IF(ISNUMBER(原始输入与口径!T216),原始输入与口径!T216,"缺失")</f>
        <v>175</v>
      </c>
      <c r="AI312" s="12">
        <f>IF(ISNUMBER(原始输入与口径!Y216),原始输入与口径!Y216,"缺失")</f>
        <v>175</v>
      </c>
      <c r="AJ312" s="12">
        <f>IF(ISNUMBER(原始输入与口径!AI216),原始输入与口径!AI216,"缺失")</f>
        <v>0</v>
      </c>
      <c r="AK312" s="12">
        <f>IF(ISNUMBER(原始输入与口径!AL216),原始输入与口径!AL216,"缺失")</f>
        <v>4.8490000000000002</v>
      </c>
      <c r="AL312" s="12">
        <f>IF(ISNUMBER(原始输入与口径!O216),原始输入与口径!O216,"缺失")</f>
        <v>119.93600000000001</v>
      </c>
      <c r="AM312" s="12">
        <f>SUMIFS(相位SOC复算!$N$9:$N$929,相位SOC复算!$S$9:$S$929,304)</f>
        <v>1.699459047619048E-3</v>
      </c>
      <c r="AN312" s="12">
        <f>SUMIFS(相位SOC复算!$Q$9:$Q$929,相位SOC复算!$S$9:$S$929,304)</f>
        <v>0.66500571428571431</v>
      </c>
      <c r="AO312" s="12">
        <f>SUMIFS(相位SOC复算!$R$9:$R$929,相位SOC复算!$S$9:$S$929,304)</f>
        <v>0</v>
      </c>
      <c r="AP312" s="12">
        <f>相位SOC复算!J754</f>
        <v>33.002038221118013</v>
      </c>
      <c r="AQ312" s="19">
        <f t="shared" si="106"/>
        <v>0</v>
      </c>
      <c r="AR312" s="12">
        <f>IF(ISBLANK(原始输入与口径!M216),"",原始输入与口径!M216)</f>
        <v>5.2473000000000001</v>
      </c>
      <c r="AS312" s="14">
        <f>IF(ISBLANK(原始输入与口径!L216),"",原始输入与口径!L216)</f>
        <v>46234</v>
      </c>
      <c r="AT312" s="13">
        <f>IF(ISBLANK(原始输入与口径!A216),"",原始输入与口径!A216)</f>
        <v>46237.03125</v>
      </c>
      <c r="AU312" s="12" t="str">
        <f>IF(ISBLANK(原始输入与口径!I216),"",原始输入与口径!I216)</f>
        <v>2026-08-03_12</v>
      </c>
      <c r="AV312" s="12">
        <f>IF(ISBLANK(原始输入与口径!J216),"",原始输入与口径!J216)</f>
        <v>15</v>
      </c>
      <c r="AW312" s="12" t="str">
        <f>IF(ISBLANK(原始输入与口径!BB216),"",原始输入与口径!BB216)</f>
        <v>OK</v>
      </c>
      <c r="AX312" s="12">
        <f>原始输入与口径!CI216</f>
        <v>128</v>
      </c>
      <c r="AY312" s="12">
        <f>原始输入与口径!BS216</f>
        <v>175</v>
      </c>
      <c r="AZ312" s="12">
        <f>原始输入与口径!BI216</f>
        <v>175</v>
      </c>
      <c r="BA312" s="12">
        <f>原始输入与口径!CM216</f>
        <v>40</v>
      </c>
      <c r="BB312" s="12">
        <f>原始输入与口径!BV216</f>
        <v>24</v>
      </c>
      <c r="BC312" s="12">
        <f>原始输入与口径!BL216</f>
        <v>24</v>
      </c>
      <c r="BD312" s="14">
        <f>46236</f>
        <v>46236</v>
      </c>
      <c r="BE312" s="1" t="str">
        <f t="shared" si="107"/>
        <v>零头寸，无结算现金</v>
      </c>
      <c r="BF312" s="1" t="str">
        <f t="shared" si="108"/>
        <v>40.000000 MW × 66.224535 × 0.250000 h = 662.245345 EUR</v>
      </c>
      <c r="BG312" s="1" t="str">
        <f t="shared" si="109"/>
        <v>24.000000 MW × 7.066491 × 0.250000 h = 42.398948 EUR</v>
      </c>
      <c r="BH312" s="1" t="str">
        <f t="shared" si="110"/>
        <v>24.000000 MW × 4.209784 × 0.250000 h = 25.258704 EUR</v>
      </c>
      <c r="BI312" s="1" t="str">
        <f t="shared" si="111"/>
        <v>零上调激活电量</v>
      </c>
      <c r="BJ312" s="1" t="str">
        <f t="shared" si="112"/>
        <v>−(0.665006 MWh × 74.472014) = -49.524315 EUR</v>
      </c>
      <c r="BK312" s="1" t="str">
        <f t="shared" si="113"/>
        <v>0.000000 + 662.245345 + 42.398948 + 25.258704 + 0.000000 + -49.524315 = 680.378683 EUR</v>
      </c>
    </row>
    <row r="313" spans="1:63" ht="21" customHeight="1" x14ac:dyDescent="0.45">
      <c r="A313" s="13">
        <f>原始输入与口径!C217</f>
        <v>46237.166666666664</v>
      </c>
      <c r="B313" s="15">
        <f>IF(ISNUMBER(原始输入与口径!H217),原始输入与口径!H217,"缺失")</f>
        <v>157.53</v>
      </c>
      <c r="C313" s="15">
        <f>IF(ISNUMBER(原始输入与口径!R217),原始输入与口径!R217,"缺失")</f>
        <v>66.224534522516336</v>
      </c>
      <c r="D313" s="15">
        <f>IF(ISNUMBER(原始输入与口径!W217),原始输入与口径!W217,"缺失")</f>
        <v>7.0664913384026065</v>
      </c>
      <c r="E313" s="15">
        <f>IF(ISNUMBER(原始输入与口径!AB217),原始输入与口径!AB217,"缺失")</f>
        <v>4.6519162235816518</v>
      </c>
      <c r="F313" s="15">
        <f>IF(ISNUMBER(原始输入与口径!AG217),原始输入与口径!AG217,"缺失")</f>
        <v>0</v>
      </c>
      <c r="G313" s="15">
        <f>IF(ISNUMBER(原始输入与口径!AJ217),原始输入与口径!AJ217,"缺失")</f>
        <v>61.689821431974536</v>
      </c>
      <c r="H313" s="15" t="str">
        <f t="shared" si="92"/>
        <v>未模拟</v>
      </c>
      <c r="I313" s="16">
        <f>原始输入与口径!CD217</f>
        <v>33.002038221117999</v>
      </c>
      <c r="J313" s="16">
        <f>原始输入与口径!CE217</f>
        <v>33.485400963975145</v>
      </c>
      <c r="K313" s="16">
        <f>原始输入与口径!BZ217</f>
        <v>0</v>
      </c>
      <c r="L313" s="16">
        <f>原始输入与口径!CK217</f>
        <v>40</v>
      </c>
      <c r="M313" s="16">
        <f>原始输入与口径!BT217</f>
        <v>24</v>
      </c>
      <c r="N313" s="16">
        <f>原始输入与口径!BJ217</f>
        <v>24</v>
      </c>
      <c r="O313" s="16">
        <f t="shared" si="93"/>
        <v>0</v>
      </c>
      <c r="P313" s="16">
        <f t="shared" si="94"/>
        <v>0.5253942857142857</v>
      </c>
      <c r="Q313" s="17">
        <f t="shared" si="95"/>
        <v>0</v>
      </c>
      <c r="R313" s="17">
        <f t="shared" si="96"/>
        <v>662.24534522516342</v>
      </c>
      <c r="S313" s="17">
        <f t="shared" si="97"/>
        <v>42.398948030415639</v>
      </c>
      <c r="T313" s="17">
        <f t="shared" si="98"/>
        <v>27.911497341489913</v>
      </c>
      <c r="U313" s="17">
        <f t="shared" si="99"/>
        <v>0</v>
      </c>
      <c r="V313" s="17">
        <f t="shared" si="100"/>
        <v>-32.411479667094092</v>
      </c>
      <c r="W313" s="17">
        <f t="shared" si="101"/>
        <v>700.14431092997495</v>
      </c>
      <c r="X313" s="12">
        <f>原始输入与口径!CP217</f>
        <v>700.14431092997484</v>
      </c>
      <c r="Y313" s="19">
        <f t="shared" si="102"/>
        <v>0</v>
      </c>
      <c r="Z313" s="12" t="str">
        <f t="shared" si="114"/>
        <v>次日冻结计划复原</v>
      </c>
      <c r="AA313" s="12">
        <f>IF(原始输入与口径!AW217,1,0)</f>
        <v>1</v>
      </c>
      <c r="AB313" s="12">
        <f>IF(原始输入与口径!AY217,1,0)</f>
        <v>1</v>
      </c>
      <c r="AC313" s="12">
        <f>原始输入与口径!$F$5</f>
        <v>0.25</v>
      </c>
      <c r="AD313" s="18">
        <f>原始输入与口径!CG217</f>
        <v>0.3125</v>
      </c>
      <c r="AE313" s="18">
        <f>原始输入与口径!BQ217</f>
        <v>0.13714285714285715</v>
      </c>
      <c r="AF313" s="18">
        <f t="shared" si="104"/>
        <v>0</v>
      </c>
      <c r="AG313" s="18">
        <f t="shared" si="105"/>
        <v>8.7565714285714288E-2</v>
      </c>
      <c r="AH313" s="12">
        <f>IF(ISNUMBER(原始输入与口径!T217),原始输入与口径!T217,"缺失")</f>
        <v>175</v>
      </c>
      <c r="AI313" s="12">
        <f>IF(ISNUMBER(原始输入与口径!Y217),原始输入与口径!Y217,"缺失")</f>
        <v>175</v>
      </c>
      <c r="AJ313" s="12">
        <f>IF(ISNUMBER(原始输入与口径!AI217),原始输入与口径!AI217,"缺失")</f>
        <v>0</v>
      </c>
      <c r="AK313" s="12">
        <f>IF(ISNUMBER(原始输入与口径!AL217),原始输入与口径!AL217,"缺失")</f>
        <v>3.831</v>
      </c>
      <c r="AL313" s="12">
        <f>IF(ISNUMBER(原始输入与口径!O217),原始输入与口径!O217,"缺失")</f>
        <v>119.93600000000001</v>
      </c>
      <c r="AM313" s="12">
        <f>SUMIFS(相位SOC复算!$N$9:$N$929,相位SOC复算!$S$9:$S$929,305)</f>
        <v>1.3426742857142859E-3</v>
      </c>
      <c r="AN313" s="12">
        <f>SUMIFS(相位SOC复算!$Q$9:$Q$929,相位SOC复算!$S$9:$S$929,305)</f>
        <v>0.5253942857142857</v>
      </c>
      <c r="AO313" s="12">
        <f>SUMIFS(相位SOC复算!$R$9:$R$929,相位SOC复算!$S$9:$S$929,305)</f>
        <v>0</v>
      </c>
      <c r="AP313" s="12">
        <f>相位SOC复算!J756</f>
        <v>33.48540096397516</v>
      </c>
      <c r="AQ313" s="19">
        <f t="shared" si="106"/>
        <v>0</v>
      </c>
      <c r="AR313" s="12">
        <f>IF(ISBLANK(原始输入与口径!M217),"",原始输入与口径!M217)</f>
        <v>5.2473000000000001</v>
      </c>
      <c r="AS313" s="14">
        <f>IF(ISBLANK(原始输入与口径!L217),"",原始输入与口径!L217)</f>
        <v>46234</v>
      </c>
      <c r="AT313" s="13">
        <f>IF(ISBLANK(原始输入与口径!A217),"",原始输入与口径!A217)</f>
        <v>46237.041666666664</v>
      </c>
      <c r="AU313" s="12" t="str">
        <f>IF(ISBLANK(原始输入与口径!I217),"",原始输入与口径!I217)</f>
        <v>2026-08-03_13</v>
      </c>
      <c r="AV313" s="12">
        <f>IF(ISBLANK(原始输入与口径!J217),"",原始输入与口径!J217)</f>
        <v>15</v>
      </c>
      <c r="AW313" s="12" t="str">
        <f>IF(ISBLANK(原始输入与口径!BB217),"",原始输入与口径!BB217)</f>
        <v>OK</v>
      </c>
      <c r="AX313" s="12">
        <f>原始输入与口径!CI217</f>
        <v>128</v>
      </c>
      <c r="AY313" s="12">
        <f>原始输入与口径!BS217</f>
        <v>175</v>
      </c>
      <c r="AZ313" s="12">
        <f>原始输入与口径!BI217</f>
        <v>175</v>
      </c>
      <c r="BA313" s="12">
        <f>原始输入与口径!CM217</f>
        <v>40</v>
      </c>
      <c r="BB313" s="12">
        <f>原始输入与口径!BV217</f>
        <v>24</v>
      </c>
      <c r="BC313" s="12">
        <f>原始输入与口径!BL217</f>
        <v>24</v>
      </c>
      <c r="BD313" s="14">
        <f>46236</f>
        <v>46236</v>
      </c>
      <c r="BE313" s="1" t="str">
        <f t="shared" si="107"/>
        <v>零头寸，无结算现金</v>
      </c>
      <c r="BF313" s="1" t="str">
        <f t="shared" si="108"/>
        <v>40.000000 MW × 66.224535 × 0.250000 h = 662.245345 EUR</v>
      </c>
      <c r="BG313" s="1" t="str">
        <f t="shared" si="109"/>
        <v>24.000000 MW × 7.066491 × 0.250000 h = 42.398948 EUR</v>
      </c>
      <c r="BH313" s="1" t="str">
        <f t="shared" si="110"/>
        <v>24.000000 MW × 4.651916 × 0.250000 h = 27.911497 EUR</v>
      </c>
      <c r="BI313" s="1" t="str">
        <f t="shared" si="111"/>
        <v>零上调激活电量</v>
      </c>
      <c r="BJ313" s="1" t="str">
        <f t="shared" si="112"/>
        <v>−(0.525394 MWh × 61.689821) = -32.411480 EUR</v>
      </c>
      <c r="BK313" s="1" t="str">
        <f t="shared" si="113"/>
        <v>0.000000 + 662.245345 + 42.398948 + 27.911497 + 0.000000 + -32.411480 = 700.144311 EUR</v>
      </c>
    </row>
    <row r="314" spans="1:63" ht="21" customHeight="1" x14ac:dyDescent="0.45">
      <c r="A314" s="13">
        <f>原始输入与口径!C218</f>
        <v>46237.177083333336</v>
      </c>
      <c r="B314" s="15">
        <f>IF(ISNUMBER(原始输入与口径!H218),原始输入与口径!H218,"缺失")</f>
        <v>157.52000000000001</v>
      </c>
      <c r="C314" s="15">
        <f>IF(ISNUMBER(原始输入与口径!R218),原始输入与口径!R218,"缺失")</f>
        <v>66.224534522516336</v>
      </c>
      <c r="D314" s="15">
        <f>IF(ISNUMBER(原始输入与口径!W218),原始输入与口径!W218,"缺失")</f>
        <v>7.0664913384026065</v>
      </c>
      <c r="E314" s="15">
        <f>IF(ISNUMBER(原始输入与口径!AB218),原始输入与口径!AB218,"缺失")</f>
        <v>4.6519162235816518</v>
      </c>
      <c r="F314" s="15">
        <f>IF(ISNUMBER(原始输入与口径!AG218),原始输入与口径!AG218,"缺失")</f>
        <v>0</v>
      </c>
      <c r="G314" s="15">
        <f>IF(ISNUMBER(原始输入与口径!AJ218),原始输入与口径!AJ218,"缺失")</f>
        <v>68.484172812684619</v>
      </c>
      <c r="H314" s="15" t="str">
        <f t="shared" si="92"/>
        <v>未模拟</v>
      </c>
      <c r="I314" s="16">
        <f>原始输入与口径!CD218</f>
        <v>33.485400963975145</v>
      </c>
      <c r="J314" s="16">
        <f>原始输入与口径!CE218</f>
        <v>33.641348849689429</v>
      </c>
      <c r="K314" s="16">
        <f>原始输入与口径!BZ218</f>
        <v>0</v>
      </c>
      <c r="L314" s="16">
        <f>原始输入与口径!CK218</f>
        <v>40</v>
      </c>
      <c r="M314" s="16">
        <f>原始输入与口径!BT218</f>
        <v>24</v>
      </c>
      <c r="N314" s="16">
        <f>原始输入与口径!BJ218</f>
        <v>24</v>
      </c>
      <c r="O314" s="16">
        <f t="shared" si="93"/>
        <v>0</v>
      </c>
      <c r="P314" s="16">
        <f t="shared" si="94"/>
        <v>0.16950857142857143</v>
      </c>
      <c r="Q314" s="17">
        <f t="shared" si="95"/>
        <v>0</v>
      </c>
      <c r="R314" s="17">
        <f t="shared" si="96"/>
        <v>662.24534522516342</v>
      </c>
      <c r="S314" s="17">
        <f t="shared" si="97"/>
        <v>42.398948030415639</v>
      </c>
      <c r="T314" s="17">
        <f t="shared" si="98"/>
        <v>27.911497341489913</v>
      </c>
      <c r="U314" s="17">
        <f t="shared" si="99"/>
        <v>0</v>
      </c>
      <c r="V314" s="17">
        <f t="shared" si="100"/>
        <v>-11.608654298945581</v>
      </c>
      <c r="W314" s="17">
        <f t="shared" si="101"/>
        <v>720.9471362981235</v>
      </c>
      <c r="X314" s="12">
        <f>原始输入与口径!CP218</f>
        <v>720.94713629812338</v>
      </c>
      <c r="Y314" s="19">
        <f t="shared" si="102"/>
        <v>0</v>
      </c>
      <c r="Z314" s="12" t="str">
        <f t="shared" si="114"/>
        <v>次日冻结计划复原</v>
      </c>
      <c r="AA314" s="12">
        <f>IF(原始输入与口径!AW218,1,0)</f>
        <v>1</v>
      </c>
      <c r="AB314" s="12">
        <f>IF(原始输入与口径!AY218,1,0)</f>
        <v>1</v>
      </c>
      <c r="AC314" s="12">
        <f>原始输入与口径!$F$5</f>
        <v>0.25</v>
      </c>
      <c r="AD314" s="18">
        <f>原始输入与口径!CG218</f>
        <v>0.3125</v>
      </c>
      <c r="AE314" s="18">
        <f>原始输入与口径!BQ218</f>
        <v>0.13714285714285715</v>
      </c>
      <c r="AF314" s="18">
        <f t="shared" si="104"/>
        <v>0</v>
      </c>
      <c r="AG314" s="18">
        <f t="shared" si="105"/>
        <v>2.825142857142857E-2</v>
      </c>
      <c r="AH314" s="12">
        <f>IF(ISNUMBER(原始输入与口径!T218),原始输入与口径!T218,"缺失")</f>
        <v>175</v>
      </c>
      <c r="AI314" s="12">
        <f>IF(ISNUMBER(原始输入与口径!Y218),原始输入与口径!Y218,"缺失")</f>
        <v>175</v>
      </c>
      <c r="AJ314" s="12">
        <f>IF(ISNUMBER(原始输入与口径!AI218),原始输入与口径!AI218,"缺失")</f>
        <v>0</v>
      </c>
      <c r="AK314" s="12">
        <f>IF(ISNUMBER(原始输入与口径!AL218),原始输入与口径!AL218,"缺失")</f>
        <v>1.236</v>
      </c>
      <c r="AL314" s="12">
        <f>IF(ISNUMBER(原始输入与口径!O218),原始输入与口径!O218,"缺失")</f>
        <v>119.93600000000001</v>
      </c>
      <c r="AM314" s="12">
        <f>SUMIFS(相位SOC复算!$N$9:$N$929,相位SOC复算!$S$9:$S$929,306)</f>
        <v>4.3318857142857144E-4</v>
      </c>
      <c r="AN314" s="12">
        <f>SUMIFS(相位SOC复算!$Q$9:$Q$929,相位SOC复算!$S$9:$S$929,306)</f>
        <v>0.16950857142857143</v>
      </c>
      <c r="AO314" s="12">
        <f>SUMIFS(相位SOC复算!$R$9:$R$929,相位SOC复算!$S$9:$S$929,306)</f>
        <v>0</v>
      </c>
      <c r="AP314" s="12">
        <f>相位SOC复算!J758</f>
        <v>33.641348849689443</v>
      </c>
      <c r="AQ314" s="19">
        <f t="shared" si="106"/>
        <v>0</v>
      </c>
      <c r="AR314" s="12">
        <f>IF(ISBLANK(原始输入与口径!M218),"",原始输入与口径!M218)</f>
        <v>5.2473000000000001</v>
      </c>
      <c r="AS314" s="14">
        <f>IF(ISBLANK(原始输入与口径!L218),"",原始输入与口径!L218)</f>
        <v>46234</v>
      </c>
      <c r="AT314" s="13">
        <f>IF(ISBLANK(原始输入与口径!A218),"",原始输入与口径!A218)</f>
        <v>46237.052083333336</v>
      </c>
      <c r="AU314" s="12" t="str">
        <f>IF(ISBLANK(原始输入与口径!I218),"",原始输入与口径!I218)</f>
        <v>2026-08-03_14</v>
      </c>
      <c r="AV314" s="12">
        <f>IF(ISBLANK(原始输入与口径!J218),"",原始输入与口径!J218)</f>
        <v>15</v>
      </c>
      <c r="AW314" s="12" t="str">
        <f>IF(ISBLANK(原始输入与口径!BB218),"",原始输入与口径!BB218)</f>
        <v>OK</v>
      </c>
      <c r="AX314" s="12">
        <f>原始输入与口径!CI218</f>
        <v>128</v>
      </c>
      <c r="AY314" s="12">
        <f>原始输入与口径!BS218</f>
        <v>175</v>
      </c>
      <c r="AZ314" s="12">
        <f>原始输入与口径!BI218</f>
        <v>175</v>
      </c>
      <c r="BA314" s="12">
        <f>原始输入与口径!CM218</f>
        <v>40</v>
      </c>
      <c r="BB314" s="12">
        <f>原始输入与口径!BV218</f>
        <v>24</v>
      </c>
      <c r="BC314" s="12">
        <f>原始输入与口径!BL218</f>
        <v>24</v>
      </c>
      <c r="BD314" s="14">
        <f>46236</f>
        <v>46236</v>
      </c>
      <c r="BE314" s="1" t="str">
        <f t="shared" si="107"/>
        <v>零头寸，无结算现金</v>
      </c>
      <c r="BF314" s="1" t="str">
        <f t="shared" si="108"/>
        <v>40.000000 MW × 66.224535 × 0.250000 h = 662.245345 EUR</v>
      </c>
      <c r="BG314" s="1" t="str">
        <f t="shared" si="109"/>
        <v>24.000000 MW × 7.066491 × 0.250000 h = 42.398948 EUR</v>
      </c>
      <c r="BH314" s="1" t="str">
        <f t="shared" si="110"/>
        <v>24.000000 MW × 4.651916 × 0.250000 h = 27.911497 EUR</v>
      </c>
      <c r="BI314" s="1" t="str">
        <f t="shared" si="111"/>
        <v>零上调激活电量</v>
      </c>
      <c r="BJ314" s="1" t="str">
        <f t="shared" si="112"/>
        <v>−(0.169509 MWh × 68.484173) = -11.608654 EUR</v>
      </c>
      <c r="BK314" s="1" t="str">
        <f t="shared" si="113"/>
        <v>0.000000 + 662.245345 + 42.398948 + 27.911497 + 0.000000 + -11.608654 = 720.947136 EUR</v>
      </c>
    </row>
    <row r="315" spans="1:63" ht="21" customHeight="1" x14ac:dyDescent="0.45">
      <c r="A315" s="13">
        <f>原始输入与口径!C219</f>
        <v>46237.1875</v>
      </c>
      <c r="B315" s="15">
        <f>IF(ISNUMBER(原始输入与口径!H219),原始输入与口径!H219,"缺失")</f>
        <v>151.34</v>
      </c>
      <c r="C315" s="15">
        <f>IF(ISNUMBER(原始输入与口径!R219),原始输入与口径!R219,"缺失")</f>
        <v>66.224534522516336</v>
      </c>
      <c r="D315" s="15">
        <f>IF(ISNUMBER(原始输入与口径!W219),原始输入与口径!W219,"缺失")</f>
        <v>7.0664913384026065</v>
      </c>
      <c r="E315" s="15">
        <f>IF(ISNUMBER(原始输入与口径!AB219),原始输入与口径!AB219,"缺失")</f>
        <v>4.6519162235816518</v>
      </c>
      <c r="F315" s="15">
        <f>IF(ISNUMBER(原始输入与口径!AG219),原始输入与口径!AG219,"缺失")</f>
        <v>0</v>
      </c>
      <c r="G315" s="15">
        <f>IF(ISNUMBER(原始输入与口径!AJ219),原始输入与口径!AJ219,"缺失")</f>
        <v>62.516722886055682</v>
      </c>
      <c r="H315" s="15" t="str">
        <f t="shared" si="92"/>
        <v>未模拟</v>
      </c>
      <c r="I315" s="16">
        <f>原始输入与口径!CD219</f>
        <v>33.641348849689429</v>
      </c>
      <c r="J315" s="16">
        <f>原始输入与口径!CE219</f>
        <v>42.256333992546573</v>
      </c>
      <c r="K315" s="16">
        <f>原始输入与口径!BZ219</f>
        <v>-36</v>
      </c>
      <c r="L315" s="16">
        <f>原始输入与口径!CK219</f>
        <v>40</v>
      </c>
      <c r="M315" s="16">
        <f>原始输入与口径!BT219</f>
        <v>24</v>
      </c>
      <c r="N315" s="16">
        <f>原始输入与口径!BJ219</f>
        <v>24</v>
      </c>
      <c r="O315" s="16">
        <f t="shared" si="93"/>
        <v>0</v>
      </c>
      <c r="P315" s="16">
        <f t="shared" si="94"/>
        <v>0.36411428571428567</v>
      </c>
      <c r="Q315" s="17">
        <f t="shared" si="95"/>
        <v>-1362.06</v>
      </c>
      <c r="R315" s="17">
        <f t="shared" si="96"/>
        <v>662.24534522516342</v>
      </c>
      <c r="S315" s="17">
        <f t="shared" si="97"/>
        <v>42.398948030415639</v>
      </c>
      <c r="T315" s="17">
        <f t="shared" si="98"/>
        <v>27.911497341489913</v>
      </c>
      <c r="U315" s="17">
        <f t="shared" si="99"/>
        <v>0</v>
      </c>
      <c r="V315" s="17">
        <f t="shared" si="100"/>
        <v>-22.763231898854102</v>
      </c>
      <c r="W315" s="17">
        <f t="shared" si="101"/>
        <v>-652.26744130178497</v>
      </c>
      <c r="X315" s="12">
        <f>原始输入与口径!CP219</f>
        <v>-652.26744130178508</v>
      </c>
      <c r="Y315" s="19">
        <f t="shared" si="102"/>
        <v>0</v>
      </c>
      <c r="Z315" s="12" t="str">
        <f t="shared" si="114"/>
        <v>次日冻结计划复原</v>
      </c>
      <c r="AA315" s="12">
        <f>IF(原始输入与口径!AW219,1,0)</f>
        <v>1</v>
      </c>
      <c r="AB315" s="12">
        <f>IF(原始输入与口径!AY219,1,0)</f>
        <v>1</v>
      </c>
      <c r="AC315" s="12">
        <f>原始输入与口径!$F$5</f>
        <v>0.25</v>
      </c>
      <c r="AD315" s="18">
        <f>原始输入与口径!CG219</f>
        <v>0.3125</v>
      </c>
      <c r="AE315" s="18">
        <f>原始输入与口径!BQ219</f>
        <v>0.13714285714285715</v>
      </c>
      <c r="AF315" s="18">
        <f t="shared" si="104"/>
        <v>0</v>
      </c>
      <c r="AG315" s="18">
        <f t="shared" si="105"/>
        <v>6.068571428571428E-2</v>
      </c>
      <c r="AH315" s="12">
        <f>IF(ISNUMBER(原始输入与口径!T219),原始输入与口径!T219,"缺失")</f>
        <v>175</v>
      </c>
      <c r="AI315" s="12">
        <f>IF(ISNUMBER(原始输入与口径!Y219),原始输入与口径!Y219,"缺失")</f>
        <v>175</v>
      </c>
      <c r="AJ315" s="12">
        <f>IF(ISNUMBER(原始输入与口径!AI219),原始输入与口径!AI219,"缺失")</f>
        <v>0</v>
      </c>
      <c r="AK315" s="12">
        <f>IF(ISNUMBER(原始输入与口径!AL219),原始输入与口径!AL219,"缺失")</f>
        <v>2.6549999999999998</v>
      </c>
      <c r="AL315" s="12">
        <f>IF(ISNUMBER(原始输入与口径!O219),原始输入与口径!O219,"缺失")</f>
        <v>119.93600000000001</v>
      </c>
      <c r="AM315" s="12">
        <f>SUMIFS(相位SOC复算!$N$9:$N$929,相位SOC复算!$S$9:$S$929,307)</f>
        <v>2.3930514285714289E-2</v>
      </c>
      <c r="AN315" s="12">
        <f>SUMIFS(相位SOC复算!$Q$9:$Q$929,相位SOC复算!$S$9:$S$929,307)</f>
        <v>9.3641142857142867</v>
      </c>
      <c r="AO315" s="12">
        <f>SUMIFS(相位SOC复算!$R$9:$R$929,相位SOC复算!$S$9:$S$929,307)</f>
        <v>0</v>
      </c>
      <c r="AP315" s="12">
        <f>相位SOC复算!J760</f>
        <v>42.256333992546587</v>
      </c>
      <c r="AQ315" s="19">
        <f t="shared" si="106"/>
        <v>0</v>
      </c>
      <c r="AR315" s="12">
        <f>IF(ISBLANK(原始输入与口径!M219),"",原始输入与口径!M219)</f>
        <v>5.2473000000000001</v>
      </c>
      <c r="AS315" s="14">
        <f>IF(ISBLANK(原始输入与口径!L219),"",原始输入与口径!L219)</f>
        <v>46234</v>
      </c>
      <c r="AT315" s="13">
        <f>IF(ISBLANK(原始输入与口径!A219),"",原始输入与口径!A219)</f>
        <v>46237.0625</v>
      </c>
      <c r="AU315" s="12" t="str">
        <f>IF(ISBLANK(原始输入与口径!I219),"",原始输入与口径!I219)</f>
        <v>2026-08-03_15</v>
      </c>
      <c r="AV315" s="12">
        <f>IF(ISBLANK(原始输入与口径!J219),"",原始输入与口径!J219)</f>
        <v>15</v>
      </c>
      <c r="AW315" s="12" t="str">
        <f>IF(ISBLANK(原始输入与口径!BB219),"",原始输入与口径!BB219)</f>
        <v>OK</v>
      </c>
      <c r="AX315" s="12">
        <f>原始输入与口径!CI219</f>
        <v>128</v>
      </c>
      <c r="AY315" s="12">
        <f>原始输入与口径!BS219</f>
        <v>175</v>
      </c>
      <c r="AZ315" s="12">
        <f>原始输入与口径!BI219</f>
        <v>175</v>
      </c>
      <c r="BA315" s="12">
        <f>原始输入与口径!CM219</f>
        <v>40</v>
      </c>
      <c r="BB315" s="12">
        <f>原始输入与口径!BV219</f>
        <v>24</v>
      </c>
      <c r="BC315" s="12">
        <f>原始输入与口径!BL219</f>
        <v>24</v>
      </c>
      <c r="BD315" s="14">
        <f>46236</f>
        <v>46236</v>
      </c>
      <c r="BE315" s="1" t="str">
        <f t="shared" si="107"/>
        <v>-36.000000 MW × 151.340000 × 0.250000 h = -1362.060000 EUR</v>
      </c>
      <c r="BF315" s="1" t="str">
        <f t="shared" si="108"/>
        <v>40.000000 MW × 66.224535 × 0.250000 h = 662.245345 EUR</v>
      </c>
      <c r="BG315" s="1" t="str">
        <f t="shared" si="109"/>
        <v>24.000000 MW × 7.066491 × 0.250000 h = 42.398948 EUR</v>
      </c>
      <c r="BH315" s="1" t="str">
        <f t="shared" si="110"/>
        <v>24.000000 MW × 4.651916 × 0.250000 h = 27.911497 EUR</v>
      </c>
      <c r="BI315" s="1" t="str">
        <f t="shared" si="111"/>
        <v>零上调激活电量</v>
      </c>
      <c r="BJ315" s="1" t="str">
        <f t="shared" si="112"/>
        <v>−(0.364114 MWh × 62.516723) = -22.763232 EUR</v>
      </c>
      <c r="BK315" s="1" t="str">
        <f t="shared" si="113"/>
        <v>-1362.060000 + 662.245345 + 42.398948 + 27.911497 + 0.000000 + -22.763232 = -652.267441 EUR</v>
      </c>
    </row>
    <row r="316" spans="1:63" ht="21" customHeight="1" x14ac:dyDescent="0.45">
      <c r="A316" s="13">
        <f>原始输入与口径!C220</f>
        <v>46237.197916666664</v>
      </c>
      <c r="B316" s="15">
        <f>IF(ISNUMBER(原始输入与口径!H220),原始输入与口径!H220,"缺失")</f>
        <v>150.22</v>
      </c>
      <c r="C316" s="15">
        <f>IF(ISNUMBER(原始输入与口径!R220),原始输入与口径!R220,"缺失")</f>
        <v>66.224534522516336</v>
      </c>
      <c r="D316" s="15">
        <f>IF(ISNUMBER(原始输入与口径!W220),原始输入与口径!W220,"缺失")</f>
        <v>7.0664913384026065</v>
      </c>
      <c r="E316" s="15">
        <f>IF(ISNUMBER(原始输入与口径!AB220),原始输入与口径!AB220,"缺失")</f>
        <v>4.6519162235816518</v>
      </c>
      <c r="F316" s="15">
        <f>IF(ISNUMBER(原始输入与口径!AG220),原始输入与口径!AG220,"缺失")</f>
        <v>152.45936005183617</v>
      </c>
      <c r="G316" s="15">
        <f>IF(ISNUMBER(原始输入与口径!AJ220),原始输入与口径!AJ220,"缺失")</f>
        <v>65.73666457035047</v>
      </c>
      <c r="H316" s="15" t="str">
        <f t="shared" si="92"/>
        <v>未模拟</v>
      </c>
      <c r="I316" s="16">
        <f>原始输入与口径!CD220</f>
        <v>42.256333992546573</v>
      </c>
      <c r="J316" s="16">
        <f>原始输入与口径!CE220</f>
        <v>50.864758221118002</v>
      </c>
      <c r="K316" s="16">
        <f>原始输入与口径!BZ220</f>
        <v>-36</v>
      </c>
      <c r="L316" s="16">
        <f>原始输入与口径!CK220</f>
        <v>40</v>
      </c>
      <c r="M316" s="16">
        <f>原始输入与口径!BT220</f>
        <v>24</v>
      </c>
      <c r="N316" s="16">
        <f>原始输入与口径!BJ220</f>
        <v>24</v>
      </c>
      <c r="O316" s="16">
        <f t="shared" si="93"/>
        <v>1.9200000000000003E-3</v>
      </c>
      <c r="P316" s="16">
        <f t="shared" si="94"/>
        <v>0.35890285714285719</v>
      </c>
      <c r="Q316" s="17">
        <f t="shared" si="95"/>
        <v>-1351.98</v>
      </c>
      <c r="R316" s="17">
        <f t="shared" si="96"/>
        <v>662.24534522516342</v>
      </c>
      <c r="S316" s="17">
        <f t="shared" si="97"/>
        <v>42.398948030415639</v>
      </c>
      <c r="T316" s="17">
        <f t="shared" si="98"/>
        <v>27.911497341489913</v>
      </c>
      <c r="U316" s="17">
        <f t="shared" si="99"/>
        <v>0.29272197129952549</v>
      </c>
      <c r="V316" s="17">
        <f t="shared" si="100"/>
        <v>-23.593076733340418</v>
      </c>
      <c r="W316" s="17">
        <f t="shared" si="101"/>
        <v>-642.72456416497187</v>
      </c>
      <c r="X316" s="12">
        <f>原始输入与口径!CP220</f>
        <v>-642.72456416497198</v>
      </c>
      <c r="Y316" s="19">
        <f t="shared" si="102"/>
        <v>0</v>
      </c>
      <c r="Z316" s="12" t="str">
        <f t="shared" si="114"/>
        <v>次日冻结计划复原</v>
      </c>
      <c r="AA316" s="12">
        <f>IF(原始输入与口径!AW220,1,0)</f>
        <v>1</v>
      </c>
      <c r="AB316" s="12">
        <f>IF(原始输入与口径!AY220,1,0)</f>
        <v>1</v>
      </c>
      <c r="AC316" s="12">
        <f>原始输入与口径!$F$5</f>
        <v>0.25</v>
      </c>
      <c r="AD316" s="18">
        <f>原始输入与口径!CG220</f>
        <v>0.3125</v>
      </c>
      <c r="AE316" s="18">
        <f>原始输入与口径!BQ220</f>
        <v>0.13714285714285715</v>
      </c>
      <c r="AF316" s="18">
        <f t="shared" si="104"/>
        <v>3.2000000000000003E-4</v>
      </c>
      <c r="AG316" s="18">
        <f t="shared" si="105"/>
        <v>5.981714285714286E-2</v>
      </c>
      <c r="AH316" s="12">
        <f>IF(ISNUMBER(原始输入与口径!T220),原始输入与口径!T220,"缺失")</f>
        <v>175</v>
      </c>
      <c r="AI316" s="12">
        <f>IF(ISNUMBER(原始输入与口径!Y220),原始输入与口径!Y220,"缺失")</f>
        <v>175</v>
      </c>
      <c r="AJ316" s="12">
        <f>IF(ISNUMBER(原始输入与口径!AI220),原始输入与口径!AI220,"缺失")</f>
        <v>1.4E-2</v>
      </c>
      <c r="AK316" s="12">
        <f>IF(ISNUMBER(原始输入与口径!AL220),原始输入与口径!AL220,"缺失")</f>
        <v>2.617</v>
      </c>
      <c r="AL316" s="12">
        <f>IF(ISNUMBER(原始输入与口径!O220),原始输入与口径!O220,"缺失")</f>
        <v>119.93600000000001</v>
      </c>
      <c r="AM316" s="12">
        <f>SUMIFS(相位SOC复算!$N$9:$N$929,相位SOC复算!$S$9:$S$929,308)</f>
        <v>2.3912289523809527E-2</v>
      </c>
      <c r="AN316" s="12">
        <f>SUMIFS(相位SOC复算!$Q$9:$Q$929,相位SOC复算!$S$9:$S$929,308)</f>
        <v>9.3569828571428566</v>
      </c>
      <c r="AO316" s="12">
        <f>SUMIFS(相位SOC复算!$R$9:$R$929,相位SOC复算!$S$9:$S$929,308)</f>
        <v>0</v>
      </c>
      <c r="AP316" s="12">
        <f>相位SOC复算!J763</f>
        <v>50.864758221118016</v>
      </c>
      <c r="AQ316" s="19">
        <f t="shared" si="106"/>
        <v>0</v>
      </c>
      <c r="AR316" s="12">
        <f>IF(ISBLANK(原始输入与口径!M220),"",原始输入与口径!M220)</f>
        <v>5.2473000000000001</v>
      </c>
      <c r="AS316" s="14">
        <f>IF(ISBLANK(原始输入与口径!L220),"",原始输入与口径!L220)</f>
        <v>46234</v>
      </c>
      <c r="AT316" s="13">
        <f>IF(ISBLANK(原始输入与口径!A220),"",原始输入与口径!A220)</f>
        <v>46237.072916666664</v>
      </c>
      <c r="AU316" s="12" t="str">
        <f>IF(ISBLANK(原始输入与口径!I220),"",原始输入与口径!I220)</f>
        <v>2026-08-03_16</v>
      </c>
      <c r="AV316" s="12">
        <f>IF(ISBLANK(原始输入与口径!J220),"",原始输入与口径!J220)</f>
        <v>15</v>
      </c>
      <c r="AW316" s="12" t="str">
        <f>IF(ISBLANK(原始输入与口径!BB220),"",原始输入与口径!BB220)</f>
        <v>OK</v>
      </c>
      <c r="AX316" s="12">
        <f>原始输入与口径!CI220</f>
        <v>128</v>
      </c>
      <c r="AY316" s="12">
        <f>原始输入与口径!BS220</f>
        <v>175</v>
      </c>
      <c r="AZ316" s="12">
        <f>原始输入与口径!BI220</f>
        <v>175</v>
      </c>
      <c r="BA316" s="12">
        <f>原始输入与口径!CM220</f>
        <v>40</v>
      </c>
      <c r="BB316" s="12">
        <f>原始输入与口径!BV220</f>
        <v>24</v>
      </c>
      <c r="BC316" s="12">
        <f>原始输入与口径!BL220</f>
        <v>24</v>
      </c>
      <c r="BD316" s="14">
        <f>46236</f>
        <v>46236</v>
      </c>
      <c r="BE316" s="1" t="str">
        <f t="shared" si="107"/>
        <v>-36.000000 MW × 150.220000 × 0.250000 h = -1351.980000 EUR</v>
      </c>
      <c r="BF316" s="1" t="str">
        <f t="shared" si="108"/>
        <v>40.000000 MW × 66.224535 × 0.250000 h = 662.245345 EUR</v>
      </c>
      <c r="BG316" s="1" t="str">
        <f t="shared" si="109"/>
        <v>24.000000 MW × 7.066491 × 0.250000 h = 42.398948 EUR</v>
      </c>
      <c r="BH316" s="1" t="str">
        <f t="shared" si="110"/>
        <v>24.000000 MW × 4.651916 × 0.250000 h = 27.911497 EUR</v>
      </c>
      <c r="BI316" s="1" t="str">
        <f t="shared" si="111"/>
        <v>0.001920 MWh × 152.459360 = 0.292722 EUR</v>
      </c>
      <c r="BJ316" s="1" t="str">
        <f t="shared" si="112"/>
        <v>−(0.358903 MWh × 65.736665) = -23.593077 EUR</v>
      </c>
      <c r="BK316" s="1" t="str">
        <f t="shared" si="113"/>
        <v>-1351.980000 + 662.245345 + 42.398948 + 27.911497 + 0.292722 + -23.593077 = -642.724564 EUR</v>
      </c>
    </row>
    <row r="317" spans="1:63" ht="21" customHeight="1" x14ac:dyDescent="0.45">
      <c r="A317" s="13">
        <f>原始输入与口径!C221</f>
        <v>46237.208333333336</v>
      </c>
      <c r="B317" s="15">
        <f>IF(ISNUMBER(原始输入与口径!H221),原始输入与口径!H221,"缺失")</f>
        <v>147.54</v>
      </c>
      <c r="C317" s="15">
        <f>IF(ISNUMBER(原始输入与口径!R221),原始输入与口径!R221,"缺失")</f>
        <v>66.224534522516336</v>
      </c>
      <c r="D317" s="15">
        <f>IF(ISNUMBER(原始输入与口径!W221),原始输入与口径!W221,"缺失")</f>
        <v>7.0664913384026065</v>
      </c>
      <c r="E317" s="15">
        <f>IF(ISNUMBER(原始输入与口径!AB221),原始输入与口径!AB221,"缺失")</f>
        <v>4.6481047395803561</v>
      </c>
      <c r="F317" s="15">
        <f>IF(ISNUMBER(原始输入与口径!AG221),原始输入与口径!AG221,"缺失")</f>
        <v>0</v>
      </c>
      <c r="G317" s="15">
        <f>IF(ISNUMBER(原始输入与口径!AJ221),原始输入与口径!AJ221,"缺失")</f>
        <v>59.178815771920796</v>
      </c>
      <c r="H317" s="15" t="str">
        <f t="shared" si="92"/>
        <v>未模拟</v>
      </c>
      <c r="I317" s="16">
        <f>原始输入与口径!CD221</f>
        <v>50.864758221118002</v>
      </c>
      <c r="J317" s="16">
        <f>原始输入与口径!CE221</f>
        <v>59.81460233540372</v>
      </c>
      <c r="K317" s="16">
        <f>原始输入与口径!BZ221</f>
        <v>-36</v>
      </c>
      <c r="L317" s="16">
        <f>原始输入与口径!CK221</f>
        <v>40</v>
      </c>
      <c r="M317" s="16">
        <f>原始输入与口径!BT221</f>
        <v>24</v>
      </c>
      <c r="N317" s="16">
        <f>原始输入与口径!BJ221</f>
        <v>24</v>
      </c>
      <c r="O317" s="16">
        <f t="shared" si="93"/>
        <v>0</v>
      </c>
      <c r="P317" s="16">
        <f t="shared" si="94"/>
        <v>0.72809142857142861</v>
      </c>
      <c r="Q317" s="17">
        <f t="shared" si="95"/>
        <v>-1327.86</v>
      </c>
      <c r="R317" s="17">
        <f t="shared" si="96"/>
        <v>662.24534522516342</v>
      </c>
      <c r="S317" s="17">
        <f t="shared" si="97"/>
        <v>42.398948030415639</v>
      </c>
      <c r="T317" s="17">
        <f t="shared" si="98"/>
        <v>27.888628437482136</v>
      </c>
      <c r="U317" s="17">
        <f t="shared" si="99"/>
        <v>0</v>
      </c>
      <c r="V317" s="17">
        <f t="shared" si="100"/>
        <v>-43.087588516543207</v>
      </c>
      <c r="W317" s="17">
        <f t="shared" si="101"/>
        <v>-638.41466682348187</v>
      </c>
      <c r="X317" s="12">
        <f>原始输入与口径!CP221</f>
        <v>-638.41466682348187</v>
      </c>
      <c r="Y317" s="19">
        <f t="shared" si="102"/>
        <v>0</v>
      </c>
      <c r="Z317" s="12" t="str">
        <f t="shared" si="114"/>
        <v>次日冻结计划复原</v>
      </c>
      <c r="AA317" s="12">
        <f>IF(原始输入与口径!AW221,1,0)</f>
        <v>1</v>
      </c>
      <c r="AB317" s="12">
        <f>IF(原始输入与口径!AY221,1,0)</f>
        <v>1</v>
      </c>
      <c r="AC317" s="12">
        <f>原始输入与口径!$F$5</f>
        <v>0.25</v>
      </c>
      <c r="AD317" s="18">
        <f>原始输入与口径!CG221</f>
        <v>0.3125</v>
      </c>
      <c r="AE317" s="18">
        <f>原始输入与口径!BQ221</f>
        <v>0.13714285714285715</v>
      </c>
      <c r="AF317" s="18">
        <f t="shared" si="104"/>
        <v>0</v>
      </c>
      <c r="AG317" s="18">
        <f t="shared" si="105"/>
        <v>0.12134857142857143</v>
      </c>
      <c r="AH317" s="12">
        <f>IF(ISNUMBER(原始输入与口径!T221),原始输入与口径!T221,"缺失")</f>
        <v>175</v>
      </c>
      <c r="AI317" s="12">
        <f>IF(ISNUMBER(原始输入与口径!Y221),原始输入与口径!Y221,"缺失")</f>
        <v>175</v>
      </c>
      <c r="AJ317" s="12">
        <f>IF(ISNUMBER(原始输入与口径!AI221),原始输入与口径!AI221,"缺失")</f>
        <v>0</v>
      </c>
      <c r="AK317" s="12">
        <f>IF(ISNUMBER(原始输入与口径!AL221),原始输入与口径!AL221,"缺失")</f>
        <v>5.3090000000000002</v>
      </c>
      <c r="AL317" s="12">
        <f>IF(ISNUMBER(原始输入与口径!O221),原始输入与口径!O221,"缺失")</f>
        <v>119.93600000000001</v>
      </c>
      <c r="AM317" s="12">
        <f>SUMIFS(相位SOC复算!$N$9:$N$929,相位SOC复算!$S$9:$S$929,309)</f>
        <v>2.4860678095238099E-2</v>
      </c>
      <c r="AN317" s="12">
        <f>SUMIFS(相位SOC复算!$Q$9:$Q$929,相位SOC复算!$S$9:$S$929,309)</f>
        <v>9.7280914285714282</v>
      </c>
      <c r="AO317" s="12">
        <f>SUMIFS(相位SOC复算!$R$9:$R$929,相位SOC复算!$S$9:$S$929,309)</f>
        <v>0</v>
      </c>
      <c r="AP317" s="12">
        <f>相位SOC复算!J765</f>
        <v>59.814602335403734</v>
      </c>
      <c r="AQ317" s="19">
        <f t="shared" si="106"/>
        <v>0</v>
      </c>
      <c r="AR317" s="12">
        <f>IF(ISBLANK(原始输入与口径!M221),"",原始输入与口径!M221)</f>
        <v>5.2473000000000001</v>
      </c>
      <c r="AS317" s="14">
        <f>IF(ISBLANK(原始输入与口径!L221),"",原始输入与口径!L221)</f>
        <v>46234</v>
      </c>
      <c r="AT317" s="13">
        <f>IF(ISBLANK(原始输入与口径!A221),"",原始输入与口径!A221)</f>
        <v>46237.083333333336</v>
      </c>
      <c r="AU317" s="12" t="str">
        <f>IF(ISBLANK(原始输入与口径!I221),"",原始输入与口径!I221)</f>
        <v>2026-08-03_17</v>
      </c>
      <c r="AV317" s="12">
        <f>IF(ISBLANK(原始输入与口径!J221),"",原始输入与口径!J221)</f>
        <v>15</v>
      </c>
      <c r="AW317" s="12" t="str">
        <f>IF(ISBLANK(原始输入与口径!BB221),"",原始输入与口径!BB221)</f>
        <v>OK</v>
      </c>
      <c r="AX317" s="12">
        <f>原始输入与口径!CI221</f>
        <v>128</v>
      </c>
      <c r="AY317" s="12">
        <f>原始输入与口径!BS221</f>
        <v>175</v>
      </c>
      <c r="AZ317" s="12">
        <f>原始输入与口径!BI221</f>
        <v>175</v>
      </c>
      <c r="BA317" s="12">
        <f>原始输入与口径!CM221</f>
        <v>40</v>
      </c>
      <c r="BB317" s="12">
        <f>原始输入与口径!BV221</f>
        <v>24</v>
      </c>
      <c r="BC317" s="12">
        <f>原始输入与口径!BL221</f>
        <v>24</v>
      </c>
      <c r="BD317" s="14">
        <f>46236</f>
        <v>46236</v>
      </c>
      <c r="BE317" s="1" t="str">
        <f t="shared" si="107"/>
        <v>-36.000000 MW × 147.540000 × 0.250000 h = -1327.860000 EUR</v>
      </c>
      <c r="BF317" s="1" t="str">
        <f t="shared" si="108"/>
        <v>40.000000 MW × 66.224535 × 0.250000 h = 662.245345 EUR</v>
      </c>
      <c r="BG317" s="1" t="str">
        <f t="shared" si="109"/>
        <v>24.000000 MW × 7.066491 × 0.250000 h = 42.398948 EUR</v>
      </c>
      <c r="BH317" s="1" t="str">
        <f t="shared" si="110"/>
        <v>24.000000 MW × 4.648105 × 0.250000 h = 27.888628 EUR</v>
      </c>
      <c r="BI317" s="1" t="str">
        <f t="shared" si="111"/>
        <v>零上调激活电量</v>
      </c>
      <c r="BJ317" s="1" t="str">
        <f t="shared" si="112"/>
        <v>−(0.728091 MWh × 59.178816) = -43.087589 EUR</v>
      </c>
      <c r="BK317" s="1" t="str">
        <f t="shared" si="113"/>
        <v>-1327.860000 + 662.245345 + 42.398948 + 27.888628 + 0.000000 + -43.087589 = -638.414667 EUR</v>
      </c>
    </row>
    <row r="318" spans="1:63" ht="21" customHeight="1" x14ac:dyDescent="0.45">
      <c r="A318" s="13">
        <f>原始输入与口径!C222</f>
        <v>46237.21875</v>
      </c>
      <c r="B318" s="15">
        <f>IF(ISNUMBER(原始输入与口径!H222),原始输入与口径!H222,"缺失")</f>
        <v>164.3</v>
      </c>
      <c r="C318" s="15">
        <f>IF(ISNUMBER(原始输入与口径!R222),原始输入与口径!R222,"缺失")</f>
        <v>66.224534522516336</v>
      </c>
      <c r="D318" s="15">
        <f>IF(ISNUMBER(原始输入与口径!W222),原始输入与口径!W222,"缺失")</f>
        <v>7.0664913384026065</v>
      </c>
      <c r="E318" s="15">
        <f>IF(ISNUMBER(原始输入与口径!AB222),原始输入与口径!AB222,"缺失")</f>
        <v>4.6481047395803561</v>
      </c>
      <c r="F318" s="15">
        <f>IF(ISNUMBER(原始输入与口径!AG222),原始输入与口径!AG222,"缺失")</f>
        <v>0</v>
      </c>
      <c r="G318" s="15">
        <f>IF(ISNUMBER(原始输入与口径!AJ222),原始输入与口径!AJ222,"缺失")</f>
        <v>64.15280239361195</v>
      </c>
      <c r="H318" s="15" t="str">
        <f t="shared" si="92"/>
        <v>未模拟</v>
      </c>
      <c r="I318" s="16">
        <f>原始输入与口径!CD222</f>
        <v>59.81460233540372</v>
      </c>
      <c r="J318" s="16">
        <f>原始输入与口径!CE222</f>
        <v>60.069342449689437</v>
      </c>
      <c r="K318" s="16">
        <f>原始输入与口径!BZ222</f>
        <v>0</v>
      </c>
      <c r="L318" s="16">
        <f>原始输入与口径!CK222</f>
        <v>40</v>
      </c>
      <c r="M318" s="16">
        <f>原始输入与口径!BT222</f>
        <v>24</v>
      </c>
      <c r="N318" s="16">
        <f>原始输入与口径!BJ222</f>
        <v>24</v>
      </c>
      <c r="O318" s="16">
        <f t="shared" si="93"/>
        <v>0</v>
      </c>
      <c r="P318" s="16">
        <f t="shared" si="94"/>
        <v>0.27689142857142862</v>
      </c>
      <c r="Q318" s="17">
        <f t="shared" si="95"/>
        <v>0</v>
      </c>
      <c r="R318" s="17">
        <f t="shared" si="96"/>
        <v>662.24534522516342</v>
      </c>
      <c r="S318" s="17">
        <f t="shared" si="97"/>
        <v>42.398948030415639</v>
      </c>
      <c r="T318" s="17">
        <f t="shared" si="98"/>
        <v>27.888628437482136</v>
      </c>
      <c r="U318" s="17">
        <f t="shared" si="99"/>
        <v>0</v>
      </c>
      <c r="V318" s="17">
        <f t="shared" si="100"/>
        <v>-17.76336110162778</v>
      </c>
      <c r="W318" s="17">
        <f t="shared" si="101"/>
        <v>714.76956059143345</v>
      </c>
      <c r="X318" s="12">
        <f>原始输入与口径!CP222</f>
        <v>714.76956059143345</v>
      </c>
      <c r="Y318" s="19">
        <f t="shared" si="102"/>
        <v>0</v>
      </c>
      <c r="Z318" s="12" t="str">
        <f t="shared" si="114"/>
        <v>次日冻结计划复原</v>
      </c>
      <c r="AA318" s="12">
        <f>IF(原始输入与口径!AW222,1,0)</f>
        <v>1</v>
      </c>
      <c r="AB318" s="12">
        <f>IF(原始输入与口径!AY222,1,0)</f>
        <v>1</v>
      </c>
      <c r="AC318" s="12">
        <f>原始输入与口径!$F$5</f>
        <v>0.25</v>
      </c>
      <c r="AD318" s="18">
        <f>原始输入与口径!CG222</f>
        <v>0.3125</v>
      </c>
      <c r="AE318" s="18">
        <f>原始输入与口径!BQ222</f>
        <v>0.13714285714285715</v>
      </c>
      <c r="AF318" s="18">
        <f t="shared" si="104"/>
        <v>0</v>
      </c>
      <c r="AG318" s="18">
        <f t="shared" si="105"/>
        <v>4.6148571428571435E-2</v>
      </c>
      <c r="AH318" s="12">
        <f>IF(ISNUMBER(原始输入与口径!T222),原始输入与口径!T222,"缺失")</f>
        <v>175</v>
      </c>
      <c r="AI318" s="12">
        <f>IF(ISNUMBER(原始输入与口径!Y222),原始输入与口径!Y222,"缺失")</f>
        <v>175</v>
      </c>
      <c r="AJ318" s="12">
        <f>IF(ISNUMBER(原始输入与口径!AI222),原始输入与口径!AI222,"缺失")</f>
        <v>0</v>
      </c>
      <c r="AK318" s="12">
        <f>IF(ISNUMBER(原始输入与口径!AL222),原始输入与口径!AL222,"缺失")</f>
        <v>2.0190000000000001</v>
      </c>
      <c r="AL318" s="12">
        <f>IF(ISNUMBER(原始输入与口径!O222),原始输入与口径!O222,"缺失")</f>
        <v>119.93600000000001</v>
      </c>
      <c r="AM318" s="12">
        <f>SUMIFS(相位SOC复算!$N$9:$N$929,相位SOC复算!$S$9:$S$929,310)</f>
        <v>7.0761142857142881E-4</v>
      </c>
      <c r="AN318" s="12">
        <f>SUMIFS(相位SOC复算!$Q$9:$Q$929,相位SOC复算!$S$9:$S$929,310)</f>
        <v>0.27689142857142862</v>
      </c>
      <c r="AO318" s="12">
        <f>SUMIFS(相位SOC复算!$R$9:$R$929,相位SOC复算!$S$9:$S$929,310)</f>
        <v>0</v>
      </c>
      <c r="AP318" s="12">
        <f>相位SOC复算!J767</f>
        <v>60.069342449689451</v>
      </c>
      <c r="AQ318" s="19">
        <f t="shared" si="106"/>
        <v>0</v>
      </c>
      <c r="AR318" s="12">
        <f>IF(ISBLANK(原始输入与口径!M222),"",原始输入与口径!M222)</f>
        <v>5.2473000000000001</v>
      </c>
      <c r="AS318" s="14">
        <f>IF(ISBLANK(原始输入与口径!L222),"",原始输入与口径!L222)</f>
        <v>46234</v>
      </c>
      <c r="AT318" s="13">
        <f>IF(ISBLANK(原始输入与口径!A222),"",原始输入与口径!A222)</f>
        <v>46237.09375</v>
      </c>
      <c r="AU318" s="12" t="str">
        <f>IF(ISBLANK(原始输入与口径!I222),"",原始输入与口径!I222)</f>
        <v>2026-08-03_18</v>
      </c>
      <c r="AV318" s="12">
        <f>IF(ISBLANK(原始输入与口径!J222),"",原始输入与口径!J222)</f>
        <v>15</v>
      </c>
      <c r="AW318" s="12" t="str">
        <f>IF(ISBLANK(原始输入与口径!BB222),"",原始输入与口径!BB222)</f>
        <v>OK</v>
      </c>
      <c r="AX318" s="12">
        <f>原始输入与口径!CI222</f>
        <v>128</v>
      </c>
      <c r="AY318" s="12">
        <f>原始输入与口径!BS222</f>
        <v>175</v>
      </c>
      <c r="AZ318" s="12">
        <f>原始输入与口径!BI222</f>
        <v>175</v>
      </c>
      <c r="BA318" s="12">
        <f>原始输入与口径!CM222</f>
        <v>40</v>
      </c>
      <c r="BB318" s="12">
        <f>原始输入与口径!BV222</f>
        <v>24</v>
      </c>
      <c r="BC318" s="12">
        <f>原始输入与口径!BL222</f>
        <v>24</v>
      </c>
      <c r="BD318" s="14">
        <f>46236</f>
        <v>46236</v>
      </c>
      <c r="BE318" s="1" t="str">
        <f t="shared" si="107"/>
        <v>零头寸，无结算现金</v>
      </c>
      <c r="BF318" s="1" t="str">
        <f t="shared" si="108"/>
        <v>40.000000 MW × 66.224535 × 0.250000 h = 662.245345 EUR</v>
      </c>
      <c r="BG318" s="1" t="str">
        <f t="shared" si="109"/>
        <v>24.000000 MW × 7.066491 × 0.250000 h = 42.398948 EUR</v>
      </c>
      <c r="BH318" s="1" t="str">
        <f t="shared" si="110"/>
        <v>24.000000 MW × 4.648105 × 0.250000 h = 27.888628 EUR</v>
      </c>
      <c r="BI318" s="1" t="str">
        <f t="shared" si="111"/>
        <v>零上调激活电量</v>
      </c>
      <c r="BJ318" s="1" t="str">
        <f t="shared" si="112"/>
        <v>−(0.276891 MWh × 64.152802) = -17.763361 EUR</v>
      </c>
      <c r="BK318" s="1" t="str">
        <f t="shared" si="113"/>
        <v>0.000000 + 662.245345 + 42.398948 + 27.888628 + 0.000000 + -17.763361 = 714.769561 EUR</v>
      </c>
    </row>
    <row r="319" spans="1:63" ht="21" customHeight="1" x14ac:dyDescent="0.45">
      <c r="A319" s="13">
        <f>原始输入与口径!C223</f>
        <v>46237.229166666664</v>
      </c>
      <c r="B319" s="15">
        <f>IF(ISNUMBER(原始输入与口径!H223),原始输入与口径!H223,"缺失")</f>
        <v>168.24</v>
      </c>
      <c r="C319" s="15">
        <f>IF(ISNUMBER(原始输入与口径!R223),原始输入与口径!R223,"缺失")</f>
        <v>66.224534522516336</v>
      </c>
      <c r="D319" s="15">
        <f>IF(ISNUMBER(原始输入与口径!W223),原始输入与口径!W223,"缺失")</f>
        <v>7.0664913384026065</v>
      </c>
      <c r="E319" s="15">
        <f>IF(ISNUMBER(原始输入与口径!AB223),原始输入与口径!AB223,"缺失")</f>
        <v>4.6481047395803561</v>
      </c>
      <c r="F319" s="15">
        <f>IF(ISNUMBER(原始输入与口径!AG223),原始输入与口径!AG223,"缺失")</f>
        <v>152.45936005183617</v>
      </c>
      <c r="G319" s="15">
        <f>IF(ISNUMBER(原始输入与口径!AJ223),原始输入与口径!AJ223,"缺失")</f>
        <v>76.420254225982887</v>
      </c>
      <c r="H319" s="15" t="str">
        <f t="shared" si="92"/>
        <v>未模拟</v>
      </c>
      <c r="I319" s="16">
        <f>原始输入与口径!CD223</f>
        <v>60.069342449689437</v>
      </c>
      <c r="J319" s="16">
        <f>原始输入与口径!CE223</f>
        <v>60.101896109316769</v>
      </c>
      <c r="K319" s="16">
        <f>原始输入与口径!BZ223</f>
        <v>0</v>
      </c>
      <c r="L319" s="16">
        <f>原始输入与口径!CK223</f>
        <v>40</v>
      </c>
      <c r="M319" s="16">
        <f>原始输入与口径!BT223</f>
        <v>24</v>
      </c>
      <c r="N319" s="16">
        <f>原始输入与口径!BJ223</f>
        <v>24</v>
      </c>
      <c r="O319" s="16">
        <f t="shared" si="93"/>
        <v>4.5257142857142857E-3</v>
      </c>
      <c r="P319" s="16">
        <f t="shared" si="94"/>
        <v>4.0731428571428571E-2</v>
      </c>
      <c r="Q319" s="17">
        <f t="shared" si="95"/>
        <v>0</v>
      </c>
      <c r="R319" s="17">
        <f t="shared" si="96"/>
        <v>662.24534522516342</v>
      </c>
      <c r="S319" s="17">
        <f t="shared" si="97"/>
        <v>42.398948030415639</v>
      </c>
      <c r="T319" s="17">
        <f t="shared" si="98"/>
        <v>27.888628437482136</v>
      </c>
      <c r="U319" s="17">
        <f t="shared" si="99"/>
        <v>0.68998750377745288</v>
      </c>
      <c r="V319" s="17">
        <f t="shared" si="100"/>
        <v>-3.1127061264160343</v>
      </c>
      <c r="W319" s="17">
        <f t="shared" si="101"/>
        <v>730.1102030704227</v>
      </c>
      <c r="X319" s="12">
        <f>原始输入与口径!CP223</f>
        <v>730.11020307042259</v>
      </c>
      <c r="Y319" s="19">
        <f t="shared" si="102"/>
        <v>0</v>
      </c>
      <c r="Z319" s="12" t="str">
        <f t="shared" si="114"/>
        <v>次日冻结计划复原</v>
      </c>
      <c r="AA319" s="12">
        <f>IF(原始输入与口径!AW223,1,0)</f>
        <v>1</v>
      </c>
      <c r="AB319" s="12">
        <f>IF(原始输入与口径!AY223,1,0)</f>
        <v>1</v>
      </c>
      <c r="AC319" s="12">
        <f>原始输入与口径!$F$5</f>
        <v>0.25</v>
      </c>
      <c r="AD319" s="18">
        <f>原始输入与口径!CG223</f>
        <v>0.3125</v>
      </c>
      <c r="AE319" s="18">
        <f>原始输入与口径!BQ223</f>
        <v>0.13714285714285715</v>
      </c>
      <c r="AF319" s="18">
        <f t="shared" si="104"/>
        <v>7.5428571428571428E-4</v>
      </c>
      <c r="AG319" s="18">
        <f t="shared" si="105"/>
        <v>6.7885714285714285E-3</v>
      </c>
      <c r="AH319" s="12">
        <f>IF(ISNUMBER(原始输入与口径!T223),原始输入与口径!T223,"缺失")</f>
        <v>175</v>
      </c>
      <c r="AI319" s="12">
        <f>IF(ISNUMBER(原始输入与口径!Y223),原始输入与口径!Y223,"缺失")</f>
        <v>175</v>
      </c>
      <c r="AJ319" s="12">
        <f>IF(ISNUMBER(原始输入与口径!AI223),原始输入与口径!AI223,"缺失")</f>
        <v>3.3000000000000002E-2</v>
      </c>
      <c r="AK319" s="12">
        <f>IF(ISNUMBER(原始输入与口径!AL223),原始输入与口径!AL223,"缺失")</f>
        <v>0.29699999999999999</v>
      </c>
      <c r="AL319" s="12">
        <f>IF(ISNUMBER(原始输入与口径!O223),原始输入与口径!O223,"缺失")</f>
        <v>119.93600000000001</v>
      </c>
      <c r="AM319" s="12">
        <f>SUMIFS(相位SOC复算!$N$9:$N$929,相位SOC复算!$S$9:$S$929,311)</f>
        <v>1.1775602484472051E-4</v>
      </c>
      <c r="AN319" s="12">
        <f>SUMIFS(相位SOC复算!$Q$9:$Q$929,相位SOC复算!$S$9:$S$929,311)</f>
        <v>4.0731428571428571E-2</v>
      </c>
      <c r="AO319" s="12">
        <f>SUMIFS(相位SOC复算!$R$9:$R$929,相位SOC复算!$S$9:$S$929,311)</f>
        <v>4.5257142857142857E-3</v>
      </c>
      <c r="AP319" s="12">
        <f>相位SOC复算!J770</f>
        <v>60.101896109316783</v>
      </c>
      <c r="AQ319" s="19">
        <f t="shared" si="106"/>
        <v>0</v>
      </c>
      <c r="AR319" s="12">
        <f>IF(ISBLANK(原始输入与口径!M223),"",原始输入与口径!M223)</f>
        <v>5.2473000000000001</v>
      </c>
      <c r="AS319" s="14">
        <f>IF(ISBLANK(原始输入与口径!L223),"",原始输入与口径!L223)</f>
        <v>46234</v>
      </c>
      <c r="AT319" s="13">
        <f>IF(ISBLANK(原始输入与口径!A223),"",原始输入与口径!A223)</f>
        <v>46237.104166666664</v>
      </c>
      <c r="AU319" s="12" t="str">
        <f>IF(ISBLANK(原始输入与口径!I223),"",原始输入与口径!I223)</f>
        <v>2026-08-03_19</v>
      </c>
      <c r="AV319" s="12">
        <f>IF(ISBLANK(原始输入与口径!J223),"",原始输入与口径!J223)</f>
        <v>15</v>
      </c>
      <c r="AW319" s="12" t="str">
        <f>IF(ISBLANK(原始输入与口径!BB223),"",原始输入与口径!BB223)</f>
        <v>OK</v>
      </c>
      <c r="AX319" s="12">
        <f>原始输入与口径!CI223</f>
        <v>128</v>
      </c>
      <c r="AY319" s="12">
        <f>原始输入与口径!BS223</f>
        <v>175</v>
      </c>
      <c r="AZ319" s="12">
        <f>原始输入与口径!BI223</f>
        <v>175</v>
      </c>
      <c r="BA319" s="12">
        <f>原始输入与口径!CM223</f>
        <v>40</v>
      </c>
      <c r="BB319" s="12">
        <f>原始输入与口径!BV223</f>
        <v>24</v>
      </c>
      <c r="BC319" s="12">
        <f>原始输入与口径!BL223</f>
        <v>24</v>
      </c>
      <c r="BD319" s="14">
        <f>46236</f>
        <v>46236</v>
      </c>
      <c r="BE319" s="1" t="str">
        <f t="shared" si="107"/>
        <v>零头寸，无结算现金</v>
      </c>
      <c r="BF319" s="1" t="str">
        <f t="shared" si="108"/>
        <v>40.000000 MW × 66.224535 × 0.250000 h = 662.245345 EUR</v>
      </c>
      <c r="BG319" s="1" t="str">
        <f t="shared" si="109"/>
        <v>24.000000 MW × 7.066491 × 0.250000 h = 42.398948 EUR</v>
      </c>
      <c r="BH319" s="1" t="str">
        <f t="shared" si="110"/>
        <v>24.000000 MW × 4.648105 × 0.250000 h = 27.888628 EUR</v>
      </c>
      <c r="BI319" s="1" t="str">
        <f t="shared" si="111"/>
        <v>0.004526 MWh × 152.459360 = 0.689988 EUR</v>
      </c>
      <c r="BJ319" s="1" t="str">
        <f t="shared" si="112"/>
        <v>−(0.040731 MWh × 76.420254) = -3.112706 EUR</v>
      </c>
      <c r="BK319" s="1" t="str">
        <f t="shared" si="113"/>
        <v>0.000000 + 662.245345 + 42.398948 + 27.888628 + 0.689988 + -3.112706 = 730.110203 EUR</v>
      </c>
    </row>
    <row r="320" spans="1:63" ht="21" customHeight="1" x14ac:dyDescent="0.45">
      <c r="A320" s="13">
        <f>原始输入与口径!C224</f>
        <v>46237.239583333336</v>
      </c>
      <c r="B320" s="15">
        <f>IF(ISNUMBER(原始输入与口径!H224),原始输入与口径!H224,"缺失")</f>
        <v>170.88</v>
      </c>
      <c r="C320" s="15">
        <f>IF(ISNUMBER(原始输入与口径!R224),原始输入与口径!R224,"缺失")</f>
        <v>66.224534522516336</v>
      </c>
      <c r="D320" s="15">
        <f>IF(ISNUMBER(原始输入与口径!W224),原始输入与口径!W224,"缺失")</f>
        <v>7.0664913384026065</v>
      </c>
      <c r="E320" s="15">
        <f>IF(ISNUMBER(原始输入与口径!AB224),原始输入与口径!AB224,"缺失")</f>
        <v>4.6481047395803561</v>
      </c>
      <c r="F320" s="15">
        <f>IF(ISNUMBER(原始输入与口径!AG224),原始输入与口径!AG224,"缺失")</f>
        <v>165.27776189659443</v>
      </c>
      <c r="G320" s="15">
        <f>IF(ISNUMBER(原始输入与口径!AJ224),原始输入与口径!AJ224,"缺失")</f>
        <v>65.10357707773521</v>
      </c>
      <c r="H320" s="15" t="str">
        <f t="shared" si="92"/>
        <v>未模拟</v>
      </c>
      <c r="I320" s="16">
        <f>原始输入与口径!CD224</f>
        <v>60.101896109316769</v>
      </c>
      <c r="J320" s="16">
        <f>原始输入与口径!CE224</f>
        <v>60.27809605962733</v>
      </c>
      <c r="K320" s="16">
        <f>原始输入与口径!BZ224</f>
        <v>0</v>
      </c>
      <c r="L320" s="16">
        <f>原始输入与口径!CK224</f>
        <v>40</v>
      </c>
      <c r="M320" s="16">
        <f>原始输入与口径!BT224</f>
        <v>24</v>
      </c>
      <c r="N320" s="16">
        <f>原始输入与口径!BJ224</f>
        <v>24</v>
      </c>
      <c r="O320" s="16">
        <f t="shared" si="93"/>
        <v>2.3040000000000001E-2</v>
      </c>
      <c r="P320" s="16">
        <f t="shared" si="94"/>
        <v>0.21874285714285713</v>
      </c>
      <c r="Q320" s="17">
        <f t="shared" si="95"/>
        <v>0</v>
      </c>
      <c r="R320" s="17">
        <f t="shared" si="96"/>
        <v>662.24534522516342</v>
      </c>
      <c r="S320" s="17">
        <f t="shared" si="97"/>
        <v>42.398948030415639</v>
      </c>
      <c r="T320" s="17">
        <f t="shared" si="98"/>
        <v>27.888628437482136</v>
      </c>
      <c r="U320" s="17">
        <f t="shared" si="99"/>
        <v>3.8079996340975359</v>
      </c>
      <c r="V320" s="17">
        <f t="shared" si="100"/>
        <v>-14.240942460204021</v>
      </c>
      <c r="W320" s="17">
        <f t="shared" si="101"/>
        <v>722.09997886695476</v>
      </c>
      <c r="X320" s="12">
        <f>原始输入与口径!CP224</f>
        <v>722.09997886695476</v>
      </c>
      <c r="Y320" s="19">
        <f t="shared" si="102"/>
        <v>0</v>
      </c>
      <c r="Z320" s="12" t="str">
        <f t="shared" si="114"/>
        <v>次日冻结计划复原</v>
      </c>
      <c r="AA320" s="12">
        <f>IF(原始输入与口径!AW224,1,0)</f>
        <v>1</v>
      </c>
      <c r="AB320" s="12">
        <f>IF(原始输入与口径!AY224,1,0)</f>
        <v>1</v>
      </c>
      <c r="AC320" s="12">
        <f>原始输入与口径!$F$5</f>
        <v>0.25</v>
      </c>
      <c r="AD320" s="18">
        <f>原始输入与口径!CG224</f>
        <v>0.3125</v>
      </c>
      <c r="AE320" s="18">
        <f>原始输入与口径!BQ224</f>
        <v>0.13714285714285715</v>
      </c>
      <c r="AF320" s="18">
        <f t="shared" si="104"/>
        <v>3.8400000000000001E-3</v>
      </c>
      <c r="AG320" s="18">
        <f t="shared" si="105"/>
        <v>3.6457142857142855E-2</v>
      </c>
      <c r="AH320" s="12">
        <f>IF(ISNUMBER(原始输入与口径!T224),原始输入与口径!T224,"缺失")</f>
        <v>175</v>
      </c>
      <c r="AI320" s="12">
        <f>IF(ISNUMBER(原始输入与口径!Y224),原始输入与口径!Y224,"缺失")</f>
        <v>175</v>
      </c>
      <c r="AJ320" s="12">
        <f>IF(ISNUMBER(原始输入与口径!AI224),原始输入与口径!AI224,"缺失")</f>
        <v>0.16800000000000001</v>
      </c>
      <c r="AK320" s="12">
        <f>IF(ISNUMBER(原始输入与口径!AL224),原始输入与口径!AL224,"缺失")</f>
        <v>1.595</v>
      </c>
      <c r="AL320" s="12">
        <f>IF(ISNUMBER(原始输入与口径!O224),原始输入与口径!O224,"缺失")</f>
        <v>119.93600000000001</v>
      </c>
      <c r="AM320" s="12">
        <f>SUMIFS(相位SOC复算!$N$9:$N$929,相位SOC复算!$S$9:$S$929,312)</f>
        <v>6.2857474120082816E-4</v>
      </c>
      <c r="AN320" s="12">
        <f>SUMIFS(相位SOC复算!$Q$9:$Q$929,相位SOC复算!$S$9:$S$929,312)</f>
        <v>0.21874285714285713</v>
      </c>
      <c r="AO320" s="12">
        <f>SUMIFS(相位SOC复算!$R$9:$R$929,相位SOC复算!$S$9:$S$929,312)</f>
        <v>2.3040000000000001E-2</v>
      </c>
      <c r="AP320" s="12">
        <f>相位SOC复算!J773</f>
        <v>60.278096059627345</v>
      </c>
      <c r="AQ320" s="19">
        <f t="shared" si="106"/>
        <v>0</v>
      </c>
      <c r="AR320" s="12">
        <f>IF(ISBLANK(原始输入与口径!M224),"",原始输入与口径!M224)</f>
        <v>5.2473000000000001</v>
      </c>
      <c r="AS320" s="14">
        <f>IF(ISBLANK(原始输入与口径!L224),"",原始输入与口径!L224)</f>
        <v>46234</v>
      </c>
      <c r="AT320" s="13">
        <f>IF(ISBLANK(原始输入与口径!A224),"",原始输入与口径!A224)</f>
        <v>46237.114583333336</v>
      </c>
      <c r="AU320" s="12" t="str">
        <f>IF(ISBLANK(原始输入与口径!I224),"",原始输入与口径!I224)</f>
        <v>2026-08-03_20</v>
      </c>
      <c r="AV320" s="12">
        <f>IF(ISBLANK(原始输入与口径!J224),"",原始输入与口径!J224)</f>
        <v>15</v>
      </c>
      <c r="AW320" s="12" t="str">
        <f>IF(ISBLANK(原始输入与口径!BB224),"",原始输入与口径!BB224)</f>
        <v>OK</v>
      </c>
      <c r="AX320" s="12">
        <f>原始输入与口径!CI224</f>
        <v>128</v>
      </c>
      <c r="AY320" s="12">
        <f>原始输入与口径!BS224</f>
        <v>175</v>
      </c>
      <c r="AZ320" s="12">
        <f>原始输入与口径!BI224</f>
        <v>175</v>
      </c>
      <c r="BA320" s="12">
        <f>原始输入与口径!CM224</f>
        <v>40</v>
      </c>
      <c r="BB320" s="12">
        <f>原始输入与口径!BV224</f>
        <v>24</v>
      </c>
      <c r="BC320" s="12">
        <f>原始输入与口径!BL224</f>
        <v>24</v>
      </c>
      <c r="BD320" s="14">
        <f>46236</f>
        <v>46236</v>
      </c>
      <c r="BE320" s="1" t="str">
        <f t="shared" si="107"/>
        <v>零头寸，无结算现金</v>
      </c>
      <c r="BF320" s="1" t="str">
        <f t="shared" si="108"/>
        <v>40.000000 MW × 66.224535 × 0.250000 h = 662.245345 EUR</v>
      </c>
      <c r="BG320" s="1" t="str">
        <f t="shared" si="109"/>
        <v>24.000000 MW × 7.066491 × 0.250000 h = 42.398948 EUR</v>
      </c>
      <c r="BH320" s="1" t="str">
        <f t="shared" si="110"/>
        <v>24.000000 MW × 4.648105 × 0.250000 h = 27.888628 EUR</v>
      </c>
      <c r="BI320" s="1" t="str">
        <f t="shared" si="111"/>
        <v>0.023040 MWh × 165.277762 = 3.808000 EUR</v>
      </c>
      <c r="BJ320" s="1" t="str">
        <f t="shared" si="112"/>
        <v>−(0.218743 MWh × 65.103577) = -14.240942 EUR</v>
      </c>
      <c r="BK320" s="1" t="str">
        <f t="shared" si="113"/>
        <v>0.000000 + 662.245345 + 42.398948 + 27.888628 + 3.808000 + -14.240942 = 722.099979 EUR</v>
      </c>
    </row>
    <row r="321" spans="1:63" ht="21" customHeight="1" x14ac:dyDescent="0.45">
      <c r="A321" s="13">
        <f>原始输入与口径!C225</f>
        <v>46237.25</v>
      </c>
      <c r="B321" s="15">
        <f>IF(ISNUMBER(原始输入与口径!H225),原始输入与口径!H225,"缺失")</f>
        <v>169.51</v>
      </c>
      <c r="C321" s="15">
        <f>IF(ISNUMBER(原始输入与口径!R225),原始输入与口径!R225,"缺失")</f>
        <v>66.224534522516336</v>
      </c>
      <c r="D321" s="15">
        <f>IF(ISNUMBER(原始输入与口径!W225),原始输入与口径!W225,"缺失")</f>
        <v>6.992167400377336</v>
      </c>
      <c r="E321" s="15">
        <f>IF(ISNUMBER(原始输入与口径!AB225),原始输入与口径!AB225,"缺失")</f>
        <v>2.8376498389648011</v>
      </c>
      <c r="F321" s="15">
        <f>IF(ISNUMBER(原始输入与口径!AG225),原始输入与口径!AG225,"缺失")</f>
        <v>0</v>
      </c>
      <c r="G321" s="15">
        <f>IF(ISNUMBER(原始输入与口径!AJ225),原始输入与口径!AJ225,"缺失")</f>
        <v>31.873725535037067</v>
      </c>
      <c r="H321" s="15" t="str">
        <f t="shared" si="92"/>
        <v>未模拟</v>
      </c>
      <c r="I321" s="16">
        <f>原始输入与口径!CD225</f>
        <v>60.27809605962733</v>
      </c>
      <c r="J321" s="16">
        <f>原始输入与口径!CE225</f>
        <v>61.724399145341614</v>
      </c>
      <c r="K321" s="16">
        <f>原始输入与口径!BZ225</f>
        <v>0</v>
      </c>
      <c r="L321" s="16">
        <f>原始输入与口径!CK225</f>
        <v>40</v>
      </c>
      <c r="M321" s="16">
        <f>原始输入与口径!BT225</f>
        <v>24</v>
      </c>
      <c r="N321" s="16">
        <f>原始输入与口径!BJ225</f>
        <v>24</v>
      </c>
      <c r="O321" s="16">
        <f t="shared" si="93"/>
        <v>0</v>
      </c>
      <c r="P321" s="16">
        <f t="shared" si="94"/>
        <v>1.5720685714285714</v>
      </c>
      <c r="Q321" s="17">
        <f t="shared" si="95"/>
        <v>0</v>
      </c>
      <c r="R321" s="17">
        <f t="shared" si="96"/>
        <v>662.24534522516342</v>
      </c>
      <c r="S321" s="17">
        <f t="shared" si="97"/>
        <v>41.953004402264014</v>
      </c>
      <c r="T321" s="17">
        <f t="shared" si="98"/>
        <v>17.025899033788807</v>
      </c>
      <c r="U321" s="17">
        <f t="shared" si="99"/>
        <v>0</v>
      </c>
      <c r="V321" s="17">
        <f t="shared" si="100"/>
        <v>-50.107682167972101</v>
      </c>
      <c r="W321" s="17">
        <f t="shared" si="101"/>
        <v>671.11656649324414</v>
      </c>
      <c r="X321" s="12">
        <f>原始输入与口径!CP225</f>
        <v>671.11656649324414</v>
      </c>
      <c r="Y321" s="19">
        <f t="shared" si="102"/>
        <v>0</v>
      </c>
      <c r="Z321" s="12" t="str">
        <f t="shared" si="114"/>
        <v>次日冻结计划复原</v>
      </c>
      <c r="AA321" s="12">
        <f>IF(原始输入与口径!AW225,1,0)</f>
        <v>1</v>
      </c>
      <c r="AB321" s="12">
        <f>IF(原始输入与口径!AY225,1,0)</f>
        <v>1</v>
      </c>
      <c r="AC321" s="12">
        <f>原始输入与口径!$F$5</f>
        <v>0.25</v>
      </c>
      <c r="AD321" s="18">
        <f>原始输入与口径!CG225</f>
        <v>0.3125</v>
      </c>
      <c r="AE321" s="18">
        <f>原始输入与口径!BQ225</f>
        <v>0.13714285714285715</v>
      </c>
      <c r="AF321" s="18">
        <f t="shared" si="104"/>
        <v>0</v>
      </c>
      <c r="AG321" s="18">
        <f t="shared" si="105"/>
        <v>0.26201142857142856</v>
      </c>
      <c r="AH321" s="12">
        <f>IF(ISNUMBER(原始输入与口径!T225),原始输入与口径!T225,"缺失")</f>
        <v>175</v>
      </c>
      <c r="AI321" s="12">
        <f>IF(ISNUMBER(原始输入与口径!Y225),原始输入与口径!Y225,"缺失")</f>
        <v>175</v>
      </c>
      <c r="AJ321" s="12">
        <f>IF(ISNUMBER(原始输入与口径!AI225),原始输入与口径!AI225,"缺失")</f>
        <v>0</v>
      </c>
      <c r="AK321" s="12">
        <f>IF(ISNUMBER(原始输入与口径!AL225),原始输入与口径!AL225,"缺失")</f>
        <v>11.462999999999999</v>
      </c>
      <c r="AL321" s="12">
        <f>IF(ISNUMBER(原始输入与口径!O225),原始输入与口径!O225,"缺失")</f>
        <v>128</v>
      </c>
      <c r="AM321" s="12">
        <f>SUMIFS(相位SOC复算!$N$9:$N$929,相位SOC复算!$S$9:$S$929,313)</f>
        <v>4.0175085714285715E-3</v>
      </c>
      <c r="AN321" s="12">
        <f>SUMIFS(相位SOC复算!$Q$9:$Q$929,相位SOC复算!$S$9:$S$929,313)</f>
        <v>1.5720685714285714</v>
      </c>
      <c r="AO321" s="12">
        <f>SUMIFS(相位SOC复算!$R$9:$R$929,相位SOC复算!$S$9:$S$929,313)</f>
        <v>0</v>
      </c>
      <c r="AP321" s="12">
        <f>相位SOC复算!J775</f>
        <v>61.724399145341629</v>
      </c>
      <c r="AQ321" s="19">
        <f t="shared" si="106"/>
        <v>0</v>
      </c>
      <c r="AR321" s="12">
        <f>IF(ISBLANK(原始输入与口径!M225),"",原始输入与口径!M225)</f>
        <v>5.2473000000000001</v>
      </c>
      <c r="AS321" s="14">
        <f>IF(ISBLANK(原始输入与口径!L225),"",原始输入与口径!L225)</f>
        <v>46234</v>
      </c>
      <c r="AT321" s="13">
        <f>IF(ISBLANK(原始输入与口径!A225),"",原始输入与口径!A225)</f>
        <v>46237.125</v>
      </c>
      <c r="AU321" s="12" t="str">
        <f>IF(ISBLANK(原始输入与口径!I225),"",原始输入与口径!I225)</f>
        <v>2026-08-03_21</v>
      </c>
      <c r="AV321" s="12">
        <f>IF(ISBLANK(原始输入与口径!J225),"",原始输入与口径!J225)</f>
        <v>15</v>
      </c>
      <c r="AW321" s="12" t="str">
        <f>IF(ISBLANK(原始输入与口径!BB225),"",原始输入与口径!BB225)</f>
        <v>OK</v>
      </c>
      <c r="AX321" s="12">
        <f>原始输入与口径!CI225</f>
        <v>128</v>
      </c>
      <c r="AY321" s="12">
        <f>原始输入与口径!BS225</f>
        <v>175</v>
      </c>
      <c r="AZ321" s="12">
        <f>原始输入与口径!BI225</f>
        <v>175</v>
      </c>
      <c r="BA321" s="12">
        <f>原始输入与口径!CM225</f>
        <v>40</v>
      </c>
      <c r="BB321" s="12">
        <f>原始输入与口径!BV225</f>
        <v>24</v>
      </c>
      <c r="BC321" s="12">
        <f>原始输入与口径!BL225</f>
        <v>24</v>
      </c>
      <c r="BD321" s="14">
        <f>46236</f>
        <v>46236</v>
      </c>
      <c r="BE321" s="1" t="str">
        <f t="shared" si="107"/>
        <v>零头寸，无结算现金</v>
      </c>
      <c r="BF321" s="1" t="str">
        <f t="shared" si="108"/>
        <v>40.000000 MW × 66.224535 × 0.250000 h = 662.245345 EUR</v>
      </c>
      <c r="BG321" s="1" t="str">
        <f t="shared" si="109"/>
        <v>24.000000 MW × 6.992167 × 0.250000 h = 41.953004 EUR</v>
      </c>
      <c r="BH321" s="1" t="str">
        <f t="shared" si="110"/>
        <v>24.000000 MW × 2.837650 × 0.250000 h = 17.025899 EUR</v>
      </c>
      <c r="BI321" s="1" t="str">
        <f t="shared" si="111"/>
        <v>零上调激活电量</v>
      </c>
      <c r="BJ321" s="1" t="str">
        <f t="shared" si="112"/>
        <v>−(1.572069 MWh × 31.873726) = -50.107682 EUR</v>
      </c>
      <c r="BK321" s="1" t="str">
        <f t="shared" si="113"/>
        <v>0.000000 + 662.245345 + 41.953004 + 17.025899 + 0.000000 + -50.107682 = 671.116566 EUR</v>
      </c>
    </row>
    <row r="322" spans="1:63" ht="21" customHeight="1" x14ac:dyDescent="0.45">
      <c r="A322" s="13">
        <f>原始输入与口径!C226</f>
        <v>46237.260416666664</v>
      </c>
      <c r="B322" s="15">
        <f>IF(ISNUMBER(原始输入与口径!H226),原始输入与口径!H226,"缺失")</f>
        <v>173.81</v>
      </c>
      <c r="C322" s="15">
        <f>IF(ISNUMBER(原始输入与口径!R226),原始输入与口径!R226,"缺失")</f>
        <v>66.224534522516336</v>
      </c>
      <c r="D322" s="15">
        <f>IF(ISNUMBER(原始输入与口径!W226),原始输入与口径!W226,"缺失")</f>
        <v>6.992167400377336</v>
      </c>
      <c r="E322" s="15">
        <f>IF(ISNUMBER(原始输入与口径!AB226),原始输入与口径!AB226,"缺失")</f>
        <v>2.8376498389648011</v>
      </c>
      <c r="F322" s="15">
        <f>IF(ISNUMBER(原始输入与口径!AG226),原始输入与口径!AG226,"缺失")</f>
        <v>0</v>
      </c>
      <c r="G322" s="15">
        <f>IF(ISNUMBER(原始输入与口径!AJ226),原始输入与口径!AJ226,"缺失")</f>
        <v>43.416995407161778</v>
      </c>
      <c r="H322" s="15" t="str">
        <f t="shared" si="92"/>
        <v>未模拟</v>
      </c>
      <c r="I322" s="16">
        <f>原始输入与口径!CD226</f>
        <v>61.724399145341614</v>
      </c>
      <c r="J322" s="16">
        <f>原始输入与口径!CE226</f>
        <v>57.644548213664592</v>
      </c>
      <c r="K322" s="16">
        <f>原始输入与口径!BZ226</f>
        <v>24</v>
      </c>
      <c r="L322" s="16">
        <f>原始输入与口径!CK226</f>
        <v>40</v>
      </c>
      <c r="M322" s="16">
        <f>原始输入与口径!BT226</f>
        <v>24</v>
      </c>
      <c r="N322" s="16">
        <f>原始输入与口径!BJ226</f>
        <v>24</v>
      </c>
      <c r="O322" s="16">
        <f t="shared" si="93"/>
        <v>0</v>
      </c>
      <c r="P322" s="16">
        <f t="shared" si="94"/>
        <v>2.246537142857143</v>
      </c>
      <c r="Q322" s="17">
        <f t="shared" si="95"/>
        <v>1042.8600000000001</v>
      </c>
      <c r="R322" s="17">
        <f t="shared" si="96"/>
        <v>662.24534522516342</v>
      </c>
      <c r="S322" s="17">
        <f t="shared" si="97"/>
        <v>41.953004402264014</v>
      </c>
      <c r="T322" s="17">
        <f t="shared" si="98"/>
        <v>17.025899033788807</v>
      </c>
      <c r="U322" s="17">
        <f t="shared" si="99"/>
        <v>0</v>
      </c>
      <c r="V322" s="17">
        <f t="shared" si="100"/>
        <v>-97.537892813446916</v>
      </c>
      <c r="W322" s="17">
        <f t="shared" si="101"/>
        <v>1666.5463558477695</v>
      </c>
      <c r="X322" s="12">
        <f>原始输入与口径!CP226</f>
        <v>1666.5463558477695</v>
      </c>
      <c r="Y322" s="19">
        <f t="shared" si="102"/>
        <v>0</v>
      </c>
      <c r="Z322" s="12" t="str">
        <f t="shared" si="114"/>
        <v>次日冻结计划复原</v>
      </c>
      <c r="AA322" s="12">
        <f>IF(原始输入与口径!AW226,1,0)</f>
        <v>1</v>
      </c>
      <c r="AB322" s="12">
        <f>IF(原始输入与口径!AY226,1,0)</f>
        <v>1</v>
      </c>
      <c r="AC322" s="12">
        <f>原始输入与口径!$F$5</f>
        <v>0.25</v>
      </c>
      <c r="AD322" s="18">
        <f>原始输入与口径!CG226</f>
        <v>0.3125</v>
      </c>
      <c r="AE322" s="18">
        <f>原始输入与口径!BQ226</f>
        <v>0.13714285714285715</v>
      </c>
      <c r="AF322" s="18">
        <f t="shared" si="104"/>
        <v>0</v>
      </c>
      <c r="AG322" s="18">
        <f t="shared" si="105"/>
        <v>0.37442285714285717</v>
      </c>
      <c r="AH322" s="12">
        <f>IF(ISNUMBER(原始输入与口径!T226),原始输入与口径!T226,"缺失")</f>
        <v>175</v>
      </c>
      <c r="AI322" s="12">
        <f>IF(ISNUMBER(原始输入与口径!Y226),原始输入与口径!Y226,"缺失")</f>
        <v>175</v>
      </c>
      <c r="AJ322" s="12">
        <f>IF(ISNUMBER(原始输入与口径!AI226),原始输入与口径!AI226,"缺失")</f>
        <v>0</v>
      </c>
      <c r="AK322" s="12">
        <f>IF(ISNUMBER(原始输入与口径!AL226),原始输入与口径!AL226,"缺失")</f>
        <v>16.381</v>
      </c>
      <c r="AL322" s="12">
        <f>IF(ISNUMBER(原始输入与口径!O226),原始输入与口径!O226,"缺失")</f>
        <v>128</v>
      </c>
      <c r="AM322" s="12">
        <f>SUMIFS(相位SOC复算!$N$9:$N$929,相位SOC复算!$S$9:$S$929,314)</f>
        <v>1.1332919254658385E-2</v>
      </c>
      <c r="AN322" s="12">
        <f>SUMIFS(相位SOC复算!$Q$9:$Q$929,相位SOC复算!$S$9:$S$929,314)</f>
        <v>0</v>
      </c>
      <c r="AO322" s="12">
        <f>SUMIFS(相位SOC复算!$R$9:$R$929,相位SOC复算!$S$9:$S$929,314)</f>
        <v>3.753462857142857</v>
      </c>
      <c r="AP322" s="12">
        <f>相位SOC复算!J777</f>
        <v>57.644548213664606</v>
      </c>
      <c r="AQ322" s="19">
        <f t="shared" si="106"/>
        <v>0</v>
      </c>
      <c r="AR322" s="12">
        <f>IF(ISBLANK(原始输入与口径!M226),"",原始输入与口径!M226)</f>
        <v>5.2473000000000001</v>
      </c>
      <c r="AS322" s="14">
        <f>IF(ISBLANK(原始输入与口径!L226),"",原始输入与口径!L226)</f>
        <v>46234</v>
      </c>
      <c r="AT322" s="13">
        <f>IF(ISBLANK(原始输入与口径!A226),"",原始输入与口径!A226)</f>
        <v>46237.135416666664</v>
      </c>
      <c r="AU322" s="12" t="str">
        <f>IF(ISBLANK(原始输入与口径!I226),"",原始输入与口径!I226)</f>
        <v>2026-08-03_22</v>
      </c>
      <c r="AV322" s="12">
        <f>IF(ISBLANK(原始输入与口径!J226),"",原始输入与口径!J226)</f>
        <v>15</v>
      </c>
      <c r="AW322" s="12" t="str">
        <f>IF(ISBLANK(原始输入与口径!BB226),"",原始输入与口径!BB226)</f>
        <v>OK</v>
      </c>
      <c r="AX322" s="12">
        <f>原始输入与口径!CI226</f>
        <v>128</v>
      </c>
      <c r="AY322" s="12">
        <f>原始输入与口径!BS226</f>
        <v>175</v>
      </c>
      <c r="AZ322" s="12">
        <f>原始输入与口径!BI226</f>
        <v>175</v>
      </c>
      <c r="BA322" s="12">
        <f>原始输入与口径!CM226</f>
        <v>40</v>
      </c>
      <c r="BB322" s="12">
        <f>原始输入与口径!BV226</f>
        <v>24</v>
      </c>
      <c r="BC322" s="12">
        <f>原始输入与口径!BL226</f>
        <v>24</v>
      </c>
      <c r="BD322" s="14">
        <f>46236</f>
        <v>46236</v>
      </c>
      <c r="BE322" s="1" t="str">
        <f t="shared" si="107"/>
        <v>24.000000 MW × 173.810000 × 0.250000 h = 1042.860000 EUR</v>
      </c>
      <c r="BF322" s="1" t="str">
        <f t="shared" si="108"/>
        <v>40.000000 MW × 66.224535 × 0.250000 h = 662.245345 EUR</v>
      </c>
      <c r="BG322" s="1" t="str">
        <f t="shared" si="109"/>
        <v>24.000000 MW × 6.992167 × 0.250000 h = 41.953004 EUR</v>
      </c>
      <c r="BH322" s="1" t="str">
        <f t="shared" si="110"/>
        <v>24.000000 MW × 2.837650 × 0.250000 h = 17.025899 EUR</v>
      </c>
      <c r="BI322" s="1" t="str">
        <f t="shared" si="111"/>
        <v>零上调激活电量</v>
      </c>
      <c r="BJ322" s="1" t="str">
        <f t="shared" si="112"/>
        <v>−(2.246537 MWh × 43.416995) = -97.537893 EUR</v>
      </c>
      <c r="BK322" s="1" t="str">
        <f t="shared" si="113"/>
        <v>1042.860000 + 662.245345 + 41.953004 + 17.025899 + 0.000000 + -97.537893 = 1666.546356 EUR</v>
      </c>
    </row>
    <row r="323" spans="1:63" ht="21" customHeight="1" x14ac:dyDescent="0.45">
      <c r="A323" s="13">
        <f>原始输入与口径!C227</f>
        <v>46237.270833333336</v>
      </c>
      <c r="B323" s="15">
        <f>IF(ISNUMBER(原始输入与口径!H227),原始输入与口径!H227,"缺失")</f>
        <v>176.3</v>
      </c>
      <c r="C323" s="15">
        <f>IF(ISNUMBER(原始输入与口径!R227),原始输入与口径!R227,"缺失")</f>
        <v>66.224534522516336</v>
      </c>
      <c r="D323" s="15">
        <f>IF(ISNUMBER(原始输入与口径!W227),原始输入与口径!W227,"缺失")</f>
        <v>6.992167400377336</v>
      </c>
      <c r="E323" s="15">
        <f>IF(ISNUMBER(原始输入与口径!AB227),原始输入与口径!AB227,"缺失")</f>
        <v>2.8376498389648011</v>
      </c>
      <c r="F323" s="15">
        <f>IF(ISNUMBER(原始输入与口径!AG227),原始输入与口径!AG227,"缺失")</f>
        <v>0</v>
      </c>
      <c r="G323" s="15">
        <f>IF(ISNUMBER(原始输入与口径!AJ227),原始输入与口径!AJ227,"缺失")</f>
        <v>56.063308749261523</v>
      </c>
      <c r="H323" s="15" t="str">
        <f t="shared" si="92"/>
        <v>未模拟</v>
      </c>
      <c r="I323" s="16">
        <f>原始输入与口径!CD227</f>
        <v>57.644548213664592</v>
      </c>
      <c r="J323" s="16">
        <f>原始输入与口径!CE227</f>
        <v>58.493808099378874</v>
      </c>
      <c r="K323" s="16">
        <f>原始输入与口径!BZ227</f>
        <v>0</v>
      </c>
      <c r="L323" s="16">
        <f>原始输入与口径!CK227</f>
        <v>40</v>
      </c>
      <c r="M323" s="16">
        <f>原始输入与口径!BT227</f>
        <v>24</v>
      </c>
      <c r="N323" s="16">
        <f>原始输入与口径!BJ227</f>
        <v>24</v>
      </c>
      <c r="O323" s="16">
        <f t="shared" si="93"/>
        <v>0</v>
      </c>
      <c r="P323" s="16">
        <f t="shared" si="94"/>
        <v>0.92310857142857139</v>
      </c>
      <c r="Q323" s="17">
        <f t="shared" si="95"/>
        <v>0</v>
      </c>
      <c r="R323" s="17">
        <f t="shared" si="96"/>
        <v>662.24534522516342</v>
      </c>
      <c r="S323" s="17">
        <f t="shared" si="97"/>
        <v>41.953004402264014</v>
      </c>
      <c r="T323" s="17">
        <f t="shared" si="98"/>
        <v>17.025899033788807</v>
      </c>
      <c r="U323" s="17">
        <f t="shared" si="99"/>
        <v>0</v>
      </c>
      <c r="V323" s="17">
        <f t="shared" si="100"/>
        <v>-51.752520849089734</v>
      </c>
      <c r="W323" s="17">
        <f t="shared" si="101"/>
        <v>669.47172781212657</v>
      </c>
      <c r="X323" s="12">
        <f>原始输入与口径!CP227</f>
        <v>669.47172781212646</v>
      </c>
      <c r="Y323" s="19">
        <f t="shared" si="102"/>
        <v>0</v>
      </c>
      <c r="Z323" s="12" t="str">
        <f t="shared" si="114"/>
        <v>次日冻结计划复原</v>
      </c>
      <c r="AA323" s="12">
        <f>IF(原始输入与口径!AW227,1,0)</f>
        <v>1</v>
      </c>
      <c r="AB323" s="12">
        <f>IF(原始输入与口径!AY227,1,0)</f>
        <v>1</v>
      </c>
      <c r="AC323" s="12">
        <f>原始输入与口径!$F$5</f>
        <v>0.25</v>
      </c>
      <c r="AD323" s="18">
        <f>原始输入与口径!CG227</f>
        <v>0.3125</v>
      </c>
      <c r="AE323" s="18">
        <f>原始输入与口径!BQ227</f>
        <v>0.13714285714285715</v>
      </c>
      <c r="AF323" s="18">
        <f t="shared" si="104"/>
        <v>0</v>
      </c>
      <c r="AG323" s="18">
        <f t="shared" si="105"/>
        <v>0.15385142857142856</v>
      </c>
      <c r="AH323" s="12">
        <f>IF(ISNUMBER(原始输入与口径!T227),原始输入与口径!T227,"缺失")</f>
        <v>175</v>
      </c>
      <c r="AI323" s="12">
        <f>IF(ISNUMBER(原始输入与口径!Y227),原始输入与口径!Y227,"缺失")</f>
        <v>175</v>
      </c>
      <c r="AJ323" s="12">
        <f>IF(ISNUMBER(原始输入与口径!AI227),原始输入与口径!AI227,"缺失")</f>
        <v>0</v>
      </c>
      <c r="AK323" s="12">
        <f>IF(ISNUMBER(原始输入与口径!AL227),原始输入与口径!AL227,"缺失")</f>
        <v>6.7309999999999999</v>
      </c>
      <c r="AL323" s="12">
        <f>IF(ISNUMBER(原始输入与口径!O227),原始输入与口径!O227,"缺失")</f>
        <v>128</v>
      </c>
      <c r="AM323" s="12">
        <f>SUMIFS(相位SOC复算!$N$9:$N$929,相位SOC复算!$S$9:$S$929,315)</f>
        <v>2.3590552380952381E-3</v>
      </c>
      <c r="AN323" s="12">
        <f>SUMIFS(相位SOC复算!$Q$9:$Q$929,相位SOC复算!$S$9:$S$929,315)</f>
        <v>0.92310857142857139</v>
      </c>
      <c r="AO323" s="12">
        <f>SUMIFS(相位SOC复算!$R$9:$R$929,相位SOC复算!$S$9:$S$929,315)</f>
        <v>0</v>
      </c>
      <c r="AP323" s="12">
        <f>相位SOC复算!J779</f>
        <v>58.493808099378889</v>
      </c>
      <c r="AQ323" s="19">
        <f t="shared" si="106"/>
        <v>0</v>
      </c>
      <c r="AR323" s="12">
        <f>IF(ISBLANK(原始输入与口径!M227),"",原始输入与口径!M227)</f>
        <v>5.2473000000000001</v>
      </c>
      <c r="AS323" s="14">
        <f>IF(ISBLANK(原始输入与口径!L227),"",原始输入与口径!L227)</f>
        <v>46234</v>
      </c>
      <c r="AT323" s="13">
        <f>IF(ISBLANK(原始输入与口径!A227),"",原始输入与口径!A227)</f>
        <v>46237.145833333336</v>
      </c>
      <c r="AU323" s="12" t="str">
        <f>IF(ISBLANK(原始输入与口径!I227),"",原始输入与口径!I227)</f>
        <v>2026-08-03_23</v>
      </c>
      <c r="AV323" s="12">
        <f>IF(ISBLANK(原始输入与口径!J227),"",原始输入与口径!J227)</f>
        <v>15</v>
      </c>
      <c r="AW323" s="12" t="str">
        <f>IF(ISBLANK(原始输入与口径!BB227),"",原始输入与口径!BB227)</f>
        <v>OK</v>
      </c>
      <c r="AX323" s="12">
        <f>原始输入与口径!CI227</f>
        <v>128</v>
      </c>
      <c r="AY323" s="12">
        <f>原始输入与口径!BS227</f>
        <v>175</v>
      </c>
      <c r="AZ323" s="12">
        <f>原始输入与口径!BI227</f>
        <v>175</v>
      </c>
      <c r="BA323" s="12">
        <f>原始输入与口径!CM227</f>
        <v>40</v>
      </c>
      <c r="BB323" s="12">
        <f>原始输入与口径!BV227</f>
        <v>24</v>
      </c>
      <c r="BC323" s="12">
        <f>原始输入与口径!BL227</f>
        <v>24</v>
      </c>
      <c r="BD323" s="14">
        <f>46236</f>
        <v>46236</v>
      </c>
      <c r="BE323" s="1" t="str">
        <f t="shared" si="107"/>
        <v>零头寸，无结算现金</v>
      </c>
      <c r="BF323" s="1" t="str">
        <f t="shared" si="108"/>
        <v>40.000000 MW × 66.224535 × 0.250000 h = 662.245345 EUR</v>
      </c>
      <c r="BG323" s="1" t="str">
        <f t="shared" si="109"/>
        <v>24.000000 MW × 6.992167 × 0.250000 h = 41.953004 EUR</v>
      </c>
      <c r="BH323" s="1" t="str">
        <f t="shared" si="110"/>
        <v>24.000000 MW × 2.837650 × 0.250000 h = 17.025899 EUR</v>
      </c>
      <c r="BI323" s="1" t="str">
        <f t="shared" si="111"/>
        <v>零上调激活电量</v>
      </c>
      <c r="BJ323" s="1" t="str">
        <f t="shared" si="112"/>
        <v>−(0.923109 MWh × 56.063309) = -51.752521 EUR</v>
      </c>
      <c r="BK323" s="1" t="str">
        <f t="shared" si="113"/>
        <v>0.000000 + 662.245345 + 41.953004 + 17.025899 + 0.000000 + -51.752521 = 669.471728 EUR</v>
      </c>
    </row>
    <row r="324" spans="1:63" ht="21" customHeight="1" x14ac:dyDescent="0.45">
      <c r="A324" s="13">
        <f>原始输入与口径!C228</f>
        <v>46237.28125</v>
      </c>
      <c r="B324" s="15">
        <f>IF(ISNUMBER(原始输入与口径!H228),原始输入与口径!H228,"缺失")</f>
        <v>181.56</v>
      </c>
      <c r="C324" s="15">
        <f>IF(ISNUMBER(原始输入与口径!R228),原始输入与口径!R228,"缺失")</f>
        <v>66.224534522516336</v>
      </c>
      <c r="D324" s="15">
        <f>IF(ISNUMBER(原始输入与口径!W228),原始输入与口径!W228,"缺失")</f>
        <v>6.992167400377336</v>
      </c>
      <c r="E324" s="15">
        <f>IF(ISNUMBER(原始输入与口径!AB228),原始输入与口径!AB228,"缺失")</f>
        <v>2.8376498389648011</v>
      </c>
      <c r="F324" s="15">
        <f>IF(ISNUMBER(原始输入与口径!AG228),原始输入与口径!AG228,"缺失")</f>
        <v>0</v>
      </c>
      <c r="G324" s="15">
        <f>IF(ISNUMBER(原始输入与口径!AJ228),原始输入与口径!AJ228,"缺失")</f>
        <v>2.679282678710956</v>
      </c>
      <c r="H324" s="15" t="str">
        <f t="shared" si="92"/>
        <v>未模拟</v>
      </c>
      <c r="I324" s="16">
        <f>原始输入与口径!CD228</f>
        <v>58.493808099378874</v>
      </c>
      <c r="J324" s="16">
        <f>原始输入与口径!CE228</f>
        <v>55.583100024844711</v>
      </c>
      <c r="K324" s="16">
        <f>原始输入与口径!BZ228</f>
        <v>24</v>
      </c>
      <c r="L324" s="16">
        <f>原始输入与口径!CK228</f>
        <v>40</v>
      </c>
      <c r="M324" s="16">
        <f>原始输入与口径!BT228</f>
        <v>24</v>
      </c>
      <c r="N324" s="16">
        <f>原始输入与口径!BJ228</f>
        <v>24</v>
      </c>
      <c r="O324" s="16">
        <f t="shared" si="93"/>
        <v>0</v>
      </c>
      <c r="P324" s="16">
        <f t="shared" si="94"/>
        <v>3.3221485714285715</v>
      </c>
      <c r="Q324" s="17">
        <f t="shared" si="95"/>
        <v>1089.3600000000001</v>
      </c>
      <c r="R324" s="17">
        <f t="shared" si="96"/>
        <v>662.24534522516342</v>
      </c>
      <c r="S324" s="17">
        <f t="shared" si="97"/>
        <v>41.953004402264014</v>
      </c>
      <c r="T324" s="17">
        <f t="shared" si="98"/>
        <v>17.025899033788807</v>
      </c>
      <c r="U324" s="17">
        <f t="shared" si="99"/>
        <v>0</v>
      </c>
      <c r="V324" s="17">
        <f t="shared" si="100"/>
        <v>-8.900975123532918</v>
      </c>
      <c r="W324" s="17">
        <f t="shared" si="101"/>
        <v>1801.6832735376836</v>
      </c>
      <c r="X324" s="12">
        <f>原始输入与口径!CP228</f>
        <v>1801.6832735376834</v>
      </c>
      <c r="Y324" s="19">
        <f t="shared" si="102"/>
        <v>0</v>
      </c>
      <c r="Z324" s="12" t="str">
        <f t="shared" si="114"/>
        <v>次日冻结计划复原</v>
      </c>
      <c r="AA324" s="12">
        <f>IF(原始输入与口径!AW228,1,0)</f>
        <v>1</v>
      </c>
      <c r="AB324" s="12">
        <f>IF(原始输入与口径!AY228,1,0)</f>
        <v>1</v>
      </c>
      <c r="AC324" s="12">
        <f>原始输入与口径!$F$5</f>
        <v>0.25</v>
      </c>
      <c r="AD324" s="18">
        <f>原始输入与口径!CG228</f>
        <v>0.3125</v>
      </c>
      <c r="AE324" s="18">
        <f>原始输入与口径!BQ228</f>
        <v>0.13714285714285715</v>
      </c>
      <c r="AF324" s="18">
        <f t="shared" si="104"/>
        <v>0</v>
      </c>
      <c r="AG324" s="18">
        <f t="shared" si="105"/>
        <v>0.55369142857142861</v>
      </c>
      <c r="AH324" s="12">
        <f>IF(ISNUMBER(原始输入与口径!T228),原始输入与口径!T228,"缺失")</f>
        <v>175</v>
      </c>
      <c r="AI324" s="12">
        <f>IF(ISNUMBER(原始输入与口径!Y228),原始输入与口径!Y228,"缺失")</f>
        <v>175</v>
      </c>
      <c r="AJ324" s="12">
        <f>IF(ISNUMBER(原始输入与口径!AI228),原始输入与口径!AI228,"缺失")</f>
        <v>0</v>
      </c>
      <c r="AK324" s="12">
        <f>IF(ISNUMBER(原始输入与口径!AL228),原始输入与口径!AL228,"缺失")</f>
        <v>24.224</v>
      </c>
      <c r="AL324" s="12">
        <f>IF(ISNUMBER(原始输入与口径!O228),原始输入与口径!O228,"缺失")</f>
        <v>128</v>
      </c>
      <c r="AM324" s="12">
        <f>SUMIFS(相位SOC复算!$N$9:$N$929,相位SOC复算!$S$9:$S$929,316)</f>
        <v>8.0853002070393372E-3</v>
      </c>
      <c r="AN324" s="12">
        <f>SUMIFS(相位SOC复算!$Q$9:$Q$929,相位SOC复算!$S$9:$S$929,316)</f>
        <v>0</v>
      </c>
      <c r="AO324" s="12">
        <f>SUMIFS(相位SOC复算!$R$9:$R$929,相位SOC复算!$S$9:$S$929,316)</f>
        <v>2.6778514285714285</v>
      </c>
      <c r="AP324" s="12">
        <f>相位SOC复算!J781</f>
        <v>55.583100024844725</v>
      </c>
      <c r="AQ324" s="19">
        <f t="shared" si="106"/>
        <v>0</v>
      </c>
      <c r="AR324" s="12">
        <f>IF(ISBLANK(原始输入与口径!M228),"",原始输入与口径!M228)</f>
        <v>5.2473000000000001</v>
      </c>
      <c r="AS324" s="14">
        <f>IF(ISBLANK(原始输入与口径!L228),"",原始输入与口径!L228)</f>
        <v>46234</v>
      </c>
      <c r="AT324" s="13">
        <f>IF(ISBLANK(原始输入与口径!A228),"",原始输入与口径!A228)</f>
        <v>46237.15625</v>
      </c>
      <c r="AU324" s="12" t="str">
        <f>IF(ISBLANK(原始输入与口径!I228),"",原始输入与口径!I228)</f>
        <v>2026-08-03_24</v>
      </c>
      <c r="AV324" s="12">
        <f>IF(ISBLANK(原始输入与口径!J228),"",原始输入与口径!J228)</f>
        <v>15</v>
      </c>
      <c r="AW324" s="12" t="str">
        <f>IF(ISBLANK(原始输入与口径!BB228),"",原始输入与口径!BB228)</f>
        <v>OK</v>
      </c>
      <c r="AX324" s="12">
        <f>原始输入与口径!CI228</f>
        <v>128</v>
      </c>
      <c r="AY324" s="12">
        <f>原始输入与口径!BS228</f>
        <v>175</v>
      </c>
      <c r="AZ324" s="12">
        <f>原始输入与口径!BI228</f>
        <v>175</v>
      </c>
      <c r="BA324" s="12">
        <f>原始输入与口径!CM228</f>
        <v>40</v>
      </c>
      <c r="BB324" s="12">
        <f>原始输入与口径!BV228</f>
        <v>24</v>
      </c>
      <c r="BC324" s="12">
        <f>原始输入与口径!BL228</f>
        <v>24</v>
      </c>
      <c r="BD324" s="14">
        <f>46236</f>
        <v>46236</v>
      </c>
      <c r="BE324" s="1" t="str">
        <f t="shared" si="107"/>
        <v>24.000000 MW × 181.560000 × 0.250000 h = 1089.360000 EUR</v>
      </c>
      <c r="BF324" s="1" t="str">
        <f t="shared" si="108"/>
        <v>40.000000 MW × 66.224535 × 0.250000 h = 662.245345 EUR</v>
      </c>
      <c r="BG324" s="1" t="str">
        <f t="shared" si="109"/>
        <v>24.000000 MW × 6.992167 × 0.250000 h = 41.953004 EUR</v>
      </c>
      <c r="BH324" s="1" t="str">
        <f t="shared" si="110"/>
        <v>24.000000 MW × 2.837650 × 0.250000 h = 17.025899 EUR</v>
      </c>
      <c r="BI324" s="1" t="str">
        <f t="shared" si="111"/>
        <v>零上调激活电量</v>
      </c>
      <c r="BJ324" s="1" t="str">
        <f t="shared" si="112"/>
        <v>−(3.322149 MWh × 2.679283) = -8.900975 EUR</v>
      </c>
      <c r="BK324" s="1" t="str">
        <f t="shared" si="113"/>
        <v>1089.360000 + 662.245345 + 41.953004 + 17.025899 + 0.000000 + -8.900975 = 1801.683274 EUR</v>
      </c>
    </row>
    <row r="325" spans="1:63" ht="21" customHeight="1" x14ac:dyDescent="0.45">
      <c r="A325" s="13">
        <f>原始输入与口径!C229</f>
        <v>46237.291666666664</v>
      </c>
      <c r="B325" s="15">
        <f>IF(ISNUMBER(原始输入与口径!H229),原始输入与口径!H229,"缺失")</f>
        <v>182.39</v>
      </c>
      <c r="C325" s="15">
        <f>IF(ISNUMBER(原始输入与口径!R229),原始输入与口径!R229,"缺失")</f>
        <v>66.224534522516336</v>
      </c>
      <c r="D325" s="15">
        <f>IF(ISNUMBER(原始输入与口径!W229),原始输入与口径!W229,"缺失")</f>
        <v>6.5748099022354349</v>
      </c>
      <c r="E325" s="15">
        <f>IF(ISNUMBER(原始输入与口径!AB229),原始输入与口径!AB229,"缺失")</f>
        <v>2.6070550568863986</v>
      </c>
      <c r="F325" s="15">
        <f>IF(ISNUMBER(原始输入与口径!AG229),原始输入与口径!AG229,"缺失")</f>
        <v>0</v>
      </c>
      <c r="G325" s="15">
        <f>IF(ISNUMBER(原始输入与口径!AJ229),原始输入与口径!AJ229,"缺失")</f>
        <v>-30.909991805309396</v>
      </c>
      <c r="H325" s="15" t="str">
        <f t="shared" si="92"/>
        <v>未模拟</v>
      </c>
      <c r="I325" s="16">
        <f>原始输入与口径!CD229</f>
        <v>55.583100024844711</v>
      </c>
      <c r="J325" s="16">
        <f>原始输入与口径!CE229</f>
        <v>39.278752198757758</v>
      </c>
      <c r="K325" s="16">
        <f>原始输入与口径!BZ229</f>
        <v>59.999999999999993</v>
      </c>
      <c r="L325" s="16">
        <f>原始输入与口径!CK229</f>
        <v>40</v>
      </c>
      <c r="M325" s="16">
        <f>原始输入与口径!BT229</f>
        <v>0</v>
      </c>
      <c r="N325" s="16">
        <f>原始输入与口径!BJ229</f>
        <v>0</v>
      </c>
      <c r="O325" s="16">
        <f t="shared" si="93"/>
        <v>0</v>
      </c>
      <c r="P325" s="16">
        <f t="shared" si="94"/>
        <v>0</v>
      </c>
      <c r="Q325" s="17">
        <f t="shared" si="95"/>
        <v>2735.8499999999995</v>
      </c>
      <c r="R325" s="17">
        <f t="shared" si="96"/>
        <v>662.24534522516342</v>
      </c>
      <c r="S325" s="17">
        <f t="shared" si="97"/>
        <v>0</v>
      </c>
      <c r="T325" s="17">
        <f t="shared" si="98"/>
        <v>0</v>
      </c>
      <c r="U325" s="17">
        <f t="shared" si="99"/>
        <v>0</v>
      </c>
      <c r="V325" s="17">
        <f t="shared" si="100"/>
        <v>0</v>
      </c>
      <c r="W325" s="17">
        <f t="shared" si="101"/>
        <v>3398.0953452251629</v>
      </c>
      <c r="X325" s="12">
        <f>原始输入与口径!CP229</f>
        <v>3398.0953452251629</v>
      </c>
      <c r="Y325" s="19">
        <f t="shared" si="102"/>
        <v>0</v>
      </c>
      <c r="Z325" s="12" t="str">
        <f t="shared" si="114"/>
        <v>次日冻结计划复原</v>
      </c>
      <c r="AA325" s="12">
        <f>IF(原始输入与口径!AW229,1,0)</f>
        <v>0</v>
      </c>
      <c r="AB325" s="12">
        <f>IF(原始输入与口径!AY229,1,0)</f>
        <v>1</v>
      </c>
      <c r="AC325" s="12">
        <f>原始输入与口径!$F$5</f>
        <v>0.25</v>
      </c>
      <c r="AD325" s="18">
        <f>原始输入与口径!CG229</f>
        <v>0.3125</v>
      </c>
      <c r="AE325" s="18">
        <f>原始输入与口径!BQ229</f>
        <v>0.13714285714285715</v>
      </c>
      <c r="AF325" s="18">
        <f t="shared" si="104"/>
        <v>0</v>
      </c>
      <c r="AG325" s="18">
        <f t="shared" si="105"/>
        <v>0</v>
      </c>
      <c r="AH325" s="12">
        <f>IF(ISNUMBER(原始输入与口径!T229),原始输入与口径!T229,"缺失")</f>
        <v>175</v>
      </c>
      <c r="AI325" s="12">
        <f>IF(ISNUMBER(原始输入与口径!Y229),原始输入与口径!Y229,"缺失")</f>
        <v>175</v>
      </c>
      <c r="AJ325" s="12">
        <f>IF(ISNUMBER(原始输入与口径!AI229),原始输入与口径!AI229,"缺失")</f>
        <v>0</v>
      </c>
      <c r="AK325" s="12">
        <f>IF(ISNUMBER(原始输入与口径!AL229),原始输入与口径!AL229,"缺失")</f>
        <v>44.981999999999999</v>
      </c>
      <c r="AL325" s="12">
        <f>IF(ISNUMBER(原始输入与口径!O229),原始输入与口径!O229,"缺失")</f>
        <v>128</v>
      </c>
      <c r="AM325" s="12">
        <f>SUMIFS(相位SOC复算!$N$9:$N$929,相位SOC复算!$S$9:$S$929,317)</f>
        <v>4.5289855072463761E-2</v>
      </c>
      <c r="AN325" s="12">
        <f>SUMIFS(相位SOC复算!$Q$9:$Q$929,相位SOC复算!$S$9:$S$929,317)</f>
        <v>0</v>
      </c>
      <c r="AO325" s="12">
        <f>SUMIFS(相位SOC复算!$R$9:$R$929,相位SOC复算!$S$9:$S$929,317)</f>
        <v>14.999999999999998</v>
      </c>
      <c r="AP325" s="12">
        <f>相位SOC复算!J782</f>
        <v>39.278752198757772</v>
      </c>
      <c r="AQ325" s="19">
        <f t="shared" si="106"/>
        <v>0</v>
      </c>
      <c r="AR325" s="12">
        <f>IF(ISBLANK(原始输入与口径!M229),"",原始输入与口径!M229)</f>
        <v>5.2473000000000001</v>
      </c>
      <c r="AS325" s="14">
        <f>IF(ISBLANK(原始输入与口径!L229),"",原始输入与口径!L229)</f>
        <v>46234</v>
      </c>
      <c r="AT325" s="13">
        <f>IF(ISBLANK(原始输入与口径!A229),"",原始输入与口径!A229)</f>
        <v>46237.166666666664</v>
      </c>
      <c r="AU325" s="12" t="str">
        <f>IF(ISBLANK(原始输入与口径!I229),"",原始输入与口径!I229)</f>
        <v>2026-08-03_25</v>
      </c>
      <c r="AV325" s="12">
        <f>IF(ISBLANK(原始输入与口径!J229),"",原始输入与口径!J229)</f>
        <v>15</v>
      </c>
      <c r="AW325" s="12" t="str">
        <f>IF(ISBLANK(原始输入与口径!BB229),"",原始输入与口径!BB229)</f>
        <v>ALPHA_OUTSIDE_SIMPLEX</v>
      </c>
      <c r="AX325" s="12">
        <f>原始输入与口径!CI229</f>
        <v>128</v>
      </c>
      <c r="AY325" s="12">
        <f>原始输入与口径!BS229</f>
        <v>175</v>
      </c>
      <c r="AZ325" s="12">
        <f>原始输入与口径!BI229</f>
        <v>175</v>
      </c>
      <c r="BA325" s="12">
        <f>原始输入与口径!CM229</f>
        <v>40</v>
      </c>
      <c r="BB325" s="12">
        <f>原始输入与口径!BV229</f>
        <v>0</v>
      </c>
      <c r="BC325" s="12">
        <f>原始输入与口径!BL229</f>
        <v>0</v>
      </c>
      <c r="BD325" s="14">
        <f>46236</f>
        <v>46236</v>
      </c>
      <c r="BE325" s="1" t="str">
        <f t="shared" si="107"/>
        <v>60.000000 MW × 182.390000 × 0.250000 h = 2735.850000 EUR</v>
      </c>
      <c r="BF325" s="1" t="str">
        <f t="shared" si="108"/>
        <v>40.000000 MW × 66.224535 × 0.250000 h = 662.245345 EUR</v>
      </c>
      <c r="BG325" s="1" t="str">
        <f t="shared" si="109"/>
        <v>零头寸，无结算现金</v>
      </c>
      <c r="BH325" s="1" t="str">
        <f t="shared" si="110"/>
        <v>零头寸，无结算现金</v>
      </c>
      <c r="BI325" s="1" t="str">
        <f t="shared" si="111"/>
        <v>零上调激活电量</v>
      </c>
      <c r="BJ325" s="1" t="str">
        <f t="shared" si="112"/>
        <v>零下调激活电量</v>
      </c>
      <c r="BK325" s="1" t="str">
        <f t="shared" si="113"/>
        <v>2735.850000 + 662.245345 + 0.000000 + 0.000000 + 0.000000 + 0.000000 = 3398.095345 EUR</v>
      </c>
    </row>
    <row r="326" spans="1:63" ht="21" customHeight="1" x14ac:dyDescent="0.45">
      <c r="A326" s="13">
        <f>原始输入与口径!C230</f>
        <v>46237.302083333336</v>
      </c>
      <c r="B326" s="15">
        <f>IF(ISNUMBER(原始输入与口径!H230),原始输入与口径!H230,"缺失")</f>
        <v>182.3</v>
      </c>
      <c r="C326" s="15">
        <f>IF(ISNUMBER(原始输入与口径!R230),原始输入与口径!R230,"缺失")</f>
        <v>66.224534522516336</v>
      </c>
      <c r="D326" s="15">
        <f>IF(ISNUMBER(原始输入与口径!W230),原始输入与口径!W230,"缺失")</f>
        <v>6.5748099022354349</v>
      </c>
      <c r="E326" s="15">
        <f>IF(ISNUMBER(原始输入与口径!AB230),原始输入与口径!AB230,"缺失")</f>
        <v>2.6070550568863986</v>
      </c>
      <c r="F326" s="15">
        <f>IF(ISNUMBER(原始输入与口径!AG230),原始输入与口径!AG230,"缺失")</f>
        <v>0</v>
      </c>
      <c r="G326" s="15">
        <f>IF(ISNUMBER(原始输入与口径!AJ230),原始输入与口径!AJ230,"缺失")</f>
        <v>-53.904103062527398</v>
      </c>
      <c r="H326" s="15" t="str">
        <f t="shared" si="92"/>
        <v>未模拟</v>
      </c>
      <c r="I326" s="16">
        <f>原始输入与口径!CD230</f>
        <v>39.278752198757758</v>
      </c>
      <c r="J326" s="16">
        <f>原始输入与口径!CE230</f>
        <v>31.739130434782581</v>
      </c>
      <c r="K326" s="16">
        <f>原始输入与口径!BZ230</f>
        <v>27.745808091428653</v>
      </c>
      <c r="L326" s="16">
        <f>原始输入与口径!CK230</f>
        <v>40</v>
      </c>
      <c r="M326" s="16">
        <f>原始输入与口径!BT230</f>
        <v>0</v>
      </c>
      <c r="N326" s="16">
        <f>原始输入与口径!BJ230</f>
        <v>0</v>
      </c>
      <c r="O326" s="16">
        <f t="shared" si="93"/>
        <v>0</v>
      </c>
      <c r="P326" s="16">
        <f t="shared" si="94"/>
        <v>0</v>
      </c>
      <c r="Q326" s="17">
        <f t="shared" si="95"/>
        <v>1264.5152037668609</v>
      </c>
      <c r="R326" s="17">
        <f t="shared" si="96"/>
        <v>662.24534522516342</v>
      </c>
      <c r="S326" s="17">
        <f t="shared" si="97"/>
        <v>0</v>
      </c>
      <c r="T326" s="17">
        <f t="shared" si="98"/>
        <v>0</v>
      </c>
      <c r="U326" s="17">
        <f t="shared" si="99"/>
        <v>0</v>
      </c>
      <c r="V326" s="17">
        <f t="shared" si="100"/>
        <v>0</v>
      </c>
      <c r="W326" s="17">
        <f t="shared" si="101"/>
        <v>1926.7605489920243</v>
      </c>
      <c r="X326" s="12">
        <f>原始输入与口径!CP230</f>
        <v>1926.7605489920243</v>
      </c>
      <c r="Y326" s="19">
        <f t="shared" si="102"/>
        <v>0</v>
      </c>
      <c r="Z326" s="12" t="str">
        <f t="shared" si="114"/>
        <v>次日冻结计划复原</v>
      </c>
      <c r="AA326" s="12">
        <f>IF(原始输入与口径!AW230,1,0)</f>
        <v>0</v>
      </c>
      <c r="AB326" s="12">
        <f>IF(原始输入与口径!AY230,1,0)</f>
        <v>1</v>
      </c>
      <c r="AC326" s="12">
        <f>原始输入与口径!$F$5</f>
        <v>0.25</v>
      </c>
      <c r="AD326" s="18">
        <f>原始输入与口径!CG230</f>
        <v>0.3125</v>
      </c>
      <c r="AE326" s="18">
        <f>原始输入与口径!BQ230</f>
        <v>0.13714285714285715</v>
      </c>
      <c r="AF326" s="18">
        <f t="shared" si="104"/>
        <v>0</v>
      </c>
      <c r="AG326" s="18">
        <f t="shared" si="105"/>
        <v>0</v>
      </c>
      <c r="AH326" s="12">
        <f>IF(ISNUMBER(原始输入与口径!T230),原始输入与口径!T230,"缺失")</f>
        <v>175</v>
      </c>
      <c r="AI326" s="12">
        <f>IF(ISNUMBER(原始输入与口径!Y230),原始输入与口径!Y230,"缺失")</f>
        <v>175</v>
      </c>
      <c r="AJ326" s="12">
        <f>IF(ISNUMBER(原始输入与口径!AI230),原始输入与口径!AI230,"缺失")</f>
        <v>0</v>
      </c>
      <c r="AK326" s="12">
        <f>IF(ISNUMBER(原始输入与口径!AL230),原始输入与口径!AL230,"缺失")</f>
        <v>56.984999999999999</v>
      </c>
      <c r="AL326" s="12">
        <f>IF(ISNUMBER(原始输入与口径!O230),原始输入与口径!O230,"缺失")</f>
        <v>128</v>
      </c>
      <c r="AM326" s="12">
        <f>SUMIFS(相位SOC复算!$N$9:$N$929,相位SOC复算!$S$9:$S$929,318)</f>
        <v>2.0943393788819934E-2</v>
      </c>
      <c r="AN326" s="12">
        <f>SUMIFS(相位SOC复算!$Q$9:$Q$929,相位SOC复算!$S$9:$S$929,318)</f>
        <v>0</v>
      </c>
      <c r="AO326" s="12">
        <f>SUMIFS(相位SOC复算!$R$9:$R$929,相位SOC复算!$S$9:$S$929,318)</f>
        <v>6.9364520228571633</v>
      </c>
      <c r="AP326" s="12">
        <f>相位SOC复算!J783</f>
        <v>31.739130434782595</v>
      </c>
      <c r="AQ326" s="19">
        <f t="shared" si="106"/>
        <v>0</v>
      </c>
      <c r="AR326" s="12">
        <f>IF(ISBLANK(原始输入与口径!M230),"",原始输入与口径!M230)</f>
        <v>5.2473000000000001</v>
      </c>
      <c r="AS326" s="14">
        <f>IF(ISBLANK(原始输入与口径!L230),"",原始输入与口径!L230)</f>
        <v>46234</v>
      </c>
      <c r="AT326" s="13">
        <f>IF(ISBLANK(原始输入与口径!A230),"",原始输入与口径!A230)</f>
        <v>46237.177083333336</v>
      </c>
      <c r="AU326" s="12" t="str">
        <f>IF(ISBLANK(原始输入与口径!I230),"",原始输入与口径!I230)</f>
        <v>2026-08-03_26</v>
      </c>
      <c r="AV326" s="12">
        <f>IF(ISBLANK(原始输入与口径!J230),"",原始输入与口径!J230)</f>
        <v>15</v>
      </c>
      <c r="AW326" s="12" t="str">
        <f>IF(ISBLANK(原始输入与口径!BB230),"",原始输入与口径!BB230)</f>
        <v>ALPHA_OUTSIDE_SIMPLEX</v>
      </c>
      <c r="AX326" s="12">
        <f>原始输入与口径!CI230</f>
        <v>128</v>
      </c>
      <c r="AY326" s="12">
        <f>原始输入与口径!BS230</f>
        <v>175</v>
      </c>
      <c r="AZ326" s="12">
        <f>原始输入与口径!BI230</f>
        <v>175</v>
      </c>
      <c r="BA326" s="12">
        <f>原始输入与口径!CM230</f>
        <v>40</v>
      </c>
      <c r="BB326" s="12">
        <f>原始输入与口径!BV230</f>
        <v>0</v>
      </c>
      <c r="BC326" s="12">
        <f>原始输入与口径!BL230</f>
        <v>0</v>
      </c>
      <c r="BD326" s="14">
        <f>46236</f>
        <v>46236</v>
      </c>
      <c r="BE326" s="1" t="str">
        <f t="shared" si="107"/>
        <v>27.745808 MW × 182.300000 × 0.250000 h = 1264.515204 EUR</v>
      </c>
      <c r="BF326" s="1" t="str">
        <f t="shared" si="108"/>
        <v>40.000000 MW × 66.224535 × 0.250000 h = 662.245345 EUR</v>
      </c>
      <c r="BG326" s="1" t="str">
        <f t="shared" si="109"/>
        <v>零头寸，无结算现金</v>
      </c>
      <c r="BH326" s="1" t="str">
        <f t="shared" si="110"/>
        <v>零头寸，无结算现金</v>
      </c>
      <c r="BI326" s="1" t="str">
        <f t="shared" si="111"/>
        <v>零上调激活电量</v>
      </c>
      <c r="BJ326" s="1" t="str">
        <f t="shared" si="112"/>
        <v>零下调激活电量</v>
      </c>
      <c r="BK326" s="1" t="str">
        <f t="shared" si="113"/>
        <v>1264.515204 + 662.245345 + 0.000000 + 0.000000 + 0.000000 + 0.000000 = 1926.760549 EUR</v>
      </c>
    </row>
    <row r="327" spans="1:63" ht="21" customHeight="1" x14ac:dyDescent="0.45">
      <c r="A327" s="13">
        <f>原始输入与口径!C231</f>
        <v>46237.3125</v>
      </c>
      <c r="B327" s="15">
        <f>IF(ISNUMBER(原始输入与口径!H231),原始输入与口径!H231,"缺失")</f>
        <v>177.73</v>
      </c>
      <c r="C327" s="15">
        <f>IF(ISNUMBER(原始输入与口径!R231),原始输入与口径!R231,"缺失")</f>
        <v>66.224534522516336</v>
      </c>
      <c r="D327" s="15">
        <f>IF(ISNUMBER(原始输入与口径!W231),原始输入与口径!W231,"缺失")</f>
        <v>6.5748099022354349</v>
      </c>
      <c r="E327" s="15">
        <f>IF(ISNUMBER(原始输入与口径!AB231),原始输入与口径!AB231,"缺失")</f>
        <v>2.6070550568863986</v>
      </c>
      <c r="F327" s="15">
        <f>IF(ISNUMBER(原始输入与口径!AG231),原始输入与口径!AG231,"缺失")</f>
        <v>0</v>
      </c>
      <c r="G327" s="15">
        <f>IF(ISNUMBER(原始输入与口径!AJ231),原始输入与口径!AJ231,"缺失")</f>
        <v>-25.472719303260725</v>
      </c>
      <c r="H327" s="15" t="str">
        <f t="shared" si="92"/>
        <v>未模拟</v>
      </c>
      <c r="I327" s="16">
        <f>原始输入与口径!CD231</f>
        <v>31.739130434782581</v>
      </c>
      <c r="J327" s="16">
        <f>原始输入与口径!CE231</f>
        <v>31.739130434782581</v>
      </c>
      <c r="K327" s="16">
        <f>原始输入与口径!BZ231</f>
        <v>0</v>
      </c>
      <c r="L327" s="16">
        <f>原始输入与口径!CK231</f>
        <v>40</v>
      </c>
      <c r="M327" s="16">
        <f>原始输入与口径!BT231</f>
        <v>0</v>
      </c>
      <c r="N327" s="16">
        <f>原始输入与口径!BJ231</f>
        <v>0</v>
      </c>
      <c r="O327" s="16">
        <f t="shared" si="93"/>
        <v>0</v>
      </c>
      <c r="P327" s="16">
        <f t="shared" si="94"/>
        <v>0</v>
      </c>
      <c r="Q327" s="17">
        <f t="shared" si="95"/>
        <v>0</v>
      </c>
      <c r="R327" s="17">
        <f t="shared" si="96"/>
        <v>662.24534522516342</v>
      </c>
      <c r="S327" s="17">
        <f t="shared" si="97"/>
        <v>0</v>
      </c>
      <c r="T327" s="17">
        <f t="shared" si="98"/>
        <v>0</v>
      </c>
      <c r="U327" s="17">
        <f t="shared" si="99"/>
        <v>0</v>
      </c>
      <c r="V327" s="17">
        <f t="shared" si="100"/>
        <v>0</v>
      </c>
      <c r="W327" s="17">
        <f t="shared" si="101"/>
        <v>662.24534522516342</v>
      </c>
      <c r="X327" s="12">
        <f>原始输入与口径!CP231</f>
        <v>662.24534522516342</v>
      </c>
      <c r="Y327" s="19">
        <f t="shared" si="102"/>
        <v>0</v>
      </c>
      <c r="Z327" s="12" t="str">
        <f t="shared" si="114"/>
        <v>次日冻结计划复原</v>
      </c>
      <c r="AA327" s="12">
        <f>IF(原始输入与口径!AW231,1,0)</f>
        <v>0</v>
      </c>
      <c r="AB327" s="12">
        <f>IF(原始输入与口径!AY231,1,0)</f>
        <v>1</v>
      </c>
      <c r="AC327" s="12">
        <f>原始输入与口径!$F$5</f>
        <v>0.25</v>
      </c>
      <c r="AD327" s="18">
        <f>原始输入与口径!CG231</f>
        <v>0.3125</v>
      </c>
      <c r="AE327" s="18">
        <f>原始输入与口径!BQ231</f>
        <v>0.13714285714285715</v>
      </c>
      <c r="AF327" s="18">
        <f t="shared" si="104"/>
        <v>0</v>
      </c>
      <c r="AG327" s="18">
        <f t="shared" si="105"/>
        <v>0</v>
      </c>
      <c r="AH327" s="12">
        <f>IF(ISNUMBER(原始输入与口径!T231),原始输入与口径!T231,"缺失")</f>
        <v>175</v>
      </c>
      <c r="AI327" s="12">
        <f>IF(ISNUMBER(原始输入与口径!Y231),原始输入与口径!Y231,"缺失")</f>
        <v>175</v>
      </c>
      <c r="AJ327" s="12">
        <f>IF(ISNUMBER(原始输入与口径!AI231),原始输入与口径!AI231,"缺失")</f>
        <v>0</v>
      </c>
      <c r="AK327" s="12">
        <f>IF(ISNUMBER(原始输入与口径!AL231),原始输入与口径!AL231,"缺失")</f>
        <v>37.880000000000003</v>
      </c>
      <c r="AL327" s="12">
        <f>IF(ISNUMBER(原始输入与口径!O231),原始输入与口径!O231,"缺失")</f>
        <v>128</v>
      </c>
      <c r="AM327" s="12">
        <f>SUMIFS(相位SOC复算!$N$9:$N$929,相位SOC复算!$S$9:$S$929,319)</f>
        <v>0</v>
      </c>
      <c r="AN327" s="12">
        <f>SUMIFS(相位SOC复算!$Q$9:$Q$929,相位SOC复算!$S$9:$S$929,319)</f>
        <v>0</v>
      </c>
      <c r="AO327" s="12">
        <f>SUMIFS(相位SOC复算!$R$9:$R$929,相位SOC复算!$S$9:$S$929,319)</f>
        <v>0</v>
      </c>
      <c r="AP327" s="12">
        <f>相位SOC复算!J784</f>
        <v>31.739130434782595</v>
      </c>
      <c r="AQ327" s="19">
        <f t="shared" si="106"/>
        <v>0</v>
      </c>
      <c r="AR327" s="12">
        <f>IF(ISBLANK(原始输入与口径!M231),"",原始输入与口径!M231)</f>
        <v>5.2473000000000001</v>
      </c>
      <c r="AS327" s="14">
        <f>IF(ISBLANK(原始输入与口径!L231),"",原始输入与口径!L231)</f>
        <v>46234</v>
      </c>
      <c r="AT327" s="13">
        <f>IF(ISBLANK(原始输入与口径!A231),"",原始输入与口径!A231)</f>
        <v>46237.1875</v>
      </c>
      <c r="AU327" s="12" t="str">
        <f>IF(ISBLANK(原始输入与口径!I231),"",原始输入与口径!I231)</f>
        <v>2026-08-03_27</v>
      </c>
      <c r="AV327" s="12">
        <f>IF(ISBLANK(原始输入与口径!J231),"",原始输入与口径!J231)</f>
        <v>15</v>
      </c>
      <c r="AW327" s="12" t="str">
        <f>IF(ISBLANK(原始输入与口径!BB231),"",原始输入与口径!BB231)</f>
        <v>OTHER_QH_IN_SAME_HOUR_INVALID</v>
      </c>
      <c r="AX327" s="12">
        <f>原始输入与口径!CI231</f>
        <v>128</v>
      </c>
      <c r="AY327" s="12">
        <f>原始输入与口径!BS231</f>
        <v>175</v>
      </c>
      <c r="AZ327" s="12">
        <f>原始输入与口径!BI231</f>
        <v>175</v>
      </c>
      <c r="BA327" s="12">
        <f>原始输入与口径!CM231</f>
        <v>40</v>
      </c>
      <c r="BB327" s="12">
        <f>原始输入与口径!BV231</f>
        <v>0</v>
      </c>
      <c r="BC327" s="12">
        <f>原始输入与口径!BL231</f>
        <v>0</v>
      </c>
      <c r="BD327" s="14">
        <f>46236</f>
        <v>46236</v>
      </c>
      <c r="BE327" s="1" t="str">
        <f t="shared" si="107"/>
        <v>零头寸，无结算现金</v>
      </c>
      <c r="BF327" s="1" t="str">
        <f t="shared" si="108"/>
        <v>40.000000 MW × 66.224535 × 0.250000 h = 662.245345 EUR</v>
      </c>
      <c r="BG327" s="1" t="str">
        <f t="shared" si="109"/>
        <v>零头寸，无结算现金</v>
      </c>
      <c r="BH327" s="1" t="str">
        <f t="shared" si="110"/>
        <v>零头寸，无结算现金</v>
      </c>
      <c r="BI327" s="1" t="str">
        <f t="shared" si="111"/>
        <v>零上调激活电量</v>
      </c>
      <c r="BJ327" s="1" t="str">
        <f t="shared" si="112"/>
        <v>零下调激活电量</v>
      </c>
      <c r="BK327" s="1" t="str">
        <f t="shared" si="113"/>
        <v>0.000000 + 662.245345 + 0.000000 + 0.000000 + 0.000000 + 0.000000 = 662.245345 EUR</v>
      </c>
    </row>
    <row r="328" spans="1:63" ht="21" customHeight="1" x14ac:dyDescent="0.45">
      <c r="A328" s="13">
        <f>原始输入与口径!C232</f>
        <v>46237.322916666664</v>
      </c>
      <c r="B328" s="15">
        <f>IF(ISNUMBER(原始输入与口径!H232),原始输入与口径!H232,"缺失")</f>
        <v>170.1</v>
      </c>
      <c r="C328" s="15">
        <f>IF(ISNUMBER(原始输入与口径!R232),原始输入与口径!R232,"缺失")</f>
        <v>66.224534522516336</v>
      </c>
      <c r="D328" s="15">
        <f>IF(ISNUMBER(原始输入与口径!W232),原始输入与口径!W232,"缺失")</f>
        <v>6.5748099022354349</v>
      </c>
      <c r="E328" s="15">
        <f>IF(ISNUMBER(原始输入与口径!AB232),原始输入与口径!AB232,"缺失")</f>
        <v>2.6070550568863986</v>
      </c>
      <c r="F328" s="15">
        <f>IF(ISNUMBER(原始输入与口径!AG232),原始输入与口径!AG232,"缺失")</f>
        <v>0</v>
      </c>
      <c r="G328" s="15">
        <f>IF(ISNUMBER(原始输入与口径!AJ232),原始输入与口径!AJ232,"缺失")</f>
        <v>60.585062794198926</v>
      </c>
      <c r="H328" s="15" t="str">
        <f t="shared" si="92"/>
        <v>未模拟</v>
      </c>
      <c r="I328" s="16">
        <f>原始输入与口径!CD232</f>
        <v>31.739130434782581</v>
      </c>
      <c r="J328" s="16">
        <f>原始输入与口径!CE232</f>
        <v>31.739130434782581</v>
      </c>
      <c r="K328" s="16">
        <f>原始输入与口径!BZ232</f>
        <v>0</v>
      </c>
      <c r="L328" s="16">
        <f>原始输入与口径!CK232</f>
        <v>40</v>
      </c>
      <c r="M328" s="16">
        <f>原始输入与口径!BT232</f>
        <v>0</v>
      </c>
      <c r="N328" s="16">
        <f>原始输入与口径!BJ232</f>
        <v>0</v>
      </c>
      <c r="O328" s="16">
        <f t="shared" si="93"/>
        <v>0</v>
      </c>
      <c r="P328" s="16">
        <f t="shared" si="94"/>
        <v>0</v>
      </c>
      <c r="Q328" s="17">
        <f t="shared" si="95"/>
        <v>0</v>
      </c>
      <c r="R328" s="17">
        <f t="shared" si="96"/>
        <v>662.24534522516342</v>
      </c>
      <c r="S328" s="17">
        <f t="shared" si="97"/>
        <v>0</v>
      </c>
      <c r="T328" s="17">
        <f t="shared" si="98"/>
        <v>0</v>
      </c>
      <c r="U328" s="17">
        <f t="shared" si="99"/>
        <v>0</v>
      </c>
      <c r="V328" s="17">
        <f t="shared" si="100"/>
        <v>0</v>
      </c>
      <c r="W328" s="17">
        <f t="shared" si="101"/>
        <v>662.24534522516342</v>
      </c>
      <c r="X328" s="12">
        <f>原始输入与口径!CP232</f>
        <v>662.24534522516342</v>
      </c>
      <c r="Y328" s="19">
        <f t="shared" si="102"/>
        <v>0</v>
      </c>
      <c r="Z328" s="12" t="str">
        <f t="shared" si="114"/>
        <v>次日冻结计划复原</v>
      </c>
      <c r="AA328" s="12">
        <f>IF(原始输入与口径!AW232,1,0)</f>
        <v>0</v>
      </c>
      <c r="AB328" s="12">
        <f>IF(原始输入与口径!AY232,1,0)</f>
        <v>1</v>
      </c>
      <c r="AC328" s="12">
        <f>原始输入与口径!$F$5</f>
        <v>0.25</v>
      </c>
      <c r="AD328" s="18">
        <f>原始输入与口径!CG232</f>
        <v>0.3125</v>
      </c>
      <c r="AE328" s="18">
        <f>原始输入与口径!BQ232</f>
        <v>0.13714285714285715</v>
      </c>
      <c r="AF328" s="18">
        <f t="shared" si="104"/>
        <v>0</v>
      </c>
      <c r="AG328" s="18">
        <f t="shared" si="105"/>
        <v>0</v>
      </c>
      <c r="AH328" s="12">
        <f>IF(ISNUMBER(原始输入与口径!T232),原始输入与口径!T232,"缺失")</f>
        <v>175</v>
      </c>
      <c r="AI328" s="12">
        <f>IF(ISNUMBER(原始输入与口径!Y232),原始输入与口径!Y232,"缺失")</f>
        <v>175</v>
      </c>
      <c r="AJ328" s="12">
        <f>IF(ISNUMBER(原始输入与口径!AI232),原始输入与口径!AI232,"缺失")</f>
        <v>0</v>
      </c>
      <c r="AK328" s="12">
        <f>IF(ISNUMBER(原始输入与口径!AL232),原始输入与口径!AL232,"缺失")</f>
        <v>1.8180000000000001</v>
      </c>
      <c r="AL328" s="12">
        <f>IF(ISNUMBER(原始输入与口径!O232),原始输入与口径!O232,"缺失")</f>
        <v>128</v>
      </c>
      <c r="AM328" s="12">
        <f>SUMIFS(相位SOC复算!$N$9:$N$929,相位SOC复算!$S$9:$S$929,320)</f>
        <v>0</v>
      </c>
      <c r="AN328" s="12">
        <f>SUMIFS(相位SOC复算!$Q$9:$Q$929,相位SOC复算!$S$9:$S$929,320)</f>
        <v>0</v>
      </c>
      <c r="AO328" s="12">
        <f>SUMIFS(相位SOC复算!$R$9:$R$929,相位SOC复算!$S$9:$S$929,320)</f>
        <v>0</v>
      </c>
      <c r="AP328" s="12">
        <f>相位SOC复算!J785</f>
        <v>31.739130434782595</v>
      </c>
      <c r="AQ328" s="19">
        <f t="shared" si="106"/>
        <v>0</v>
      </c>
      <c r="AR328" s="12">
        <f>IF(ISBLANK(原始输入与口径!M232),"",原始输入与口径!M232)</f>
        <v>5.2473000000000001</v>
      </c>
      <c r="AS328" s="14">
        <f>IF(ISBLANK(原始输入与口径!L232),"",原始输入与口径!L232)</f>
        <v>46234</v>
      </c>
      <c r="AT328" s="13">
        <f>IF(ISBLANK(原始输入与口径!A232),"",原始输入与口径!A232)</f>
        <v>46237.197916666664</v>
      </c>
      <c r="AU328" s="12" t="str">
        <f>IF(ISBLANK(原始输入与口径!I232),"",原始输入与口径!I232)</f>
        <v>2026-08-03_28</v>
      </c>
      <c r="AV328" s="12">
        <f>IF(ISBLANK(原始输入与口径!J232),"",原始输入与口径!J232)</f>
        <v>15</v>
      </c>
      <c r="AW328" s="12" t="str">
        <f>IF(ISBLANK(原始输入与口径!BB232),"",原始输入与口径!BB232)</f>
        <v>OTHER_QH_IN_SAME_HOUR_INVALID</v>
      </c>
      <c r="AX328" s="12">
        <f>原始输入与口径!CI232</f>
        <v>128</v>
      </c>
      <c r="AY328" s="12">
        <f>原始输入与口径!BS232</f>
        <v>175</v>
      </c>
      <c r="AZ328" s="12">
        <f>原始输入与口径!BI232</f>
        <v>175</v>
      </c>
      <c r="BA328" s="12">
        <f>原始输入与口径!CM232</f>
        <v>40</v>
      </c>
      <c r="BB328" s="12">
        <f>原始输入与口径!BV232</f>
        <v>0</v>
      </c>
      <c r="BC328" s="12">
        <f>原始输入与口径!BL232</f>
        <v>0</v>
      </c>
      <c r="BD328" s="14">
        <f>46236</f>
        <v>46236</v>
      </c>
      <c r="BE328" s="1" t="str">
        <f t="shared" si="107"/>
        <v>零头寸，无结算现金</v>
      </c>
      <c r="BF328" s="1" t="str">
        <f t="shared" si="108"/>
        <v>40.000000 MW × 66.224535 × 0.250000 h = 662.245345 EUR</v>
      </c>
      <c r="BG328" s="1" t="str">
        <f t="shared" si="109"/>
        <v>零头寸，无结算现金</v>
      </c>
      <c r="BH328" s="1" t="str">
        <f t="shared" si="110"/>
        <v>零头寸，无结算现金</v>
      </c>
      <c r="BI328" s="1" t="str">
        <f t="shared" si="111"/>
        <v>零上调激活电量</v>
      </c>
      <c r="BJ328" s="1" t="str">
        <f t="shared" si="112"/>
        <v>零下调激活电量</v>
      </c>
      <c r="BK328" s="1" t="str">
        <f t="shared" si="113"/>
        <v>0.000000 + 662.245345 + 0.000000 + 0.000000 + 0.000000 + 0.000000 = 662.245345 EUR</v>
      </c>
    </row>
    <row r="329" spans="1:63" ht="21" customHeight="1" x14ac:dyDescent="0.45">
      <c r="A329" s="13">
        <f>原始输入与口径!C233</f>
        <v>46237.333333333336</v>
      </c>
      <c r="B329" s="15">
        <f>IF(ISNUMBER(原始输入与口径!H233),原始输入与口径!H233,"缺失")</f>
        <v>174.48</v>
      </c>
      <c r="C329" s="15">
        <f>IF(ISNUMBER(原始输入与口径!R233),原始输入与口径!R233,"缺失")</f>
        <v>66.224534522516336</v>
      </c>
      <c r="D329" s="15">
        <f>IF(ISNUMBER(原始输入与口径!W233),原始输入与口径!W233,"缺失")</f>
        <v>6.6815314542717212</v>
      </c>
      <c r="E329" s="15">
        <f>IF(ISNUMBER(原始输入与口径!AB233),原始输入与口径!AB233,"缺失")</f>
        <v>2.6280182188935259</v>
      </c>
      <c r="F329" s="15">
        <f>IF(ISNUMBER(原始输入与口径!AG233),原始输入与口径!AG233,"缺失")</f>
        <v>158.54572827930554</v>
      </c>
      <c r="G329" s="15">
        <f>IF(ISNUMBER(原始输入与口径!AJ233),原始输入与口径!AJ233,"缺失")</f>
        <v>62.2497284317649</v>
      </c>
      <c r="H329" s="15" t="str">
        <f t="shared" ref="H329:H392" si="115">"未模拟"</f>
        <v>未模拟</v>
      </c>
      <c r="I329" s="16">
        <f>原始输入与口径!CD233</f>
        <v>31.739130434782581</v>
      </c>
      <c r="J329" s="16">
        <f>原始输入与口径!CE233</f>
        <v>31.857521927950284</v>
      </c>
      <c r="K329" s="16">
        <f>原始输入与口径!BZ233</f>
        <v>0</v>
      </c>
      <c r="L329" s="16">
        <f>原始输入与口径!CK233</f>
        <v>40</v>
      </c>
      <c r="M329" s="16">
        <f>原始输入与口径!BT233</f>
        <v>24</v>
      </c>
      <c r="N329" s="16">
        <f>原始输入与口径!BJ233</f>
        <v>24</v>
      </c>
      <c r="O329" s="16">
        <f t="shared" ref="O329:O392" si="116">M329*AF329*AC329</f>
        <v>2.6194285714285719E-2</v>
      </c>
      <c r="P329" s="16">
        <f t="shared" ref="P329:P392" si="117">N329*AG329*AC329</f>
        <v>0.1596342857142857</v>
      </c>
      <c r="Q329" s="17">
        <f t="shared" ref="Q329:Q392" si="118">IF(K329=0,0,IF(ISNUMBER(B329),K329*B329*AC329,NA()))</f>
        <v>0</v>
      </c>
      <c r="R329" s="17">
        <f t="shared" ref="R329:R392" si="119">IF(L329=0,0,IF(ISNUMBER(C329),L329*C329*AC329,NA()))</f>
        <v>662.24534522516342</v>
      </c>
      <c r="S329" s="17">
        <f t="shared" ref="S329:S392" si="120">IF(M329=0,0,IF(ISNUMBER(D329),M329*D329*AC329,NA()))</f>
        <v>40.089188725630329</v>
      </c>
      <c r="T329" s="17">
        <f t="shared" ref="T329:T392" si="121">IF(N329=0,0,IF(ISNUMBER(E329),N329*E329*AC329,NA()))</f>
        <v>15.768109313361155</v>
      </c>
      <c r="U329" s="17">
        <f t="shared" ref="U329:U392" si="122">IF(O329=0,0,O329*F329)</f>
        <v>4.1529921053276384</v>
      </c>
      <c r="V329" s="17">
        <f t="shared" ref="V329:V392" si="123">IF(P329=0,0,-P329*G329)</f>
        <v>-9.9371909341130529</v>
      </c>
      <c r="W329" s="17">
        <f t="shared" ref="W329:W392" si="124">SUM(Q329:V329)</f>
        <v>712.31844443536954</v>
      </c>
      <c r="X329" s="12">
        <f>原始输入与口径!CP233</f>
        <v>712.31844443536954</v>
      </c>
      <c r="Y329" s="19">
        <f t="shared" ref="Y329:Y392" si="125">W329-X329</f>
        <v>0</v>
      </c>
      <c r="Z329" s="12" t="str">
        <f t="shared" ref="Z329:Z360" si="126">"次日冻结计划复原"</f>
        <v>次日冻结计划复原</v>
      </c>
      <c r="AA329" s="12">
        <f>IF(原始输入与口径!AW233,1,0)</f>
        <v>1</v>
      </c>
      <c r="AB329" s="12">
        <f>IF(原始输入与口径!AY233,1,0)</f>
        <v>1</v>
      </c>
      <c r="AC329" s="12">
        <f>原始输入与口径!$F$5</f>
        <v>0.25</v>
      </c>
      <c r="AD329" s="18">
        <f>原始输入与口径!CG233</f>
        <v>0.3125</v>
      </c>
      <c r="AE329" s="18">
        <f>原始输入与口径!BQ233</f>
        <v>0.13714285714285715</v>
      </c>
      <c r="AF329" s="18">
        <f t="shared" ref="AF329:AF392" si="127">IF(AA329=0,0,AJ329/(AH329*AC329))</f>
        <v>4.3657142857142861E-3</v>
      </c>
      <c r="AG329" s="18">
        <f t="shared" ref="AG329:AG392" si="128">IF(AA329=0,0,AK329/(AI329*AC329))</f>
        <v>2.6605714285714285E-2</v>
      </c>
      <c r="AH329" s="12">
        <f>IF(ISNUMBER(原始输入与口径!T233),原始输入与口径!T233,"缺失")</f>
        <v>175</v>
      </c>
      <c r="AI329" s="12">
        <f>IF(ISNUMBER(原始输入与口径!Y233),原始输入与口径!Y233,"缺失")</f>
        <v>175</v>
      </c>
      <c r="AJ329" s="12">
        <f>IF(ISNUMBER(原始输入与口径!AI233),原始输入与口径!AI233,"缺失")</f>
        <v>0.191</v>
      </c>
      <c r="AK329" s="12">
        <f>IF(ISNUMBER(原始输入与口径!AL233),原始输入与口径!AL233,"缺失")</f>
        <v>1.1639999999999999</v>
      </c>
      <c r="AL329" s="12">
        <f>IF(ISNUMBER(原始输入与口径!O233),原始输入与口径!O233,"缺失")</f>
        <v>128</v>
      </c>
      <c r="AM329" s="12">
        <f>SUMIFS(相位SOC复算!$N$9:$N$929,相位SOC复算!$S$9:$S$929,321)</f>
        <v>4.8704331262939963E-4</v>
      </c>
      <c r="AN329" s="12">
        <f>SUMIFS(相位SOC复算!$Q$9:$Q$929,相位SOC复算!$S$9:$S$929,321)</f>
        <v>0.1596342857142857</v>
      </c>
      <c r="AO329" s="12">
        <f>SUMIFS(相位SOC复算!$R$9:$R$929,相位SOC复算!$S$9:$S$929,321)</f>
        <v>2.6194285714285719E-2</v>
      </c>
      <c r="AP329" s="12">
        <f>相位SOC复算!J788</f>
        <v>31.857521927950298</v>
      </c>
      <c r="AQ329" s="19">
        <f t="shared" ref="AQ329:AQ392" si="129">AP329-J329</f>
        <v>0</v>
      </c>
      <c r="AR329" s="12">
        <f>IF(ISBLANK(原始输入与口径!M233),"",原始输入与口径!M233)</f>
        <v>5.2473000000000001</v>
      </c>
      <c r="AS329" s="14">
        <f>IF(ISBLANK(原始输入与口径!L233),"",原始输入与口径!L233)</f>
        <v>46234</v>
      </c>
      <c r="AT329" s="13">
        <f>IF(ISBLANK(原始输入与口径!A233),"",原始输入与口径!A233)</f>
        <v>46237.208333333336</v>
      </c>
      <c r="AU329" s="12" t="str">
        <f>IF(ISBLANK(原始输入与口径!I233),"",原始输入与口径!I233)</f>
        <v>2026-08-03_29</v>
      </c>
      <c r="AV329" s="12">
        <f>IF(ISBLANK(原始输入与口径!J233),"",原始输入与口径!J233)</f>
        <v>15</v>
      </c>
      <c r="AW329" s="12" t="str">
        <f>IF(ISBLANK(原始输入与口径!BB233),"",原始输入与口径!BB233)</f>
        <v>OK</v>
      </c>
      <c r="AX329" s="12">
        <f>原始输入与口径!CI233</f>
        <v>128</v>
      </c>
      <c r="AY329" s="12">
        <f>原始输入与口径!BS233</f>
        <v>175</v>
      </c>
      <c r="AZ329" s="12">
        <f>原始输入与口径!BI233</f>
        <v>175</v>
      </c>
      <c r="BA329" s="12">
        <f>原始输入与口径!CM233</f>
        <v>40</v>
      </c>
      <c r="BB329" s="12">
        <f>原始输入与口径!BV233</f>
        <v>24</v>
      </c>
      <c r="BC329" s="12">
        <f>原始输入与口径!BL233</f>
        <v>24</v>
      </c>
      <c r="BD329" s="14">
        <f>46236</f>
        <v>46236</v>
      </c>
      <c r="BE329" s="1" t="str">
        <f t="shared" ref="BE329:BE392" si="130">IF(K329=0,"零头寸，无结算现金",TEXT(K329,"0.000000")&amp;" MW × "&amp;TEXT(B329,"0.000000")&amp;" × "&amp;TEXT(AC329,"0.000000")&amp;" h = "&amp;TEXT(Q329,"0.000000")&amp;" EUR")</f>
        <v>零头寸，无结算现金</v>
      </c>
      <c r="BF329" s="1" t="str">
        <f t="shared" ref="BF329:BF392" si="131">IF(L329=0,"零头寸，无结算现金",TEXT(L329,"0.000000")&amp;" MW × "&amp;TEXT(C329,"0.000000")&amp;" × "&amp;TEXT(AC329,"0.000000")&amp;" h = "&amp;TEXT(R329,"0.000000")&amp;" EUR")</f>
        <v>40.000000 MW × 66.224535 × 0.250000 h = 662.245345 EUR</v>
      </c>
      <c r="BG329" s="1" t="str">
        <f t="shared" ref="BG329:BG392" si="132">IF(M329=0,"零头寸，无结算现金",TEXT(M329,"0.000000")&amp;" MW × "&amp;TEXT(D329,"0.000000")&amp;" × "&amp;TEXT(AC329,"0.000000")&amp;" h = "&amp;TEXT(S329,"0.000000")&amp;" EUR")</f>
        <v>24.000000 MW × 6.681531 × 0.250000 h = 40.089189 EUR</v>
      </c>
      <c r="BH329" s="1" t="str">
        <f t="shared" ref="BH329:BH392" si="133">IF(N329=0,"零头寸，无结算现金",TEXT(N329,"0.000000")&amp;" MW × "&amp;TEXT(E329,"0.000000")&amp;" × "&amp;TEXT(AC329,"0.000000")&amp;" h = "&amp;TEXT(T329,"0.000000")&amp;" EUR")</f>
        <v>24.000000 MW × 2.628018 × 0.250000 h = 15.768109 EUR</v>
      </c>
      <c r="BI329" s="1" t="str">
        <f t="shared" ref="BI329:BI392" si="134">IF(O329=0,"零上调激活电量",TEXT(O329,"0.000000")&amp;" MWh × "&amp;TEXT(F329,"0.000000")&amp;" = "&amp;TEXT(U329,"0.000000")&amp;" EUR")</f>
        <v>0.026194 MWh × 158.545728 = 4.152992 EUR</v>
      </c>
      <c r="BJ329" s="1" t="str">
        <f t="shared" ref="BJ329:BJ392" si="135">IF(P329=0,"零下调激活电量","−("&amp;TEXT(P329,"0.000000")&amp;" MWh × "&amp;TEXT(G329,"0.000000")&amp;") = "&amp;TEXT(V329,"0.000000")&amp;" EUR")</f>
        <v>−(0.159634 MWh × 62.249728) = -9.937191 EUR</v>
      </c>
      <c r="BK329" s="1" t="str">
        <f t="shared" ref="BK329:BK392" si="136">TEXT(Q329,"0.000000")&amp;" + "&amp;TEXT(R329,"0.000000")&amp;" + "&amp;TEXT(S329,"0.000000")&amp;" + "&amp;TEXT(T329,"0.000000")&amp;" + "&amp;TEXT(U329,"0.000000")&amp;" + "&amp;TEXT(V329,"0.000000")&amp;" = "&amp;TEXT(W329,"0.000000")&amp;" EUR"</f>
        <v>0.000000 + 662.245345 + 40.089189 + 15.768109 + 4.152992 + -9.937191 = 712.318444 EUR</v>
      </c>
    </row>
    <row r="330" spans="1:63" ht="21" customHeight="1" x14ac:dyDescent="0.45">
      <c r="A330" s="13">
        <f>原始输入与口径!C234</f>
        <v>46237.34375</v>
      </c>
      <c r="B330" s="15">
        <f>IF(ISNUMBER(原始输入与口径!H234),原始输入与口径!H234,"缺失")</f>
        <v>167.23</v>
      </c>
      <c r="C330" s="15">
        <f>IF(ISNUMBER(原始输入与口径!R234),原始输入与口径!R234,"缺失")</f>
        <v>66.224534522516336</v>
      </c>
      <c r="D330" s="15">
        <f>IF(ISNUMBER(原始输入与口径!W234),原始输入与口径!W234,"缺失")</f>
        <v>6.6815314542717212</v>
      </c>
      <c r="E330" s="15">
        <f>IF(ISNUMBER(原始输入与口径!AB234),原始输入与口径!AB234,"缺失")</f>
        <v>2.6280182188935259</v>
      </c>
      <c r="F330" s="15">
        <f>IF(ISNUMBER(原始输入与口径!AG234),原始输入与口径!AG234,"缺失")</f>
        <v>0</v>
      </c>
      <c r="G330" s="15">
        <f>IF(ISNUMBER(原始输入与口径!AJ234),原始输入与口径!AJ234,"缺失")</f>
        <v>37.845939816667617</v>
      </c>
      <c r="H330" s="15" t="str">
        <f t="shared" si="115"/>
        <v>未模拟</v>
      </c>
      <c r="I330" s="16">
        <f>原始输入与口径!CD234</f>
        <v>31.857521927950284</v>
      </c>
      <c r="J330" s="16">
        <f>原始输入与口径!CE234</f>
        <v>33.114063185093144</v>
      </c>
      <c r="K330" s="16">
        <f>原始输入与口径!BZ234</f>
        <v>0</v>
      </c>
      <c r="L330" s="16">
        <f>原始输入与口径!CK234</f>
        <v>40</v>
      </c>
      <c r="M330" s="16">
        <f>原始输入与口径!BT234</f>
        <v>24</v>
      </c>
      <c r="N330" s="16">
        <f>原始输入与口径!BJ234</f>
        <v>24</v>
      </c>
      <c r="O330" s="16">
        <f t="shared" si="116"/>
        <v>0</v>
      </c>
      <c r="P330" s="16">
        <f t="shared" si="117"/>
        <v>1.3658057142857143</v>
      </c>
      <c r="Q330" s="17">
        <f t="shared" si="118"/>
        <v>0</v>
      </c>
      <c r="R330" s="17">
        <f t="shared" si="119"/>
        <v>662.24534522516342</v>
      </c>
      <c r="S330" s="17">
        <f t="shared" si="120"/>
        <v>40.089188725630329</v>
      </c>
      <c r="T330" s="17">
        <f t="shared" si="121"/>
        <v>15.768109313361155</v>
      </c>
      <c r="U330" s="17">
        <f t="shared" si="122"/>
        <v>0</v>
      </c>
      <c r="V330" s="17">
        <f t="shared" si="123"/>
        <v>-51.69020086411787</v>
      </c>
      <c r="W330" s="17">
        <f t="shared" si="124"/>
        <v>666.41244240003709</v>
      </c>
      <c r="X330" s="12">
        <f>原始输入与口径!CP234</f>
        <v>666.41244240003698</v>
      </c>
      <c r="Y330" s="19">
        <f t="shared" si="125"/>
        <v>0</v>
      </c>
      <c r="Z330" s="12" t="str">
        <f t="shared" si="126"/>
        <v>次日冻结计划复原</v>
      </c>
      <c r="AA330" s="12">
        <f>IF(原始输入与口径!AW234,1,0)</f>
        <v>1</v>
      </c>
      <c r="AB330" s="12">
        <f>IF(原始输入与口径!AY234,1,0)</f>
        <v>1</v>
      </c>
      <c r="AC330" s="12">
        <f>原始输入与口径!$F$5</f>
        <v>0.25</v>
      </c>
      <c r="AD330" s="18">
        <f>原始输入与口径!CG234</f>
        <v>0.3125</v>
      </c>
      <c r="AE330" s="18">
        <f>原始输入与口径!BQ234</f>
        <v>0.13714285714285715</v>
      </c>
      <c r="AF330" s="18">
        <f t="shared" si="127"/>
        <v>0</v>
      </c>
      <c r="AG330" s="18">
        <f t="shared" si="128"/>
        <v>0.22763428571428571</v>
      </c>
      <c r="AH330" s="12">
        <f>IF(ISNUMBER(原始输入与口径!T234),原始输入与口径!T234,"缺失")</f>
        <v>175</v>
      </c>
      <c r="AI330" s="12">
        <f>IF(ISNUMBER(原始输入与口径!Y234),原始输入与口径!Y234,"缺失")</f>
        <v>175</v>
      </c>
      <c r="AJ330" s="12">
        <f>IF(ISNUMBER(原始输入与口径!AI234),原始输入与口径!AI234,"缺失")</f>
        <v>0</v>
      </c>
      <c r="AK330" s="12">
        <f>IF(ISNUMBER(原始输入与口径!AL234),原始输入与口径!AL234,"缺失")</f>
        <v>9.9589999999999996</v>
      </c>
      <c r="AL330" s="12">
        <f>IF(ISNUMBER(原始输入与口径!O234),原始输入与口径!O234,"缺失")</f>
        <v>128</v>
      </c>
      <c r="AM330" s="12">
        <f>SUMIFS(相位SOC复算!$N$9:$N$929,相位SOC复算!$S$9:$S$929,322)</f>
        <v>3.4903923809523809E-3</v>
      </c>
      <c r="AN330" s="12">
        <f>SUMIFS(相位SOC复算!$Q$9:$Q$929,相位SOC复算!$S$9:$S$929,322)</f>
        <v>1.3658057142857143</v>
      </c>
      <c r="AO330" s="12">
        <f>SUMIFS(相位SOC复算!$R$9:$R$929,相位SOC复算!$S$9:$S$929,322)</f>
        <v>0</v>
      </c>
      <c r="AP330" s="12">
        <f>相位SOC复算!J790</f>
        <v>33.114063185093158</v>
      </c>
      <c r="AQ330" s="19">
        <f t="shared" si="129"/>
        <v>0</v>
      </c>
      <c r="AR330" s="12">
        <f>IF(ISBLANK(原始输入与口径!M234),"",原始输入与口径!M234)</f>
        <v>5.2473000000000001</v>
      </c>
      <c r="AS330" s="14">
        <f>IF(ISBLANK(原始输入与口径!L234),"",原始输入与口径!L234)</f>
        <v>46234</v>
      </c>
      <c r="AT330" s="13">
        <f>IF(ISBLANK(原始输入与口径!A234),"",原始输入与口径!A234)</f>
        <v>46237.21875</v>
      </c>
      <c r="AU330" s="12" t="str">
        <f>IF(ISBLANK(原始输入与口径!I234),"",原始输入与口径!I234)</f>
        <v>2026-08-03_30</v>
      </c>
      <c r="AV330" s="12">
        <f>IF(ISBLANK(原始输入与口径!J234),"",原始输入与口径!J234)</f>
        <v>15</v>
      </c>
      <c r="AW330" s="12" t="str">
        <f>IF(ISBLANK(原始输入与口径!BB234),"",原始输入与口径!BB234)</f>
        <v>OK</v>
      </c>
      <c r="AX330" s="12">
        <f>原始输入与口径!CI234</f>
        <v>128</v>
      </c>
      <c r="AY330" s="12">
        <f>原始输入与口径!BS234</f>
        <v>175</v>
      </c>
      <c r="AZ330" s="12">
        <f>原始输入与口径!BI234</f>
        <v>175</v>
      </c>
      <c r="BA330" s="12">
        <f>原始输入与口径!CM234</f>
        <v>40</v>
      </c>
      <c r="BB330" s="12">
        <f>原始输入与口径!BV234</f>
        <v>24</v>
      </c>
      <c r="BC330" s="12">
        <f>原始输入与口径!BL234</f>
        <v>24</v>
      </c>
      <c r="BD330" s="14">
        <f>46236</f>
        <v>46236</v>
      </c>
      <c r="BE330" s="1" t="str">
        <f t="shared" si="130"/>
        <v>零头寸，无结算现金</v>
      </c>
      <c r="BF330" s="1" t="str">
        <f t="shared" si="131"/>
        <v>40.000000 MW × 66.224535 × 0.250000 h = 662.245345 EUR</v>
      </c>
      <c r="BG330" s="1" t="str">
        <f t="shared" si="132"/>
        <v>24.000000 MW × 6.681531 × 0.250000 h = 40.089189 EUR</v>
      </c>
      <c r="BH330" s="1" t="str">
        <f t="shared" si="133"/>
        <v>24.000000 MW × 2.628018 × 0.250000 h = 15.768109 EUR</v>
      </c>
      <c r="BI330" s="1" t="str">
        <f t="shared" si="134"/>
        <v>零上调激活电量</v>
      </c>
      <c r="BJ330" s="1" t="str">
        <f t="shared" si="135"/>
        <v>−(1.365806 MWh × 37.845940) = -51.690201 EUR</v>
      </c>
      <c r="BK330" s="1" t="str">
        <f t="shared" si="136"/>
        <v>0.000000 + 662.245345 + 40.089189 + 15.768109 + 0.000000 + -51.690201 = 666.412442 EUR</v>
      </c>
    </row>
    <row r="331" spans="1:63" ht="21" customHeight="1" x14ac:dyDescent="0.45">
      <c r="A331" s="13">
        <f>原始输入与口径!C235</f>
        <v>46237.354166666664</v>
      </c>
      <c r="B331" s="15">
        <f>IF(ISNUMBER(原始输入与口径!H235),原始输入与口径!H235,"缺失")</f>
        <v>161.83000000000001</v>
      </c>
      <c r="C331" s="15">
        <f>IF(ISNUMBER(原始输入与口径!R235),原始输入与口径!R235,"缺失")</f>
        <v>66.224534522516336</v>
      </c>
      <c r="D331" s="15">
        <f>IF(ISNUMBER(原始输入与口径!W235),原始输入与口径!W235,"缺失")</f>
        <v>6.6815314542717212</v>
      </c>
      <c r="E331" s="15">
        <f>IF(ISNUMBER(原始输入与口径!AB235),原始输入与口径!AB235,"缺失")</f>
        <v>2.6280182188935259</v>
      </c>
      <c r="F331" s="15">
        <f>IF(ISNUMBER(原始输入与口径!AG235),原始输入与口径!AG235,"缺失")</f>
        <v>0</v>
      </c>
      <c r="G331" s="15">
        <f>IF(ISNUMBER(原始输入与口径!AJ235),原始输入与口径!AJ235,"缺失")</f>
        <v>33.207554361290569</v>
      </c>
      <c r="H331" s="15" t="str">
        <f t="shared" si="115"/>
        <v>未模拟</v>
      </c>
      <c r="I331" s="16">
        <f>原始输入与口径!CD235</f>
        <v>33.114063185093144</v>
      </c>
      <c r="J331" s="16">
        <f>原始输入与口径!CE235</f>
        <v>35.749910499378856</v>
      </c>
      <c r="K331" s="16">
        <f>原始输入与口径!BZ235</f>
        <v>0</v>
      </c>
      <c r="L331" s="16">
        <f>原始输入与口径!CK235</f>
        <v>40</v>
      </c>
      <c r="M331" s="16">
        <f>原始输入与口径!BT235</f>
        <v>24</v>
      </c>
      <c r="N331" s="16">
        <f>原始输入与口径!BJ235</f>
        <v>24</v>
      </c>
      <c r="O331" s="16">
        <f t="shared" si="116"/>
        <v>0</v>
      </c>
      <c r="P331" s="16">
        <f t="shared" si="117"/>
        <v>2.8650514285714284</v>
      </c>
      <c r="Q331" s="17">
        <f t="shared" si="118"/>
        <v>0</v>
      </c>
      <c r="R331" s="17">
        <f t="shared" si="119"/>
        <v>662.24534522516342</v>
      </c>
      <c r="S331" s="17">
        <f t="shared" si="120"/>
        <v>40.089188725630329</v>
      </c>
      <c r="T331" s="17">
        <f t="shared" si="121"/>
        <v>15.768109313361155</v>
      </c>
      <c r="U331" s="17">
        <f t="shared" si="122"/>
        <v>0</v>
      </c>
      <c r="V331" s="17">
        <f t="shared" si="123"/>
        <v>-95.141351062178913</v>
      </c>
      <c r="W331" s="17">
        <f t="shared" si="124"/>
        <v>622.96129220197599</v>
      </c>
      <c r="X331" s="12">
        <f>原始输入与口径!CP235</f>
        <v>622.96129220197599</v>
      </c>
      <c r="Y331" s="19">
        <f t="shared" si="125"/>
        <v>0</v>
      </c>
      <c r="Z331" s="12" t="str">
        <f t="shared" si="126"/>
        <v>次日冻结计划复原</v>
      </c>
      <c r="AA331" s="12">
        <f>IF(原始输入与口径!AW235,1,0)</f>
        <v>1</v>
      </c>
      <c r="AB331" s="12">
        <f>IF(原始输入与口径!AY235,1,0)</f>
        <v>1</v>
      </c>
      <c r="AC331" s="12">
        <f>原始输入与口径!$F$5</f>
        <v>0.25</v>
      </c>
      <c r="AD331" s="18">
        <f>原始输入与口径!CG235</f>
        <v>0.3125</v>
      </c>
      <c r="AE331" s="18">
        <f>原始输入与口径!BQ235</f>
        <v>0.13714285714285715</v>
      </c>
      <c r="AF331" s="18">
        <f t="shared" si="127"/>
        <v>0</v>
      </c>
      <c r="AG331" s="18">
        <f t="shared" si="128"/>
        <v>0.47750857142857139</v>
      </c>
      <c r="AH331" s="12">
        <f>IF(ISNUMBER(原始输入与口径!T235),原始输入与口径!T235,"缺失")</f>
        <v>175</v>
      </c>
      <c r="AI331" s="12">
        <f>IF(ISNUMBER(原始输入与口径!Y235),原始输入与口径!Y235,"缺失")</f>
        <v>175</v>
      </c>
      <c r="AJ331" s="12">
        <f>IF(ISNUMBER(原始输入与口径!AI235),原始输入与口径!AI235,"缺失")</f>
        <v>0</v>
      </c>
      <c r="AK331" s="12">
        <f>IF(ISNUMBER(原始输入与口径!AL235),原始输入与口径!AL235,"缺失")</f>
        <v>20.890999999999998</v>
      </c>
      <c r="AL331" s="12">
        <f>IF(ISNUMBER(原始输入与口径!O235),原始输入与口径!O235,"缺失")</f>
        <v>128</v>
      </c>
      <c r="AM331" s="12">
        <f>SUMIFS(相位SOC复算!$N$9:$N$929,相位SOC复算!$S$9:$S$929,323)</f>
        <v>7.3217980952380952E-3</v>
      </c>
      <c r="AN331" s="12">
        <f>SUMIFS(相位SOC复算!$Q$9:$Q$929,相位SOC复算!$S$9:$S$929,323)</f>
        <v>2.8650514285714284</v>
      </c>
      <c r="AO331" s="12">
        <f>SUMIFS(相位SOC复算!$R$9:$R$929,相位SOC复算!$S$9:$S$929,323)</f>
        <v>0</v>
      </c>
      <c r="AP331" s="12">
        <f>相位SOC复算!J792</f>
        <v>35.749910499378871</v>
      </c>
      <c r="AQ331" s="19">
        <f t="shared" si="129"/>
        <v>0</v>
      </c>
      <c r="AR331" s="12">
        <f>IF(ISBLANK(原始输入与口径!M235),"",原始输入与口径!M235)</f>
        <v>5.2473000000000001</v>
      </c>
      <c r="AS331" s="14">
        <f>IF(ISBLANK(原始输入与口径!L235),"",原始输入与口径!L235)</f>
        <v>46234</v>
      </c>
      <c r="AT331" s="13">
        <f>IF(ISBLANK(原始输入与口径!A235),"",原始输入与口径!A235)</f>
        <v>46237.229166666664</v>
      </c>
      <c r="AU331" s="12" t="str">
        <f>IF(ISBLANK(原始输入与口径!I235),"",原始输入与口径!I235)</f>
        <v>2026-08-03_31</v>
      </c>
      <c r="AV331" s="12">
        <f>IF(ISBLANK(原始输入与口径!J235),"",原始输入与口径!J235)</f>
        <v>15</v>
      </c>
      <c r="AW331" s="12" t="str">
        <f>IF(ISBLANK(原始输入与口径!BB235),"",原始输入与口径!BB235)</f>
        <v>OK</v>
      </c>
      <c r="AX331" s="12">
        <f>原始输入与口径!CI235</f>
        <v>128</v>
      </c>
      <c r="AY331" s="12">
        <f>原始输入与口径!BS235</f>
        <v>175</v>
      </c>
      <c r="AZ331" s="12">
        <f>原始输入与口径!BI235</f>
        <v>175</v>
      </c>
      <c r="BA331" s="12">
        <f>原始输入与口径!CM235</f>
        <v>40</v>
      </c>
      <c r="BB331" s="12">
        <f>原始输入与口径!BV235</f>
        <v>24</v>
      </c>
      <c r="BC331" s="12">
        <f>原始输入与口径!BL235</f>
        <v>24</v>
      </c>
      <c r="BD331" s="14">
        <f>46236</f>
        <v>46236</v>
      </c>
      <c r="BE331" s="1" t="str">
        <f t="shared" si="130"/>
        <v>零头寸，无结算现金</v>
      </c>
      <c r="BF331" s="1" t="str">
        <f t="shared" si="131"/>
        <v>40.000000 MW × 66.224535 × 0.250000 h = 662.245345 EUR</v>
      </c>
      <c r="BG331" s="1" t="str">
        <f t="shared" si="132"/>
        <v>24.000000 MW × 6.681531 × 0.250000 h = 40.089189 EUR</v>
      </c>
      <c r="BH331" s="1" t="str">
        <f t="shared" si="133"/>
        <v>24.000000 MW × 2.628018 × 0.250000 h = 15.768109 EUR</v>
      </c>
      <c r="BI331" s="1" t="str">
        <f t="shared" si="134"/>
        <v>零上调激活电量</v>
      </c>
      <c r="BJ331" s="1" t="str">
        <f t="shared" si="135"/>
        <v>−(2.865051 MWh × 33.207554) = -95.141351 EUR</v>
      </c>
      <c r="BK331" s="1" t="str">
        <f t="shared" si="136"/>
        <v>0.000000 + 662.245345 + 40.089189 + 15.768109 + 0.000000 + -95.141351 = 622.961292 EUR</v>
      </c>
    </row>
    <row r="332" spans="1:63" ht="21" customHeight="1" x14ac:dyDescent="0.45">
      <c r="A332" s="13">
        <f>原始输入与口径!C236</f>
        <v>46237.364583333336</v>
      </c>
      <c r="B332" s="15">
        <f>IF(ISNUMBER(原始输入与口径!H236),原始输入与口径!H236,"缺失")</f>
        <v>155.63</v>
      </c>
      <c r="C332" s="15">
        <f>IF(ISNUMBER(原始输入与口径!R236),原始输入与口径!R236,"缺失")</f>
        <v>66.224534522516336</v>
      </c>
      <c r="D332" s="15">
        <f>IF(ISNUMBER(原始输入与口径!W236),原始输入与口径!W236,"缺失")</f>
        <v>6.6815314542717212</v>
      </c>
      <c r="E332" s="15">
        <f>IF(ISNUMBER(原始输入与口径!AB236),原始输入与口径!AB236,"缺失")</f>
        <v>2.6280182188935259</v>
      </c>
      <c r="F332" s="15">
        <f>IF(ISNUMBER(原始输入与口径!AG236),原始输入与口径!AG236,"缺失")</f>
        <v>0</v>
      </c>
      <c r="G332" s="15">
        <f>IF(ISNUMBER(原始输入与口径!AJ236),原始输入与口径!AJ236,"缺失")</f>
        <v>57.459455338936216</v>
      </c>
      <c r="H332" s="15" t="str">
        <f t="shared" si="115"/>
        <v>未模拟</v>
      </c>
      <c r="I332" s="16">
        <f>原始输入与口径!CD236</f>
        <v>35.749910499378856</v>
      </c>
      <c r="J332" s="16">
        <f>原始输入与口径!CE236</f>
        <v>36.56989861366457</v>
      </c>
      <c r="K332" s="16">
        <f>原始输入与口径!BZ236</f>
        <v>0</v>
      </c>
      <c r="L332" s="16">
        <f>原始输入与口径!CK236</f>
        <v>40</v>
      </c>
      <c r="M332" s="16">
        <f>原始输入与口径!BT236</f>
        <v>24</v>
      </c>
      <c r="N332" s="16">
        <f>原始输入与口径!BJ236</f>
        <v>24</v>
      </c>
      <c r="O332" s="16">
        <f t="shared" si="116"/>
        <v>0</v>
      </c>
      <c r="P332" s="16">
        <f t="shared" si="117"/>
        <v>0.89129142857142851</v>
      </c>
      <c r="Q332" s="17">
        <f t="shared" si="118"/>
        <v>0</v>
      </c>
      <c r="R332" s="17">
        <f t="shared" si="119"/>
        <v>662.24534522516342</v>
      </c>
      <c r="S332" s="17">
        <f t="shared" si="120"/>
        <v>40.089188725630329</v>
      </c>
      <c r="T332" s="17">
        <f t="shared" si="121"/>
        <v>15.768109313361155</v>
      </c>
      <c r="U332" s="17">
        <f t="shared" si="122"/>
        <v>0</v>
      </c>
      <c r="V332" s="17">
        <f t="shared" si="123"/>
        <v>-51.213120033976658</v>
      </c>
      <c r="W332" s="17">
        <f t="shared" si="124"/>
        <v>666.88952323017827</v>
      </c>
      <c r="X332" s="12">
        <f>原始输入与口径!CP236</f>
        <v>666.88952323017827</v>
      </c>
      <c r="Y332" s="19">
        <f t="shared" si="125"/>
        <v>0</v>
      </c>
      <c r="Z332" s="12" t="str">
        <f t="shared" si="126"/>
        <v>次日冻结计划复原</v>
      </c>
      <c r="AA332" s="12">
        <f>IF(原始输入与口径!AW236,1,0)</f>
        <v>1</v>
      </c>
      <c r="AB332" s="12">
        <f>IF(原始输入与口径!AY236,1,0)</f>
        <v>1</v>
      </c>
      <c r="AC332" s="12">
        <f>原始输入与口径!$F$5</f>
        <v>0.25</v>
      </c>
      <c r="AD332" s="18">
        <f>原始输入与口径!CG236</f>
        <v>0.3125</v>
      </c>
      <c r="AE332" s="18">
        <f>原始输入与口径!BQ236</f>
        <v>0.13714285714285715</v>
      </c>
      <c r="AF332" s="18">
        <f t="shared" si="127"/>
        <v>0</v>
      </c>
      <c r="AG332" s="18">
        <f t="shared" si="128"/>
        <v>0.14854857142857142</v>
      </c>
      <c r="AH332" s="12">
        <f>IF(ISNUMBER(原始输入与口径!T236),原始输入与口径!T236,"缺失")</f>
        <v>175</v>
      </c>
      <c r="AI332" s="12">
        <f>IF(ISNUMBER(原始输入与口径!Y236),原始输入与口径!Y236,"缺失")</f>
        <v>175</v>
      </c>
      <c r="AJ332" s="12">
        <f>IF(ISNUMBER(原始输入与口径!AI236),原始输入与口径!AI236,"缺失")</f>
        <v>0</v>
      </c>
      <c r="AK332" s="12">
        <f>IF(ISNUMBER(原始输入与口径!AL236),原始输入与口径!AL236,"缺失")</f>
        <v>6.4989999999999997</v>
      </c>
      <c r="AL332" s="12">
        <f>IF(ISNUMBER(原始输入与口径!O236),原始输入与口径!O236,"缺失")</f>
        <v>128</v>
      </c>
      <c r="AM332" s="12">
        <f>SUMIFS(相位SOC复算!$N$9:$N$929,相位SOC复算!$S$9:$S$929,324)</f>
        <v>2.2777447619047619E-3</v>
      </c>
      <c r="AN332" s="12">
        <f>SUMIFS(相位SOC复算!$Q$9:$Q$929,相位SOC复算!$S$9:$S$929,324)</f>
        <v>0.89129142857142851</v>
      </c>
      <c r="AO332" s="12">
        <f>SUMIFS(相位SOC复算!$R$9:$R$929,相位SOC复算!$S$9:$S$929,324)</f>
        <v>0</v>
      </c>
      <c r="AP332" s="12">
        <f>相位SOC复算!J794</f>
        <v>36.569898613664584</v>
      </c>
      <c r="AQ332" s="19">
        <f t="shared" si="129"/>
        <v>0</v>
      </c>
      <c r="AR332" s="12">
        <f>IF(ISBLANK(原始输入与口径!M236),"",原始输入与口径!M236)</f>
        <v>5.2473000000000001</v>
      </c>
      <c r="AS332" s="14">
        <f>IF(ISBLANK(原始输入与口径!L236),"",原始输入与口径!L236)</f>
        <v>46234</v>
      </c>
      <c r="AT332" s="13">
        <f>IF(ISBLANK(原始输入与口径!A236),"",原始输入与口径!A236)</f>
        <v>46237.239583333336</v>
      </c>
      <c r="AU332" s="12" t="str">
        <f>IF(ISBLANK(原始输入与口径!I236),"",原始输入与口径!I236)</f>
        <v>2026-08-03_32</v>
      </c>
      <c r="AV332" s="12">
        <f>IF(ISBLANK(原始输入与口径!J236),"",原始输入与口径!J236)</f>
        <v>15</v>
      </c>
      <c r="AW332" s="12" t="str">
        <f>IF(ISBLANK(原始输入与口径!BB236),"",原始输入与口径!BB236)</f>
        <v>OK</v>
      </c>
      <c r="AX332" s="12">
        <f>原始输入与口径!CI236</f>
        <v>128</v>
      </c>
      <c r="AY332" s="12">
        <f>原始输入与口径!BS236</f>
        <v>175</v>
      </c>
      <c r="AZ332" s="12">
        <f>原始输入与口径!BI236</f>
        <v>175</v>
      </c>
      <c r="BA332" s="12">
        <f>原始输入与口径!CM236</f>
        <v>40</v>
      </c>
      <c r="BB332" s="12">
        <f>原始输入与口径!BV236</f>
        <v>24</v>
      </c>
      <c r="BC332" s="12">
        <f>原始输入与口径!BL236</f>
        <v>24</v>
      </c>
      <c r="BD332" s="14">
        <f>46236</f>
        <v>46236</v>
      </c>
      <c r="BE332" s="1" t="str">
        <f t="shared" si="130"/>
        <v>零头寸，无结算现金</v>
      </c>
      <c r="BF332" s="1" t="str">
        <f t="shared" si="131"/>
        <v>40.000000 MW × 66.224535 × 0.250000 h = 662.245345 EUR</v>
      </c>
      <c r="BG332" s="1" t="str">
        <f t="shared" si="132"/>
        <v>24.000000 MW × 6.681531 × 0.250000 h = 40.089189 EUR</v>
      </c>
      <c r="BH332" s="1" t="str">
        <f t="shared" si="133"/>
        <v>24.000000 MW × 2.628018 × 0.250000 h = 15.768109 EUR</v>
      </c>
      <c r="BI332" s="1" t="str">
        <f t="shared" si="134"/>
        <v>零上调激活电量</v>
      </c>
      <c r="BJ332" s="1" t="str">
        <f t="shared" si="135"/>
        <v>−(0.891291 MWh × 57.459455) = -51.213120 EUR</v>
      </c>
      <c r="BK332" s="1" t="str">
        <f t="shared" si="136"/>
        <v>0.000000 + 662.245345 + 40.089189 + 15.768109 + 0.000000 + -51.213120 = 666.889523 EUR</v>
      </c>
    </row>
    <row r="333" spans="1:63" ht="21" customHeight="1" x14ac:dyDescent="0.45">
      <c r="A333" s="13">
        <f>原始输入与口径!C237</f>
        <v>46237.375</v>
      </c>
      <c r="B333" s="15">
        <f>IF(ISNUMBER(原始输入与口径!H237),原始输入与口径!H237,"缺失")</f>
        <v>167.27</v>
      </c>
      <c r="C333" s="15">
        <f>IF(ISNUMBER(原始输入与口径!R237),原始输入与口径!R237,"缺失")</f>
        <v>66.224534522516336</v>
      </c>
      <c r="D333" s="15">
        <f>IF(ISNUMBER(原始输入与口径!W237),原始输入与口径!W237,"缺失")</f>
        <v>7.1541554704324124</v>
      </c>
      <c r="E333" s="15">
        <f>IF(ISNUMBER(原始输入与口径!AB237),原始输入与口径!AB237,"缺失")</f>
        <v>2.3250052407905017</v>
      </c>
      <c r="F333" s="15">
        <f>IF(ISNUMBER(原始输入与口径!AG237),原始输入与口径!AG237,"缺失")</f>
        <v>180.59954643340384</v>
      </c>
      <c r="G333" s="15">
        <f>IF(ISNUMBER(原始输入与口径!AJ237),原始输入与口径!AJ237,"缺失")</f>
        <v>76.229680025918086</v>
      </c>
      <c r="H333" s="15" t="str">
        <f t="shared" si="115"/>
        <v>未模拟</v>
      </c>
      <c r="I333" s="16">
        <f>原始输入与口径!CD237</f>
        <v>36.56989861366457</v>
      </c>
      <c r="J333" s="16">
        <f>原始输入与口径!CE237</f>
        <v>34.935020521739105</v>
      </c>
      <c r="K333" s="16">
        <f>原始输入与口径!BZ237</f>
        <v>0</v>
      </c>
      <c r="L333" s="16">
        <f>原始输入与口径!CK237</f>
        <v>40</v>
      </c>
      <c r="M333" s="16">
        <f>原始输入与口径!BT237</f>
        <v>24</v>
      </c>
      <c r="N333" s="16">
        <f>原始输入与口径!BJ237</f>
        <v>24</v>
      </c>
      <c r="O333" s="16">
        <f t="shared" si="116"/>
        <v>1.5043199999999999</v>
      </c>
      <c r="P333" s="16">
        <f t="shared" si="117"/>
        <v>2.7428571428571432E-4</v>
      </c>
      <c r="Q333" s="17">
        <f t="shared" si="118"/>
        <v>0</v>
      </c>
      <c r="R333" s="17">
        <f t="shared" si="119"/>
        <v>662.24534522516342</v>
      </c>
      <c r="S333" s="17">
        <f t="shared" si="120"/>
        <v>42.924932822594471</v>
      </c>
      <c r="T333" s="17">
        <f t="shared" si="121"/>
        <v>13.950031444743011</v>
      </c>
      <c r="U333" s="17">
        <f t="shared" si="122"/>
        <v>271.67950969069807</v>
      </c>
      <c r="V333" s="17">
        <f t="shared" si="123"/>
        <v>-2.0908712235680391E-2</v>
      </c>
      <c r="W333" s="17">
        <f t="shared" si="124"/>
        <v>990.77891047096318</v>
      </c>
      <c r="X333" s="12">
        <f>原始输入与口径!CP237</f>
        <v>990.7789104709633</v>
      </c>
      <c r="Y333" s="19">
        <f t="shared" si="125"/>
        <v>0</v>
      </c>
      <c r="Z333" s="12" t="str">
        <f t="shared" si="126"/>
        <v>次日冻结计划复原</v>
      </c>
      <c r="AA333" s="12">
        <f>IF(原始输入与口径!AW237,1,0)</f>
        <v>1</v>
      </c>
      <c r="AB333" s="12">
        <f>IF(原始输入与口径!AY237,1,0)</f>
        <v>1</v>
      </c>
      <c r="AC333" s="12">
        <f>原始输入与口径!$F$5</f>
        <v>0.25</v>
      </c>
      <c r="AD333" s="18">
        <f>原始输入与口径!CG237</f>
        <v>0.3125</v>
      </c>
      <c r="AE333" s="18">
        <f>原始输入与口径!BQ237</f>
        <v>0.13714285714285715</v>
      </c>
      <c r="AF333" s="18">
        <f t="shared" si="127"/>
        <v>0.25072</v>
      </c>
      <c r="AG333" s="18">
        <f t="shared" si="128"/>
        <v>4.5714285714285716E-5</v>
      </c>
      <c r="AH333" s="12">
        <f>IF(ISNUMBER(原始输入与口径!T237),原始输入与口径!T237,"缺失")</f>
        <v>175</v>
      </c>
      <c r="AI333" s="12">
        <f>IF(ISNUMBER(原始输入与口径!Y237),原始输入与口径!Y237,"缺失")</f>
        <v>175</v>
      </c>
      <c r="AJ333" s="12">
        <f>IF(ISNUMBER(原始输入与口径!AI237),原始输入与口径!AI237,"缺失")</f>
        <v>10.968999999999999</v>
      </c>
      <c r="AK333" s="12">
        <f>IF(ISNUMBER(原始输入与口径!AL237),原始输入与口径!AL237,"缺失")</f>
        <v>2E-3</v>
      </c>
      <c r="AL333" s="12">
        <f>IF(ISNUMBER(原始输入与口径!O237),原始输入与口径!O237,"缺失")</f>
        <v>91.903999999999996</v>
      </c>
      <c r="AM333" s="12">
        <f>SUMIFS(相位SOC复算!$N$9:$N$929,相位SOC复算!$S$9:$S$929,325)</f>
        <v>4.5427299378881982E-3</v>
      </c>
      <c r="AN333" s="12">
        <f>SUMIFS(相位SOC复算!$Q$9:$Q$929,相位SOC复算!$S$9:$S$929,325)</f>
        <v>2.7428571428571432E-4</v>
      </c>
      <c r="AO333" s="12">
        <f>SUMIFS(相位SOC复算!$R$9:$R$929,相位SOC复算!$S$9:$S$929,325)</f>
        <v>1.5043199999999999</v>
      </c>
      <c r="AP333" s="12">
        <f>相位SOC复算!J797</f>
        <v>34.935020521739119</v>
      </c>
      <c r="AQ333" s="19">
        <f t="shared" si="129"/>
        <v>0</v>
      </c>
      <c r="AR333" s="12">
        <f>IF(ISBLANK(原始输入与口径!M237),"",原始输入与口径!M237)</f>
        <v>5.2473000000000001</v>
      </c>
      <c r="AS333" s="14">
        <f>IF(ISBLANK(原始输入与口径!L237),"",原始输入与口径!L237)</f>
        <v>46234</v>
      </c>
      <c r="AT333" s="13">
        <f>IF(ISBLANK(原始输入与口径!A237),"",原始输入与口径!A237)</f>
        <v>46237.25</v>
      </c>
      <c r="AU333" s="12" t="str">
        <f>IF(ISBLANK(原始输入与口径!I237),"",原始输入与口径!I237)</f>
        <v>2026-08-03_33</v>
      </c>
      <c r="AV333" s="12">
        <f>IF(ISBLANK(原始输入与口径!J237),"",原始输入与口径!J237)</f>
        <v>15</v>
      </c>
      <c r="AW333" s="12" t="str">
        <f>IF(ISBLANK(原始输入与口径!BB237),"",原始输入与口径!BB237)</f>
        <v>OK</v>
      </c>
      <c r="AX333" s="12">
        <f>原始输入与口径!CI237</f>
        <v>128</v>
      </c>
      <c r="AY333" s="12">
        <f>原始输入与口径!BS237</f>
        <v>175</v>
      </c>
      <c r="AZ333" s="12">
        <f>原始输入与口径!BI237</f>
        <v>175</v>
      </c>
      <c r="BA333" s="12">
        <f>原始输入与口径!CM237</f>
        <v>40</v>
      </c>
      <c r="BB333" s="12">
        <f>原始输入与口径!BV237</f>
        <v>24</v>
      </c>
      <c r="BC333" s="12">
        <f>原始输入与口径!BL237</f>
        <v>24</v>
      </c>
      <c r="BD333" s="14">
        <f>46236</f>
        <v>46236</v>
      </c>
      <c r="BE333" s="1" t="str">
        <f t="shared" si="130"/>
        <v>零头寸，无结算现金</v>
      </c>
      <c r="BF333" s="1" t="str">
        <f t="shared" si="131"/>
        <v>40.000000 MW × 66.224535 × 0.250000 h = 662.245345 EUR</v>
      </c>
      <c r="BG333" s="1" t="str">
        <f t="shared" si="132"/>
        <v>24.000000 MW × 7.154155 × 0.250000 h = 42.924933 EUR</v>
      </c>
      <c r="BH333" s="1" t="str">
        <f t="shared" si="133"/>
        <v>24.000000 MW × 2.325005 × 0.250000 h = 13.950031 EUR</v>
      </c>
      <c r="BI333" s="1" t="str">
        <f t="shared" si="134"/>
        <v>1.504320 MWh × 180.599546 = 271.679510 EUR</v>
      </c>
      <c r="BJ333" s="1" t="str">
        <f t="shared" si="135"/>
        <v>−(0.000274 MWh × 76.229680) = -0.020909 EUR</v>
      </c>
      <c r="BK333" s="1" t="str">
        <f t="shared" si="136"/>
        <v>0.000000 + 662.245345 + 42.924933 + 13.950031 + 271.679510 + -0.020909 = 990.778910 EUR</v>
      </c>
    </row>
    <row r="334" spans="1:63" ht="21" customHeight="1" x14ac:dyDescent="0.45">
      <c r="A334" s="13">
        <f>原始输入与口径!C238</f>
        <v>46237.385416666664</v>
      </c>
      <c r="B334" s="15">
        <f>IF(ISNUMBER(原始输入与口径!H238),原始输入与口径!H238,"缺失")</f>
        <v>156.94999999999999</v>
      </c>
      <c r="C334" s="15">
        <f>IF(ISNUMBER(原始输入与口径!R238),原始输入与口径!R238,"缺失")</f>
        <v>66.224534522516336</v>
      </c>
      <c r="D334" s="15">
        <f>IF(ISNUMBER(原始输入与口径!W238),原始输入与口径!W238,"缺失")</f>
        <v>7.1541554704324124</v>
      </c>
      <c r="E334" s="15">
        <f>IF(ISNUMBER(原始输入与口径!AB238),原始输入与口径!AB238,"缺失")</f>
        <v>2.3250052407905017</v>
      </c>
      <c r="F334" s="15">
        <f>IF(ISNUMBER(原始输入与口径!AG238),原始输入与口径!AG238,"缺失")</f>
        <v>172.22228574695558</v>
      </c>
      <c r="G334" s="15">
        <f>IF(ISNUMBER(原始输入与口径!AJ238),原始输入与口径!AJ238,"缺失")</f>
        <v>0</v>
      </c>
      <c r="H334" s="15" t="str">
        <f t="shared" si="115"/>
        <v>未模拟</v>
      </c>
      <c r="I334" s="16">
        <f>原始输入与口径!CD238</f>
        <v>34.935020521739105</v>
      </c>
      <c r="J334" s="16">
        <f>原始输入与口径!CE238</f>
        <v>33.409972651540492</v>
      </c>
      <c r="K334" s="16">
        <f>原始输入与口径!BZ238</f>
        <v>-1.7882285719252473</v>
      </c>
      <c r="L334" s="16">
        <f>原始输入与口径!CK238</f>
        <v>40</v>
      </c>
      <c r="M334" s="16">
        <f>原始输入与口径!BT238</f>
        <v>24</v>
      </c>
      <c r="N334" s="16">
        <f>原始输入与口径!BJ238</f>
        <v>24</v>
      </c>
      <c r="O334" s="16">
        <f t="shared" si="116"/>
        <v>1.8020571428571428</v>
      </c>
      <c r="P334" s="16">
        <f t="shared" si="117"/>
        <v>0</v>
      </c>
      <c r="Q334" s="17">
        <f t="shared" si="118"/>
        <v>-70.165618590916893</v>
      </c>
      <c r="R334" s="17">
        <f t="shared" si="119"/>
        <v>662.24534522516342</v>
      </c>
      <c r="S334" s="17">
        <f t="shared" si="120"/>
        <v>42.924932822594471</v>
      </c>
      <c r="T334" s="17">
        <f t="shared" si="121"/>
        <v>13.950031444743011</v>
      </c>
      <c r="U334" s="17">
        <f t="shared" si="122"/>
        <v>310.3544001894852</v>
      </c>
      <c r="V334" s="17">
        <f t="shared" si="123"/>
        <v>0</v>
      </c>
      <c r="W334" s="17">
        <f t="shared" si="124"/>
        <v>959.30909109106915</v>
      </c>
      <c r="X334" s="12">
        <f>原始输入与口径!CP238</f>
        <v>959.30909109106926</v>
      </c>
      <c r="Y334" s="19">
        <f t="shared" si="125"/>
        <v>0</v>
      </c>
      <c r="Z334" s="12" t="str">
        <f t="shared" si="126"/>
        <v>次日冻结计划复原</v>
      </c>
      <c r="AA334" s="12">
        <f>IF(原始输入与口径!AW238,1,0)</f>
        <v>1</v>
      </c>
      <c r="AB334" s="12">
        <f>IF(原始输入与口径!AY238,1,0)</f>
        <v>1</v>
      </c>
      <c r="AC334" s="12">
        <f>原始输入与口径!$F$5</f>
        <v>0.25</v>
      </c>
      <c r="AD334" s="18">
        <f>原始输入与口径!CG238</f>
        <v>0.3125</v>
      </c>
      <c r="AE334" s="18">
        <f>原始输入与口径!BQ238</f>
        <v>0.13714285714285715</v>
      </c>
      <c r="AF334" s="18">
        <f t="shared" si="127"/>
        <v>0.30034285714285713</v>
      </c>
      <c r="AG334" s="18">
        <f t="shared" si="128"/>
        <v>0</v>
      </c>
      <c r="AH334" s="12">
        <f>IF(ISNUMBER(原始输入与口径!T238),原始输入与口径!T238,"缺失")</f>
        <v>175</v>
      </c>
      <c r="AI334" s="12">
        <f>IF(ISNUMBER(原始输入与口径!Y238),原始输入与口径!Y238,"缺失")</f>
        <v>175</v>
      </c>
      <c r="AJ334" s="12">
        <f>IF(ISNUMBER(原始输入与口径!AI238),原始输入与口径!AI238,"缺失")</f>
        <v>13.14</v>
      </c>
      <c r="AK334" s="12">
        <f>IF(ISNUMBER(原始输入与口径!AL238),原始输入与口径!AL238,"缺失")</f>
        <v>0</v>
      </c>
      <c r="AL334" s="12">
        <f>IF(ISNUMBER(原始输入与口径!O238),原始输入与口径!O238,"缺失")</f>
        <v>91.903999999999996</v>
      </c>
      <c r="AM334" s="12">
        <f>SUMIFS(相位SOC复算!$N$9:$N$929,相位SOC复算!$S$9:$S$929,326)</f>
        <v>5.8349317810184164E-3</v>
      </c>
      <c r="AN334" s="12">
        <f>SUMIFS(相位SOC复算!$Q$9:$Q$929,相位SOC复算!$S$9:$S$929,326)</f>
        <v>0.31278672335218183</v>
      </c>
      <c r="AO334" s="12">
        <f>SUMIFS(相位SOC复算!$R$9:$R$929,相位SOC复算!$S$9:$S$929,326)</f>
        <v>1.6677867232280128</v>
      </c>
      <c r="AP334" s="12">
        <f>相位SOC复算!J799</f>
        <v>33.409972651540507</v>
      </c>
      <c r="AQ334" s="19">
        <f t="shared" si="129"/>
        <v>0</v>
      </c>
      <c r="AR334" s="12">
        <f>IF(ISBLANK(原始输入与口径!M238),"",原始输入与口径!M238)</f>
        <v>5.2473000000000001</v>
      </c>
      <c r="AS334" s="14">
        <f>IF(ISBLANK(原始输入与口径!L238),"",原始输入与口径!L238)</f>
        <v>46234</v>
      </c>
      <c r="AT334" s="13">
        <f>IF(ISBLANK(原始输入与口径!A238),"",原始输入与口径!A238)</f>
        <v>46237.260416666664</v>
      </c>
      <c r="AU334" s="12" t="str">
        <f>IF(ISBLANK(原始输入与口径!I238),"",原始输入与口径!I238)</f>
        <v>2026-08-03_34</v>
      </c>
      <c r="AV334" s="12">
        <f>IF(ISBLANK(原始输入与口径!J238),"",原始输入与口径!J238)</f>
        <v>15</v>
      </c>
      <c r="AW334" s="12" t="str">
        <f>IF(ISBLANK(原始输入与口径!BB238),"",原始输入与口径!BB238)</f>
        <v>OK</v>
      </c>
      <c r="AX334" s="12">
        <f>原始输入与口径!CI238</f>
        <v>128</v>
      </c>
      <c r="AY334" s="12">
        <f>原始输入与口径!BS238</f>
        <v>175</v>
      </c>
      <c r="AZ334" s="12">
        <f>原始输入与口径!BI238</f>
        <v>175</v>
      </c>
      <c r="BA334" s="12">
        <f>原始输入与口径!CM238</f>
        <v>40</v>
      </c>
      <c r="BB334" s="12">
        <f>原始输入与口径!BV238</f>
        <v>24</v>
      </c>
      <c r="BC334" s="12">
        <f>原始输入与口径!BL238</f>
        <v>24</v>
      </c>
      <c r="BD334" s="14">
        <f>46236</f>
        <v>46236</v>
      </c>
      <c r="BE334" s="1" t="str">
        <f t="shared" si="130"/>
        <v>-1.788229 MW × 156.950000 × 0.250000 h = -70.165619 EUR</v>
      </c>
      <c r="BF334" s="1" t="str">
        <f t="shared" si="131"/>
        <v>40.000000 MW × 66.224535 × 0.250000 h = 662.245345 EUR</v>
      </c>
      <c r="BG334" s="1" t="str">
        <f t="shared" si="132"/>
        <v>24.000000 MW × 7.154155 × 0.250000 h = 42.924933 EUR</v>
      </c>
      <c r="BH334" s="1" t="str">
        <f t="shared" si="133"/>
        <v>24.000000 MW × 2.325005 × 0.250000 h = 13.950031 EUR</v>
      </c>
      <c r="BI334" s="1" t="str">
        <f t="shared" si="134"/>
        <v>1.802057 MWh × 172.222286 = 310.354400 EUR</v>
      </c>
      <c r="BJ334" s="1" t="str">
        <f t="shared" si="135"/>
        <v>零下调激活电量</v>
      </c>
      <c r="BK334" s="1" t="str">
        <f t="shared" si="136"/>
        <v>-70.165619 + 662.245345 + 42.924933 + 13.950031 + 310.354400 + 0.000000 = 959.309091 EUR</v>
      </c>
    </row>
    <row r="335" spans="1:63" ht="21" customHeight="1" x14ac:dyDescent="0.45">
      <c r="A335" s="13">
        <f>原始输入与口径!C239</f>
        <v>46237.395833333336</v>
      </c>
      <c r="B335" s="15">
        <f>IF(ISNUMBER(原始输入与口径!H239),原始输入与口径!H239,"缺失")</f>
        <v>150.22999999999999</v>
      </c>
      <c r="C335" s="15">
        <f>IF(ISNUMBER(原始输入与口径!R239),原始输入与口径!R239,"缺失")</f>
        <v>66.224534522516336</v>
      </c>
      <c r="D335" s="15">
        <f>IF(ISNUMBER(原始输入与口径!W239),原始输入与口径!W239,"缺失")</f>
        <v>7.1541554704324124</v>
      </c>
      <c r="E335" s="15">
        <f>IF(ISNUMBER(原始输入与口径!AB239),原始输入与口径!AB239,"缺失")</f>
        <v>2.3250052407905017</v>
      </c>
      <c r="F335" s="15">
        <f>IF(ISNUMBER(原始输入与口径!AG239),原始输入与口径!AG239,"缺失")</f>
        <v>207.87452594667732</v>
      </c>
      <c r="G335" s="15">
        <f>IF(ISNUMBER(原始输入与口径!AJ239),原始输入与口径!AJ239,"缺失")</f>
        <v>0</v>
      </c>
      <c r="H335" s="15" t="str">
        <f t="shared" si="115"/>
        <v>未模拟</v>
      </c>
      <c r="I335" s="16">
        <f>原始输入与口径!CD239</f>
        <v>33.409972651540492</v>
      </c>
      <c r="J335" s="16">
        <f>原始输入与口径!CE239</f>
        <v>32.890857580124205</v>
      </c>
      <c r="K335" s="16">
        <f>原始输入与口径!BZ239</f>
        <v>-8.1965928270460129</v>
      </c>
      <c r="L335" s="16">
        <f>原始输入与口径!CK239</f>
        <v>40</v>
      </c>
      <c r="M335" s="16">
        <f>原始输入与口径!BT239</f>
        <v>24</v>
      </c>
      <c r="N335" s="16">
        <f>原始输入与口径!BJ239</f>
        <v>24</v>
      </c>
      <c r="O335" s="16">
        <f t="shared" si="116"/>
        <v>2.3344457142857142</v>
      </c>
      <c r="P335" s="16">
        <f t="shared" si="117"/>
        <v>0</v>
      </c>
      <c r="Q335" s="17">
        <f t="shared" si="118"/>
        <v>-307.84353510178062</v>
      </c>
      <c r="R335" s="17">
        <f t="shared" si="119"/>
        <v>662.24534522516342</v>
      </c>
      <c r="S335" s="17">
        <f t="shared" si="120"/>
        <v>42.924932822594471</v>
      </c>
      <c r="T335" s="17">
        <f t="shared" si="121"/>
        <v>13.950031444743011</v>
      </c>
      <c r="U335" s="17">
        <f t="shared" si="122"/>
        <v>485.27179620539539</v>
      </c>
      <c r="V335" s="17">
        <f t="shared" si="123"/>
        <v>0</v>
      </c>
      <c r="W335" s="17">
        <f t="shared" si="124"/>
        <v>896.54857059611572</v>
      </c>
      <c r="X335" s="12">
        <f>原始输入与口径!CP239</f>
        <v>896.54857059611572</v>
      </c>
      <c r="Y335" s="19">
        <f t="shared" si="125"/>
        <v>0</v>
      </c>
      <c r="Z335" s="12" t="str">
        <f t="shared" si="126"/>
        <v>次日冻结计划复原</v>
      </c>
      <c r="AA335" s="12">
        <f>IF(原始输入与口径!AW239,1,0)</f>
        <v>1</v>
      </c>
      <c r="AB335" s="12">
        <f>IF(原始输入与口径!AY239,1,0)</f>
        <v>1</v>
      </c>
      <c r="AC335" s="12">
        <f>原始输入与口径!$F$5</f>
        <v>0.25</v>
      </c>
      <c r="AD335" s="18">
        <f>原始输入与口径!CG239</f>
        <v>0.3125</v>
      </c>
      <c r="AE335" s="18">
        <f>原始输入与口径!BQ239</f>
        <v>0.13714285714285715</v>
      </c>
      <c r="AF335" s="18">
        <f t="shared" si="127"/>
        <v>0.38907428571428571</v>
      </c>
      <c r="AG335" s="18">
        <f t="shared" si="128"/>
        <v>0</v>
      </c>
      <c r="AH335" s="12">
        <f>IF(ISNUMBER(原始输入与口径!T239),原始输入与口径!T239,"缺失")</f>
        <v>175</v>
      </c>
      <c r="AI335" s="12">
        <f>IF(ISNUMBER(原始输入与口径!Y239),原始输入与口径!Y239,"缺失")</f>
        <v>175</v>
      </c>
      <c r="AJ335" s="12">
        <f>IF(ISNUMBER(原始输入与口径!AI239),原始输入与口径!AI239,"缺失")</f>
        <v>17.021999999999998</v>
      </c>
      <c r="AK335" s="12">
        <f>IF(ISNUMBER(原始输入与口径!AL239),原始输入与口径!AL239,"缺失")</f>
        <v>0</v>
      </c>
      <c r="AL335" s="12">
        <f>IF(ISNUMBER(原始输入与口径!O239),原始输入与口径!O239,"缺失")</f>
        <v>91.903999999999996</v>
      </c>
      <c r="AM335" s="12">
        <f>SUMIFS(相位SOC复算!$N$9:$N$929,相位SOC复算!$S$9:$S$929,327)</f>
        <v>7.8404704502764502E-3</v>
      </c>
      <c r="AN335" s="12">
        <f>SUMIFS(相位SOC复算!$Q$9:$Q$929,相位SOC复算!$S$9:$S$929,327)</f>
        <v>1.2518773318930618</v>
      </c>
      <c r="AO335" s="12">
        <f>SUMIFS(相位SOC复算!$R$9:$R$929,相位SOC复算!$S$9:$S$929,327)</f>
        <v>1.5371748394172728</v>
      </c>
      <c r="AP335" s="12">
        <f>相位SOC复算!J801</f>
        <v>32.890857580124219</v>
      </c>
      <c r="AQ335" s="19">
        <f t="shared" si="129"/>
        <v>0</v>
      </c>
      <c r="AR335" s="12">
        <f>IF(ISBLANK(原始输入与口径!M239),"",原始输入与口径!M239)</f>
        <v>5.2473000000000001</v>
      </c>
      <c r="AS335" s="14">
        <f>IF(ISBLANK(原始输入与口径!L239),"",原始输入与口径!L239)</f>
        <v>46234</v>
      </c>
      <c r="AT335" s="13">
        <f>IF(ISBLANK(原始输入与口径!A239),"",原始输入与口径!A239)</f>
        <v>46237.270833333336</v>
      </c>
      <c r="AU335" s="12" t="str">
        <f>IF(ISBLANK(原始输入与口径!I239),"",原始输入与口径!I239)</f>
        <v>2026-08-03_35</v>
      </c>
      <c r="AV335" s="12">
        <f>IF(ISBLANK(原始输入与口径!J239),"",原始输入与口径!J239)</f>
        <v>15</v>
      </c>
      <c r="AW335" s="12" t="str">
        <f>IF(ISBLANK(原始输入与口径!BB239),"",原始输入与口径!BB239)</f>
        <v>OK</v>
      </c>
      <c r="AX335" s="12">
        <f>原始输入与口径!CI239</f>
        <v>128</v>
      </c>
      <c r="AY335" s="12">
        <f>原始输入与口径!BS239</f>
        <v>175</v>
      </c>
      <c r="AZ335" s="12">
        <f>原始输入与口径!BI239</f>
        <v>175</v>
      </c>
      <c r="BA335" s="12">
        <f>原始输入与口径!CM239</f>
        <v>40</v>
      </c>
      <c r="BB335" s="12">
        <f>原始输入与口径!BV239</f>
        <v>24</v>
      </c>
      <c r="BC335" s="12">
        <f>原始输入与口径!BL239</f>
        <v>24</v>
      </c>
      <c r="BD335" s="14">
        <f>46236</f>
        <v>46236</v>
      </c>
      <c r="BE335" s="1" t="str">
        <f t="shared" si="130"/>
        <v>-8.196593 MW × 150.230000 × 0.250000 h = -307.843535 EUR</v>
      </c>
      <c r="BF335" s="1" t="str">
        <f t="shared" si="131"/>
        <v>40.000000 MW × 66.224535 × 0.250000 h = 662.245345 EUR</v>
      </c>
      <c r="BG335" s="1" t="str">
        <f t="shared" si="132"/>
        <v>24.000000 MW × 7.154155 × 0.250000 h = 42.924933 EUR</v>
      </c>
      <c r="BH335" s="1" t="str">
        <f t="shared" si="133"/>
        <v>24.000000 MW × 2.325005 × 0.250000 h = 13.950031 EUR</v>
      </c>
      <c r="BI335" s="1" t="str">
        <f t="shared" si="134"/>
        <v>2.334446 MWh × 207.874526 = 485.271796 EUR</v>
      </c>
      <c r="BJ335" s="1" t="str">
        <f t="shared" si="135"/>
        <v>零下调激活电量</v>
      </c>
      <c r="BK335" s="1" t="str">
        <f t="shared" si="136"/>
        <v>-307.843535 + 662.245345 + 42.924933 + 13.950031 + 485.271796 + 0.000000 = 896.548571 EUR</v>
      </c>
    </row>
    <row r="336" spans="1:63" ht="21" customHeight="1" x14ac:dyDescent="0.45">
      <c r="A336" s="13">
        <f>原始输入与口径!C240</f>
        <v>46237.40625</v>
      </c>
      <c r="B336" s="15">
        <f>IF(ISNUMBER(原始输入与口径!H240),原始输入与口径!H240,"缺失")</f>
        <v>125.55</v>
      </c>
      <c r="C336" s="15">
        <f>IF(ISNUMBER(原始输入与口径!R240),原始输入与口径!R240,"缺失")</f>
        <v>66.224534522516336</v>
      </c>
      <c r="D336" s="15">
        <f>IF(ISNUMBER(原始输入与口径!W240),原始输入与口径!W240,"缺失")</f>
        <v>7.1541554704324124</v>
      </c>
      <c r="E336" s="15">
        <f>IF(ISNUMBER(原始输入与口径!AB240),原始输入与口径!AB240,"缺失")</f>
        <v>2.3250052407905017</v>
      </c>
      <c r="F336" s="15">
        <f>IF(ISNUMBER(原始输入与口径!AG240),原始输入与口径!AG240,"缺失")</f>
        <v>152.59828864368342</v>
      </c>
      <c r="G336" s="15">
        <f>IF(ISNUMBER(原始输入与口径!AJ240),原始输入与口径!AJ240,"缺失")</f>
        <v>40.633659215215445</v>
      </c>
      <c r="H336" s="15" t="str">
        <f t="shared" si="115"/>
        <v>未模拟</v>
      </c>
      <c r="I336" s="16">
        <f>原始输入与口径!CD240</f>
        <v>32.890857580124205</v>
      </c>
      <c r="J336" s="16">
        <f>原始输入与口径!CE240</f>
        <v>40.926211180124213</v>
      </c>
      <c r="K336" s="16">
        <f>原始输入与口径!BZ240</f>
        <v>-36</v>
      </c>
      <c r="L336" s="16">
        <f>原始输入与口径!CK240</f>
        <v>40</v>
      </c>
      <c r="M336" s="16">
        <f>原始输入与口径!BT240</f>
        <v>24</v>
      </c>
      <c r="N336" s="16">
        <f>原始输入与口径!BJ240</f>
        <v>24</v>
      </c>
      <c r="O336" s="16">
        <f t="shared" si="116"/>
        <v>0.3519085714285714</v>
      </c>
      <c r="P336" s="16">
        <f t="shared" si="117"/>
        <v>8.5988571428571428E-2</v>
      </c>
      <c r="Q336" s="17">
        <f t="shared" si="118"/>
        <v>-1129.95</v>
      </c>
      <c r="R336" s="17">
        <f t="shared" si="119"/>
        <v>662.24534522516342</v>
      </c>
      <c r="S336" s="17">
        <f t="shared" si="120"/>
        <v>42.924932822594471</v>
      </c>
      <c r="T336" s="17">
        <f t="shared" si="121"/>
        <v>13.950031444743011</v>
      </c>
      <c r="U336" s="17">
        <f t="shared" si="122"/>
        <v>53.700645759043425</v>
      </c>
      <c r="V336" s="17">
        <f t="shared" si="123"/>
        <v>-3.4940303078317831</v>
      </c>
      <c r="W336" s="17">
        <f t="shared" si="124"/>
        <v>-360.62307505628752</v>
      </c>
      <c r="X336" s="12">
        <f>原始输入与口径!CP240</f>
        <v>-360.62307505628752</v>
      </c>
      <c r="Y336" s="19">
        <f t="shared" si="125"/>
        <v>0</v>
      </c>
      <c r="Z336" s="12" t="str">
        <f t="shared" si="126"/>
        <v>次日冻结计划复原</v>
      </c>
      <c r="AA336" s="12">
        <f>IF(原始输入与口径!AW240,1,0)</f>
        <v>1</v>
      </c>
      <c r="AB336" s="12">
        <f>IF(原始输入与口径!AY240,1,0)</f>
        <v>1</v>
      </c>
      <c r="AC336" s="12">
        <f>原始输入与口径!$F$5</f>
        <v>0.25</v>
      </c>
      <c r="AD336" s="18">
        <f>原始输入与口径!CG240</f>
        <v>0.3125</v>
      </c>
      <c r="AE336" s="18">
        <f>原始输入与口径!BQ240</f>
        <v>0.13714285714285715</v>
      </c>
      <c r="AF336" s="18">
        <f t="shared" si="127"/>
        <v>5.865142857142857E-2</v>
      </c>
      <c r="AG336" s="18">
        <f t="shared" si="128"/>
        <v>1.4331428571428571E-2</v>
      </c>
      <c r="AH336" s="12">
        <f>IF(ISNUMBER(原始输入与口径!T240),原始输入与口径!T240,"缺失")</f>
        <v>175</v>
      </c>
      <c r="AI336" s="12">
        <f>IF(ISNUMBER(原始输入与口径!Y240),原始输入与口径!Y240,"缺失")</f>
        <v>175</v>
      </c>
      <c r="AJ336" s="12">
        <f>IF(ISNUMBER(原始输入与口径!AI240),原始输入与口径!AI240,"缺失")</f>
        <v>2.5659999999999998</v>
      </c>
      <c r="AK336" s="12">
        <f>IF(ISNUMBER(原始输入与口径!AL240),原始输入与口径!AL240,"缺失")</f>
        <v>0.627</v>
      </c>
      <c r="AL336" s="12">
        <f>IF(ISNUMBER(原始输入与口径!O240),原始输入与口径!O240,"缺失")</f>
        <v>91.903999999999996</v>
      </c>
      <c r="AM336" s="12">
        <f>SUMIFS(相位SOC复算!$N$9:$N$929,相位SOC复算!$S$9:$S$929,328)</f>
        <v>2.2320426666666671E-2</v>
      </c>
      <c r="AN336" s="12">
        <f>SUMIFS(相位SOC复算!$Q$9:$Q$929,相位SOC复算!$S$9:$S$929,328)</f>
        <v>8.7340800000000005</v>
      </c>
      <c r="AO336" s="12">
        <f>SUMIFS(相位SOC复算!$R$9:$R$929,相位SOC复算!$S$9:$S$929,328)</f>
        <v>0</v>
      </c>
      <c r="AP336" s="12">
        <f>相位SOC复算!J804</f>
        <v>40.926211180124227</v>
      </c>
      <c r="AQ336" s="19">
        <f t="shared" si="129"/>
        <v>0</v>
      </c>
      <c r="AR336" s="12">
        <f>IF(ISBLANK(原始输入与口径!M240),"",原始输入与口径!M240)</f>
        <v>5.2473000000000001</v>
      </c>
      <c r="AS336" s="14">
        <f>IF(ISBLANK(原始输入与口径!L240),"",原始输入与口径!L240)</f>
        <v>46234</v>
      </c>
      <c r="AT336" s="13">
        <f>IF(ISBLANK(原始输入与口径!A240),"",原始输入与口径!A240)</f>
        <v>46237.28125</v>
      </c>
      <c r="AU336" s="12" t="str">
        <f>IF(ISBLANK(原始输入与口径!I240),"",原始输入与口径!I240)</f>
        <v>2026-08-03_36</v>
      </c>
      <c r="AV336" s="12">
        <f>IF(ISBLANK(原始输入与口径!J240),"",原始输入与口径!J240)</f>
        <v>15</v>
      </c>
      <c r="AW336" s="12" t="str">
        <f>IF(ISBLANK(原始输入与口径!BB240),"",原始输入与口径!BB240)</f>
        <v>OK</v>
      </c>
      <c r="AX336" s="12">
        <f>原始输入与口径!CI240</f>
        <v>128</v>
      </c>
      <c r="AY336" s="12">
        <f>原始输入与口径!BS240</f>
        <v>175</v>
      </c>
      <c r="AZ336" s="12">
        <f>原始输入与口径!BI240</f>
        <v>175</v>
      </c>
      <c r="BA336" s="12">
        <f>原始输入与口径!CM240</f>
        <v>40</v>
      </c>
      <c r="BB336" s="12">
        <f>原始输入与口径!BV240</f>
        <v>24</v>
      </c>
      <c r="BC336" s="12">
        <f>原始输入与口径!BL240</f>
        <v>24</v>
      </c>
      <c r="BD336" s="14">
        <f>46236</f>
        <v>46236</v>
      </c>
      <c r="BE336" s="1" t="str">
        <f t="shared" si="130"/>
        <v>-36.000000 MW × 125.550000 × 0.250000 h = -1129.950000 EUR</v>
      </c>
      <c r="BF336" s="1" t="str">
        <f t="shared" si="131"/>
        <v>40.000000 MW × 66.224535 × 0.250000 h = 662.245345 EUR</v>
      </c>
      <c r="BG336" s="1" t="str">
        <f t="shared" si="132"/>
        <v>24.000000 MW × 7.154155 × 0.250000 h = 42.924933 EUR</v>
      </c>
      <c r="BH336" s="1" t="str">
        <f t="shared" si="133"/>
        <v>24.000000 MW × 2.325005 × 0.250000 h = 13.950031 EUR</v>
      </c>
      <c r="BI336" s="1" t="str">
        <f t="shared" si="134"/>
        <v>0.351909 MWh × 152.598289 = 53.700646 EUR</v>
      </c>
      <c r="BJ336" s="1" t="str">
        <f t="shared" si="135"/>
        <v>−(0.085989 MWh × 40.633659) = -3.494030 EUR</v>
      </c>
      <c r="BK336" s="1" t="str">
        <f t="shared" si="136"/>
        <v>-1129.950000 + 662.245345 + 42.924933 + 13.950031 + 53.700646 + -3.494030 = -360.623075 EUR</v>
      </c>
    </row>
    <row r="337" spans="1:63" ht="21" customHeight="1" x14ac:dyDescent="0.45">
      <c r="A337" s="13">
        <f>原始输入与口径!C241</f>
        <v>46237.416666666664</v>
      </c>
      <c r="B337" s="15">
        <f>IF(ISNUMBER(原始输入与口径!H241),原始输入与口径!H241,"缺失")</f>
        <v>163.11000000000001</v>
      </c>
      <c r="C337" s="15">
        <f>IF(ISNUMBER(原始输入与口径!R241),原始输入与口径!R241,"缺失")</f>
        <v>66.224534522516336</v>
      </c>
      <c r="D337" s="15">
        <f>IF(ISNUMBER(原始输入与口径!W241),原始输入与口径!W241,"缺失")</f>
        <v>5.7743982619632952</v>
      </c>
      <c r="E337" s="15">
        <f>IF(ISNUMBER(原始输入与口径!AB241),原始输入与口径!AB241,"缺失")</f>
        <v>2.913879518990719</v>
      </c>
      <c r="F337" s="15">
        <f>IF(ISNUMBER(原始输入与口径!AG241),原始输入与口径!AG241,"缺失")</f>
        <v>156.43035465858631</v>
      </c>
      <c r="G337" s="15">
        <f>IF(ISNUMBER(原始输入与口径!AJ241),原始输入与口径!AJ241,"缺失")</f>
        <v>-5.9013206792064494</v>
      </c>
      <c r="H337" s="15" t="str">
        <f t="shared" si="115"/>
        <v>未模拟</v>
      </c>
      <c r="I337" s="16">
        <f>原始输入与口径!CD241</f>
        <v>40.926211180124213</v>
      </c>
      <c r="J337" s="16">
        <f>原始输入与口径!CE241</f>
        <v>31.739130434782595</v>
      </c>
      <c r="K337" s="16">
        <f>原始输入与口径!BZ241</f>
        <v>36</v>
      </c>
      <c r="L337" s="16">
        <f>原始输入与口径!CK241</f>
        <v>40</v>
      </c>
      <c r="M337" s="16">
        <f>原始输入与口径!BT241</f>
        <v>24</v>
      </c>
      <c r="N337" s="16">
        <f>原始输入与口径!BJ241</f>
        <v>24</v>
      </c>
      <c r="O337" s="16">
        <f t="shared" si="116"/>
        <v>0.18637714285714285</v>
      </c>
      <c r="P337" s="16">
        <f t="shared" si="117"/>
        <v>0.73426285714285722</v>
      </c>
      <c r="Q337" s="17">
        <f t="shared" si="118"/>
        <v>1467.9900000000002</v>
      </c>
      <c r="R337" s="17">
        <f t="shared" si="119"/>
        <v>662.24534522516342</v>
      </c>
      <c r="S337" s="17">
        <f t="shared" si="120"/>
        <v>34.646389571779771</v>
      </c>
      <c r="T337" s="17">
        <f t="shared" si="121"/>
        <v>17.483277113944315</v>
      </c>
      <c r="U337" s="17">
        <f t="shared" si="122"/>
        <v>29.155042557396861</v>
      </c>
      <c r="V337" s="17">
        <f t="shared" si="123"/>
        <v>4.3331205828303547</v>
      </c>
      <c r="W337" s="17">
        <f t="shared" si="124"/>
        <v>2215.8531750511152</v>
      </c>
      <c r="X337" s="12">
        <f>原始输入与口径!CP241</f>
        <v>2215.8531750511152</v>
      </c>
      <c r="Y337" s="19">
        <f t="shared" si="125"/>
        <v>0</v>
      </c>
      <c r="Z337" s="12" t="str">
        <f t="shared" si="126"/>
        <v>次日冻结计划复原</v>
      </c>
      <c r="AA337" s="12">
        <f>IF(原始输入与口径!AW241,1,0)</f>
        <v>1</v>
      </c>
      <c r="AB337" s="12">
        <f>IF(原始输入与口径!AY241,1,0)</f>
        <v>1</v>
      </c>
      <c r="AC337" s="12">
        <f>原始输入与口径!$F$5</f>
        <v>0.25</v>
      </c>
      <c r="AD337" s="18">
        <f>原始输入与口径!CG241</f>
        <v>0.3125</v>
      </c>
      <c r="AE337" s="18">
        <f>原始输入与口径!BQ241</f>
        <v>0.13714285714285715</v>
      </c>
      <c r="AF337" s="18">
        <f t="shared" si="127"/>
        <v>3.1062857142857142E-2</v>
      </c>
      <c r="AG337" s="18">
        <f t="shared" si="128"/>
        <v>0.12237714285714286</v>
      </c>
      <c r="AH337" s="12">
        <f>IF(ISNUMBER(原始输入与口径!T241),原始输入与口径!T241,"缺失")</f>
        <v>175</v>
      </c>
      <c r="AI337" s="12">
        <f>IF(ISNUMBER(原始输入与口径!Y241),原始输入与口径!Y241,"缺失")</f>
        <v>175</v>
      </c>
      <c r="AJ337" s="12">
        <f>IF(ISNUMBER(原始输入与口径!AI241),原始输入与口径!AI241,"缺失")</f>
        <v>1.359</v>
      </c>
      <c r="AK337" s="12">
        <f>IF(ISNUMBER(原始输入与口径!AL241),原始输入与口径!AL241,"缺失")</f>
        <v>5.3540000000000001</v>
      </c>
      <c r="AL337" s="12">
        <f>IF(ISNUMBER(原始输入与口径!O241),原始输入与口径!O241,"缺失")</f>
        <v>91.903999999999996</v>
      </c>
      <c r="AM337" s="12">
        <f>SUMIFS(相位SOC复算!$N$9:$N$929,相位SOC复算!$S$9:$S$929,329)</f>
        <v>2.551966873706004E-2</v>
      </c>
      <c r="AN337" s="12">
        <f>SUMIFS(相位SOC复算!$Q$9:$Q$929,相位SOC复算!$S$9:$S$929,329)</f>
        <v>0</v>
      </c>
      <c r="AO337" s="12">
        <f>SUMIFS(相位SOC复算!$R$9:$R$929,相位SOC复算!$S$9:$S$929,329)</f>
        <v>8.4521142857142859</v>
      </c>
      <c r="AP337" s="12">
        <f>相位SOC复算!J807</f>
        <v>31.739130434782609</v>
      </c>
      <c r="AQ337" s="19">
        <f t="shared" si="129"/>
        <v>0</v>
      </c>
      <c r="AR337" s="12">
        <f>IF(ISBLANK(原始输入与口径!M241),"",原始输入与口径!M241)</f>
        <v>5.2473000000000001</v>
      </c>
      <c r="AS337" s="14">
        <f>IF(ISBLANK(原始输入与口径!L241),"",原始输入与口径!L241)</f>
        <v>46234</v>
      </c>
      <c r="AT337" s="13">
        <f>IF(ISBLANK(原始输入与口径!A241),"",原始输入与口径!A241)</f>
        <v>46237.291666666664</v>
      </c>
      <c r="AU337" s="12" t="str">
        <f>IF(ISBLANK(原始输入与口径!I241),"",原始输入与口径!I241)</f>
        <v>2026-08-03_37</v>
      </c>
      <c r="AV337" s="12">
        <f>IF(ISBLANK(原始输入与口径!J241),"",原始输入与口径!J241)</f>
        <v>15</v>
      </c>
      <c r="AW337" s="12" t="str">
        <f>IF(ISBLANK(原始输入与口径!BB241),"",原始输入与口径!BB241)</f>
        <v>OK</v>
      </c>
      <c r="AX337" s="12">
        <f>原始输入与口径!CI241</f>
        <v>128</v>
      </c>
      <c r="AY337" s="12">
        <f>原始输入与口径!BS241</f>
        <v>175</v>
      </c>
      <c r="AZ337" s="12">
        <f>原始输入与口径!BI241</f>
        <v>175</v>
      </c>
      <c r="BA337" s="12">
        <f>原始输入与口径!CM241</f>
        <v>40</v>
      </c>
      <c r="BB337" s="12">
        <f>原始输入与口径!BV241</f>
        <v>24</v>
      </c>
      <c r="BC337" s="12">
        <f>原始输入与口径!BL241</f>
        <v>24</v>
      </c>
      <c r="BD337" s="14">
        <f>46236</f>
        <v>46236</v>
      </c>
      <c r="BE337" s="1" t="str">
        <f t="shared" si="130"/>
        <v>36.000000 MW × 163.110000 × 0.250000 h = 1467.990000 EUR</v>
      </c>
      <c r="BF337" s="1" t="str">
        <f t="shared" si="131"/>
        <v>40.000000 MW × 66.224535 × 0.250000 h = 662.245345 EUR</v>
      </c>
      <c r="BG337" s="1" t="str">
        <f t="shared" si="132"/>
        <v>24.000000 MW × 5.774398 × 0.250000 h = 34.646390 EUR</v>
      </c>
      <c r="BH337" s="1" t="str">
        <f t="shared" si="133"/>
        <v>24.000000 MW × 2.913880 × 0.250000 h = 17.483277 EUR</v>
      </c>
      <c r="BI337" s="1" t="str">
        <f t="shared" si="134"/>
        <v>0.186377 MWh × 156.430355 = 29.155043 EUR</v>
      </c>
      <c r="BJ337" s="1" t="str">
        <f t="shared" si="135"/>
        <v>−(0.734263 MWh × -5.901321) = 4.333121 EUR</v>
      </c>
      <c r="BK337" s="1" t="str">
        <f t="shared" si="136"/>
        <v>1467.990000 + 662.245345 + 34.646390 + 17.483277 + 29.155043 + 4.333121 = 2215.853175 EUR</v>
      </c>
    </row>
    <row r="338" spans="1:63" ht="21" customHeight="1" x14ac:dyDescent="0.45">
      <c r="A338" s="13">
        <f>原始输入与口径!C242</f>
        <v>46237.427083333336</v>
      </c>
      <c r="B338" s="15">
        <f>IF(ISNUMBER(原始输入与口径!H242),原始输入与口径!H242,"缺失")</f>
        <v>134.68</v>
      </c>
      <c r="C338" s="15">
        <f>IF(ISNUMBER(原始输入与口径!R242),原始输入与口径!R242,"缺失")</f>
        <v>66.224534522516336</v>
      </c>
      <c r="D338" s="15">
        <f>IF(ISNUMBER(原始输入与口径!W242),原始输入与口径!W242,"缺失")</f>
        <v>5.7743982619632952</v>
      </c>
      <c r="E338" s="15">
        <f>IF(ISNUMBER(原始输入与口径!AB242),原始输入与口径!AB242,"缺失")</f>
        <v>2.913879518990719</v>
      </c>
      <c r="F338" s="15">
        <f>IF(ISNUMBER(原始输入与口径!AG242),原始输入与口径!AG242,"缺失")</f>
        <v>0</v>
      </c>
      <c r="G338" s="15">
        <f>IF(ISNUMBER(原始输入与口径!AJ242),原始输入与口径!AJ242,"缺失")</f>
        <v>-5.2798582127951512</v>
      </c>
      <c r="H338" s="15" t="str">
        <f t="shared" si="115"/>
        <v>未模拟</v>
      </c>
      <c r="I338" s="16">
        <f>原始输入与口径!CD242</f>
        <v>31.739130434782595</v>
      </c>
      <c r="J338" s="16">
        <f>原始输入与口径!CE242</f>
        <v>31.739130434782595</v>
      </c>
      <c r="K338" s="16">
        <f>原始输入与口径!BZ242</f>
        <v>8.9012845657029107</v>
      </c>
      <c r="L338" s="16">
        <f>原始输入与口径!CK242</f>
        <v>40</v>
      </c>
      <c r="M338" s="16">
        <f>原始输入与口径!BT242</f>
        <v>24</v>
      </c>
      <c r="N338" s="16">
        <f>原始输入与口径!BJ242</f>
        <v>24</v>
      </c>
      <c r="O338" s="16">
        <f t="shared" si="116"/>
        <v>0</v>
      </c>
      <c r="P338" s="16">
        <f t="shared" si="117"/>
        <v>2.4633599999999998</v>
      </c>
      <c r="Q338" s="17">
        <f t="shared" si="118"/>
        <v>299.70625132721705</v>
      </c>
      <c r="R338" s="17">
        <f t="shared" si="119"/>
        <v>662.24534522516342</v>
      </c>
      <c r="S338" s="17">
        <f t="shared" si="120"/>
        <v>34.646389571779771</v>
      </c>
      <c r="T338" s="17">
        <f t="shared" si="121"/>
        <v>17.483277113944315</v>
      </c>
      <c r="U338" s="17">
        <f t="shared" si="122"/>
        <v>0</v>
      </c>
      <c r="V338" s="17">
        <f t="shared" si="123"/>
        <v>13.006191527071062</v>
      </c>
      <c r="W338" s="17">
        <f t="shared" si="124"/>
        <v>1027.0874547651756</v>
      </c>
      <c r="X338" s="12">
        <f>原始输入与口径!CP242</f>
        <v>1027.0874547651756</v>
      </c>
      <c r="Y338" s="19">
        <f t="shared" si="125"/>
        <v>0</v>
      </c>
      <c r="Z338" s="12" t="str">
        <f t="shared" si="126"/>
        <v>次日冻结计划复原</v>
      </c>
      <c r="AA338" s="12">
        <f>IF(原始输入与口径!AW242,1,0)</f>
        <v>1</v>
      </c>
      <c r="AB338" s="12">
        <f>IF(原始输入与口径!AY242,1,0)</f>
        <v>1</v>
      </c>
      <c r="AC338" s="12">
        <f>原始输入与口径!$F$5</f>
        <v>0.25</v>
      </c>
      <c r="AD338" s="18">
        <f>原始输入与口径!CG242</f>
        <v>0.3125</v>
      </c>
      <c r="AE338" s="18">
        <f>原始输入与口径!BQ242</f>
        <v>0.13714285714285715</v>
      </c>
      <c r="AF338" s="18">
        <f t="shared" si="127"/>
        <v>0</v>
      </c>
      <c r="AG338" s="18">
        <f t="shared" si="128"/>
        <v>0.41055999999999998</v>
      </c>
      <c r="AH338" s="12">
        <f>IF(ISNUMBER(原始输入与口径!T242),原始输入与口径!T242,"缺失")</f>
        <v>175</v>
      </c>
      <c r="AI338" s="12">
        <f>IF(ISNUMBER(原始输入与口径!Y242),原始输入与口径!Y242,"缺失")</f>
        <v>175</v>
      </c>
      <c r="AJ338" s="12">
        <f>IF(ISNUMBER(原始输入与口径!AI242),原始输入与口径!AI242,"缺失")</f>
        <v>0</v>
      </c>
      <c r="AK338" s="12">
        <f>IF(ISNUMBER(原始输入与口径!AL242),原始输入与口径!AL242,"缺失")</f>
        <v>17.962</v>
      </c>
      <c r="AL338" s="12">
        <f>IF(ISNUMBER(原始输入与口径!O242),原始输入与口径!O242,"缺失")</f>
        <v>91.903999999999996</v>
      </c>
      <c r="AM338" s="12">
        <f>SUMIFS(相位SOC复算!$N$9:$N$929,相位SOC复算!$S$9:$S$929,330)</f>
        <v>7.9208532222341827E-3</v>
      </c>
      <c r="AN338" s="12">
        <f>SUMIFS(相位SOC复算!$Q$9:$Q$929,相位SOC复算!$S$9:$S$929,330)</f>
        <v>1.5497321521762533</v>
      </c>
      <c r="AO338" s="12">
        <f>SUMIFS(相位SOC复算!$R$9:$R$929,相位SOC复算!$S$9:$S$929,330)</f>
        <v>1.3116932936019809</v>
      </c>
      <c r="AP338" s="12">
        <f>相位SOC复算!J809</f>
        <v>31.739130434782609</v>
      </c>
      <c r="AQ338" s="19">
        <f t="shared" si="129"/>
        <v>0</v>
      </c>
      <c r="AR338" s="12">
        <f>IF(ISBLANK(原始输入与口径!M242),"",原始输入与口径!M242)</f>
        <v>5.2473000000000001</v>
      </c>
      <c r="AS338" s="14">
        <f>IF(ISBLANK(原始输入与口径!L242),"",原始输入与口径!L242)</f>
        <v>46234</v>
      </c>
      <c r="AT338" s="13">
        <f>IF(ISBLANK(原始输入与口径!A242),"",原始输入与口径!A242)</f>
        <v>46237.302083333336</v>
      </c>
      <c r="AU338" s="12" t="str">
        <f>IF(ISBLANK(原始输入与口径!I242),"",原始输入与口径!I242)</f>
        <v>2026-08-03_38</v>
      </c>
      <c r="AV338" s="12">
        <f>IF(ISBLANK(原始输入与口径!J242),"",原始输入与口径!J242)</f>
        <v>15</v>
      </c>
      <c r="AW338" s="12" t="str">
        <f>IF(ISBLANK(原始输入与口径!BB242),"",原始输入与口径!BB242)</f>
        <v>OK</v>
      </c>
      <c r="AX338" s="12">
        <f>原始输入与口径!CI242</f>
        <v>128</v>
      </c>
      <c r="AY338" s="12">
        <f>原始输入与口径!BS242</f>
        <v>175</v>
      </c>
      <c r="AZ338" s="12">
        <f>原始输入与口径!BI242</f>
        <v>175</v>
      </c>
      <c r="BA338" s="12">
        <f>原始输入与口径!CM242</f>
        <v>40</v>
      </c>
      <c r="BB338" s="12">
        <f>原始输入与口径!BV242</f>
        <v>24</v>
      </c>
      <c r="BC338" s="12">
        <f>原始输入与口径!BL242</f>
        <v>24</v>
      </c>
      <c r="BD338" s="14">
        <f>46236</f>
        <v>46236</v>
      </c>
      <c r="BE338" s="1" t="str">
        <f t="shared" si="130"/>
        <v>8.901285 MW × 134.680000 × 0.250000 h = 299.706251 EUR</v>
      </c>
      <c r="BF338" s="1" t="str">
        <f t="shared" si="131"/>
        <v>40.000000 MW × 66.224535 × 0.250000 h = 662.245345 EUR</v>
      </c>
      <c r="BG338" s="1" t="str">
        <f t="shared" si="132"/>
        <v>24.000000 MW × 5.774398 × 0.250000 h = 34.646390 EUR</v>
      </c>
      <c r="BH338" s="1" t="str">
        <f t="shared" si="133"/>
        <v>24.000000 MW × 2.913880 × 0.250000 h = 17.483277 EUR</v>
      </c>
      <c r="BI338" s="1" t="str">
        <f t="shared" si="134"/>
        <v>零上调激活电量</v>
      </c>
      <c r="BJ338" s="1" t="str">
        <f t="shared" si="135"/>
        <v>−(2.463360 MWh × -5.279858) = 13.006192 EUR</v>
      </c>
      <c r="BK338" s="1" t="str">
        <f t="shared" si="136"/>
        <v>299.706251 + 662.245345 + 34.646390 + 17.483277 + 0.000000 + 13.006192 = 1027.087455 EUR</v>
      </c>
    </row>
    <row r="339" spans="1:63" ht="21" customHeight="1" x14ac:dyDescent="0.45">
      <c r="A339" s="13">
        <f>原始输入与口径!C243</f>
        <v>46237.4375</v>
      </c>
      <c r="B339" s="15">
        <f>IF(ISNUMBER(原始输入与口径!H243),原始输入与口径!H243,"缺失")</f>
        <v>79.64</v>
      </c>
      <c r="C339" s="15">
        <f>IF(ISNUMBER(原始输入与口径!R243),原始输入与口径!R243,"缺失")</f>
        <v>66.224534522516336</v>
      </c>
      <c r="D339" s="15">
        <f>IF(ISNUMBER(原始输入与口径!W243),原始输入与口径!W243,"缺失")</f>
        <v>5.7743982619632952</v>
      </c>
      <c r="E339" s="15">
        <f>IF(ISNUMBER(原始输入与口径!AB243),原始输入与口径!AB243,"缺失")</f>
        <v>2.913879518990719</v>
      </c>
      <c r="F339" s="15">
        <f>IF(ISNUMBER(原始输入与口径!AG243),原始输入与口径!AG243,"缺失")</f>
        <v>0</v>
      </c>
      <c r="G339" s="15">
        <f>IF(ISNUMBER(原始输入与口径!AJ243),原始输入与口径!AJ243,"缺失")</f>
        <v>2.1113715625178666</v>
      </c>
      <c r="H339" s="15" t="str">
        <f t="shared" si="115"/>
        <v>未模拟</v>
      </c>
      <c r="I339" s="16">
        <f>原始输入与口径!CD243</f>
        <v>31.739130434782595</v>
      </c>
      <c r="J339" s="16">
        <f>原始输入与口径!CE243</f>
        <v>34.343687234782593</v>
      </c>
      <c r="K339" s="16">
        <f>原始输入与口径!BZ243</f>
        <v>0</v>
      </c>
      <c r="L339" s="16">
        <f>原始输入与口径!CK243</f>
        <v>40</v>
      </c>
      <c r="M339" s="16">
        <f>原始输入与口径!BT243</f>
        <v>24</v>
      </c>
      <c r="N339" s="16">
        <f>原始输入与口径!BJ243</f>
        <v>24</v>
      </c>
      <c r="O339" s="16">
        <f t="shared" si="116"/>
        <v>0</v>
      </c>
      <c r="P339" s="16">
        <f t="shared" si="117"/>
        <v>2.8310400000000002</v>
      </c>
      <c r="Q339" s="17">
        <f t="shared" si="118"/>
        <v>0</v>
      </c>
      <c r="R339" s="17">
        <f t="shared" si="119"/>
        <v>662.24534522516342</v>
      </c>
      <c r="S339" s="17">
        <f t="shared" si="120"/>
        <v>34.646389571779771</v>
      </c>
      <c r="T339" s="17">
        <f t="shared" si="121"/>
        <v>17.483277113944315</v>
      </c>
      <c r="U339" s="17">
        <f t="shared" si="122"/>
        <v>0</v>
      </c>
      <c r="V339" s="17">
        <f t="shared" si="123"/>
        <v>-5.9773773483505819</v>
      </c>
      <c r="W339" s="17">
        <f t="shared" si="124"/>
        <v>708.39763456253684</v>
      </c>
      <c r="X339" s="12">
        <f>原始输入与口径!CP243</f>
        <v>708.39763456253695</v>
      </c>
      <c r="Y339" s="19">
        <f t="shared" si="125"/>
        <v>0</v>
      </c>
      <c r="Z339" s="12" t="str">
        <f t="shared" si="126"/>
        <v>次日冻结计划复原</v>
      </c>
      <c r="AA339" s="12">
        <f>IF(原始输入与口径!AW243,1,0)</f>
        <v>1</v>
      </c>
      <c r="AB339" s="12">
        <f>IF(原始输入与口径!AY243,1,0)</f>
        <v>1</v>
      </c>
      <c r="AC339" s="12">
        <f>原始输入与口径!$F$5</f>
        <v>0.25</v>
      </c>
      <c r="AD339" s="18">
        <f>原始输入与口径!CG243</f>
        <v>0.3125</v>
      </c>
      <c r="AE339" s="18">
        <f>原始输入与口径!BQ243</f>
        <v>0.13714285714285715</v>
      </c>
      <c r="AF339" s="18">
        <f t="shared" si="127"/>
        <v>0</v>
      </c>
      <c r="AG339" s="18">
        <f t="shared" si="128"/>
        <v>0.47184000000000004</v>
      </c>
      <c r="AH339" s="12">
        <f>IF(ISNUMBER(原始输入与口径!T243),原始输入与口径!T243,"缺失")</f>
        <v>175</v>
      </c>
      <c r="AI339" s="12">
        <f>IF(ISNUMBER(原始输入与口径!Y243),原始输入与口径!Y243,"缺失")</f>
        <v>175</v>
      </c>
      <c r="AJ339" s="12">
        <f>IF(ISNUMBER(原始输入与口径!AI243),原始输入与口径!AI243,"缺失")</f>
        <v>0</v>
      </c>
      <c r="AK339" s="12">
        <f>IF(ISNUMBER(原始输入与口径!AL243),原始输入与口径!AL243,"缺失")</f>
        <v>20.643000000000001</v>
      </c>
      <c r="AL339" s="12">
        <f>IF(ISNUMBER(原始输入与口径!O243),原始输入与口径!O243,"缺失")</f>
        <v>91.903999999999996</v>
      </c>
      <c r="AM339" s="12">
        <f>SUMIFS(相位SOC复算!$N$9:$N$929,相位SOC复算!$S$9:$S$929,331)</f>
        <v>7.2348800000000017E-3</v>
      </c>
      <c r="AN339" s="12">
        <f>SUMIFS(相位SOC复算!$Q$9:$Q$929,相位SOC复算!$S$9:$S$929,331)</f>
        <v>2.8310400000000002</v>
      </c>
      <c r="AO339" s="12">
        <f>SUMIFS(相位SOC复算!$R$9:$R$929,相位SOC复算!$S$9:$S$929,331)</f>
        <v>0</v>
      </c>
      <c r="AP339" s="12">
        <f>相位SOC复算!J811</f>
        <v>34.343687234782607</v>
      </c>
      <c r="AQ339" s="19">
        <f t="shared" si="129"/>
        <v>0</v>
      </c>
      <c r="AR339" s="12">
        <f>IF(ISBLANK(原始输入与口径!M243),"",原始输入与口径!M243)</f>
        <v>5.2473000000000001</v>
      </c>
      <c r="AS339" s="14">
        <f>IF(ISBLANK(原始输入与口径!L243),"",原始输入与口径!L243)</f>
        <v>46234</v>
      </c>
      <c r="AT339" s="13">
        <f>IF(ISBLANK(原始输入与口径!A243),"",原始输入与口径!A243)</f>
        <v>46237.3125</v>
      </c>
      <c r="AU339" s="12" t="str">
        <f>IF(ISBLANK(原始输入与口径!I243),"",原始输入与口径!I243)</f>
        <v>2026-08-03_39</v>
      </c>
      <c r="AV339" s="12">
        <f>IF(ISBLANK(原始输入与口径!J243),"",原始输入与口径!J243)</f>
        <v>15</v>
      </c>
      <c r="AW339" s="12" t="str">
        <f>IF(ISBLANK(原始输入与口径!BB243),"",原始输入与口径!BB243)</f>
        <v>OK</v>
      </c>
      <c r="AX339" s="12">
        <f>原始输入与口径!CI243</f>
        <v>128</v>
      </c>
      <c r="AY339" s="12">
        <f>原始输入与口径!BS243</f>
        <v>175</v>
      </c>
      <c r="AZ339" s="12">
        <f>原始输入与口径!BI243</f>
        <v>175</v>
      </c>
      <c r="BA339" s="12">
        <f>原始输入与口径!CM243</f>
        <v>40</v>
      </c>
      <c r="BB339" s="12">
        <f>原始输入与口径!BV243</f>
        <v>24</v>
      </c>
      <c r="BC339" s="12">
        <f>原始输入与口径!BL243</f>
        <v>24</v>
      </c>
      <c r="BD339" s="14">
        <f>46236</f>
        <v>46236</v>
      </c>
      <c r="BE339" s="1" t="str">
        <f t="shared" si="130"/>
        <v>零头寸，无结算现金</v>
      </c>
      <c r="BF339" s="1" t="str">
        <f t="shared" si="131"/>
        <v>40.000000 MW × 66.224535 × 0.250000 h = 662.245345 EUR</v>
      </c>
      <c r="BG339" s="1" t="str">
        <f t="shared" si="132"/>
        <v>24.000000 MW × 5.774398 × 0.250000 h = 34.646390 EUR</v>
      </c>
      <c r="BH339" s="1" t="str">
        <f t="shared" si="133"/>
        <v>24.000000 MW × 2.913880 × 0.250000 h = 17.483277 EUR</v>
      </c>
      <c r="BI339" s="1" t="str">
        <f t="shared" si="134"/>
        <v>零上调激活电量</v>
      </c>
      <c r="BJ339" s="1" t="str">
        <f t="shared" si="135"/>
        <v>−(2.831040 MWh × 2.111372) = -5.977377 EUR</v>
      </c>
      <c r="BK339" s="1" t="str">
        <f t="shared" si="136"/>
        <v>0.000000 + 662.245345 + 34.646390 + 17.483277 + 0.000000 + -5.977377 = 708.397635 EUR</v>
      </c>
    </row>
    <row r="340" spans="1:63" ht="21" customHeight="1" x14ac:dyDescent="0.45">
      <c r="A340" s="13">
        <f>原始输入与口径!C244</f>
        <v>46237.447916666664</v>
      </c>
      <c r="B340" s="15">
        <f>IF(ISNUMBER(原始输入与口径!H244),原始输入与口径!H244,"缺失")</f>
        <v>38.11</v>
      </c>
      <c r="C340" s="15">
        <f>IF(ISNUMBER(原始输入与口径!R244),原始输入与口径!R244,"缺失")</f>
        <v>66.224534522516336</v>
      </c>
      <c r="D340" s="15">
        <f>IF(ISNUMBER(原始输入与口径!W244),原始输入与口径!W244,"缺失")</f>
        <v>5.7743982619632952</v>
      </c>
      <c r="E340" s="15">
        <f>IF(ISNUMBER(原始输入与口径!AB244),原始输入与口径!AB244,"缺失")</f>
        <v>2.913879518990719</v>
      </c>
      <c r="F340" s="15">
        <f>IF(ISNUMBER(原始输入与口径!AG244),原始输入与口径!AG244,"缺失")</f>
        <v>0</v>
      </c>
      <c r="G340" s="15">
        <f>IF(ISNUMBER(原始输入与口径!AJ244),原始输入与口径!AJ244,"缺失")</f>
        <v>-26.560326263030511</v>
      </c>
      <c r="H340" s="15" t="str">
        <f t="shared" si="115"/>
        <v>未模拟</v>
      </c>
      <c r="I340" s="16">
        <f>原始输入与口径!CD244</f>
        <v>34.343687234782593</v>
      </c>
      <c r="J340" s="16">
        <f>原始输入与口径!CE244</f>
        <v>46.701926320496874</v>
      </c>
      <c r="K340" s="16">
        <f>原始输入与口径!BZ244</f>
        <v>-36</v>
      </c>
      <c r="L340" s="16">
        <f>原始输入与口径!CK244</f>
        <v>40</v>
      </c>
      <c r="M340" s="16">
        <f>原始输入与口径!BT244</f>
        <v>24</v>
      </c>
      <c r="N340" s="16">
        <f>原始输入与口径!BJ244</f>
        <v>24</v>
      </c>
      <c r="O340" s="16">
        <f t="shared" si="116"/>
        <v>0</v>
      </c>
      <c r="P340" s="16">
        <f t="shared" si="117"/>
        <v>4.4328685714285712</v>
      </c>
      <c r="Q340" s="17">
        <f t="shared" si="118"/>
        <v>-342.99</v>
      </c>
      <c r="R340" s="17">
        <f t="shared" si="119"/>
        <v>662.24534522516342</v>
      </c>
      <c r="S340" s="17">
        <f t="shared" si="120"/>
        <v>34.646389571779771</v>
      </c>
      <c r="T340" s="17">
        <f t="shared" si="121"/>
        <v>17.483277113944315</v>
      </c>
      <c r="U340" s="17">
        <f t="shared" si="122"/>
        <v>0</v>
      </c>
      <c r="V340" s="17">
        <f t="shared" si="123"/>
        <v>117.73843553827682</v>
      </c>
      <c r="W340" s="17">
        <f t="shared" si="124"/>
        <v>489.1234474491643</v>
      </c>
      <c r="X340" s="12">
        <f>原始输入与口径!CP244</f>
        <v>489.1234474491643</v>
      </c>
      <c r="Y340" s="19">
        <f t="shared" si="125"/>
        <v>0</v>
      </c>
      <c r="Z340" s="12" t="str">
        <f t="shared" si="126"/>
        <v>次日冻结计划复原</v>
      </c>
      <c r="AA340" s="12">
        <f>IF(原始输入与口径!AW244,1,0)</f>
        <v>1</v>
      </c>
      <c r="AB340" s="12">
        <f>IF(原始输入与口径!AY244,1,0)</f>
        <v>1</v>
      </c>
      <c r="AC340" s="12">
        <f>原始输入与口径!$F$5</f>
        <v>0.25</v>
      </c>
      <c r="AD340" s="18">
        <f>原始输入与口径!CG244</f>
        <v>0.3125</v>
      </c>
      <c r="AE340" s="18">
        <f>原始输入与口径!BQ244</f>
        <v>0.13714285714285715</v>
      </c>
      <c r="AF340" s="18">
        <f t="shared" si="127"/>
        <v>0</v>
      </c>
      <c r="AG340" s="18">
        <f t="shared" si="128"/>
        <v>0.73881142857142856</v>
      </c>
      <c r="AH340" s="12">
        <f>IF(ISNUMBER(原始输入与口径!T244),原始输入与口径!T244,"缺失")</f>
        <v>175</v>
      </c>
      <c r="AI340" s="12">
        <f>IF(ISNUMBER(原始输入与口径!Y244),原始输入与口径!Y244,"缺失")</f>
        <v>175</v>
      </c>
      <c r="AJ340" s="12">
        <f>IF(ISNUMBER(原始输入与口径!AI244),原始输入与口径!AI244,"缺失")</f>
        <v>0</v>
      </c>
      <c r="AK340" s="12">
        <f>IF(ISNUMBER(原始输入与口径!AL244),原始输入与口径!AL244,"缺失")</f>
        <v>32.323</v>
      </c>
      <c r="AL340" s="12">
        <f>IF(ISNUMBER(原始输入与口径!O244),原始输入与口径!O244,"缺失")</f>
        <v>91.903999999999996</v>
      </c>
      <c r="AM340" s="12">
        <f>SUMIFS(相位SOC复算!$N$9:$N$929,相位SOC复算!$S$9:$S$929,332)</f>
        <v>3.4328441904761905E-2</v>
      </c>
      <c r="AN340" s="12">
        <f>SUMIFS(相位SOC复算!$Q$9:$Q$929,相位SOC复算!$S$9:$S$929,332)</f>
        <v>13.432868571428571</v>
      </c>
      <c r="AO340" s="12">
        <f>SUMIFS(相位SOC复算!$R$9:$R$929,相位SOC复算!$S$9:$S$929,332)</f>
        <v>0</v>
      </c>
      <c r="AP340" s="12">
        <f>相位SOC复算!J813</f>
        <v>46.701926320496888</v>
      </c>
      <c r="AQ340" s="19">
        <f t="shared" si="129"/>
        <v>0</v>
      </c>
      <c r="AR340" s="12">
        <f>IF(ISBLANK(原始输入与口径!M244),"",原始输入与口径!M244)</f>
        <v>5.2473000000000001</v>
      </c>
      <c r="AS340" s="14">
        <f>IF(ISBLANK(原始输入与口径!L244),"",原始输入与口径!L244)</f>
        <v>46234</v>
      </c>
      <c r="AT340" s="13">
        <f>IF(ISBLANK(原始输入与口径!A244),"",原始输入与口径!A244)</f>
        <v>46237.322916666664</v>
      </c>
      <c r="AU340" s="12" t="str">
        <f>IF(ISBLANK(原始输入与口径!I244),"",原始输入与口径!I244)</f>
        <v>2026-08-03_40</v>
      </c>
      <c r="AV340" s="12">
        <f>IF(ISBLANK(原始输入与口径!J244),"",原始输入与口径!J244)</f>
        <v>15</v>
      </c>
      <c r="AW340" s="12" t="str">
        <f>IF(ISBLANK(原始输入与口径!BB244),"",原始输入与口径!BB244)</f>
        <v>OK</v>
      </c>
      <c r="AX340" s="12">
        <f>原始输入与口径!CI244</f>
        <v>128</v>
      </c>
      <c r="AY340" s="12">
        <f>原始输入与口径!BS244</f>
        <v>175</v>
      </c>
      <c r="AZ340" s="12">
        <f>原始输入与口径!BI244</f>
        <v>175</v>
      </c>
      <c r="BA340" s="12">
        <f>原始输入与口径!CM244</f>
        <v>40</v>
      </c>
      <c r="BB340" s="12">
        <f>原始输入与口径!BV244</f>
        <v>24</v>
      </c>
      <c r="BC340" s="12">
        <f>原始输入与口径!BL244</f>
        <v>24</v>
      </c>
      <c r="BD340" s="14">
        <f>46236</f>
        <v>46236</v>
      </c>
      <c r="BE340" s="1" t="str">
        <f t="shared" si="130"/>
        <v>-36.000000 MW × 38.110000 × 0.250000 h = -342.990000 EUR</v>
      </c>
      <c r="BF340" s="1" t="str">
        <f t="shared" si="131"/>
        <v>40.000000 MW × 66.224535 × 0.250000 h = 662.245345 EUR</v>
      </c>
      <c r="BG340" s="1" t="str">
        <f t="shared" si="132"/>
        <v>24.000000 MW × 5.774398 × 0.250000 h = 34.646390 EUR</v>
      </c>
      <c r="BH340" s="1" t="str">
        <f t="shared" si="133"/>
        <v>24.000000 MW × 2.913880 × 0.250000 h = 17.483277 EUR</v>
      </c>
      <c r="BI340" s="1" t="str">
        <f t="shared" si="134"/>
        <v>零上调激活电量</v>
      </c>
      <c r="BJ340" s="1" t="str">
        <f t="shared" si="135"/>
        <v>−(4.432869 MWh × -26.560326) = 117.738436 EUR</v>
      </c>
      <c r="BK340" s="1" t="str">
        <f t="shared" si="136"/>
        <v>-342.990000 + 662.245345 + 34.646390 + 17.483277 + 0.000000 + 117.738436 = 489.123447 EUR</v>
      </c>
    </row>
    <row r="341" spans="1:63" ht="21" customHeight="1" x14ac:dyDescent="0.45">
      <c r="A341" s="13">
        <f>原始输入与口径!C245</f>
        <v>46237.458333333336</v>
      </c>
      <c r="B341" s="15">
        <f>IF(ISNUMBER(原始输入与口径!H245),原始输入与口径!H245,"缺失")</f>
        <v>66.989999999999995</v>
      </c>
      <c r="C341" s="15">
        <f>IF(ISNUMBER(原始输入与口径!R245),原始输入与口径!R245,"缺失")</f>
        <v>66.224534522516336</v>
      </c>
      <c r="D341" s="15">
        <f>IF(ISNUMBER(原始输入与口径!W245),原始输入与口径!W245,"缺失")</f>
        <v>5.1779010157604866</v>
      </c>
      <c r="E341" s="15">
        <f>IF(ISNUMBER(原始输入与口径!AB245),原始输入与口径!AB245,"缺失")</f>
        <v>3.0072608770224685</v>
      </c>
      <c r="F341" s="15">
        <f>IF(ISNUMBER(原始输入与口径!AG245),原始输入与口径!AG245,"缺失")</f>
        <v>0</v>
      </c>
      <c r="G341" s="15">
        <f>IF(ISNUMBER(原始输入与口径!AJ245),原始输入与口径!AJ245,"缺失")</f>
        <v>-198.52228765269754</v>
      </c>
      <c r="H341" s="15" t="str">
        <f t="shared" si="115"/>
        <v>未模拟</v>
      </c>
      <c r="I341" s="16">
        <f>原始输入与口径!CD245</f>
        <v>46.701926320496874</v>
      </c>
      <c r="J341" s="16">
        <f>原始输入与口径!CE245</f>
        <v>58.831668949068302</v>
      </c>
      <c r="K341" s="16">
        <f>原始输入与口径!BZ245</f>
        <v>-36</v>
      </c>
      <c r="L341" s="16">
        <f>原始输入与口径!CK245</f>
        <v>40</v>
      </c>
      <c r="M341" s="16">
        <f>原始输入与口径!BT245</f>
        <v>24</v>
      </c>
      <c r="N341" s="16">
        <f>原始输入与口径!BJ245</f>
        <v>24</v>
      </c>
      <c r="O341" s="16">
        <f t="shared" si="116"/>
        <v>0</v>
      </c>
      <c r="P341" s="16">
        <f t="shared" si="117"/>
        <v>4.1845028571428573</v>
      </c>
      <c r="Q341" s="17">
        <f t="shared" si="118"/>
        <v>-602.91</v>
      </c>
      <c r="R341" s="17">
        <f t="shared" si="119"/>
        <v>662.24534522516342</v>
      </c>
      <c r="S341" s="17">
        <f t="shared" si="120"/>
        <v>31.067406094562919</v>
      </c>
      <c r="T341" s="17">
        <f t="shared" si="121"/>
        <v>18.043565262134813</v>
      </c>
      <c r="U341" s="17">
        <f t="shared" si="122"/>
        <v>0</v>
      </c>
      <c r="V341" s="17">
        <f t="shared" si="123"/>
        <v>830.71707988924902</v>
      </c>
      <c r="W341" s="17">
        <f t="shared" si="124"/>
        <v>939.16339647111022</v>
      </c>
      <c r="X341" s="12">
        <f>原始输入与口径!CP245</f>
        <v>939.16339647111022</v>
      </c>
      <c r="Y341" s="19">
        <f t="shared" si="125"/>
        <v>0</v>
      </c>
      <c r="Z341" s="12" t="str">
        <f t="shared" si="126"/>
        <v>次日冻结计划复原</v>
      </c>
      <c r="AA341" s="12">
        <f>IF(原始输入与口径!AW245,1,0)</f>
        <v>1</v>
      </c>
      <c r="AB341" s="12">
        <f>IF(原始输入与口径!AY245,1,0)</f>
        <v>1</v>
      </c>
      <c r="AC341" s="12">
        <f>原始输入与口径!$F$5</f>
        <v>0.25</v>
      </c>
      <c r="AD341" s="18">
        <f>原始输入与口径!CG245</f>
        <v>0.3125</v>
      </c>
      <c r="AE341" s="18">
        <f>原始输入与口径!BQ245</f>
        <v>0.13714285714285715</v>
      </c>
      <c r="AF341" s="18">
        <f t="shared" si="127"/>
        <v>0</v>
      </c>
      <c r="AG341" s="18">
        <f t="shared" si="128"/>
        <v>0.69741714285714285</v>
      </c>
      <c r="AH341" s="12">
        <f>IF(ISNUMBER(原始输入与口径!T245),原始输入与口径!T245,"缺失")</f>
        <v>175</v>
      </c>
      <c r="AI341" s="12">
        <f>IF(ISNUMBER(原始输入与口径!Y245),原始输入与口径!Y245,"缺失")</f>
        <v>175</v>
      </c>
      <c r="AJ341" s="12">
        <f>IF(ISNUMBER(原始输入与口径!AI245),原始输入与口径!AI245,"缺失")</f>
        <v>0</v>
      </c>
      <c r="AK341" s="12">
        <f>IF(ISNUMBER(原始输入与口径!AL245),原始输入与口径!AL245,"缺失")</f>
        <v>30.512</v>
      </c>
      <c r="AL341" s="12">
        <f>IF(ISNUMBER(原始输入与口径!O245),原始输入与口径!O245,"缺失")</f>
        <v>91.903999999999996</v>
      </c>
      <c r="AM341" s="12">
        <f>SUMIFS(相位SOC复算!$N$9:$N$929,相位SOC复算!$S$9:$S$929,333)</f>
        <v>3.3693729523809529E-2</v>
      </c>
      <c r="AN341" s="12">
        <f>SUMIFS(相位SOC复算!$Q$9:$Q$929,相位SOC复算!$S$9:$S$929,333)</f>
        <v>13.184502857142856</v>
      </c>
      <c r="AO341" s="12">
        <f>SUMIFS(相位SOC复算!$R$9:$R$929,相位SOC复算!$S$9:$S$929,333)</f>
        <v>0</v>
      </c>
      <c r="AP341" s="12">
        <f>相位SOC复算!J815</f>
        <v>58.831668949068316</v>
      </c>
      <c r="AQ341" s="19">
        <f t="shared" si="129"/>
        <v>0</v>
      </c>
      <c r="AR341" s="12">
        <f>IF(ISBLANK(原始输入与口径!M245),"",原始输入与口径!M245)</f>
        <v>5.2473000000000001</v>
      </c>
      <c r="AS341" s="14">
        <f>IF(ISBLANK(原始输入与口径!L245),"",原始输入与口径!L245)</f>
        <v>46234</v>
      </c>
      <c r="AT341" s="13">
        <f>IF(ISBLANK(原始输入与口径!A245),"",原始输入与口径!A245)</f>
        <v>46237.333333333336</v>
      </c>
      <c r="AU341" s="12" t="str">
        <f>IF(ISBLANK(原始输入与口径!I245),"",原始输入与口径!I245)</f>
        <v>2026-08-03_41</v>
      </c>
      <c r="AV341" s="12">
        <f>IF(ISBLANK(原始输入与口径!J245),"",原始输入与口径!J245)</f>
        <v>15</v>
      </c>
      <c r="AW341" s="12" t="str">
        <f>IF(ISBLANK(原始输入与口径!BB245),"",原始输入与口径!BB245)</f>
        <v>OK</v>
      </c>
      <c r="AX341" s="12">
        <f>原始输入与口径!CI245</f>
        <v>128</v>
      </c>
      <c r="AY341" s="12">
        <f>原始输入与口径!BS245</f>
        <v>175</v>
      </c>
      <c r="AZ341" s="12">
        <f>原始输入与口径!BI245</f>
        <v>175</v>
      </c>
      <c r="BA341" s="12">
        <f>原始输入与口径!CM245</f>
        <v>40</v>
      </c>
      <c r="BB341" s="12">
        <f>原始输入与口径!BV245</f>
        <v>24</v>
      </c>
      <c r="BC341" s="12">
        <f>原始输入与口径!BL245</f>
        <v>24</v>
      </c>
      <c r="BD341" s="14">
        <f>46236</f>
        <v>46236</v>
      </c>
      <c r="BE341" s="1" t="str">
        <f t="shared" si="130"/>
        <v>-36.000000 MW × 66.990000 × 0.250000 h = -602.910000 EUR</v>
      </c>
      <c r="BF341" s="1" t="str">
        <f t="shared" si="131"/>
        <v>40.000000 MW × 66.224535 × 0.250000 h = 662.245345 EUR</v>
      </c>
      <c r="BG341" s="1" t="str">
        <f t="shared" si="132"/>
        <v>24.000000 MW × 5.177901 × 0.250000 h = 31.067406 EUR</v>
      </c>
      <c r="BH341" s="1" t="str">
        <f t="shared" si="133"/>
        <v>24.000000 MW × 3.007261 × 0.250000 h = 18.043565 EUR</v>
      </c>
      <c r="BI341" s="1" t="str">
        <f t="shared" si="134"/>
        <v>零上调激活电量</v>
      </c>
      <c r="BJ341" s="1" t="str">
        <f t="shared" si="135"/>
        <v>−(4.184503 MWh × -198.522288) = 830.717080 EUR</v>
      </c>
      <c r="BK341" s="1" t="str">
        <f t="shared" si="136"/>
        <v>-602.910000 + 662.245345 + 31.067406 + 18.043565 + 0.000000 + 830.717080 = 939.163396 EUR</v>
      </c>
    </row>
    <row r="342" spans="1:63" ht="21" customHeight="1" x14ac:dyDescent="0.45">
      <c r="A342" s="13">
        <f>原始输入与口径!C246</f>
        <v>46237.46875</v>
      </c>
      <c r="B342" s="15">
        <f>IF(ISNUMBER(原始输入与口径!H246),原始输入与口径!H246,"缺失")</f>
        <v>79.989999999999995</v>
      </c>
      <c r="C342" s="15">
        <f>IF(ISNUMBER(原始输入与口径!R246),原始输入与口径!R246,"缺失")</f>
        <v>66.224534522516336</v>
      </c>
      <c r="D342" s="15">
        <f>IF(ISNUMBER(原始输入与口径!W246),原始输入与口径!W246,"缺失")</f>
        <v>5.1779010157604866</v>
      </c>
      <c r="E342" s="15">
        <f>IF(ISNUMBER(原始输入与口径!AB246),原始输入与口径!AB246,"缺失")</f>
        <v>3.0072608770224685</v>
      </c>
      <c r="F342" s="15">
        <f>IF(ISNUMBER(原始输入与口径!AG246),原始输入与口径!AG246,"缺失")</f>
        <v>0</v>
      </c>
      <c r="G342" s="15">
        <f>IF(ISNUMBER(原始输入与口径!AJ246),原始输入与口径!AJ246,"缺失")</f>
        <v>40.422312427343584</v>
      </c>
      <c r="H342" s="15" t="str">
        <f t="shared" si="115"/>
        <v>未模拟</v>
      </c>
      <c r="I342" s="16">
        <f>原始输入与口径!CD246</f>
        <v>58.831668949068302</v>
      </c>
      <c r="J342" s="16">
        <f>原始输入与口径!CE246</f>
        <v>60.217283577639733</v>
      </c>
      <c r="K342" s="16">
        <f>原始输入与口径!BZ246</f>
        <v>0</v>
      </c>
      <c r="L342" s="16">
        <f>原始输入与口径!CK246</f>
        <v>40</v>
      </c>
      <c r="M342" s="16">
        <f>原始输入与口径!BT246</f>
        <v>24</v>
      </c>
      <c r="N342" s="16">
        <f>原始输入与口径!BJ246</f>
        <v>24</v>
      </c>
      <c r="O342" s="16">
        <f t="shared" si="116"/>
        <v>0</v>
      </c>
      <c r="P342" s="16">
        <f t="shared" si="117"/>
        <v>1.506102857142857</v>
      </c>
      <c r="Q342" s="17">
        <f t="shared" si="118"/>
        <v>0</v>
      </c>
      <c r="R342" s="17">
        <f t="shared" si="119"/>
        <v>662.24534522516342</v>
      </c>
      <c r="S342" s="17">
        <f t="shared" si="120"/>
        <v>31.067406094562919</v>
      </c>
      <c r="T342" s="17">
        <f t="shared" si="121"/>
        <v>18.043565262134813</v>
      </c>
      <c r="U342" s="17">
        <f t="shared" si="122"/>
        <v>0</v>
      </c>
      <c r="V342" s="17">
        <f t="shared" si="123"/>
        <v>-60.880160239143386</v>
      </c>
      <c r="W342" s="17">
        <f t="shared" si="124"/>
        <v>650.47615634271779</v>
      </c>
      <c r="X342" s="12">
        <f>原始输入与口径!CP246</f>
        <v>650.47615634271779</v>
      </c>
      <c r="Y342" s="19">
        <f t="shared" si="125"/>
        <v>0</v>
      </c>
      <c r="Z342" s="12" t="str">
        <f t="shared" si="126"/>
        <v>次日冻结计划复原</v>
      </c>
      <c r="AA342" s="12">
        <f>IF(原始输入与口径!AW246,1,0)</f>
        <v>1</v>
      </c>
      <c r="AB342" s="12">
        <f>IF(原始输入与口径!AY246,1,0)</f>
        <v>1</v>
      </c>
      <c r="AC342" s="12">
        <f>原始输入与口径!$F$5</f>
        <v>0.25</v>
      </c>
      <c r="AD342" s="18">
        <f>原始输入与口径!CG246</f>
        <v>0.3125</v>
      </c>
      <c r="AE342" s="18">
        <f>原始输入与口径!BQ246</f>
        <v>0.13714285714285715</v>
      </c>
      <c r="AF342" s="18">
        <f t="shared" si="127"/>
        <v>0</v>
      </c>
      <c r="AG342" s="18">
        <f t="shared" si="128"/>
        <v>0.25101714285714283</v>
      </c>
      <c r="AH342" s="12">
        <f>IF(ISNUMBER(原始输入与口径!T246),原始输入与口径!T246,"缺失")</f>
        <v>175</v>
      </c>
      <c r="AI342" s="12">
        <f>IF(ISNUMBER(原始输入与口径!Y246),原始输入与口径!Y246,"缺失")</f>
        <v>175</v>
      </c>
      <c r="AJ342" s="12">
        <f>IF(ISNUMBER(原始输入与口径!AI246),原始输入与口径!AI246,"缺失")</f>
        <v>0</v>
      </c>
      <c r="AK342" s="12">
        <f>IF(ISNUMBER(原始输入与口径!AL246),原始输入与口径!AL246,"缺失")</f>
        <v>10.981999999999999</v>
      </c>
      <c r="AL342" s="12">
        <f>IF(ISNUMBER(原始输入与口径!O246),原始输入与口径!O246,"缺失")</f>
        <v>91.903999999999996</v>
      </c>
      <c r="AM342" s="12">
        <f>SUMIFS(相位SOC复算!$N$9:$N$929,相位SOC复算!$S$9:$S$929,334)</f>
        <v>3.848929523809524E-3</v>
      </c>
      <c r="AN342" s="12">
        <f>SUMIFS(相位SOC复算!$Q$9:$Q$929,相位SOC复算!$S$9:$S$929,334)</f>
        <v>1.506102857142857</v>
      </c>
      <c r="AO342" s="12">
        <f>SUMIFS(相位SOC复算!$R$9:$R$929,相位SOC复算!$S$9:$S$929,334)</f>
        <v>0</v>
      </c>
      <c r="AP342" s="12">
        <f>相位SOC复算!J817</f>
        <v>60.217283577639748</v>
      </c>
      <c r="AQ342" s="19">
        <f t="shared" si="129"/>
        <v>0</v>
      </c>
      <c r="AR342" s="12">
        <f>IF(ISBLANK(原始输入与口径!M246),"",原始输入与口径!M246)</f>
        <v>5.2473000000000001</v>
      </c>
      <c r="AS342" s="14">
        <f>IF(ISBLANK(原始输入与口径!L246),"",原始输入与口径!L246)</f>
        <v>46234</v>
      </c>
      <c r="AT342" s="13">
        <f>IF(ISBLANK(原始输入与口径!A246),"",原始输入与口径!A246)</f>
        <v>46237.34375</v>
      </c>
      <c r="AU342" s="12" t="str">
        <f>IF(ISBLANK(原始输入与口径!I246),"",原始输入与口径!I246)</f>
        <v>2026-08-03_42</v>
      </c>
      <c r="AV342" s="12">
        <f>IF(ISBLANK(原始输入与口径!J246),"",原始输入与口径!J246)</f>
        <v>15</v>
      </c>
      <c r="AW342" s="12" t="str">
        <f>IF(ISBLANK(原始输入与口径!BB246),"",原始输入与口径!BB246)</f>
        <v>OK</v>
      </c>
      <c r="AX342" s="12">
        <f>原始输入与口径!CI246</f>
        <v>128</v>
      </c>
      <c r="AY342" s="12">
        <f>原始输入与口径!BS246</f>
        <v>175</v>
      </c>
      <c r="AZ342" s="12">
        <f>原始输入与口径!BI246</f>
        <v>175</v>
      </c>
      <c r="BA342" s="12">
        <f>原始输入与口径!CM246</f>
        <v>40</v>
      </c>
      <c r="BB342" s="12">
        <f>原始输入与口径!BV246</f>
        <v>24</v>
      </c>
      <c r="BC342" s="12">
        <f>原始输入与口径!BL246</f>
        <v>24</v>
      </c>
      <c r="BD342" s="14">
        <f>46236</f>
        <v>46236</v>
      </c>
      <c r="BE342" s="1" t="str">
        <f t="shared" si="130"/>
        <v>零头寸，无结算现金</v>
      </c>
      <c r="BF342" s="1" t="str">
        <f t="shared" si="131"/>
        <v>40.000000 MW × 66.224535 × 0.250000 h = 662.245345 EUR</v>
      </c>
      <c r="BG342" s="1" t="str">
        <f t="shared" si="132"/>
        <v>24.000000 MW × 5.177901 × 0.250000 h = 31.067406 EUR</v>
      </c>
      <c r="BH342" s="1" t="str">
        <f t="shared" si="133"/>
        <v>24.000000 MW × 3.007261 × 0.250000 h = 18.043565 EUR</v>
      </c>
      <c r="BI342" s="1" t="str">
        <f t="shared" si="134"/>
        <v>零上调激活电量</v>
      </c>
      <c r="BJ342" s="1" t="str">
        <f t="shared" si="135"/>
        <v>−(1.506103 MWh × 40.422312) = -60.880160 EUR</v>
      </c>
      <c r="BK342" s="1" t="str">
        <f t="shared" si="136"/>
        <v>0.000000 + 662.245345 + 31.067406 + 18.043565 + 0.000000 + -60.880160 = 650.476156 EUR</v>
      </c>
    </row>
    <row r="343" spans="1:63" ht="21" customHeight="1" x14ac:dyDescent="0.45">
      <c r="A343" s="13">
        <f>原始输入与口径!C247</f>
        <v>46237.479166666664</v>
      </c>
      <c r="B343" s="15">
        <f>IF(ISNUMBER(原始输入与口径!H247),原始输入与口径!H247,"缺失")</f>
        <v>79.63</v>
      </c>
      <c r="C343" s="15">
        <f>IF(ISNUMBER(原始输入与口径!R247),原始输入与口径!R247,"缺失")</f>
        <v>66.224534522516336</v>
      </c>
      <c r="D343" s="15">
        <f>IF(ISNUMBER(原始输入与口径!W247),原始输入与口径!W247,"缺失")</f>
        <v>5.1779010157604866</v>
      </c>
      <c r="E343" s="15">
        <f>IF(ISNUMBER(原始输入与口径!AB247),原始输入与口径!AB247,"缺失")</f>
        <v>3.0072608770224685</v>
      </c>
      <c r="F343" s="15">
        <f>IF(ISNUMBER(原始输入与口径!AG247),原始输入与口径!AG247,"缺失")</f>
        <v>0</v>
      </c>
      <c r="G343" s="15">
        <f>IF(ISNUMBER(原始输入与口径!AJ247),原始输入与口径!AJ247,"缺失")</f>
        <v>31.51506489051512</v>
      </c>
      <c r="H343" s="15" t="str">
        <f t="shared" si="115"/>
        <v>未模拟</v>
      </c>
      <c r="I343" s="16">
        <f>原始输入与口径!CD247</f>
        <v>60.217283577639733</v>
      </c>
      <c r="J343" s="16">
        <f>原始输入与口径!CE247</f>
        <v>61.308161749068304</v>
      </c>
      <c r="K343" s="16">
        <f>原始输入与口径!BZ247</f>
        <v>0</v>
      </c>
      <c r="L343" s="16">
        <f>原始输入与口径!CK247</f>
        <v>40</v>
      </c>
      <c r="M343" s="16">
        <f>原始输入与口径!BT247</f>
        <v>24</v>
      </c>
      <c r="N343" s="16">
        <f>原始输入与口径!BJ247</f>
        <v>24</v>
      </c>
      <c r="O343" s="16">
        <f t="shared" si="116"/>
        <v>0</v>
      </c>
      <c r="P343" s="16">
        <f t="shared" si="117"/>
        <v>1.185737142857143</v>
      </c>
      <c r="Q343" s="17">
        <f t="shared" si="118"/>
        <v>0</v>
      </c>
      <c r="R343" s="17">
        <f t="shared" si="119"/>
        <v>662.24534522516342</v>
      </c>
      <c r="S343" s="17">
        <f t="shared" si="120"/>
        <v>31.067406094562919</v>
      </c>
      <c r="T343" s="17">
        <f t="shared" si="121"/>
        <v>18.043565262134813</v>
      </c>
      <c r="U343" s="17">
        <f t="shared" si="122"/>
        <v>0</v>
      </c>
      <c r="V343" s="17">
        <f t="shared" si="123"/>
        <v>-37.36858300023686</v>
      </c>
      <c r="W343" s="17">
        <f t="shared" si="124"/>
        <v>673.9877335816243</v>
      </c>
      <c r="X343" s="12">
        <f>原始输入与口径!CP247</f>
        <v>673.9877335816243</v>
      </c>
      <c r="Y343" s="19">
        <f t="shared" si="125"/>
        <v>0</v>
      </c>
      <c r="Z343" s="12" t="str">
        <f t="shared" si="126"/>
        <v>次日冻结计划复原</v>
      </c>
      <c r="AA343" s="12">
        <f>IF(原始输入与口径!AW247,1,0)</f>
        <v>1</v>
      </c>
      <c r="AB343" s="12">
        <f>IF(原始输入与口径!AY247,1,0)</f>
        <v>1</v>
      </c>
      <c r="AC343" s="12">
        <f>原始输入与口径!$F$5</f>
        <v>0.25</v>
      </c>
      <c r="AD343" s="18">
        <f>原始输入与口径!CG247</f>
        <v>0.3125</v>
      </c>
      <c r="AE343" s="18">
        <f>原始输入与口径!BQ247</f>
        <v>0.13714285714285715</v>
      </c>
      <c r="AF343" s="18">
        <f t="shared" si="127"/>
        <v>0</v>
      </c>
      <c r="AG343" s="18">
        <f t="shared" si="128"/>
        <v>0.19762285714285716</v>
      </c>
      <c r="AH343" s="12">
        <f>IF(ISNUMBER(原始输入与口径!T247),原始输入与口径!T247,"缺失")</f>
        <v>175</v>
      </c>
      <c r="AI343" s="12">
        <f>IF(ISNUMBER(原始输入与口径!Y247),原始输入与口径!Y247,"缺失")</f>
        <v>175</v>
      </c>
      <c r="AJ343" s="12">
        <f>IF(ISNUMBER(原始输入与口径!AI247),原始输入与口径!AI247,"缺失")</f>
        <v>0</v>
      </c>
      <c r="AK343" s="12">
        <f>IF(ISNUMBER(原始输入与口径!AL247),原始输入与口径!AL247,"缺失")</f>
        <v>8.6460000000000008</v>
      </c>
      <c r="AL343" s="12">
        <f>IF(ISNUMBER(原始输入与口径!O247),原始输入与口径!O247,"缺失")</f>
        <v>91.903999999999996</v>
      </c>
      <c r="AM343" s="12">
        <f>SUMIFS(相位SOC复算!$N$9:$N$929,相位SOC复算!$S$9:$S$929,335)</f>
        <v>3.0302171428571432E-3</v>
      </c>
      <c r="AN343" s="12">
        <f>SUMIFS(相位SOC复算!$Q$9:$Q$929,相位SOC复算!$S$9:$S$929,335)</f>
        <v>1.185737142857143</v>
      </c>
      <c r="AO343" s="12">
        <f>SUMIFS(相位SOC复算!$R$9:$R$929,相位SOC复算!$S$9:$S$929,335)</f>
        <v>0</v>
      </c>
      <c r="AP343" s="12">
        <f>相位SOC复算!J819</f>
        <v>61.308161749068319</v>
      </c>
      <c r="AQ343" s="19">
        <f t="shared" si="129"/>
        <v>0</v>
      </c>
      <c r="AR343" s="12">
        <f>IF(ISBLANK(原始输入与口径!M247),"",原始输入与口径!M247)</f>
        <v>5.2473000000000001</v>
      </c>
      <c r="AS343" s="14">
        <f>IF(ISBLANK(原始输入与口径!L247),"",原始输入与口径!L247)</f>
        <v>46234</v>
      </c>
      <c r="AT343" s="13">
        <f>IF(ISBLANK(原始输入与口径!A247),"",原始输入与口径!A247)</f>
        <v>46237.354166666664</v>
      </c>
      <c r="AU343" s="12" t="str">
        <f>IF(ISBLANK(原始输入与口径!I247),"",原始输入与口径!I247)</f>
        <v>2026-08-03_43</v>
      </c>
      <c r="AV343" s="12">
        <f>IF(ISBLANK(原始输入与口径!J247),"",原始输入与口径!J247)</f>
        <v>15</v>
      </c>
      <c r="AW343" s="12" t="str">
        <f>IF(ISBLANK(原始输入与口径!BB247),"",原始输入与口径!BB247)</f>
        <v>OK</v>
      </c>
      <c r="AX343" s="12">
        <f>原始输入与口径!CI247</f>
        <v>128</v>
      </c>
      <c r="AY343" s="12">
        <f>原始输入与口径!BS247</f>
        <v>175</v>
      </c>
      <c r="AZ343" s="12">
        <f>原始输入与口径!BI247</f>
        <v>175</v>
      </c>
      <c r="BA343" s="12">
        <f>原始输入与口径!CM247</f>
        <v>40</v>
      </c>
      <c r="BB343" s="12">
        <f>原始输入与口径!BV247</f>
        <v>24</v>
      </c>
      <c r="BC343" s="12">
        <f>原始输入与口径!BL247</f>
        <v>24</v>
      </c>
      <c r="BD343" s="14">
        <f>46236</f>
        <v>46236</v>
      </c>
      <c r="BE343" s="1" t="str">
        <f t="shared" si="130"/>
        <v>零头寸，无结算现金</v>
      </c>
      <c r="BF343" s="1" t="str">
        <f t="shared" si="131"/>
        <v>40.000000 MW × 66.224535 × 0.250000 h = 662.245345 EUR</v>
      </c>
      <c r="BG343" s="1" t="str">
        <f t="shared" si="132"/>
        <v>24.000000 MW × 5.177901 × 0.250000 h = 31.067406 EUR</v>
      </c>
      <c r="BH343" s="1" t="str">
        <f t="shared" si="133"/>
        <v>24.000000 MW × 3.007261 × 0.250000 h = 18.043565 EUR</v>
      </c>
      <c r="BI343" s="1" t="str">
        <f t="shared" si="134"/>
        <v>零上调激活电量</v>
      </c>
      <c r="BJ343" s="1" t="str">
        <f t="shared" si="135"/>
        <v>−(1.185737 MWh × 31.515065) = -37.368583 EUR</v>
      </c>
      <c r="BK343" s="1" t="str">
        <f t="shared" si="136"/>
        <v>0.000000 + 662.245345 + 31.067406 + 18.043565 + 0.000000 + -37.368583 = 673.987734 EUR</v>
      </c>
    </row>
    <row r="344" spans="1:63" ht="21" customHeight="1" x14ac:dyDescent="0.45">
      <c r="A344" s="13">
        <f>原始输入与口径!C248</f>
        <v>46237.489583333336</v>
      </c>
      <c r="B344" s="15">
        <f>IF(ISNUMBER(原始输入与口径!H248),原始输入与口径!H248,"缺失")</f>
        <v>69.760000000000005</v>
      </c>
      <c r="C344" s="15">
        <f>IF(ISNUMBER(原始输入与口径!R248),原始输入与口径!R248,"缺失")</f>
        <v>66.224534522516336</v>
      </c>
      <c r="D344" s="15">
        <f>IF(ISNUMBER(原始输入与口径!W248),原始输入与口径!W248,"缺失")</f>
        <v>5.1779010157604866</v>
      </c>
      <c r="E344" s="15">
        <f>IF(ISNUMBER(原始输入与口径!AB248),原始输入与口径!AB248,"缺失")</f>
        <v>3.0072608770224685</v>
      </c>
      <c r="F344" s="15">
        <f>IF(ISNUMBER(原始输入与口径!AG248),原始输入与口径!AG248,"缺失")</f>
        <v>0</v>
      </c>
      <c r="G344" s="15">
        <f>IF(ISNUMBER(原始输入与口径!AJ248),原始输入与口径!AJ248,"缺失")</f>
        <v>-10.234406266079699</v>
      </c>
      <c r="H344" s="15" t="str">
        <f t="shared" si="115"/>
        <v>未模拟</v>
      </c>
      <c r="I344" s="16">
        <f>原始输入与口径!CD248</f>
        <v>61.308161749068304</v>
      </c>
      <c r="J344" s="16">
        <f>原始输入与口径!CE248</f>
        <v>71.300938891925441</v>
      </c>
      <c r="K344" s="16">
        <f>原始输入与口径!BZ248</f>
        <v>-36</v>
      </c>
      <c r="L344" s="16">
        <f>原始输入与口径!CK248</f>
        <v>40</v>
      </c>
      <c r="M344" s="16">
        <f>原始输入与口径!BT248</f>
        <v>24</v>
      </c>
      <c r="N344" s="16">
        <f>原始输入与口径!BJ248</f>
        <v>24</v>
      </c>
      <c r="O344" s="16">
        <f t="shared" si="116"/>
        <v>0</v>
      </c>
      <c r="P344" s="16">
        <f t="shared" si="117"/>
        <v>1.8617142857142857</v>
      </c>
      <c r="Q344" s="17">
        <f t="shared" si="118"/>
        <v>-627.84</v>
      </c>
      <c r="R344" s="17">
        <f t="shared" si="119"/>
        <v>662.24534522516342</v>
      </c>
      <c r="S344" s="17">
        <f t="shared" si="120"/>
        <v>31.067406094562919</v>
      </c>
      <c r="T344" s="17">
        <f t="shared" si="121"/>
        <v>18.043565262134813</v>
      </c>
      <c r="U344" s="17">
        <f t="shared" si="122"/>
        <v>0</v>
      </c>
      <c r="V344" s="17">
        <f t="shared" si="123"/>
        <v>19.053540351364376</v>
      </c>
      <c r="W344" s="17">
        <f t="shared" si="124"/>
        <v>102.56985693322551</v>
      </c>
      <c r="X344" s="12">
        <f>原始输入与口径!CP248</f>
        <v>102.56985693322549</v>
      </c>
      <c r="Y344" s="19">
        <f t="shared" si="125"/>
        <v>0</v>
      </c>
      <c r="Z344" s="12" t="str">
        <f t="shared" si="126"/>
        <v>次日冻结计划复原</v>
      </c>
      <c r="AA344" s="12">
        <f>IF(原始输入与口径!AW248,1,0)</f>
        <v>1</v>
      </c>
      <c r="AB344" s="12">
        <f>IF(原始输入与口径!AY248,1,0)</f>
        <v>1</v>
      </c>
      <c r="AC344" s="12">
        <f>原始输入与口径!$F$5</f>
        <v>0.25</v>
      </c>
      <c r="AD344" s="18">
        <f>原始输入与口径!CG248</f>
        <v>0.3125</v>
      </c>
      <c r="AE344" s="18">
        <f>原始输入与口径!BQ248</f>
        <v>0.13714285714285715</v>
      </c>
      <c r="AF344" s="18">
        <f t="shared" si="127"/>
        <v>0</v>
      </c>
      <c r="AG344" s="18">
        <f t="shared" si="128"/>
        <v>0.31028571428571428</v>
      </c>
      <c r="AH344" s="12">
        <f>IF(ISNUMBER(原始输入与口径!T248),原始输入与口径!T248,"缺失")</f>
        <v>175</v>
      </c>
      <c r="AI344" s="12">
        <f>IF(ISNUMBER(原始输入与口径!Y248),原始输入与口径!Y248,"缺失")</f>
        <v>175</v>
      </c>
      <c r="AJ344" s="12">
        <f>IF(ISNUMBER(原始输入与口径!AI248),原始输入与口径!AI248,"缺失")</f>
        <v>0</v>
      </c>
      <c r="AK344" s="12">
        <f>IF(ISNUMBER(原始输入与口径!AL248),原始输入与口径!AL248,"缺失")</f>
        <v>13.574999999999999</v>
      </c>
      <c r="AL344" s="12">
        <f>IF(ISNUMBER(原始输入与口径!O248),原始输入与口径!O248,"缺失")</f>
        <v>91.903999999999996</v>
      </c>
      <c r="AM344" s="12">
        <f>SUMIFS(相位SOC复算!$N$9:$N$929,相位SOC复算!$S$9:$S$929,336)</f>
        <v>2.7757714285714288E-2</v>
      </c>
      <c r="AN344" s="12">
        <f>SUMIFS(相位SOC复算!$Q$9:$Q$929,相位SOC复算!$S$9:$S$929,336)</f>
        <v>10.861714285714285</v>
      </c>
      <c r="AO344" s="12">
        <f>SUMIFS(相位SOC复算!$R$9:$R$929,相位SOC复算!$S$9:$S$929,336)</f>
        <v>0</v>
      </c>
      <c r="AP344" s="12">
        <f>相位SOC复算!J821</f>
        <v>71.300938891925455</v>
      </c>
      <c r="AQ344" s="19">
        <f t="shared" si="129"/>
        <v>0</v>
      </c>
      <c r="AR344" s="12">
        <f>IF(ISBLANK(原始输入与口径!M248),"",原始输入与口径!M248)</f>
        <v>5.2473000000000001</v>
      </c>
      <c r="AS344" s="14">
        <f>IF(ISBLANK(原始输入与口径!L248),"",原始输入与口径!L248)</f>
        <v>46234</v>
      </c>
      <c r="AT344" s="13">
        <f>IF(ISBLANK(原始输入与口径!A248),"",原始输入与口径!A248)</f>
        <v>46237.364583333336</v>
      </c>
      <c r="AU344" s="12" t="str">
        <f>IF(ISBLANK(原始输入与口径!I248),"",原始输入与口径!I248)</f>
        <v>2026-08-03_44</v>
      </c>
      <c r="AV344" s="12">
        <f>IF(ISBLANK(原始输入与口径!J248),"",原始输入与口径!J248)</f>
        <v>15</v>
      </c>
      <c r="AW344" s="12" t="str">
        <f>IF(ISBLANK(原始输入与口径!BB248),"",原始输入与口径!BB248)</f>
        <v>OK</v>
      </c>
      <c r="AX344" s="12">
        <f>原始输入与口径!CI248</f>
        <v>128</v>
      </c>
      <c r="AY344" s="12">
        <f>原始输入与口径!BS248</f>
        <v>175</v>
      </c>
      <c r="AZ344" s="12">
        <f>原始输入与口径!BI248</f>
        <v>175</v>
      </c>
      <c r="BA344" s="12">
        <f>原始输入与口径!CM248</f>
        <v>40</v>
      </c>
      <c r="BB344" s="12">
        <f>原始输入与口径!BV248</f>
        <v>24</v>
      </c>
      <c r="BC344" s="12">
        <f>原始输入与口径!BL248</f>
        <v>24</v>
      </c>
      <c r="BD344" s="14">
        <f>46236</f>
        <v>46236</v>
      </c>
      <c r="BE344" s="1" t="str">
        <f t="shared" si="130"/>
        <v>-36.000000 MW × 69.760000 × 0.250000 h = -627.840000 EUR</v>
      </c>
      <c r="BF344" s="1" t="str">
        <f t="shared" si="131"/>
        <v>40.000000 MW × 66.224535 × 0.250000 h = 662.245345 EUR</v>
      </c>
      <c r="BG344" s="1" t="str">
        <f t="shared" si="132"/>
        <v>24.000000 MW × 5.177901 × 0.250000 h = 31.067406 EUR</v>
      </c>
      <c r="BH344" s="1" t="str">
        <f t="shared" si="133"/>
        <v>24.000000 MW × 3.007261 × 0.250000 h = 18.043565 EUR</v>
      </c>
      <c r="BI344" s="1" t="str">
        <f t="shared" si="134"/>
        <v>零上调激活电量</v>
      </c>
      <c r="BJ344" s="1" t="str">
        <f t="shared" si="135"/>
        <v>−(1.861714 MWh × -10.234406) = 19.053540 EUR</v>
      </c>
      <c r="BK344" s="1" t="str">
        <f t="shared" si="136"/>
        <v>-627.840000 + 662.245345 + 31.067406 + 18.043565 + 0.000000 + 19.053540 = 102.569857 EUR</v>
      </c>
    </row>
    <row r="345" spans="1:63" ht="21" customHeight="1" x14ac:dyDescent="0.45">
      <c r="A345" s="13">
        <f>原始输入与口径!C249</f>
        <v>46237.5</v>
      </c>
      <c r="B345" s="15">
        <f>IF(ISNUMBER(原始输入与口径!H249),原始输入与口径!H249,"缺失")</f>
        <v>91.42</v>
      </c>
      <c r="C345" s="15">
        <f>IF(ISNUMBER(原始输入与口径!R249),原始输入与口径!R249,"缺失")</f>
        <v>66.224534522516336</v>
      </c>
      <c r="D345" s="15">
        <f>IF(ISNUMBER(原始输入与口径!W249),原始输入与口径!W249,"缺失")</f>
        <v>5.2274503077773327</v>
      </c>
      <c r="E345" s="15">
        <f>IF(ISNUMBER(原始输入与口径!AB249),原始输入与口径!AB249,"缺失")</f>
        <v>6.8740113963371634</v>
      </c>
      <c r="F345" s="15">
        <f>IF(ISNUMBER(原始输入与口径!AG249),原始输入与口径!AG249,"缺失")</f>
        <v>0</v>
      </c>
      <c r="G345" s="15">
        <f>IF(ISNUMBER(原始输入与口径!AJ249),原始输入与口径!AJ249,"缺失")</f>
        <v>13.613667981628648</v>
      </c>
      <c r="H345" s="15" t="str">
        <f t="shared" si="115"/>
        <v>未模拟</v>
      </c>
      <c r="I345" s="16">
        <f>原始输入与口径!CD249</f>
        <v>71.300938891925441</v>
      </c>
      <c r="J345" s="16">
        <f>原始输入与口径!CE249</f>
        <v>64.295473053416131</v>
      </c>
      <c r="K345" s="16">
        <f>原始输入与口径!BZ249</f>
        <v>35.999999999999993</v>
      </c>
      <c r="L345" s="16">
        <f>原始输入与口径!CK249</f>
        <v>40</v>
      </c>
      <c r="M345" s="16">
        <f>原始输入与口径!BT249</f>
        <v>24</v>
      </c>
      <c r="N345" s="16">
        <f>原始输入与口径!BJ249</f>
        <v>24</v>
      </c>
      <c r="O345" s="16">
        <f t="shared" si="116"/>
        <v>0</v>
      </c>
      <c r="P345" s="16">
        <f t="shared" si="117"/>
        <v>2.5549714285714282</v>
      </c>
      <c r="Q345" s="17">
        <f t="shared" si="118"/>
        <v>822.77999999999986</v>
      </c>
      <c r="R345" s="17">
        <f t="shared" si="119"/>
        <v>662.24534522516342</v>
      </c>
      <c r="S345" s="17">
        <f t="shared" si="120"/>
        <v>31.364701846663998</v>
      </c>
      <c r="T345" s="17">
        <f t="shared" si="121"/>
        <v>41.24406837802298</v>
      </c>
      <c r="U345" s="17">
        <f t="shared" si="122"/>
        <v>0</v>
      </c>
      <c r="V345" s="17">
        <f t="shared" si="123"/>
        <v>-34.782532731118856</v>
      </c>
      <c r="W345" s="17">
        <f t="shared" si="124"/>
        <v>1522.8515827187314</v>
      </c>
      <c r="X345" s="12">
        <f>原始输入与口径!CP249</f>
        <v>1522.8515827187314</v>
      </c>
      <c r="Y345" s="19">
        <f t="shared" si="125"/>
        <v>0</v>
      </c>
      <c r="Z345" s="12" t="str">
        <f t="shared" si="126"/>
        <v>次日冻结计划复原</v>
      </c>
      <c r="AA345" s="12">
        <f>IF(原始输入与口径!AW249,1,0)</f>
        <v>1</v>
      </c>
      <c r="AB345" s="12">
        <f>IF(原始输入与口径!AY249,1,0)</f>
        <v>1</v>
      </c>
      <c r="AC345" s="12">
        <f>原始输入与口径!$F$5</f>
        <v>0.25</v>
      </c>
      <c r="AD345" s="18">
        <f>原始输入与口径!CG249</f>
        <v>0.3125</v>
      </c>
      <c r="AE345" s="18">
        <f>原始输入与口径!BQ249</f>
        <v>0.13714285714285715</v>
      </c>
      <c r="AF345" s="18">
        <f t="shared" si="127"/>
        <v>0</v>
      </c>
      <c r="AG345" s="18">
        <f t="shared" si="128"/>
        <v>0.42582857142857139</v>
      </c>
      <c r="AH345" s="12">
        <f>IF(ISNUMBER(原始输入与口径!T249),原始输入与口径!T249,"缺失")</f>
        <v>175</v>
      </c>
      <c r="AI345" s="12">
        <f>IF(ISNUMBER(原始输入与口径!Y249),原始输入与口径!Y249,"缺失")</f>
        <v>175</v>
      </c>
      <c r="AJ345" s="12">
        <f>IF(ISNUMBER(原始输入与口径!AI249),原始输入与口径!AI249,"缺失")</f>
        <v>0</v>
      </c>
      <c r="AK345" s="12">
        <f>IF(ISNUMBER(原始输入与口径!AL249),原始输入与口径!AL249,"缺失")</f>
        <v>18.63</v>
      </c>
      <c r="AL345" s="12">
        <f>IF(ISNUMBER(原始输入与口径!O249),原始输入与口径!O249,"缺失")</f>
        <v>91.903999999999996</v>
      </c>
      <c r="AM345" s="12">
        <f>SUMIFS(相位SOC复算!$N$9:$N$929,相位SOC复算!$S$9:$S$929,337)</f>
        <v>1.9459627329192541E-2</v>
      </c>
      <c r="AN345" s="12">
        <f>SUMIFS(相位SOC复算!$Q$9:$Q$929,相位SOC复算!$S$9:$S$929,337)</f>
        <v>0</v>
      </c>
      <c r="AO345" s="12">
        <f>SUMIFS(相位SOC复算!$R$9:$R$929,相位SOC复算!$S$9:$S$929,337)</f>
        <v>6.44502857142857</v>
      </c>
      <c r="AP345" s="12">
        <f>相位SOC复算!J823</f>
        <v>64.295473053416146</v>
      </c>
      <c r="AQ345" s="19">
        <f t="shared" si="129"/>
        <v>0</v>
      </c>
      <c r="AR345" s="12">
        <f>IF(ISBLANK(原始输入与口径!M249),"",原始输入与口径!M249)</f>
        <v>5.2473000000000001</v>
      </c>
      <c r="AS345" s="14">
        <f>IF(ISBLANK(原始输入与口径!L249),"",原始输入与口径!L249)</f>
        <v>46234</v>
      </c>
      <c r="AT345" s="13">
        <f>IF(ISBLANK(原始输入与口径!A249),"",原始输入与口径!A249)</f>
        <v>46237.375</v>
      </c>
      <c r="AU345" s="12" t="str">
        <f>IF(ISBLANK(原始输入与口径!I249),"",原始输入与口径!I249)</f>
        <v>2026-08-03_45</v>
      </c>
      <c r="AV345" s="12">
        <f>IF(ISBLANK(原始输入与口径!J249),"",原始输入与口径!J249)</f>
        <v>15</v>
      </c>
      <c r="AW345" s="12" t="str">
        <f>IF(ISBLANK(原始输入与口径!BB249),"",原始输入与口径!BB249)</f>
        <v>OK</v>
      </c>
      <c r="AX345" s="12">
        <f>原始输入与口径!CI249</f>
        <v>128</v>
      </c>
      <c r="AY345" s="12">
        <f>原始输入与口径!BS249</f>
        <v>175</v>
      </c>
      <c r="AZ345" s="12">
        <f>原始输入与口径!BI249</f>
        <v>175</v>
      </c>
      <c r="BA345" s="12">
        <f>原始输入与口径!CM249</f>
        <v>40</v>
      </c>
      <c r="BB345" s="12">
        <f>原始输入与口径!BV249</f>
        <v>24</v>
      </c>
      <c r="BC345" s="12">
        <f>原始输入与口径!BL249</f>
        <v>24</v>
      </c>
      <c r="BD345" s="14">
        <f>46236</f>
        <v>46236</v>
      </c>
      <c r="BE345" s="1" t="str">
        <f t="shared" si="130"/>
        <v>36.000000 MW × 91.420000 × 0.250000 h = 822.780000 EUR</v>
      </c>
      <c r="BF345" s="1" t="str">
        <f t="shared" si="131"/>
        <v>40.000000 MW × 66.224535 × 0.250000 h = 662.245345 EUR</v>
      </c>
      <c r="BG345" s="1" t="str">
        <f t="shared" si="132"/>
        <v>24.000000 MW × 5.227450 × 0.250000 h = 31.364702 EUR</v>
      </c>
      <c r="BH345" s="1" t="str">
        <f t="shared" si="133"/>
        <v>24.000000 MW × 6.874011 × 0.250000 h = 41.244068 EUR</v>
      </c>
      <c r="BI345" s="1" t="str">
        <f t="shared" si="134"/>
        <v>零上调激活电量</v>
      </c>
      <c r="BJ345" s="1" t="str">
        <f t="shared" si="135"/>
        <v>−(2.554971 MWh × 13.613668) = -34.782533 EUR</v>
      </c>
      <c r="BK345" s="1" t="str">
        <f t="shared" si="136"/>
        <v>822.780000 + 662.245345 + 31.364702 + 41.244068 + 0.000000 + -34.782533 = 1522.851583 EUR</v>
      </c>
    </row>
    <row r="346" spans="1:63" ht="21" customHeight="1" x14ac:dyDescent="0.45">
      <c r="A346" s="13">
        <f>原始输入与口径!C250</f>
        <v>46237.510416666664</v>
      </c>
      <c r="B346" s="15">
        <f>IF(ISNUMBER(原始输入与口径!H250),原始输入与口径!H250,"缺失")</f>
        <v>77.86</v>
      </c>
      <c r="C346" s="15">
        <f>IF(ISNUMBER(原始输入与口径!R250),原始输入与口径!R250,"缺失")</f>
        <v>66.224534522516336</v>
      </c>
      <c r="D346" s="15">
        <f>IF(ISNUMBER(原始输入与口径!W250),原始输入与口径!W250,"缺失")</f>
        <v>5.2274503077773327</v>
      </c>
      <c r="E346" s="15">
        <f>IF(ISNUMBER(原始输入与口径!AB250),原始输入与口径!AB250,"缺失")</f>
        <v>6.8740113963371634</v>
      </c>
      <c r="F346" s="15">
        <f>IF(ISNUMBER(原始输入与口径!AG250),原始输入与口径!AG250,"缺失")</f>
        <v>0</v>
      </c>
      <c r="G346" s="15">
        <f>IF(ISNUMBER(原始输入与口径!AJ250),原始输入与口径!AJ250,"缺失")</f>
        <v>23.074342995445278</v>
      </c>
      <c r="H346" s="15" t="str">
        <f t="shared" si="115"/>
        <v>未模拟</v>
      </c>
      <c r="I346" s="16">
        <f>原始输入与口径!CD250</f>
        <v>64.295473053416131</v>
      </c>
      <c r="J346" s="16">
        <f>原始输入与口径!CE250</f>
        <v>66.082312824844706</v>
      </c>
      <c r="K346" s="16">
        <f>原始输入与口径!BZ250</f>
        <v>0</v>
      </c>
      <c r="L346" s="16">
        <f>原始输入与口径!CK250</f>
        <v>40</v>
      </c>
      <c r="M346" s="16">
        <f>原始输入与口径!BT250</f>
        <v>24</v>
      </c>
      <c r="N346" s="16">
        <f>原始输入与口径!BJ250</f>
        <v>24</v>
      </c>
      <c r="O346" s="16">
        <f t="shared" si="116"/>
        <v>0</v>
      </c>
      <c r="P346" s="16">
        <f t="shared" si="117"/>
        <v>1.9422171428571431</v>
      </c>
      <c r="Q346" s="17">
        <f t="shared" si="118"/>
        <v>0</v>
      </c>
      <c r="R346" s="17">
        <f t="shared" si="119"/>
        <v>662.24534522516342</v>
      </c>
      <c r="S346" s="17">
        <f t="shared" si="120"/>
        <v>31.364701846663998</v>
      </c>
      <c r="T346" s="17">
        <f t="shared" si="121"/>
        <v>41.24406837802298</v>
      </c>
      <c r="U346" s="17">
        <f t="shared" si="122"/>
        <v>0</v>
      </c>
      <c r="V346" s="17">
        <f t="shared" si="123"/>
        <v>-44.815384525919463</v>
      </c>
      <c r="W346" s="17">
        <f t="shared" si="124"/>
        <v>690.03873092393098</v>
      </c>
      <c r="X346" s="12">
        <f>原始输入与口径!CP250</f>
        <v>690.03873092393098</v>
      </c>
      <c r="Y346" s="19">
        <f t="shared" si="125"/>
        <v>0</v>
      </c>
      <c r="Z346" s="12" t="str">
        <f t="shared" si="126"/>
        <v>次日冻结计划复原</v>
      </c>
      <c r="AA346" s="12">
        <f>IF(原始输入与口径!AW250,1,0)</f>
        <v>1</v>
      </c>
      <c r="AB346" s="12">
        <f>IF(原始输入与口径!AY250,1,0)</f>
        <v>1</v>
      </c>
      <c r="AC346" s="12">
        <f>原始输入与口径!$F$5</f>
        <v>0.25</v>
      </c>
      <c r="AD346" s="18">
        <f>原始输入与口径!CG250</f>
        <v>0.3125</v>
      </c>
      <c r="AE346" s="18">
        <f>原始输入与口径!BQ250</f>
        <v>0.13714285714285715</v>
      </c>
      <c r="AF346" s="18">
        <f t="shared" si="127"/>
        <v>0</v>
      </c>
      <c r="AG346" s="18">
        <f t="shared" si="128"/>
        <v>0.32370285714285718</v>
      </c>
      <c r="AH346" s="12">
        <f>IF(ISNUMBER(原始输入与口径!T250),原始输入与口径!T250,"缺失")</f>
        <v>175</v>
      </c>
      <c r="AI346" s="12">
        <f>IF(ISNUMBER(原始输入与口径!Y250),原始输入与口径!Y250,"缺失")</f>
        <v>175</v>
      </c>
      <c r="AJ346" s="12">
        <f>IF(ISNUMBER(原始输入与口径!AI250),原始输入与口径!AI250,"缺失")</f>
        <v>0</v>
      </c>
      <c r="AK346" s="12">
        <f>IF(ISNUMBER(原始输入与口径!AL250),原始输入与口径!AL250,"缺失")</f>
        <v>14.162000000000001</v>
      </c>
      <c r="AL346" s="12">
        <f>IF(ISNUMBER(原始输入与口径!O250),原始输入与口径!O250,"缺失")</f>
        <v>91.903999999999996</v>
      </c>
      <c r="AM346" s="12">
        <f>SUMIFS(相位SOC复算!$N$9:$N$929,相位SOC复算!$S$9:$S$929,338)</f>
        <v>4.9634438095238105E-3</v>
      </c>
      <c r="AN346" s="12">
        <f>SUMIFS(相位SOC复算!$Q$9:$Q$929,相位SOC复算!$S$9:$S$929,338)</f>
        <v>1.9422171428571431</v>
      </c>
      <c r="AO346" s="12">
        <f>SUMIFS(相位SOC复算!$R$9:$R$929,相位SOC复算!$S$9:$S$929,338)</f>
        <v>0</v>
      </c>
      <c r="AP346" s="12">
        <f>相位SOC复算!J825</f>
        <v>66.08231282484472</v>
      </c>
      <c r="AQ346" s="19">
        <f t="shared" si="129"/>
        <v>0</v>
      </c>
      <c r="AR346" s="12">
        <f>IF(ISBLANK(原始输入与口径!M250),"",原始输入与口径!M250)</f>
        <v>5.2473000000000001</v>
      </c>
      <c r="AS346" s="14">
        <f>IF(ISBLANK(原始输入与口径!L250),"",原始输入与口径!L250)</f>
        <v>46234</v>
      </c>
      <c r="AT346" s="13">
        <f>IF(ISBLANK(原始输入与口径!A250),"",原始输入与口径!A250)</f>
        <v>46237.385416666664</v>
      </c>
      <c r="AU346" s="12" t="str">
        <f>IF(ISBLANK(原始输入与口径!I250),"",原始输入与口径!I250)</f>
        <v>2026-08-03_46</v>
      </c>
      <c r="AV346" s="12">
        <f>IF(ISBLANK(原始输入与口径!J250),"",原始输入与口径!J250)</f>
        <v>15</v>
      </c>
      <c r="AW346" s="12" t="str">
        <f>IF(ISBLANK(原始输入与口径!BB250),"",原始输入与口径!BB250)</f>
        <v>OK</v>
      </c>
      <c r="AX346" s="12">
        <f>原始输入与口径!CI250</f>
        <v>128</v>
      </c>
      <c r="AY346" s="12">
        <f>原始输入与口径!BS250</f>
        <v>175</v>
      </c>
      <c r="AZ346" s="12">
        <f>原始输入与口径!BI250</f>
        <v>175</v>
      </c>
      <c r="BA346" s="12">
        <f>原始输入与口径!CM250</f>
        <v>40</v>
      </c>
      <c r="BB346" s="12">
        <f>原始输入与口径!BV250</f>
        <v>24</v>
      </c>
      <c r="BC346" s="12">
        <f>原始输入与口径!BL250</f>
        <v>24</v>
      </c>
      <c r="BD346" s="14">
        <f>46236</f>
        <v>46236</v>
      </c>
      <c r="BE346" s="1" t="str">
        <f t="shared" si="130"/>
        <v>零头寸，无结算现金</v>
      </c>
      <c r="BF346" s="1" t="str">
        <f t="shared" si="131"/>
        <v>40.000000 MW × 66.224535 × 0.250000 h = 662.245345 EUR</v>
      </c>
      <c r="BG346" s="1" t="str">
        <f t="shared" si="132"/>
        <v>24.000000 MW × 5.227450 × 0.250000 h = 31.364702 EUR</v>
      </c>
      <c r="BH346" s="1" t="str">
        <f t="shared" si="133"/>
        <v>24.000000 MW × 6.874011 × 0.250000 h = 41.244068 EUR</v>
      </c>
      <c r="BI346" s="1" t="str">
        <f t="shared" si="134"/>
        <v>零上调激活电量</v>
      </c>
      <c r="BJ346" s="1" t="str">
        <f t="shared" si="135"/>
        <v>−(1.942217 MWh × 23.074343) = -44.815385 EUR</v>
      </c>
      <c r="BK346" s="1" t="str">
        <f t="shared" si="136"/>
        <v>0.000000 + 662.245345 + 31.364702 + 41.244068 + 0.000000 + -44.815385 = 690.038731 EUR</v>
      </c>
    </row>
    <row r="347" spans="1:63" ht="21" customHeight="1" x14ac:dyDescent="0.45">
      <c r="A347" s="13">
        <f>原始输入与口径!C251</f>
        <v>46237.520833333336</v>
      </c>
      <c r="B347" s="15">
        <f>IF(ISNUMBER(原始输入与口径!H251),原始输入与口径!H251,"缺失")</f>
        <v>67.92</v>
      </c>
      <c r="C347" s="15">
        <f>IF(ISNUMBER(原始输入与口径!R251),原始输入与口径!R251,"缺失")</f>
        <v>66.224534522516336</v>
      </c>
      <c r="D347" s="15">
        <f>IF(ISNUMBER(原始输入与口径!W251),原始输入与口径!W251,"缺失")</f>
        <v>5.2274503077773327</v>
      </c>
      <c r="E347" s="15">
        <f>IF(ISNUMBER(原始输入与口径!AB251),原始输入与口径!AB251,"缺失")</f>
        <v>6.8740113963371634</v>
      </c>
      <c r="F347" s="15">
        <f>IF(ISNUMBER(原始输入与口径!AG251),原始输入与口径!AG251,"缺失")</f>
        <v>0</v>
      </c>
      <c r="G347" s="15">
        <f>IF(ISNUMBER(原始输入与口径!AJ251),原始输入与口径!AJ251,"缺失")</f>
        <v>28.58994149372058</v>
      </c>
      <c r="H347" s="15" t="str">
        <f t="shared" si="115"/>
        <v>未模拟</v>
      </c>
      <c r="I347" s="16">
        <f>原始输入与口径!CD251</f>
        <v>66.082312824844706</v>
      </c>
      <c r="J347" s="16">
        <f>原始输入与口径!CE251</f>
        <v>76.523250881987565</v>
      </c>
      <c r="K347" s="16">
        <f>原始输入与口径!BZ251</f>
        <v>-36</v>
      </c>
      <c r="L347" s="16">
        <f>原始输入与口径!CK251</f>
        <v>40</v>
      </c>
      <c r="M347" s="16">
        <f>原始输入与口径!BT251</f>
        <v>24</v>
      </c>
      <c r="N347" s="16">
        <f>原始输入与口径!BJ251</f>
        <v>24</v>
      </c>
      <c r="O347" s="16">
        <f t="shared" si="116"/>
        <v>0</v>
      </c>
      <c r="P347" s="16">
        <f t="shared" si="117"/>
        <v>2.348845714285714</v>
      </c>
      <c r="Q347" s="17">
        <f t="shared" si="118"/>
        <v>-611.28</v>
      </c>
      <c r="R347" s="17">
        <f t="shared" si="119"/>
        <v>662.24534522516342</v>
      </c>
      <c r="S347" s="17">
        <f t="shared" si="120"/>
        <v>31.364701846663998</v>
      </c>
      <c r="T347" s="17">
        <f t="shared" si="121"/>
        <v>41.24406837802298</v>
      </c>
      <c r="U347" s="17">
        <f t="shared" si="122"/>
        <v>0</v>
      </c>
      <c r="V347" s="17">
        <f t="shared" si="123"/>
        <v>-67.153361549204888</v>
      </c>
      <c r="W347" s="17">
        <f t="shared" si="124"/>
        <v>56.420753900645522</v>
      </c>
      <c r="X347" s="12">
        <f>原始输入与口径!CP251</f>
        <v>56.420753900645536</v>
      </c>
      <c r="Y347" s="19">
        <f t="shared" si="125"/>
        <v>0</v>
      </c>
      <c r="Z347" s="12" t="str">
        <f t="shared" si="126"/>
        <v>次日冻结计划复原</v>
      </c>
      <c r="AA347" s="12">
        <f>IF(原始输入与口径!AW251,1,0)</f>
        <v>1</v>
      </c>
      <c r="AB347" s="12">
        <f>IF(原始输入与口径!AY251,1,0)</f>
        <v>1</v>
      </c>
      <c r="AC347" s="12">
        <f>原始输入与口径!$F$5</f>
        <v>0.25</v>
      </c>
      <c r="AD347" s="18">
        <f>原始输入与口径!CG251</f>
        <v>0.3125</v>
      </c>
      <c r="AE347" s="18">
        <f>原始输入与口径!BQ251</f>
        <v>0.13714285714285715</v>
      </c>
      <c r="AF347" s="18">
        <f t="shared" si="127"/>
        <v>0</v>
      </c>
      <c r="AG347" s="18">
        <f t="shared" si="128"/>
        <v>0.39147428571428566</v>
      </c>
      <c r="AH347" s="12">
        <f>IF(ISNUMBER(原始输入与口径!T251),原始输入与口径!T251,"缺失")</f>
        <v>175</v>
      </c>
      <c r="AI347" s="12">
        <f>IF(ISNUMBER(原始输入与口径!Y251),原始输入与口径!Y251,"缺失")</f>
        <v>175</v>
      </c>
      <c r="AJ347" s="12">
        <f>IF(ISNUMBER(原始输入与口径!AI251),原始输入与口径!AI251,"缺失")</f>
        <v>0</v>
      </c>
      <c r="AK347" s="12">
        <f>IF(ISNUMBER(原始输入与口径!AL251),原始输入与口径!AL251,"缺失")</f>
        <v>17.126999999999999</v>
      </c>
      <c r="AL347" s="12">
        <f>IF(ISNUMBER(原始输入与口径!O251),原始输入与口径!O251,"缺失")</f>
        <v>91.903999999999996</v>
      </c>
      <c r="AM347" s="12">
        <f>SUMIFS(相位SOC复算!$N$9:$N$929,相位SOC复算!$S$9:$S$929,339)</f>
        <v>2.9002605714285715E-2</v>
      </c>
      <c r="AN347" s="12">
        <f>SUMIFS(相位SOC复算!$Q$9:$Q$929,相位SOC复算!$S$9:$S$929,339)</f>
        <v>11.348845714285714</v>
      </c>
      <c r="AO347" s="12">
        <f>SUMIFS(相位SOC复算!$R$9:$R$929,相位SOC复算!$S$9:$S$929,339)</f>
        <v>0</v>
      </c>
      <c r="AP347" s="12">
        <f>相位SOC复算!J827</f>
        <v>76.523250881987579</v>
      </c>
      <c r="AQ347" s="19">
        <f t="shared" si="129"/>
        <v>0</v>
      </c>
      <c r="AR347" s="12">
        <f>IF(ISBLANK(原始输入与口径!M251),"",原始输入与口径!M251)</f>
        <v>5.2473000000000001</v>
      </c>
      <c r="AS347" s="14">
        <f>IF(ISBLANK(原始输入与口径!L251),"",原始输入与口径!L251)</f>
        <v>46234</v>
      </c>
      <c r="AT347" s="13">
        <f>IF(ISBLANK(原始输入与口径!A251),"",原始输入与口径!A251)</f>
        <v>46237.395833333336</v>
      </c>
      <c r="AU347" s="12" t="str">
        <f>IF(ISBLANK(原始输入与口径!I251),"",原始输入与口径!I251)</f>
        <v>2026-08-03_47</v>
      </c>
      <c r="AV347" s="12">
        <f>IF(ISBLANK(原始输入与口径!J251),"",原始输入与口径!J251)</f>
        <v>15</v>
      </c>
      <c r="AW347" s="12" t="str">
        <f>IF(ISBLANK(原始输入与口径!BB251),"",原始输入与口径!BB251)</f>
        <v>OK</v>
      </c>
      <c r="AX347" s="12">
        <f>原始输入与口径!CI251</f>
        <v>128</v>
      </c>
      <c r="AY347" s="12">
        <f>原始输入与口径!BS251</f>
        <v>175</v>
      </c>
      <c r="AZ347" s="12">
        <f>原始输入与口径!BI251</f>
        <v>175</v>
      </c>
      <c r="BA347" s="12">
        <f>原始输入与口径!CM251</f>
        <v>40</v>
      </c>
      <c r="BB347" s="12">
        <f>原始输入与口径!BV251</f>
        <v>24</v>
      </c>
      <c r="BC347" s="12">
        <f>原始输入与口径!BL251</f>
        <v>24</v>
      </c>
      <c r="BD347" s="14">
        <f>46236</f>
        <v>46236</v>
      </c>
      <c r="BE347" s="1" t="str">
        <f t="shared" si="130"/>
        <v>-36.000000 MW × 67.920000 × 0.250000 h = -611.280000 EUR</v>
      </c>
      <c r="BF347" s="1" t="str">
        <f t="shared" si="131"/>
        <v>40.000000 MW × 66.224535 × 0.250000 h = 662.245345 EUR</v>
      </c>
      <c r="BG347" s="1" t="str">
        <f t="shared" si="132"/>
        <v>24.000000 MW × 5.227450 × 0.250000 h = 31.364702 EUR</v>
      </c>
      <c r="BH347" s="1" t="str">
        <f t="shared" si="133"/>
        <v>24.000000 MW × 6.874011 × 0.250000 h = 41.244068 EUR</v>
      </c>
      <c r="BI347" s="1" t="str">
        <f t="shared" si="134"/>
        <v>零上调激活电量</v>
      </c>
      <c r="BJ347" s="1" t="str">
        <f t="shared" si="135"/>
        <v>−(2.348846 MWh × 28.589941) = -67.153362 EUR</v>
      </c>
      <c r="BK347" s="1" t="str">
        <f t="shared" si="136"/>
        <v>-611.280000 + 662.245345 + 31.364702 + 41.244068 + 0.000000 + -67.153362 = 56.420754 EUR</v>
      </c>
    </row>
    <row r="348" spans="1:63" ht="21" customHeight="1" x14ac:dyDescent="0.45">
      <c r="A348" s="13">
        <f>原始输入与口径!C252</f>
        <v>46237.53125</v>
      </c>
      <c r="B348" s="15">
        <f>IF(ISNUMBER(原始输入与口径!H252),原始输入与口径!H252,"缺失")</f>
        <v>69.12</v>
      </c>
      <c r="C348" s="15">
        <f>IF(ISNUMBER(原始输入与口径!R252),原始输入与口径!R252,"缺失")</f>
        <v>66.224534522516336</v>
      </c>
      <c r="D348" s="15">
        <f>IF(ISNUMBER(原始输入与口径!W252),原始输入与口径!W252,"缺失")</f>
        <v>5.2274503077773327</v>
      </c>
      <c r="E348" s="15">
        <f>IF(ISNUMBER(原始输入与口径!AB252),原始输入与口径!AB252,"缺失")</f>
        <v>6.8740113963371634</v>
      </c>
      <c r="F348" s="15">
        <f>IF(ISNUMBER(原始输入与口径!AG252),原始输入与口径!AG252,"缺失")</f>
        <v>0</v>
      </c>
      <c r="G348" s="15">
        <f>IF(ISNUMBER(原始输入与口径!AJ252),原始输入与口径!AJ252,"缺失")</f>
        <v>9.6664951498866074</v>
      </c>
      <c r="H348" s="15" t="str">
        <f t="shared" si="115"/>
        <v>未模拟</v>
      </c>
      <c r="I348" s="16">
        <f>原始输入与口径!CD252</f>
        <v>76.523250881987565</v>
      </c>
      <c r="J348" s="16">
        <f>原始输入与口径!CE252</f>
        <v>86.65923259627327</v>
      </c>
      <c r="K348" s="16">
        <f>原始输入与口径!BZ252</f>
        <v>-36</v>
      </c>
      <c r="L348" s="16">
        <f>原始输入与口径!CK252</f>
        <v>40</v>
      </c>
      <c r="M348" s="16">
        <f>原始输入与口径!BT252</f>
        <v>24</v>
      </c>
      <c r="N348" s="16">
        <f>原始输入与口径!BJ252</f>
        <v>24</v>
      </c>
      <c r="O348" s="16">
        <f t="shared" si="116"/>
        <v>0</v>
      </c>
      <c r="P348" s="16">
        <f t="shared" si="117"/>
        <v>2.0173714285714288</v>
      </c>
      <c r="Q348" s="17">
        <f t="shared" si="118"/>
        <v>-622.08000000000004</v>
      </c>
      <c r="R348" s="17">
        <f t="shared" si="119"/>
        <v>662.24534522516342</v>
      </c>
      <c r="S348" s="17">
        <f t="shared" si="120"/>
        <v>31.364701846663998</v>
      </c>
      <c r="T348" s="17">
        <f t="shared" si="121"/>
        <v>41.24406837802298</v>
      </c>
      <c r="U348" s="17">
        <f t="shared" si="122"/>
        <v>0</v>
      </c>
      <c r="V348" s="17">
        <f t="shared" si="123"/>
        <v>-19.500911129805534</v>
      </c>
      <c r="W348" s="17">
        <f t="shared" si="124"/>
        <v>93.273204320044812</v>
      </c>
      <c r="X348" s="12">
        <f>原始输入与口径!CP252</f>
        <v>93.273204320044826</v>
      </c>
      <c r="Y348" s="19">
        <f t="shared" si="125"/>
        <v>0</v>
      </c>
      <c r="Z348" s="12" t="str">
        <f t="shared" si="126"/>
        <v>次日冻结计划复原</v>
      </c>
      <c r="AA348" s="12">
        <f>IF(原始输入与口径!AW252,1,0)</f>
        <v>1</v>
      </c>
      <c r="AB348" s="12">
        <f>IF(原始输入与口径!AY252,1,0)</f>
        <v>1</v>
      </c>
      <c r="AC348" s="12">
        <f>原始输入与口径!$F$5</f>
        <v>0.25</v>
      </c>
      <c r="AD348" s="18">
        <f>原始输入与口径!CG252</f>
        <v>0.3125</v>
      </c>
      <c r="AE348" s="18">
        <f>原始输入与口径!BQ252</f>
        <v>0.13714285714285715</v>
      </c>
      <c r="AF348" s="18">
        <f t="shared" si="127"/>
        <v>0</v>
      </c>
      <c r="AG348" s="18">
        <f t="shared" si="128"/>
        <v>0.33622857142857143</v>
      </c>
      <c r="AH348" s="12">
        <f>IF(ISNUMBER(原始输入与口径!T252),原始输入与口径!T252,"缺失")</f>
        <v>175</v>
      </c>
      <c r="AI348" s="12">
        <f>IF(ISNUMBER(原始输入与口径!Y252),原始输入与口径!Y252,"缺失")</f>
        <v>175</v>
      </c>
      <c r="AJ348" s="12">
        <f>IF(ISNUMBER(原始输入与口径!AI252),原始输入与口径!AI252,"缺失")</f>
        <v>0</v>
      </c>
      <c r="AK348" s="12">
        <f>IF(ISNUMBER(原始输入与口径!AL252),原始输入与口径!AL252,"缺失")</f>
        <v>14.71</v>
      </c>
      <c r="AL348" s="12">
        <f>IF(ISNUMBER(原始输入与口径!O252),原始输入与口径!O252,"缺失")</f>
        <v>91.903999999999996</v>
      </c>
      <c r="AM348" s="12">
        <f>SUMIFS(相位SOC复算!$N$9:$N$929,相位SOC复算!$S$9:$S$929,340)</f>
        <v>2.8155504761904766E-2</v>
      </c>
      <c r="AN348" s="12">
        <f>SUMIFS(相位SOC复算!$Q$9:$Q$929,相位SOC复算!$S$9:$S$929,340)</f>
        <v>11.01737142857143</v>
      </c>
      <c r="AO348" s="12">
        <f>SUMIFS(相位SOC复算!$R$9:$R$929,相位SOC复算!$S$9:$S$929,340)</f>
        <v>0</v>
      </c>
      <c r="AP348" s="12">
        <f>相位SOC复算!J829</f>
        <v>86.659232596273284</v>
      </c>
      <c r="AQ348" s="19">
        <f t="shared" si="129"/>
        <v>0</v>
      </c>
      <c r="AR348" s="12">
        <f>IF(ISBLANK(原始输入与口径!M252),"",原始输入与口径!M252)</f>
        <v>5.2473000000000001</v>
      </c>
      <c r="AS348" s="14">
        <f>IF(ISBLANK(原始输入与口径!L252),"",原始输入与口径!L252)</f>
        <v>46234</v>
      </c>
      <c r="AT348" s="13">
        <f>IF(ISBLANK(原始输入与口径!A252),"",原始输入与口径!A252)</f>
        <v>46237.40625</v>
      </c>
      <c r="AU348" s="12" t="str">
        <f>IF(ISBLANK(原始输入与口径!I252),"",原始输入与口径!I252)</f>
        <v>2026-08-03_48</v>
      </c>
      <c r="AV348" s="12">
        <f>IF(ISBLANK(原始输入与口径!J252),"",原始输入与口径!J252)</f>
        <v>15</v>
      </c>
      <c r="AW348" s="12" t="str">
        <f>IF(ISBLANK(原始输入与口径!BB252),"",原始输入与口径!BB252)</f>
        <v>OK</v>
      </c>
      <c r="AX348" s="12">
        <f>原始输入与口径!CI252</f>
        <v>128</v>
      </c>
      <c r="AY348" s="12">
        <f>原始输入与口径!BS252</f>
        <v>175</v>
      </c>
      <c r="AZ348" s="12">
        <f>原始输入与口径!BI252</f>
        <v>175</v>
      </c>
      <c r="BA348" s="12">
        <f>原始输入与口径!CM252</f>
        <v>40</v>
      </c>
      <c r="BB348" s="12">
        <f>原始输入与口径!BV252</f>
        <v>24</v>
      </c>
      <c r="BC348" s="12">
        <f>原始输入与口径!BL252</f>
        <v>24</v>
      </c>
      <c r="BD348" s="14">
        <f>46236</f>
        <v>46236</v>
      </c>
      <c r="BE348" s="1" t="str">
        <f t="shared" si="130"/>
        <v>-36.000000 MW × 69.120000 × 0.250000 h = -622.080000 EUR</v>
      </c>
      <c r="BF348" s="1" t="str">
        <f t="shared" si="131"/>
        <v>40.000000 MW × 66.224535 × 0.250000 h = 662.245345 EUR</v>
      </c>
      <c r="BG348" s="1" t="str">
        <f t="shared" si="132"/>
        <v>24.000000 MW × 5.227450 × 0.250000 h = 31.364702 EUR</v>
      </c>
      <c r="BH348" s="1" t="str">
        <f t="shared" si="133"/>
        <v>24.000000 MW × 6.874011 × 0.250000 h = 41.244068 EUR</v>
      </c>
      <c r="BI348" s="1" t="str">
        <f t="shared" si="134"/>
        <v>零上调激活电量</v>
      </c>
      <c r="BJ348" s="1" t="str">
        <f t="shared" si="135"/>
        <v>−(2.017371 MWh × 9.666495) = -19.500911 EUR</v>
      </c>
      <c r="BK348" s="1" t="str">
        <f t="shared" si="136"/>
        <v>-622.080000 + 662.245345 + 31.364702 + 41.244068 + 0.000000 + -19.500911 = 93.273204 EUR</v>
      </c>
    </row>
    <row r="349" spans="1:63" ht="21" customHeight="1" x14ac:dyDescent="0.45">
      <c r="A349" s="13">
        <f>原始输入与口径!C253</f>
        <v>46237.541666666664</v>
      </c>
      <c r="B349" s="15">
        <f>IF(ISNUMBER(原始输入与口径!H253),原始输入与口径!H253,"缺失")</f>
        <v>52.12</v>
      </c>
      <c r="C349" s="15">
        <f>IF(ISNUMBER(原始输入与口径!R253),原始输入与口径!R253,"缺失")</f>
        <v>66.224534522516336</v>
      </c>
      <c r="D349" s="15">
        <f>IF(ISNUMBER(原始输入与口径!W253),原始输入与口径!W253,"缺失")</f>
        <v>5.1626550797553028</v>
      </c>
      <c r="E349" s="15">
        <f>IF(ISNUMBER(原始输入与口径!AB253),原始输入与口径!AB253,"缺失")</f>
        <v>6.8606712023326279</v>
      </c>
      <c r="F349" s="15">
        <f>IF(ISNUMBER(原始输入与口径!AG253),原始输入与口径!AG253,"缺失")</f>
        <v>0</v>
      </c>
      <c r="G349" s="15">
        <f>IF(ISNUMBER(原始输入与口径!AJ253),原始输入与口径!AJ253,"缺失")</f>
        <v>11.289806186038534</v>
      </c>
      <c r="H349" s="15" t="str">
        <f t="shared" si="115"/>
        <v>未模拟</v>
      </c>
      <c r="I349" s="16">
        <f>原始输入与口径!CD253</f>
        <v>86.65923259627327</v>
      </c>
      <c r="J349" s="16">
        <f>原始输入与口径!CE253</f>
        <v>100.45923259627328</v>
      </c>
      <c r="K349" s="16">
        <f>原始输入与口径!BZ253</f>
        <v>-60</v>
      </c>
      <c r="L349" s="16">
        <f>原始输入与口径!CK253</f>
        <v>40</v>
      </c>
      <c r="M349" s="16">
        <f>原始输入与口径!BT253</f>
        <v>24</v>
      </c>
      <c r="N349" s="16">
        <f>原始输入与口径!BJ253</f>
        <v>0</v>
      </c>
      <c r="O349" s="16">
        <f t="shared" si="116"/>
        <v>0</v>
      </c>
      <c r="P349" s="16">
        <f t="shared" si="117"/>
        <v>0</v>
      </c>
      <c r="Q349" s="17">
        <f t="shared" si="118"/>
        <v>-781.8</v>
      </c>
      <c r="R349" s="17">
        <f t="shared" si="119"/>
        <v>662.24534522516342</v>
      </c>
      <c r="S349" s="17">
        <f t="shared" si="120"/>
        <v>30.975930478531815</v>
      </c>
      <c r="T349" s="17">
        <f t="shared" si="121"/>
        <v>0</v>
      </c>
      <c r="U349" s="17">
        <f t="shared" si="122"/>
        <v>0</v>
      </c>
      <c r="V349" s="17">
        <f t="shared" si="123"/>
        <v>0</v>
      </c>
      <c r="W349" s="17">
        <f t="shared" si="124"/>
        <v>-88.578724296304728</v>
      </c>
      <c r="X349" s="12">
        <f>原始输入与口径!CP253</f>
        <v>-88.578724296304728</v>
      </c>
      <c r="Y349" s="19">
        <f t="shared" si="125"/>
        <v>0</v>
      </c>
      <c r="Z349" s="12" t="str">
        <f t="shared" si="126"/>
        <v>次日冻结计划复原</v>
      </c>
      <c r="AA349" s="12">
        <f>IF(原始输入与口径!AW253,1,0)</f>
        <v>1</v>
      </c>
      <c r="AB349" s="12">
        <f>IF(原始输入与口径!AY253,1,0)</f>
        <v>1</v>
      </c>
      <c r="AC349" s="12">
        <f>原始输入与口径!$F$5</f>
        <v>0.25</v>
      </c>
      <c r="AD349" s="18">
        <f>原始输入与口径!CG253</f>
        <v>0.3125</v>
      </c>
      <c r="AE349" s="18">
        <f>原始输入与口径!BQ253</f>
        <v>0.13714285714285715</v>
      </c>
      <c r="AF349" s="18">
        <f t="shared" si="127"/>
        <v>0</v>
      </c>
      <c r="AG349" s="18">
        <f t="shared" si="128"/>
        <v>0.52521142857142855</v>
      </c>
      <c r="AH349" s="12">
        <f>IF(ISNUMBER(原始输入与口径!T253),原始输入与口径!T253,"缺失")</f>
        <v>175</v>
      </c>
      <c r="AI349" s="12">
        <f>IF(ISNUMBER(原始输入与口径!Y253),原始输入与口径!Y253,"缺失")</f>
        <v>175</v>
      </c>
      <c r="AJ349" s="12">
        <f>IF(ISNUMBER(原始输入与口径!AI253),原始输入与口径!AI253,"缺失")</f>
        <v>0</v>
      </c>
      <c r="AK349" s="12">
        <f>IF(ISNUMBER(原始输入与口径!AL253),原始输入与口径!AL253,"缺失")</f>
        <v>22.978000000000002</v>
      </c>
      <c r="AL349" s="12">
        <f>IF(ISNUMBER(原始输入与口径!O253),原始输入与口径!O253,"缺失")</f>
        <v>91.903999999999996</v>
      </c>
      <c r="AM349" s="12">
        <f>SUMIFS(相位SOC复算!$N$9:$N$929,相位SOC复算!$S$9:$S$929,341)</f>
        <v>3.833333333333333E-2</v>
      </c>
      <c r="AN349" s="12">
        <f>SUMIFS(相位SOC复算!$Q$9:$Q$929,相位SOC复算!$S$9:$S$929,341)</f>
        <v>15</v>
      </c>
      <c r="AO349" s="12">
        <f>SUMIFS(相位SOC复算!$R$9:$R$929,相位SOC复算!$S$9:$S$929,341)</f>
        <v>0</v>
      </c>
      <c r="AP349" s="12">
        <f>相位SOC复算!J831</f>
        <v>100.4592325962733</v>
      </c>
      <c r="AQ349" s="19">
        <f t="shared" si="129"/>
        <v>0</v>
      </c>
      <c r="AR349" s="12">
        <f>IF(ISBLANK(原始输入与口径!M253),"",原始输入与口径!M253)</f>
        <v>5.2473000000000001</v>
      </c>
      <c r="AS349" s="14">
        <f>IF(ISBLANK(原始输入与口径!L253),"",原始输入与口径!L253)</f>
        <v>46234</v>
      </c>
      <c r="AT349" s="13">
        <f>IF(ISBLANK(原始输入与口径!A253),"",原始输入与口径!A253)</f>
        <v>46237.416666666664</v>
      </c>
      <c r="AU349" s="12" t="str">
        <f>IF(ISBLANK(原始输入与口径!I253),"",原始输入与口径!I253)</f>
        <v>2026-08-03_49</v>
      </c>
      <c r="AV349" s="12">
        <f>IF(ISBLANK(原始输入与口径!J253),"",原始输入与口径!J253)</f>
        <v>15</v>
      </c>
      <c r="AW349" s="12" t="str">
        <f>IF(ISBLANK(原始输入与口径!BB253),"",原始输入与口径!BB253)</f>
        <v>OK</v>
      </c>
      <c r="AX349" s="12">
        <f>原始输入与口径!CI253</f>
        <v>128</v>
      </c>
      <c r="AY349" s="12">
        <f>原始输入与口径!BS253</f>
        <v>175</v>
      </c>
      <c r="AZ349" s="12">
        <f>原始输入与口径!BI253</f>
        <v>175</v>
      </c>
      <c r="BA349" s="12">
        <f>原始输入与口径!CM253</f>
        <v>40</v>
      </c>
      <c r="BB349" s="12">
        <f>原始输入与口径!BV253</f>
        <v>24</v>
      </c>
      <c r="BC349" s="12">
        <f>原始输入与口径!BL253</f>
        <v>24</v>
      </c>
      <c r="BD349" s="14">
        <f>46236</f>
        <v>46236</v>
      </c>
      <c r="BE349" s="1" t="str">
        <f t="shared" si="130"/>
        <v>-60.000000 MW × 52.120000 × 0.250000 h = -781.800000 EUR</v>
      </c>
      <c r="BF349" s="1" t="str">
        <f t="shared" si="131"/>
        <v>40.000000 MW × 66.224535 × 0.250000 h = 662.245345 EUR</v>
      </c>
      <c r="BG349" s="1" t="str">
        <f t="shared" si="132"/>
        <v>24.000000 MW × 5.162655 × 0.250000 h = 30.975930 EUR</v>
      </c>
      <c r="BH349" s="1" t="str">
        <f t="shared" si="133"/>
        <v>零头寸，无结算现金</v>
      </c>
      <c r="BI349" s="1" t="str">
        <f t="shared" si="134"/>
        <v>零上调激活电量</v>
      </c>
      <c r="BJ349" s="1" t="str">
        <f t="shared" si="135"/>
        <v>零下调激活电量</v>
      </c>
      <c r="BK349" s="1" t="str">
        <f t="shared" si="136"/>
        <v>-781.800000 + 662.245345 + 30.975930 + 0.000000 + 0.000000 + 0.000000 = -88.578724 EUR</v>
      </c>
    </row>
    <row r="350" spans="1:63" ht="21" customHeight="1" x14ac:dyDescent="0.45">
      <c r="A350" s="13">
        <f>原始输入与口径!C254</f>
        <v>46237.552083333336</v>
      </c>
      <c r="B350" s="15">
        <f>IF(ISNUMBER(原始输入与口径!H254),原始输入与口径!H254,"缺失")</f>
        <v>52.48</v>
      </c>
      <c r="C350" s="15">
        <f>IF(ISNUMBER(原始输入与口径!R254),原始输入与口径!R254,"缺失")</f>
        <v>66.224534522516336</v>
      </c>
      <c r="D350" s="15">
        <f>IF(ISNUMBER(原始输入与口径!W254),原始输入与口径!W254,"缺失")</f>
        <v>5.1626550797553028</v>
      </c>
      <c r="E350" s="15">
        <f>IF(ISNUMBER(原始输入与口径!AB254),原始输入与口径!AB254,"缺失")</f>
        <v>6.8606712023326279</v>
      </c>
      <c r="F350" s="15">
        <f>IF(ISNUMBER(原始输入与口径!AG254),原始输入与口径!AG254,"缺失")</f>
        <v>128.00545042212184</v>
      </c>
      <c r="G350" s="15">
        <f>IF(ISNUMBER(原始输入与口径!AJ254),原始输入与口径!AJ254,"缺失")</f>
        <v>45.225735139976749</v>
      </c>
      <c r="H350" s="15" t="str">
        <f t="shared" si="115"/>
        <v>未模拟</v>
      </c>
      <c r="I350" s="16">
        <f>原始输入与口径!CD254</f>
        <v>100.45923259627328</v>
      </c>
      <c r="J350" s="16">
        <f>原始输入与口径!CE254</f>
        <v>114.23854048198757</v>
      </c>
      <c r="K350" s="16">
        <f>原始输入与口径!BZ254</f>
        <v>-60</v>
      </c>
      <c r="L350" s="16">
        <f>原始输入与口径!CK254</f>
        <v>40</v>
      </c>
      <c r="M350" s="16">
        <f>原始输入与口径!BT254</f>
        <v>24</v>
      </c>
      <c r="N350" s="16">
        <f>原始输入与口径!BJ254</f>
        <v>0</v>
      </c>
      <c r="O350" s="16">
        <f t="shared" si="116"/>
        <v>2.2491428571428572E-2</v>
      </c>
      <c r="P350" s="16">
        <f t="shared" si="117"/>
        <v>0</v>
      </c>
      <c r="Q350" s="17">
        <f t="shared" si="118"/>
        <v>-787.19999999999993</v>
      </c>
      <c r="R350" s="17">
        <f t="shared" si="119"/>
        <v>662.24534522516342</v>
      </c>
      <c r="S350" s="17">
        <f t="shared" si="120"/>
        <v>30.975930478531815</v>
      </c>
      <c r="T350" s="17">
        <f t="shared" si="121"/>
        <v>0</v>
      </c>
      <c r="U350" s="17">
        <f t="shared" si="122"/>
        <v>2.8790254449226946</v>
      </c>
      <c r="V350" s="17">
        <f t="shared" si="123"/>
        <v>0</v>
      </c>
      <c r="W350" s="17">
        <f t="shared" si="124"/>
        <v>-91.099698851382016</v>
      </c>
      <c r="X350" s="12">
        <f>原始输入与口径!CP254</f>
        <v>-91.099698851382001</v>
      </c>
      <c r="Y350" s="19">
        <f t="shared" si="125"/>
        <v>0</v>
      </c>
      <c r="Z350" s="12" t="str">
        <f t="shared" si="126"/>
        <v>次日冻结计划复原</v>
      </c>
      <c r="AA350" s="12">
        <f>IF(原始输入与口径!AW254,1,0)</f>
        <v>1</v>
      </c>
      <c r="AB350" s="12">
        <f>IF(原始输入与口径!AY254,1,0)</f>
        <v>1</v>
      </c>
      <c r="AC350" s="12">
        <f>原始输入与口径!$F$5</f>
        <v>0.25</v>
      </c>
      <c r="AD350" s="18">
        <f>原始输入与口径!CG254</f>
        <v>0.3125</v>
      </c>
      <c r="AE350" s="18">
        <f>原始输入与口径!BQ254</f>
        <v>0.13714285714285715</v>
      </c>
      <c r="AF350" s="18">
        <f t="shared" si="127"/>
        <v>3.7485714285714288E-3</v>
      </c>
      <c r="AG350" s="18">
        <f t="shared" si="128"/>
        <v>0.10784000000000001</v>
      </c>
      <c r="AH350" s="12">
        <f>IF(ISNUMBER(原始输入与口径!T254),原始输入与口径!T254,"缺失")</f>
        <v>175</v>
      </c>
      <c r="AI350" s="12">
        <f>IF(ISNUMBER(原始输入与口径!Y254),原始输入与口径!Y254,"缺失")</f>
        <v>175</v>
      </c>
      <c r="AJ350" s="12">
        <f>IF(ISNUMBER(原始输入与口径!AI254),原始输入与口径!AI254,"缺失")</f>
        <v>0.16400000000000001</v>
      </c>
      <c r="AK350" s="12">
        <f>IF(ISNUMBER(原始输入与口径!AL254),原始输入与口径!AL254,"缺失")</f>
        <v>4.718</v>
      </c>
      <c r="AL350" s="12">
        <f>IF(ISNUMBER(原始输入与口径!O254),原始输入与口径!O254,"缺失")</f>
        <v>91.903999999999996</v>
      </c>
      <c r="AM350" s="12">
        <f>SUMIFS(相位SOC复算!$N$9:$N$929,相位SOC复算!$S$9:$S$929,342)</f>
        <v>3.8275855238095235E-2</v>
      </c>
      <c r="AN350" s="12">
        <f>SUMIFS(相位SOC复算!$Q$9:$Q$929,相位SOC复算!$S$9:$S$929,342)</f>
        <v>14.977508571428571</v>
      </c>
      <c r="AO350" s="12">
        <f>SUMIFS(相位SOC复算!$R$9:$R$929,相位SOC复算!$S$9:$S$929,342)</f>
        <v>0</v>
      </c>
      <c r="AP350" s="12">
        <f>相位SOC复算!J834</f>
        <v>114.23854048198758</v>
      </c>
      <c r="AQ350" s="19">
        <f t="shared" si="129"/>
        <v>0</v>
      </c>
      <c r="AR350" s="12">
        <f>IF(ISBLANK(原始输入与口径!M254),"",原始输入与口径!M254)</f>
        <v>5.2473000000000001</v>
      </c>
      <c r="AS350" s="14">
        <f>IF(ISBLANK(原始输入与口径!L254),"",原始输入与口径!L254)</f>
        <v>46234</v>
      </c>
      <c r="AT350" s="13">
        <f>IF(ISBLANK(原始输入与口径!A254),"",原始输入与口径!A254)</f>
        <v>46237.427083333336</v>
      </c>
      <c r="AU350" s="12" t="str">
        <f>IF(ISBLANK(原始输入与口径!I254),"",原始输入与口径!I254)</f>
        <v>2026-08-03_50</v>
      </c>
      <c r="AV350" s="12">
        <f>IF(ISBLANK(原始输入与口径!J254),"",原始输入与口径!J254)</f>
        <v>15</v>
      </c>
      <c r="AW350" s="12" t="str">
        <f>IF(ISBLANK(原始输入与口径!BB254),"",原始输入与口径!BB254)</f>
        <v>OK</v>
      </c>
      <c r="AX350" s="12">
        <f>原始输入与口径!CI254</f>
        <v>128</v>
      </c>
      <c r="AY350" s="12">
        <f>原始输入与口径!BS254</f>
        <v>175</v>
      </c>
      <c r="AZ350" s="12">
        <f>原始输入与口径!BI254</f>
        <v>175</v>
      </c>
      <c r="BA350" s="12">
        <f>原始输入与口径!CM254</f>
        <v>40</v>
      </c>
      <c r="BB350" s="12">
        <f>原始输入与口径!BV254</f>
        <v>24</v>
      </c>
      <c r="BC350" s="12">
        <f>原始输入与口径!BL254</f>
        <v>24</v>
      </c>
      <c r="BD350" s="14">
        <f>46236</f>
        <v>46236</v>
      </c>
      <c r="BE350" s="1" t="str">
        <f t="shared" si="130"/>
        <v>-60.000000 MW × 52.480000 × 0.250000 h = -787.200000 EUR</v>
      </c>
      <c r="BF350" s="1" t="str">
        <f t="shared" si="131"/>
        <v>40.000000 MW × 66.224535 × 0.250000 h = 662.245345 EUR</v>
      </c>
      <c r="BG350" s="1" t="str">
        <f t="shared" si="132"/>
        <v>24.000000 MW × 5.162655 × 0.250000 h = 30.975930 EUR</v>
      </c>
      <c r="BH350" s="1" t="str">
        <f t="shared" si="133"/>
        <v>零头寸，无结算现金</v>
      </c>
      <c r="BI350" s="1" t="str">
        <f t="shared" si="134"/>
        <v>0.022491 MWh × 128.005450 = 2.879025 EUR</v>
      </c>
      <c r="BJ350" s="1" t="str">
        <f t="shared" si="135"/>
        <v>零下调激活电量</v>
      </c>
      <c r="BK350" s="1" t="str">
        <f t="shared" si="136"/>
        <v>-787.200000 + 662.245345 + 30.975930 + 0.000000 + 2.879025 + 0.000000 = -91.099699 EUR</v>
      </c>
    </row>
    <row r="351" spans="1:63" ht="21" customHeight="1" x14ac:dyDescent="0.45">
      <c r="A351" s="13">
        <f>原始输入与口径!C255</f>
        <v>46237.5625</v>
      </c>
      <c r="B351" s="15">
        <f>IF(ISNUMBER(原始输入与口径!H255),原始输入与口径!H255,"缺失")</f>
        <v>60.5</v>
      </c>
      <c r="C351" s="15">
        <f>IF(ISNUMBER(原始输入与口径!R255),原始输入与口径!R255,"缺失")</f>
        <v>66.224534522516336</v>
      </c>
      <c r="D351" s="15">
        <f>IF(ISNUMBER(原始输入与口径!W255),原始输入与口径!W255,"缺失")</f>
        <v>5.1626550797553028</v>
      </c>
      <c r="E351" s="15">
        <f>IF(ISNUMBER(原始输入与口径!AB255),原始输入与口径!AB255,"缺失")</f>
        <v>6.8606712023326279</v>
      </c>
      <c r="F351" s="15">
        <f>IF(ISNUMBER(原始输入与口径!AG255),原始输入与口径!AG255,"缺失")</f>
        <v>129.77817163112459</v>
      </c>
      <c r="G351" s="15">
        <f>IF(ISNUMBER(原始输入与口径!AJ255),原始输入与口径!AJ255,"缺失")</f>
        <v>60.710460617841548</v>
      </c>
      <c r="H351" s="15" t="str">
        <f t="shared" si="115"/>
        <v>未模拟</v>
      </c>
      <c r="I351" s="16">
        <f>原始输入与口径!CD255</f>
        <v>114.23854048198757</v>
      </c>
      <c r="J351" s="16">
        <f>原始输入与口径!CE255</f>
        <v>128.00447419627329</v>
      </c>
      <c r="K351" s="16">
        <f>原始输入与口径!BZ255</f>
        <v>-60</v>
      </c>
      <c r="L351" s="16">
        <f>原始输入与口径!CK255</f>
        <v>40</v>
      </c>
      <c r="M351" s="16">
        <f>原始输入与口径!BT255</f>
        <v>24</v>
      </c>
      <c r="N351" s="16">
        <f>原始输入与口径!BJ255</f>
        <v>0</v>
      </c>
      <c r="O351" s="16">
        <f t="shared" si="116"/>
        <v>3.7028571428571432E-2</v>
      </c>
      <c r="P351" s="16">
        <f t="shared" si="117"/>
        <v>0</v>
      </c>
      <c r="Q351" s="17">
        <f t="shared" si="118"/>
        <v>-907.5</v>
      </c>
      <c r="R351" s="17">
        <f t="shared" si="119"/>
        <v>662.24534522516342</v>
      </c>
      <c r="S351" s="17">
        <f t="shared" si="120"/>
        <v>30.975930478531815</v>
      </c>
      <c r="T351" s="17">
        <f t="shared" si="121"/>
        <v>0</v>
      </c>
      <c r="U351" s="17">
        <f t="shared" si="122"/>
        <v>4.8055002981124995</v>
      </c>
      <c r="V351" s="17">
        <f t="shared" si="123"/>
        <v>0</v>
      </c>
      <c r="W351" s="17">
        <f t="shared" si="124"/>
        <v>-209.47322399819228</v>
      </c>
      <c r="X351" s="12">
        <f>原始输入与口径!CP255</f>
        <v>-209.47322399819225</v>
      </c>
      <c r="Y351" s="19">
        <f t="shared" si="125"/>
        <v>0</v>
      </c>
      <c r="Z351" s="12" t="str">
        <f t="shared" si="126"/>
        <v>次日冻结计划复原</v>
      </c>
      <c r="AA351" s="12">
        <f>IF(原始输入与口径!AW255,1,0)</f>
        <v>1</v>
      </c>
      <c r="AB351" s="12">
        <f>IF(原始输入与口径!AY255,1,0)</f>
        <v>1</v>
      </c>
      <c r="AC351" s="12">
        <f>原始输入与口径!$F$5</f>
        <v>0.25</v>
      </c>
      <c r="AD351" s="18">
        <f>原始输入与口径!CG255</f>
        <v>0.3125</v>
      </c>
      <c r="AE351" s="18">
        <f>原始输入与口径!BQ255</f>
        <v>0.13714285714285715</v>
      </c>
      <c r="AF351" s="18">
        <f t="shared" si="127"/>
        <v>6.1714285714285716E-3</v>
      </c>
      <c r="AG351" s="18">
        <f t="shared" si="128"/>
        <v>7.2228571428571428E-3</v>
      </c>
      <c r="AH351" s="12">
        <f>IF(ISNUMBER(原始输入与口径!T255),原始输入与口径!T255,"缺失")</f>
        <v>175</v>
      </c>
      <c r="AI351" s="12">
        <f>IF(ISNUMBER(原始输入与口径!Y255),原始输入与口径!Y255,"缺失")</f>
        <v>175</v>
      </c>
      <c r="AJ351" s="12">
        <f>IF(ISNUMBER(原始输入与口径!AI255),原始输入与口径!AI255,"缺失")</f>
        <v>0.27</v>
      </c>
      <c r="AK351" s="12">
        <f>IF(ISNUMBER(原始输入与口径!AL255),原始输入与口径!AL255,"缺失")</f>
        <v>0.316</v>
      </c>
      <c r="AL351" s="12">
        <f>IF(ISNUMBER(原始输入与口径!O255),原始输入与口径!O255,"缺失")</f>
        <v>91.903999999999996</v>
      </c>
      <c r="AM351" s="12">
        <f>SUMIFS(相位SOC复算!$N$9:$N$929,相位SOC复算!$S$9:$S$929,343)</f>
        <v>3.823870476190476E-2</v>
      </c>
      <c r="AN351" s="12">
        <f>SUMIFS(相位SOC复算!$Q$9:$Q$929,相位SOC复算!$S$9:$S$929,343)</f>
        <v>14.962971428571427</v>
      </c>
      <c r="AO351" s="12">
        <f>SUMIFS(相位SOC复算!$R$9:$R$929,相位SOC复算!$S$9:$S$929,343)</f>
        <v>0</v>
      </c>
      <c r="AP351" s="12">
        <f>相位SOC复算!J837</f>
        <v>128.00447419627329</v>
      </c>
      <c r="AQ351" s="19">
        <f t="shared" si="129"/>
        <v>0</v>
      </c>
      <c r="AR351" s="12">
        <f>IF(ISBLANK(原始输入与口径!M255),"",原始输入与口径!M255)</f>
        <v>5.2473000000000001</v>
      </c>
      <c r="AS351" s="14">
        <f>IF(ISBLANK(原始输入与口径!L255),"",原始输入与口径!L255)</f>
        <v>46234</v>
      </c>
      <c r="AT351" s="13">
        <f>IF(ISBLANK(原始输入与口径!A255),"",原始输入与口径!A255)</f>
        <v>46237.4375</v>
      </c>
      <c r="AU351" s="12" t="str">
        <f>IF(ISBLANK(原始输入与口径!I255),"",原始输入与口径!I255)</f>
        <v>2026-08-03_51</v>
      </c>
      <c r="AV351" s="12">
        <f>IF(ISBLANK(原始输入与口径!J255),"",原始输入与口径!J255)</f>
        <v>15</v>
      </c>
      <c r="AW351" s="12" t="str">
        <f>IF(ISBLANK(原始输入与口径!BB255),"",原始输入与口径!BB255)</f>
        <v>OK</v>
      </c>
      <c r="AX351" s="12">
        <f>原始输入与口径!CI255</f>
        <v>128</v>
      </c>
      <c r="AY351" s="12">
        <f>原始输入与口径!BS255</f>
        <v>175</v>
      </c>
      <c r="AZ351" s="12">
        <f>原始输入与口径!BI255</f>
        <v>175</v>
      </c>
      <c r="BA351" s="12">
        <f>原始输入与口径!CM255</f>
        <v>40</v>
      </c>
      <c r="BB351" s="12">
        <f>原始输入与口径!BV255</f>
        <v>24</v>
      </c>
      <c r="BC351" s="12">
        <f>原始输入与口径!BL255</f>
        <v>24</v>
      </c>
      <c r="BD351" s="14">
        <f>46236</f>
        <v>46236</v>
      </c>
      <c r="BE351" s="1" t="str">
        <f t="shared" si="130"/>
        <v>-60.000000 MW × 60.500000 × 0.250000 h = -907.500000 EUR</v>
      </c>
      <c r="BF351" s="1" t="str">
        <f t="shared" si="131"/>
        <v>40.000000 MW × 66.224535 × 0.250000 h = 662.245345 EUR</v>
      </c>
      <c r="BG351" s="1" t="str">
        <f t="shared" si="132"/>
        <v>24.000000 MW × 5.162655 × 0.250000 h = 30.975930 EUR</v>
      </c>
      <c r="BH351" s="1" t="str">
        <f t="shared" si="133"/>
        <v>零头寸，无结算现金</v>
      </c>
      <c r="BI351" s="1" t="str">
        <f t="shared" si="134"/>
        <v>0.037029 MWh × 129.778172 = 4.805500 EUR</v>
      </c>
      <c r="BJ351" s="1" t="str">
        <f t="shared" si="135"/>
        <v>零下调激活电量</v>
      </c>
      <c r="BK351" s="1" t="str">
        <f t="shared" si="136"/>
        <v>-907.500000 + 662.245345 + 30.975930 + 0.000000 + 4.805500 + 0.000000 = -209.473224 EUR</v>
      </c>
    </row>
    <row r="352" spans="1:63" ht="21" customHeight="1" x14ac:dyDescent="0.45">
      <c r="A352" s="13">
        <f>原始输入与口径!C256</f>
        <v>46237.572916666664</v>
      </c>
      <c r="B352" s="15">
        <f>IF(ISNUMBER(原始输入与口径!H256),原始输入与口径!H256,"缺失")</f>
        <v>39.909999999999997</v>
      </c>
      <c r="C352" s="15">
        <f>IF(ISNUMBER(原始输入与口径!R256),原始输入与口径!R256,"缺失")</f>
        <v>66.224534522516336</v>
      </c>
      <c r="D352" s="15">
        <f>IF(ISNUMBER(原始输入与口径!W256),原始输入与口径!W256,"缺失")</f>
        <v>5.1626550797553028</v>
      </c>
      <c r="E352" s="15">
        <f>IF(ISNUMBER(原始输入与口径!AB256),原始输入与口径!AB256,"缺失")</f>
        <v>6.8606712023326279</v>
      </c>
      <c r="F352" s="15">
        <f>IF(ISNUMBER(原始输入与口径!AG256),原始输入与口径!AG256,"缺失")</f>
        <v>127.11299144321842</v>
      </c>
      <c r="G352" s="15">
        <f>IF(ISNUMBER(原始输入与口径!AJ256),原始输入与口径!AJ256,"缺失")</f>
        <v>71.258933165628036</v>
      </c>
      <c r="H352" s="15" t="str">
        <f t="shared" si="115"/>
        <v>未模拟</v>
      </c>
      <c r="I352" s="16">
        <f>原始输入与口径!CD256</f>
        <v>128.00447419627329</v>
      </c>
      <c r="J352" s="16">
        <f>原始输入与口径!CE256</f>
        <v>141.76902002484474</v>
      </c>
      <c r="K352" s="16">
        <f>原始输入与口径!BZ256</f>
        <v>-60</v>
      </c>
      <c r="L352" s="16">
        <f>原始输入与口径!CK256</f>
        <v>40</v>
      </c>
      <c r="M352" s="16">
        <f>原始输入与口径!BT256</f>
        <v>24</v>
      </c>
      <c r="N352" s="16">
        <f>原始输入与口径!BJ256</f>
        <v>0</v>
      </c>
      <c r="O352" s="16">
        <f t="shared" si="116"/>
        <v>3.853714285714286E-2</v>
      </c>
      <c r="P352" s="16">
        <f t="shared" si="117"/>
        <v>0</v>
      </c>
      <c r="Q352" s="17">
        <f t="shared" si="118"/>
        <v>-598.65</v>
      </c>
      <c r="R352" s="17">
        <f t="shared" si="119"/>
        <v>662.24534522516342</v>
      </c>
      <c r="S352" s="17">
        <f t="shared" si="120"/>
        <v>30.975930478531815</v>
      </c>
      <c r="T352" s="17">
        <f t="shared" si="121"/>
        <v>0</v>
      </c>
      <c r="U352" s="17">
        <f t="shared" si="122"/>
        <v>4.8985715102460858</v>
      </c>
      <c r="V352" s="17">
        <f t="shared" si="123"/>
        <v>0</v>
      </c>
      <c r="W352" s="17">
        <f t="shared" si="124"/>
        <v>99.469847213941335</v>
      </c>
      <c r="X352" s="12">
        <f>原始输入与口径!CP256</f>
        <v>99.469847213941335</v>
      </c>
      <c r="Y352" s="19">
        <f t="shared" si="125"/>
        <v>0</v>
      </c>
      <c r="Z352" s="12" t="str">
        <f t="shared" si="126"/>
        <v>次日冻结计划复原</v>
      </c>
      <c r="AA352" s="12">
        <f>IF(原始输入与口径!AW256,1,0)</f>
        <v>1</v>
      </c>
      <c r="AB352" s="12">
        <f>IF(原始输入与口径!AY256,1,0)</f>
        <v>1</v>
      </c>
      <c r="AC352" s="12">
        <f>原始输入与口径!$F$5</f>
        <v>0.25</v>
      </c>
      <c r="AD352" s="18">
        <f>原始输入与口径!CG256</f>
        <v>0.3125</v>
      </c>
      <c r="AE352" s="18">
        <f>原始输入与口径!BQ256</f>
        <v>0.13714285714285715</v>
      </c>
      <c r="AF352" s="18">
        <f t="shared" si="127"/>
        <v>6.4228571428571433E-3</v>
      </c>
      <c r="AG352" s="18">
        <f t="shared" si="128"/>
        <v>2.1942857142857142E-3</v>
      </c>
      <c r="AH352" s="12">
        <f>IF(ISNUMBER(原始输入与口径!T256),原始输入与口径!T256,"缺失")</f>
        <v>175</v>
      </c>
      <c r="AI352" s="12">
        <f>IF(ISNUMBER(原始输入与口径!Y256),原始输入与口径!Y256,"缺失")</f>
        <v>175</v>
      </c>
      <c r="AJ352" s="12">
        <f>IF(ISNUMBER(原始输入与口径!AI256),原始输入与口径!AI256,"缺失")</f>
        <v>0.28100000000000003</v>
      </c>
      <c r="AK352" s="12">
        <f>IF(ISNUMBER(原始输入与口径!AL256),原始输入与口径!AL256,"缺失")</f>
        <v>9.6000000000000002E-2</v>
      </c>
      <c r="AL352" s="12">
        <f>IF(ISNUMBER(原始输入与口径!O256),原始输入与口径!O256,"缺失")</f>
        <v>91.903999999999996</v>
      </c>
      <c r="AM352" s="12">
        <f>SUMIFS(相位SOC复算!$N$9:$N$929,相位SOC复算!$S$9:$S$929,344)</f>
        <v>3.8234849523809518E-2</v>
      </c>
      <c r="AN352" s="12">
        <f>SUMIFS(相位SOC复算!$Q$9:$Q$929,相位SOC复算!$S$9:$S$929,344)</f>
        <v>14.961462857142855</v>
      </c>
      <c r="AO352" s="12">
        <f>SUMIFS(相位SOC复算!$R$9:$R$929,相位SOC复算!$S$9:$S$929,344)</f>
        <v>0</v>
      </c>
      <c r="AP352" s="12">
        <f>相位SOC复算!J840</f>
        <v>141.76902002484474</v>
      </c>
      <c r="AQ352" s="19">
        <f t="shared" si="129"/>
        <v>0</v>
      </c>
      <c r="AR352" s="12">
        <f>IF(ISBLANK(原始输入与口径!M256),"",原始输入与口径!M256)</f>
        <v>5.2473000000000001</v>
      </c>
      <c r="AS352" s="14">
        <f>IF(ISBLANK(原始输入与口径!L256),"",原始输入与口径!L256)</f>
        <v>46234</v>
      </c>
      <c r="AT352" s="13">
        <f>IF(ISBLANK(原始输入与口径!A256),"",原始输入与口径!A256)</f>
        <v>46237.447916666664</v>
      </c>
      <c r="AU352" s="12" t="str">
        <f>IF(ISBLANK(原始输入与口径!I256),"",原始输入与口径!I256)</f>
        <v>2026-08-03_52</v>
      </c>
      <c r="AV352" s="12">
        <f>IF(ISBLANK(原始输入与口径!J256),"",原始输入与口径!J256)</f>
        <v>15</v>
      </c>
      <c r="AW352" s="12" t="str">
        <f>IF(ISBLANK(原始输入与口径!BB256),"",原始输入与口径!BB256)</f>
        <v>OK</v>
      </c>
      <c r="AX352" s="12">
        <f>原始输入与口径!CI256</f>
        <v>128</v>
      </c>
      <c r="AY352" s="12">
        <f>原始输入与口径!BS256</f>
        <v>175</v>
      </c>
      <c r="AZ352" s="12">
        <f>原始输入与口径!BI256</f>
        <v>175</v>
      </c>
      <c r="BA352" s="12">
        <f>原始输入与口径!CM256</f>
        <v>40</v>
      </c>
      <c r="BB352" s="12">
        <f>原始输入与口径!BV256</f>
        <v>24</v>
      </c>
      <c r="BC352" s="12">
        <f>原始输入与口径!BL256</f>
        <v>24</v>
      </c>
      <c r="BD352" s="14">
        <f>46236</f>
        <v>46236</v>
      </c>
      <c r="BE352" s="1" t="str">
        <f t="shared" si="130"/>
        <v>-60.000000 MW × 39.910000 × 0.250000 h = -598.650000 EUR</v>
      </c>
      <c r="BF352" s="1" t="str">
        <f t="shared" si="131"/>
        <v>40.000000 MW × 66.224535 × 0.250000 h = 662.245345 EUR</v>
      </c>
      <c r="BG352" s="1" t="str">
        <f t="shared" si="132"/>
        <v>24.000000 MW × 5.162655 × 0.250000 h = 30.975930 EUR</v>
      </c>
      <c r="BH352" s="1" t="str">
        <f t="shared" si="133"/>
        <v>零头寸，无结算现金</v>
      </c>
      <c r="BI352" s="1" t="str">
        <f t="shared" si="134"/>
        <v>0.038537 MWh × 127.112991 = 4.898572 EUR</v>
      </c>
      <c r="BJ352" s="1" t="str">
        <f t="shared" si="135"/>
        <v>零下调激活电量</v>
      </c>
      <c r="BK352" s="1" t="str">
        <f t="shared" si="136"/>
        <v>-598.650000 + 662.245345 + 30.975930 + 0.000000 + 4.898572 + 0.000000 = 99.469847 EUR</v>
      </c>
    </row>
    <row r="353" spans="1:63" ht="21" customHeight="1" x14ac:dyDescent="0.45">
      <c r="A353" s="13">
        <f>原始输入与口径!C257</f>
        <v>46237.583333333336</v>
      </c>
      <c r="B353" s="15">
        <f>IF(ISNUMBER(原始输入与口径!H257),原始输入与口径!H257,"缺失")</f>
        <v>71.89</v>
      </c>
      <c r="C353" s="15">
        <f>IF(ISNUMBER(原始输入与口径!R257),原始输入与口径!R257,"缺失")</f>
        <v>66.224534522516336</v>
      </c>
      <c r="D353" s="15">
        <f>IF(ISNUMBER(原始输入与口径!W257),原始输入与口径!W257,"缺失")</f>
        <v>5.1626550797553028</v>
      </c>
      <c r="E353" s="15">
        <f>IF(ISNUMBER(原始输入与口径!AB257),原始输入与口径!AB257,"缺失")</f>
        <v>6.8606712023326279</v>
      </c>
      <c r="F353" s="15">
        <f>IF(ISNUMBER(原始输入与口径!AG257),原始输入与口径!AG257,"缺失")</f>
        <v>127.11299144321842</v>
      </c>
      <c r="G353" s="15">
        <f>IF(ISNUMBER(原始输入与口径!AJ257),原始输入与口径!AJ257,"缺失")</f>
        <v>34.135460141406057</v>
      </c>
      <c r="H353" s="15" t="str">
        <f t="shared" si="115"/>
        <v>未模拟</v>
      </c>
      <c r="I353" s="16">
        <f>原始输入与口径!CD257</f>
        <v>141.76902002484474</v>
      </c>
      <c r="J353" s="16">
        <f>原始输入与口径!CE257</f>
        <v>150.85386756770188</v>
      </c>
      <c r="K353" s="16">
        <f>原始输入与口径!BZ257</f>
        <v>-36</v>
      </c>
      <c r="L353" s="16">
        <f>原始输入与口径!CK257</f>
        <v>40</v>
      </c>
      <c r="M353" s="16">
        <f>原始输入与口径!BT257</f>
        <v>24</v>
      </c>
      <c r="N353" s="16">
        <f>原始输入与口径!BJ257</f>
        <v>24</v>
      </c>
      <c r="O353" s="16">
        <f t="shared" si="116"/>
        <v>1.7417142857142857E-2</v>
      </c>
      <c r="P353" s="16">
        <f t="shared" si="117"/>
        <v>0.8922514285714287</v>
      </c>
      <c r="Q353" s="17">
        <f t="shared" si="118"/>
        <v>-647.01</v>
      </c>
      <c r="R353" s="17">
        <f t="shared" si="119"/>
        <v>662.24534522516342</v>
      </c>
      <c r="S353" s="17">
        <f t="shared" si="120"/>
        <v>30.975930478531815</v>
      </c>
      <c r="T353" s="17">
        <f t="shared" si="121"/>
        <v>41.164027213995766</v>
      </c>
      <c r="U353" s="17">
        <f t="shared" si="122"/>
        <v>2.2139451309653126</v>
      </c>
      <c r="V353" s="17">
        <f t="shared" si="123"/>
        <v>-30.457413076112619</v>
      </c>
      <c r="W353" s="17">
        <f t="shared" si="124"/>
        <v>59.131834972543714</v>
      </c>
      <c r="X353" s="12">
        <f>原始输入与口径!CP257</f>
        <v>59.1318349725437</v>
      </c>
      <c r="Y353" s="19">
        <f t="shared" si="125"/>
        <v>0</v>
      </c>
      <c r="Z353" s="12" t="str">
        <f t="shared" si="126"/>
        <v>次日冻结计划复原</v>
      </c>
      <c r="AA353" s="12">
        <f>IF(原始输入与口径!AW257,1,0)</f>
        <v>1</v>
      </c>
      <c r="AB353" s="12">
        <f>IF(原始输入与口径!AY257,1,0)</f>
        <v>1</v>
      </c>
      <c r="AC353" s="12">
        <f>原始输入与口径!$F$5</f>
        <v>0.25</v>
      </c>
      <c r="AD353" s="18">
        <f>原始输入与口径!CG257</f>
        <v>0.3125</v>
      </c>
      <c r="AE353" s="18">
        <f>原始输入与口径!BQ257</f>
        <v>0.13714285714285715</v>
      </c>
      <c r="AF353" s="18">
        <f t="shared" si="127"/>
        <v>2.9028571428571428E-3</v>
      </c>
      <c r="AG353" s="18">
        <f t="shared" si="128"/>
        <v>0.14870857142857144</v>
      </c>
      <c r="AH353" s="12">
        <f>IF(ISNUMBER(原始输入与口径!T257),原始输入与口径!T257,"缺失")</f>
        <v>175</v>
      </c>
      <c r="AI353" s="12">
        <f>IF(ISNUMBER(原始输入与口径!Y257),原始输入与口径!Y257,"缺失")</f>
        <v>175</v>
      </c>
      <c r="AJ353" s="12">
        <f>IF(ISNUMBER(原始输入与口径!AI257),原始输入与口径!AI257,"缺失")</f>
        <v>0.127</v>
      </c>
      <c r="AK353" s="12">
        <f>IF(ISNUMBER(原始输入与口径!AL257),原始输入与口径!AL257,"缺失")</f>
        <v>6.5060000000000002</v>
      </c>
      <c r="AL353" s="12">
        <f>IF(ISNUMBER(原始输入与口径!O257),原始输入与口径!O257,"缺失")</f>
        <v>91.903999999999996</v>
      </c>
      <c r="AM353" s="12">
        <f>SUMIFS(相位SOC复算!$N$9:$N$929,相位SOC复算!$S$9:$S$929,345)</f>
        <v>2.5235687619047625E-2</v>
      </c>
      <c r="AN353" s="12">
        <f>SUMIFS(相位SOC复算!$Q$9:$Q$929,相位SOC复算!$S$9:$S$929,345)</f>
        <v>9.8748342857142859</v>
      </c>
      <c r="AO353" s="12">
        <f>SUMIFS(相位SOC复算!$R$9:$R$929,相位SOC复算!$S$9:$S$929,345)</f>
        <v>0</v>
      </c>
      <c r="AP353" s="12">
        <f>相位SOC复算!J843</f>
        <v>150.85386756770188</v>
      </c>
      <c r="AQ353" s="19">
        <f t="shared" si="129"/>
        <v>0</v>
      </c>
      <c r="AR353" s="12">
        <f>IF(ISBLANK(原始输入与口径!M257),"",原始输入与口径!M257)</f>
        <v>5.2473000000000001</v>
      </c>
      <c r="AS353" s="14">
        <f>IF(ISBLANK(原始输入与口径!L257),"",原始输入与口径!L257)</f>
        <v>46234</v>
      </c>
      <c r="AT353" s="13">
        <f>IF(ISBLANK(原始输入与口径!A257),"",原始输入与口径!A257)</f>
        <v>46237.458333333336</v>
      </c>
      <c r="AU353" s="12" t="str">
        <f>IF(ISBLANK(原始输入与口径!I257),"",原始输入与口径!I257)</f>
        <v>2026-08-03_53</v>
      </c>
      <c r="AV353" s="12">
        <f>IF(ISBLANK(原始输入与口径!J257),"",原始输入与口径!J257)</f>
        <v>15</v>
      </c>
      <c r="AW353" s="12" t="str">
        <f>IF(ISBLANK(原始输入与口径!BB257),"",原始输入与口径!BB257)</f>
        <v>OK</v>
      </c>
      <c r="AX353" s="12">
        <f>原始输入与口径!CI257</f>
        <v>128</v>
      </c>
      <c r="AY353" s="12">
        <f>原始输入与口径!BS257</f>
        <v>175</v>
      </c>
      <c r="AZ353" s="12">
        <f>原始输入与口径!BI257</f>
        <v>175</v>
      </c>
      <c r="BA353" s="12">
        <f>原始输入与口径!CM257</f>
        <v>40</v>
      </c>
      <c r="BB353" s="12">
        <f>原始输入与口径!BV257</f>
        <v>24</v>
      </c>
      <c r="BC353" s="12">
        <f>原始输入与口径!BL257</f>
        <v>24</v>
      </c>
      <c r="BD353" s="14">
        <f>46236</f>
        <v>46236</v>
      </c>
      <c r="BE353" s="1" t="str">
        <f t="shared" si="130"/>
        <v>-36.000000 MW × 71.890000 × 0.250000 h = -647.010000 EUR</v>
      </c>
      <c r="BF353" s="1" t="str">
        <f t="shared" si="131"/>
        <v>40.000000 MW × 66.224535 × 0.250000 h = 662.245345 EUR</v>
      </c>
      <c r="BG353" s="1" t="str">
        <f t="shared" si="132"/>
        <v>24.000000 MW × 5.162655 × 0.250000 h = 30.975930 EUR</v>
      </c>
      <c r="BH353" s="1" t="str">
        <f t="shared" si="133"/>
        <v>24.000000 MW × 6.860671 × 0.250000 h = 41.164027 EUR</v>
      </c>
      <c r="BI353" s="1" t="str">
        <f t="shared" si="134"/>
        <v>0.017417 MWh × 127.112991 = 2.213945 EUR</v>
      </c>
      <c r="BJ353" s="1" t="str">
        <f t="shared" si="135"/>
        <v>−(0.892251 MWh × 34.135460) = -30.457413 EUR</v>
      </c>
      <c r="BK353" s="1" t="str">
        <f t="shared" si="136"/>
        <v>-647.010000 + 662.245345 + 30.975930 + 41.164027 + 2.213945 + -30.457413 = 59.131835 EUR</v>
      </c>
    </row>
    <row r="354" spans="1:63" ht="21" customHeight="1" x14ac:dyDescent="0.45">
      <c r="A354" s="13">
        <f>原始输入与口径!C258</f>
        <v>46237.59375</v>
      </c>
      <c r="B354" s="15">
        <f>IF(ISNUMBER(原始输入与口径!H258),原始输入与口径!H258,"缺失")</f>
        <v>79.790000000000006</v>
      </c>
      <c r="C354" s="15">
        <f>IF(ISNUMBER(原始输入与口径!R258),原始输入与口径!R258,"缺失")</f>
        <v>66.224534522516336</v>
      </c>
      <c r="D354" s="15">
        <f>IF(ISNUMBER(原始输入与口径!W258),原始输入与口径!W258,"缺失")</f>
        <v>5.1626550797553028</v>
      </c>
      <c r="E354" s="15">
        <f>IF(ISNUMBER(原始输入与口径!AB258),原始输入与口径!AB258,"缺失")</f>
        <v>6.8606712023326279</v>
      </c>
      <c r="F354" s="15">
        <f>IF(ISNUMBER(原始输入与口径!AG258),原始输入与口径!AG258,"缺失")</f>
        <v>0</v>
      </c>
      <c r="G354" s="15">
        <f>IF(ISNUMBER(原始输入与口径!AJ258),原始输入与口径!AJ258,"缺失")</f>
        <v>32.81535265755722</v>
      </c>
      <c r="H354" s="15" t="str">
        <f t="shared" si="115"/>
        <v>未模拟</v>
      </c>
      <c r="I354" s="16">
        <f>原始输入与口径!CD258</f>
        <v>150.85386756770188</v>
      </c>
      <c r="J354" s="16">
        <f>原始输入与口径!CE258</f>
        <v>152.20692996770188</v>
      </c>
      <c r="K354" s="16">
        <f>原始输入与口径!BZ258</f>
        <v>0</v>
      </c>
      <c r="L354" s="16">
        <f>原始输入与口径!CK258</f>
        <v>40</v>
      </c>
      <c r="M354" s="16">
        <f>原始输入与口径!BT258</f>
        <v>24</v>
      </c>
      <c r="N354" s="16">
        <f>原始输入与口径!BJ258</f>
        <v>24</v>
      </c>
      <c r="O354" s="16">
        <f t="shared" si="116"/>
        <v>0</v>
      </c>
      <c r="P354" s="16">
        <f t="shared" si="117"/>
        <v>1.47072</v>
      </c>
      <c r="Q354" s="17">
        <f t="shared" si="118"/>
        <v>0</v>
      </c>
      <c r="R354" s="17">
        <f t="shared" si="119"/>
        <v>662.24534522516342</v>
      </c>
      <c r="S354" s="17">
        <f t="shared" si="120"/>
        <v>30.975930478531815</v>
      </c>
      <c r="T354" s="17">
        <f t="shared" si="121"/>
        <v>41.164027213995766</v>
      </c>
      <c r="U354" s="17">
        <f t="shared" si="122"/>
        <v>0</v>
      </c>
      <c r="V354" s="17">
        <f t="shared" si="123"/>
        <v>-48.262195460522555</v>
      </c>
      <c r="W354" s="17">
        <f t="shared" si="124"/>
        <v>686.12310745716843</v>
      </c>
      <c r="X354" s="12">
        <f>原始输入与口径!CP258</f>
        <v>686.12310745716843</v>
      </c>
      <c r="Y354" s="19">
        <f t="shared" si="125"/>
        <v>0</v>
      </c>
      <c r="Z354" s="12" t="str">
        <f t="shared" si="126"/>
        <v>次日冻结计划复原</v>
      </c>
      <c r="AA354" s="12">
        <f>IF(原始输入与口径!AW258,1,0)</f>
        <v>1</v>
      </c>
      <c r="AB354" s="12">
        <f>IF(原始输入与口径!AY258,1,0)</f>
        <v>1</v>
      </c>
      <c r="AC354" s="12">
        <f>原始输入与口径!$F$5</f>
        <v>0.25</v>
      </c>
      <c r="AD354" s="18">
        <f>原始输入与口径!CG258</f>
        <v>0.3125</v>
      </c>
      <c r="AE354" s="18">
        <f>原始输入与口径!BQ258</f>
        <v>0.13714285714285715</v>
      </c>
      <c r="AF354" s="18">
        <f t="shared" si="127"/>
        <v>0</v>
      </c>
      <c r="AG354" s="18">
        <f t="shared" si="128"/>
        <v>0.24512</v>
      </c>
      <c r="AH354" s="12">
        <f>IF(ISNUMBER(原始输入与口径!T258),原始输入与口径!T258,"缺失")</f>
        <v>175</v>
      </c>
      <c r="AI354" s="12">
        <f>IF(ISNUMBER(原始输入与口径!Y258),原始输入与口径!Y258,"缺失")</f>
        <v>175</v>
      </c>
      <c r="AJ354" s="12">
        <f>IF(ISNUMBER(原始输入与口径!AI258),原始输入与口径!AI258,"缺失")</f>
        <v>0</v>
      </c>
      <c r="AK354" s="12">
        <f>IF(ISNUMBER(原始输入与口径!AL258),原始输入与口径!AL258,"缺失")</f>
        <v>10.724</v>
      </c>
      <c r="AL354" s="12">
        <f>IF(ISNUMBER(原始输入与口径!O258),原始输入与口径!O258,"缺失")</f>
        <v>91.903999999999996</v>
      </c>
      <c r="AM354" s="12">
        <f>SUMIFS(相位SOC复算!$N$9:$N$929,相位SOC复算!$S$9:$S$929,346)</f>
        <v>3.7585066666666672E-3</v>
      </c>
      <c r="AN354" s="12">
        <f>SUMIFS(相位SOC复算!$Q$9:$Q$929,相位SOC复算!$S$9:$S$929,346)</f>
        <v>1.47072</v>
      </c>
      <c r="AO354" s="12">
        <f>SUMIFS(相位SOC复算!$R$9:$R$929,相位SOC复算!$S$9:$S$929,346)</f>
        <v>0</v>
      </c>
      <c r="AP354" s="12">
        <f>相位SOC复算!J845</f>
        <v>152.20692996770188</v>
      </c>
      <c r="AQ354" s="19">
        <f t="shared" si="129"/>
        <v>0</v>
      </c>
      <c r="AR354" s="12">
        <f>IF(ISBLANK(原始输入与口径!M258),"",原始输入与口径!M258)</f>
        <v>5.2473000000000001</v>
      </c>
      <c r="AS354" s="14">
        <f>IF(ISBLANK(原始输入与口径!L258),"",原始输入与口径!L258)</f>
        <v>46234</v>
      </c>
      <c r="AT354" s="13">
        <f>IF(ISBLANK(原始输入与口径!A258),"",原始输入与口径!A258)</f>
        <v>46237.46875</v>
      </c>
      <c r="AU354" s="12" t="str">
        <f>IF(ISBLANK(原始输入与口径!I258),"",原始输入与口径!I258)</f>
        <v>2026-08-03_54</v>
      </c>
      <c r="AV354" s="12">
        <f>IF(ISBLANK(原始输入与口径!J258),"",原始输入与口径!J258)</f>
        <v>15</v>
      </c>
      <c r="AW354" s="12" t="str">
        <f>IF(ISBLANK(原始输入与口径!BB258),"",原始输入与口径!BB258)</f>
        <v>OK</v>
      </c>
      <c r="AX354" s="12">
        <f>原始输入与口径!CI258</f>
        <v>128</v>
      </c>
      <c r="AY354" s="12">
        <f>原始输入与口径!BS258</f>
        <v>175</v>
      </c>
      <c r="AZ354" s="12">
        <f>原始输入与口径!BI258</f>
        <v>175</v>
      </c>
      <c r="BA354" s="12">
        <f>原始输入与口径!CM258</f>
        <v>40</v>
      </c>
      <c r="BB354" s="12">
        <f>原始输入与口径!BV258</f>
        <v>24</v>
      </c>
      <c r="BC354" s="12">
        <f>原始输入与口径!BL258</f>
        <v>24</v>
      </c>
      <c r="BD354" s="14">
        <f>46236</f>
        <v>46236</v>
      </c>
      <c r="BE354" s="1" t="str">
        <f t="shared" si="130"/>
        <v>零头寸，无结算现金</v>
      </c>
      <c r="BF354" s="1" t="str">
        <f t="shared" si="131"/>
        <v>40.000000 MW × 66.224535 × 0.250000 h = 662.245345 EUR</v>
      </c>
      <c r="BG354" s="1" t="str">
        <f t="shared" si="132"/>
        <v>24.000000 MW × 5.162655 × 0.250000 h = 30.975930 EUR</v>
      </c>
      <c r="BH354" s="1" t="str">
        <f t="shared" si="133"/>
        <v>24.000000 MW × 6.860671 × 0.250000 h = 41.164027 EUR</v>
      </c>
      <c r="BI354" s="1" t="str">
        <f t="shared" si="134"/>
        <v>零上调激活电量</v>
      </c>
      <c r="BJ354" s="1" t="str">
        <f t="shared" si="135"/>
        <v>−(1.470720 MWh × 32.815353) = -48.262195 EUR</v>
      </c>
      <c r="BK354" s="1" t="str">
        <f t="shared" si="136"/>
        <v>0.000000 + 662.245345 + 30.975930 + 41.164027 + 0.000000 + -48.262195 = 686.123107 EUR</v>
      </c>
    </row>
    <row r="355" spans="1:63" ht="21" customHeight="1" x14ac:dyDescent="0.45">
      <c r="A355" s="13">
        <f>原始输入与口径!C259</f>
        <v>46237.604166666664</v>
      </c>
      <c r="B355" s="15">
        <f>IF(ISNUMBER(原始输入与口径!H259),原始输入与口径!H259,"缺失")</f>
        <v>72.19</v>
      </c>
      <c r="C355" s="15">
        <f>IF(ISNUMBER(原始输入与口径!R259),原始输入与口径!R259,"缺失")</f>
        <v>66.224534522516336</v>
      </c>
      <c r="D355" s="15">
        <f>IF(ISNUMBER(原始输入与口径!W259),原始输入与口径!W259,"缺失")</f>
        <v>5.1626550797553028</v>
      </c>
      <c r="E355" s="15">
        <f>IF(ISNUMBER(原始输入与口径!AB259),原始输入与口径!AB259,"缺失")</f>
        <v>6.8606712023326279</v>
      </c>
      <c r="F355" s="15">
        <f>IF(ISNUMBER(原始输入与口径!AG259),原始输入与口径!AG259,"缺失")</f>
        <v>127.11299144321842</v>
      </c>
      <c r="G355" s="15">
        <f>IF(ISNUMBER(原始输入与口径!AJ259),原始输入与口径!AJ259,"缺失")</f>
        <v>48.170868827778094</v>
      </c>
      <c r="H355" s="15" t="str">
        <f t="shared" si="115"/>
        <v>未模拟</v>
      </c>
      <c r="I355" s="16">
        <f>原始输入与口径!CD259</f>
        <v>152.20692996770188</v>
      </c>
      <c r="J355" s="16">
        <f>原始输入与口径!CE259</f>
        <v>161.20888288198762</v>
      </c>
      <c r="K355" s="16">
        <f>原始输入与口径!BZ259</f>
        <v>-36</v>
      </c>
      <c r="L355" s="16">
        <f>原始输入与口径!CK259</f>
        <v>40</v>
      </c>
      <c r="M355" s="16">
        <f>原始输入与口径!BT259</f>
        <v>24</v>
      </c>
      <c r="N355" s="16">
        <f>原始输入与口径!BJ259</f>
        <v>24</v>
      </c>
      <c r="O355" s="16">
        <f t="shared" si="116"/>
        <v>4.1142857142857138E-4</v>
      </c>
      <c r="P355" s="16">
        <f t="shared" si="117"/>
        <v>0.78514285714285703</v>
      </c>
      <c r="Q355" s="17">
        <f t="shared" si="118"/>
        <v>-649.71</v>
      </c>
      <c r="R355" s="17">
        <f t="shared" si="119"/>
        <v>662.24534522516342</v>
      </c>
      <c r="S355" s="17">
        <f t="shared" si="120"/>
        <v>30.975930478531815</v>
      </c>
      <c r="T355" s="17">
        <f t="shared" si="121"/>
        <v>41.164027213995766</v>
      </c>
      <c r="U355" s="17">
        <f t="shared" si="122"/>
        <v>5.2297916479495575E-2</v>
      </c>
      <c r="V355" s="17">
        <f t="shared" si="123"/>
        <v>-37.821013582495482</v>
      </c>
      <c r="W355" s="17">
        <f t="shared" si="124"/>
        <v>46.906587251674978</v>
      </c>
      <c r="X355" s="12">
        <f>原始输入与口径!CP259</f>
        <v>46.906587251674978</v>
      </c>
      <c r="Y355" s="19">
        <f t="shared" si="125"/>
        <v>0</v>
      </c>
      <c r="Z355" s="12" t="str">
        <f t="shared" si="126"/>
        <v>次日冻结计划复原</v>
      </c>
      <c r="AA355" s="12">
        <f>IF(原始输入与口径!AW259,1,0)</f>
        <v>1</v>
      </c>
      <c r="AB355" s="12">
        <f>IF(原始输入与口径!AY259,1,0)</f>
        <v>1</v>
      </c>
      <c r="AC355" s="12">
        <f>原始输入与口径!$F$5</f>
        <v>0.25</v>
      </c>
      <c r="AD355" s="18">
        <f>原始输入与口径!CG259</f>
        <v>0.3125</v>
      </c>
      <c r="AE355" s="18">
        <f>原始输入与口径!BQ259</f>
        <v>0.13714285714285715</v>
      </c>
      <c r="AF355" s="18">
        <f t="shared" si="127"/>
        <v>6.8571428571428567E-5</v>
      </c>
      <c r="AG355" s="18">
        <f t="shared" si="128"/>
        <v>0.13085714285714284</v>
      </c>
      <c r="AH355" s="12">
        <f>IF(ISNUMBER(原始输入与口径!T259),原始输入与口径!T259,"缺失")</f>
        <v>175</v>
      </c>
      <c r="AI355" s="12">
        <f>IF(ISNUMBER(原始输入与口径!Y259),原始输入与口径!Y259,"缺失")</f>
        <v>175</v>
      </c>
      <c r="AJ355" s="12">
        <f>IF(ISNUMBER(原始输入与口径!AI259),原始输入与口径!AI259,"缺失")</f>
        <v>3.0000000000000001E-3</v>
      </c>
      <c r="AK355" s="12">
        <f>IF(ISNUMBER(原始输入与口径!AL259),原始输入与口径!AL259,"缺失")</f>
        <v>5.7249999999999996</v>
      </c>
      <c r="AL355" s="12">
        <f>IF(ISNUMBER(原始输入与口径!O259),原始输入与口径!O259,"缺失")</f>
        <v>91.903999999999996</v>
      </c>
      <c r="AM355" s="12">
        <f>SUMIFS(相位SOC复算!$N$9:$N$929,相位SOC复算!$S$9:$S$929,347)</f>
        <v>2.5005424761904767E-2</v>
      </c>
      <c r="AN355" s="12">
        <f>SUMIFS(相位SOC复算!$Q$9:$Q$929,相位SOC复算!$S$9:$S$929,347)</f>
        <v>9.784731428571428</v>
      </c>
      <c r="AO355" s="12">
        <f>SUMIFS(相位SOC复算!$R$9:$R$929,相位SOC复算!$S$9:$S$929,347)</f>
        <v>0</v>
      </c>
      <c r="AP355" s="12">
        <f>相位SOC复算!J848</f>
        <v>161.20888288198762</v>
      </c>
      <c r="AQ355" s="19">
        <f t="shared" si="129"/>
        <v>0</v>
      </c>
      <c r="AR355" s="12">
        <f>IF(ISBLANK(原始输入与口径!M259),"",原始输入与口径!M259)</f>
        <v>5.2473000000000001</v>
      </c>
      <c r="AS355" s="14">
        <f>IF(ISBLANK(原始输入与口径!L259),"",原始输入与口径!L259)</f>
        <v>46234</v>
      </c>
      <c r="AT355" s="13">
        <f>IF(ISBLANK(原始输入与口径!A259),"",原始输入与口径!A259)</f>
        <v>46237.479166666664</v>
      </c>
      <c r="AU355" s="12" t="str">
        <f>IF(ISBLANK(原始输入与口径!I259),"",原始输入与口径!I259)</f>
        <v>2026-08-03_55</v>
      </c>
      <c r="AV355" s="12">
        <f>IF(ISBLANK(原始输入与口径!J259),"",原始输入与口径!J259)</f>
        <v>15</v>
      </c>
      <c r="AW355" s="12" t="str">
        <f>IF(ISBLANK(原始输入与口径!BB259),"",原始输入与口径!BB259)</f>
        <v>OK</v>
      </c>
      <c r="AX355" s="12">
        <f>原始输入与口径!CI259</f>
        <v>128</v>
      </c>
      <c r="AY355" s="12">
        <f>原始输入与口径!BS259</f>
        <v>175</v>
      </c>
      <c r="AZ355" s="12">
        <f>原始输入与口径!BI259</f>
        <v>175</v>
      </c>
      <c r="BA355" s="12">
        <f>原始输入与口径!CM259</f>
        <v>40</v>
      </c>
      <c r="BB355" s="12">
        <f>原始输入与口径!BV259</f>
        <v>24</v>
      </c>
      <c r="BC355" s="12">
        <f>原始输入与口径!BL259</f>
        <v>24</v>
      </c>
      <c r="BD355" s="14">
        <f>46236</f>
        <v>46236</v>
      </c>
      <c r="BE355" s="1" t="str">
        <f t="shared" si="130"/>
        <v>-36.000000 MW × 72.190000 × 0.250000 h = -649.710000 EUR</v>
      </c>
      <c r="BF355" s="1" t="str">
        <f t="shared" si="131"/>
        <v>40.000000 MW × 66.224535 × 0.250000 h = 662.245345 EUR</v>
      </c>
      <c r="BG355" s="1" t="str">
        <f t="shared" si="132"/>
        <v>24.000000 MW × 5.162655 × 0.250000 h = 30.975930 EUR</v>
      </c>
      <c r="BH355" s="1" t="str">
        <f t="shared" si="133"/>
        <v>24.000000 MW × 6.860671 × 0.250000 h = 41.164027 EUR</v>
      </c>
      <c r="BI355" s="1" t="str">
        <f t="shared" si="134"/>
        <v>0.000411 MWh × 127.112991 = 0.052298 EUR</v>
      </c>
      <c r="BJ355" s="1" t="str">
        <f t="shared" si="135"/>
        <v>−(0.785143 MWh × 48.170869) = -37.821014 EUR</v>
      </c>
      <c r="BK355" s="1" t="str">
        <f t="shared" si="136"/>
        <v>-649.710000 + 662.245345 + 30.975930 + 41.164027 + 0.052298 + -37.821014 = 46.906587 EUR</v>
      </c>
    </row>
    <row r="356" spans="1:63" ht="21" customHeight="1" x14ac:dyDescent="0.45">
      <c r="A356" s="13">
        <f>原始输入与口径!C260</f>
        <v>46237.614583333336</v>
      </c>
      <c r="B356" s="15">
        <f>IF(ISNUMBER(原始输入与口径!H260),原始输入与口径!H260,"缺失")</f>
        <v>75.13</v>
      </c>
      <c r="C356" s="15">
        <f>IF(ISNUMBER(原始输入与口径!R260),原始输入与口径!R260,"缺失")</f>
        <v>66.224534522516336</v>
      </c>
      <c r="D356" s="15">
        <f>IF(ISNUMBER(原始输入与口径!W260),原始输入与口径!W260,"缺失")</f>
        <v>5.1626550797553028</v>
      </c>
      <c r="E356" s="15">
        <f>IF(ISNUMBER(原始输入与口径!AB260),原始输入与口径!AB260,"缺失")</f>
        <v>6.8606712023326279</v>
      </c>
      <c r="F356" s="15">
        <f>IF(ISNUMBER(原始输入与口径!AG260),原始输入与口径!AG260,"缺失")</f>
        <v>128.81119813999578</v>
      </c>
      <c r="G356" s="15">
        <f>IF(ISNUMBER(原始输入与口径!AJ260),原始输入与口径!AJ260,"缺失")</f>
        <v>62.848512568368498</v>
      </c>
      <c r="H356" s="15" t="str">
        <f t="shared" si="115"/>
        <v>未模拟</v>
      </c>
      <c r="I356" s="16">
        <f>原始输入与口径!CD260</f>
        <v>161.20888288198762</v>
      </c>
      <c r="J356" s="16">
        <f>原始输入与口径!CE260</f>
        <v>169.49645316770193</v>
      </c>
      <c r="K356" s="16">
        <f>原始输入与口径!BZ260</f>
        <v>-36</v>
      </c>
      <c r="L356" s="16">
        <f>原始输入与口径!CK260</f>
        <v>40</v>
      </c>
      <c r="M356" s="16">
        <f>原始输入与口径!BT260</f>
        <v>24</v>
      </c>
      <c r="N356" s="16">
        <f>原始输入与口径!BJ260</f>
        <v>24</v>
      </c>
      <c r="O356" s="16">
        <f t="shared" si="116"/>
        <v>3.2502857142857139E-2</v>
      </c>
      <c r="P356" s="16">
        <f t="shared" si="117"/>
        <v>4.0731428571428571E-2</v>
      </c>
      <c r="Q356" s="17">
        <f t="shared" si="118"/>
        <v>-676.17</v>
      </c>
      <c r="R356" s="17">
        <f t="shared" si="119"/>
        <v>662.24534522516342</v>
      </c>
      <c r="S356" s="17">
        <f t="shared" si="120"/>
        <v>30.975930478531815</v>
      </c>
      <c r="T356" s="17">
        <f t="shared" si="121"/>
        <v>41.164027213995766</v>
      </c>
      <c r="U356" s="17">
        <f t="shared" si="122"/>
        <v>4.1867319715445479</v>
      </c>
      <c r="V356" s="17">
        <f t="shared" si="123"/>
        <v>-2.5599097004990323</v>
      </c>
      <c r="W356" s="17">
        <f t="shared" si="124"/>
        <v>59.842125188736553</v>
      </c>
      <c r="X356" s="12">
        <f>原始输入与口径!CP260</f>
        <v>59.84212518873656</v>
      </c>
      <c r="Y356" s="19">
        <f t="shared" si="125"/>
        <v>0</v>
      </c>
      <c r="Z356" s="12" t="str">
        <f t="shared" si="126"/>
        <v>次日冻结计划复原</v>
      </c>
      <c r="AA356" s="12">
        <f>IF(原始输入与口径!AW260,1,0)</f>
        <v>1</v>
      </c>
      <c r="AB356" s="12">
        <f>IF(原始输入与口径!AY260,1,0)</f>
        <v>1</v>
      </c>
      <c r="AC356" s="12">
        <f>原始输入与口径!$F$5</f>
        <v>0.25</v>
      </c>
      <c r="AD356" s="18">
        <f>原始输入与口径!CG260</f>
        <v>0.3125</v>
      </c>
      <c r="AE356" s="18">
        <f>原始输入与口径!BQ260</f>
        <v>0.13714285714285715</v>
      </c>
      <c r="AF356" s="18">
        <f t="shared" si="127"/>
        <v>5.4171428571428565E-3</v>
      </c>
      <c r="AG356" s="18">
        <f t="shared" si="128"/>
        <v>6.7885714285714285E-3</v>
      </c>
      <c r="AH356" s="12">
        <f>IF(ISNUMBER(原始输入与口径!T260),原始输入与口径!T260,"缺失")</f>
        <v>175</v>
      </c>
      <c r="AI356" s="12">
        <f>IF(ISNUMBER(原始输入与口径!Y260),原始输入与口径!Y260,"缺失")</f>
        <v>175</v>
      </c>
      <c r="AJ356" s="12">
        <f>IF(ISNUMBER(原始输入与口径!AI260),原始输入与口径!AI260,"缺失")</f>
        <v>0.23699999999999999</v>
      </c>
      <c r="AK356" s="12">
        <f>IF(ISNUMBER(原始输入与口径!AL260),原始输入与口径!AL260,"缺失")</f>
        <v>0.29699999999999999</v>
      </c>
      <c r="AL356" s="12">
        <f>IF(ISNUMBER(原始输入与口径!O260),原始输入与口径!O260,"缺失")</f>
        <v>91.903999999999996</v>
      </c>
      <c r="AM356" s="12">
        <f>SUMIFS(相位SOC复算!$N$9:$N$929,相位SOC复算!$S$9:$S$929,348)</f>
        <v>2.3021028571428574E-2</v>
      </c>
      <c r="AN356" s="12">
        <f>SUMIFS(相位SOC复算!$Q$9:$Q$929,相位SOC复算!$S$9:$S$929,348)</f>
        <v>9.008228571428571</v>
      </c>
      <c r="AO356" s="12">
        <f>SUMIFS(相位SOC复算!$R$9:$R$929,相位SOC复算!$S$9:$S$929,348)</f>
        <v>0</v>
      </c>
      <c r="AP356" s="12">
        <f>相位SOC复算!J851</f>
        <v>169.49645316770193</v>
      </c>
      <c r="AQ356" s="19">
        <f t="shared" si="129"/>
        <v>0</v>
      </c>
      <c r="AR356" s="12">
        <f>IF(ISBLANK(原始输入与口径!M260),"",原始输入与口径!M260)</f>
        <v>5.2473000000000001</v>
      </c>
      <c r="AS356" s="14">
        <f>IF(ISBLANK(原始输入与口径!L260),"",原始输入与口径!L260)</f>
        <v>46234</v>
      </c>
      <c r="AT356" s="13">
        <f>IF(ISBLANK(原始输入与口径!A260),"",原始输入与口径!A260)</f>
        <v>46237.489583333336</v>
      </c>
      <c r="AU356" s="12" t="str">
        <f>IF(ISBLANK(原始输入与口径!I260),"",原始输入与口径!I260)</f>
        <v>2026-08-03_56</v>
      </c>
      <c r="AV356" s="12">
        <f>IF(ISBLANK(原始输入与口径!J260),"",原始输入与口径!J260)</f>
        <v>15</v>
      </c>
      <c r="AW356" s="12" t="str">
        <f>IF(ISBLANK(原始输入与口径!BB260),"",原始输入与口径!BB260)</f>
        <v>OK</v>
      </c>
      <c r="AX356" s="12">
        <f>原始输入与口径!CI260</f>
        <v>128</v>
      </c>
      <c r="AY356" s="12">
        <f>原始输入与口径!BS260</f>
        <v>175</v>
      </c>
      <c r="AZ356" s="12">
        <f>原始输入与口径!BI260</f>
        <v>175</v>
      </c>
      <c r="BA356" s="12">
        <f>原始输入与口径!CM260</f>
        <v>40</v>
      </c>
      <c r="BB356" s="12">
        <f>原始输入与口径!BV260</f>
        <v>24</v>
      </c>
      <c r="BC356" s="12">
        <f>原始输入与口径!BL260</f>
        <v>24</v>
      </c>
      <c r="BD356" s="14">
        <f>46236</f>
        <v>46236</v>
      </c>
      <c r="BE356" s="1" t="str">
        <f t="shared" si="130"/>
        <v>-36.000000 MW × 75.130000 × 0.250000 h = -676.170000 EUR</v>
      </c>
      <c r="BF356" s="1" t="str">
        <f t="shared" si="131"/>
        <v>40.000000 MW × 66.224535 × 0.250000 h = 662.245345 EUR</v>
      </c>
      <c r="BG356" s="1" t="str">
        <f t="shared" si="132"/>
        <v>24.000000 MW × 5.162655 × 0.250000 h = 30.975930 EUR</v>
      </c>
      <c r="BH356" s="1" t="str">
        <f t="shared" si="133"/>
        <v>24.000000 MW × 6.860671 × 0.250000 h = 41.164027 EUR</v>
      </c>
      <c r="BI356" s="1" t="str">
        <f t="shared" si="134"/>
        <v>0.032503 MWh × 128.811198 = 4.186732 EUR</v>
      </c>
      <c r="BJ356" s="1" t="str">
        <f t="shared" si="135"/>
        <v>−(0.040731 MWh × 62.848513) = -2.559910 EUR</v>
      </c>
      <c r="BK356" s="1" t="str">
        <f t="shared" si="136"/>
        <v>-676.170000 + 662.245345 + 30.975930 + 41.164027 + 4.186732 + -2.559910 = 59.842125 EUR</v>
      </c>
    </row>
    <row r="357" spans="1:63" ht="21" customHeight="1" x14ac:dyDescent="0.45">
      <c r="A357" s="13">
        <f>原始输入与口径!C261</f>
        <v>46237.625</v>
      </c>
      <c r="B357" s="15">
        <f>IF(ISNUMBER(原始输入与口径!H261),原始输入与口径!H261,"缺失")</f>
        <v>77.17</v>
      </c>
      <c r="C357" s="15">
        <f>IF(ISNUMBER(原始输入与口径!R261),原始输入与口径!R261,"缺失")</f>
        <v>66.224534522516336</v>
      </c>
      <c r="D357" s="15">
        <f>IF(ISNUMBER(原始输入与口径!W261),原始输入与口径!W261,"缺失")</f>
        <v>5.0654622377222571</v>
      </c>
      <c r="E357" s="15">
        <f>IF(ISNUMBER(原始输入与口径!AB261),原始输入与口径!AB261,"缺失")</f>
        <v>6.8606712023326279</v>
      </c>
      <c r="F357" s="15">
        <f>IF(ISNUMBER(原始输入与口径!AG261),原始输入与口径!AG261,"缺失")</f>
        <v>133.18906866388429</v>
      </c>
      <c r="G357" s="15">
        <f>IF(ISNUMBER(原始输入与口径!AJ261),原始输入与口径!AJ261,"缺失")</f>
        <v>72.963809959407698</v>
      </c>
      <c r="H357" s="15" t="str">
        <f t="shared" si="115"/>
        <v>未模拟</v>
      </c>
      <c r="I357" s="16">
        <f>原始输入与口径!CD261</f>
        <v>169.49645316770193</v>
      </c>
      <c r="J357" s="16">
        <f>原始输入与口径!CE261</f>
        <v>171.19277273193703</v>
      </c>
      <c r="K357" s="16">
        <f>原始输入与口径!BZ261</f>
        <v>-7.4878065877872357</v>
      </c>
      <c r="L357" s="16">
        <f>原始输入与口径!CK261</f>
        <v>40</v>
      </c>
      <c r="M357" s="16">
        <f>原始输入与口径!BT261</f>
        <v>24</v>
      </c>
      <c r="N357" s="16">
        <f>原始输入与口径!BJ261</f>
        <v>24</v>
      </c>
      <c r="O357" s="16">
        <f t="shared" si="116"/>
        <v>3.7440000000000001E-2</v>
      </c>
      <c r="P357" s="16">
        <f t="shared" si="117"/>
        <v>1.3988571428571427E-2</v>
      </c>
      <c r="Q357" s="17">
        <f t="shared" si="118"/>
        <v>-144.45850859488525</v>
      </c>
      <c r="R357" s="17">
        <f t="shared" si="119"/>
        <v>662.24534522516342</v>
      </c>
      <c r="S357" s="17">
        <f t="shared" si="120"/>
        <v>30.392773426333541</v>
      </c>
      <c r="T357" s="17">
        <f t="shared" si="121"/>
        <v>41.164027213995766</v>
      </c>
      <c r="U357" s="17">
        <f t="shared" si="122"/>
        <v>4.9865987307758282</v>
      </c>
      <c r="V357" s="17">
        <f t="shared" si="123"/>
        <v>-1.0206594673178859</v>
      </c>
      <c r="W357" s="17">
        <f t="shared" si="124"/>
        <v>593.30957653406551</v>
      </c>
      <c r="X357" s="12">
        <f>原始输入与口径!CP261</f>
        <v>593.3095765340654</v>
      </c>
      <c r="Y357" s="19">
        <f t="shared" si="125"/>
        <v>0</v>
      </c>
      <c r="Z357" s="12" t="str">
        <f t="shared" si="126"/>
        <v>次日冻结计划复原</v>
      </c>
      <c r="AA357" s="12">
        <f>IF(原始输入与口径!AW261,1,0)</f>
        <v>1</v>
      </c>
      <c r="AB357" s="12">
        <f>IF(原始输入与口径!AY261,1,0)</f>
        <v>1</v>
      </c>
      <c r="AC357" s="12">
        <f>原始输入与口径!$F$5</f>
        <v>0.25</v>
      </c>
      <c r="AD357" s="18">
        <f>原始输入与口径!CG261</f>
        <v>0.3125</v>
      </c>
      <c r="AE357" s="18">
        <f>原始输入与口径!BQ261</f>
        <v>0.13714285714285715</v>
      </c>
      <c r="AF357" s="18">
        <f t="shared" si="127"/>
        <v>6.2400000000000008E-3</v>
      </c>
      <c r="AG357" s="18">
        <f t="shared" si="128"/>
        <v>2.3314285714285711E-3</v>
      </c>
      <c r="AH357" s="12">
        <f>IF(ISNUMBER(原始输入与口径!T261),原始输入与口径!T261,"缺失")</f>
        <v>175</v>
      </c>
      <c r="AI357" s="12">
        <f>IF(ISNUMBER(原始输入与口径!Y261),原始输入与口径!Y261,"缺失")</f>
        <v>175</v>
      </c>
      <c r="AJ357" s="12">
        <f>IF(ISNUMBER(原始输入与口径!AI261),原始输入与口径!AI261,"缺失")</f>
        <v>0.27300000000000002</v>
      </c>
      <c r="AK357" s="12">
        <f>IF(ISNUMBER(原始输入与口径!AL261),原始输入与口径!AL261,"缺失")</f>
        <v>0.10199999999999999</v>
      </c>
      <c r="AL357" s="12">
        <f>IF(ISNUMBER(原始输入与口径!O261),原始输入与口径!O261,"缺失")</f>
        <v>91.903999999999996</v>
      </c>
      <c r="AM357" s="12">
        <f>SUMIFS(相位SOC复算!$N$9:$N$929,相位SOC复算!$S$9:$S$929,349)</f>
        <v>4.8675484376279141E-3</v>
      </c>
      <c r="AN357" s="12">
        <f>SUMIFS(相位SOC复算!$Q$9:$Q$929,相位SOC复算!$S$9:$S$929,349)</f>
        <v>1.8742592400984324</v>
      </c>
      <c r="AO357" s="12">
        <f>SUMIFS(相位SOC复算!$R$9:$R$929,相位SOC复算!$S$9:$S$929,349)</f>
        <v>2.5759021723051913E-2</v>
      </c>
      <c r="AP357" s="12">
        <f>相位SOC复算!J854</f>
        <v>171.19277273193703</v>
      </c>
      <c r="AQ357" s="19">
        <f t="shared" si="129"/>
        <v>0</v>
      </c>
      <c r="AR357" s="12">
        <f>IF(ISBLANK(原始输入与口径!M261),"",原始输入与口径!M261)</f>
        <v>5.2473000000000001</v>
      </c>
      <c r="AS357" s="14">
        <f>IF(ISBLANK(原始输入与口径!L261),"",原始输入与口径!L261)</f>
        <v>46234</v>
      </c>
      <c r="AT357" s="13">
        <f>IF(ISBLANK(原始输入与口径!A261),"",原始输入与口径!A261)</f>
        <v>46237.5</v>
      </c>
      <c r="AU357" s="12" t="str">
        <f>IF(ISBLANK(原始输入与口径!I261),"",原始输入与口径!I261)</f>
        <v>2026-08-03_57</v>
      </c>
      <c r="AV357" s="12">
        <f>IF(ISBLANK(原始输入与口径!J261),"",原始输入与口径!J261)</f>
        <v>15</v>
      </c>
      <c r="AW357" s="12" t="str">
        <f>IF(ISBLANK(原始输入与口径!BB261),"",原始输入与口径!BB261)</f>
        <v>OK</v>
      </c>
      <c r="AX357" s="12">
        <f>原始输入与口径!CI261</f>
        <v>128</v>
      </c>
      <c r="AY357" s="12">
        <f>原始输入与口径!BS261</f>
        <v>175</v>
      </c>
      <c r="AZ357" s="12">
        <f>原始输入与口径!BI261</f>
        <v>175</v>
      </c>
      <c r="BA357" s="12">
        <f>原始输入与口径!CM261</f>
        <v>40</v>
      </c>
      <c r="BB357" s="12">
        <f>原始输入与口径!BV261</f>
        <v>24</v>
      </c>
      <c r="BC357" s="12">
        <f>原始输入与口径!BL261</f>
        <v>24</v>
      </c>
      <c r="BD357" s="14">
        <f>46236</f>
        <v>46236</v>
      </c>
      <c r="BE357" s="1" t="str">
        <f t="shared" si="130"/>
        <v>-7.487807 MW × 77.170000 × 0.250000 h = -144.458509 EUR</v>
      </c>
      <c r="BF357" s="1" t="str">
        <f t="shared" si="131"/>
        <v>40.000000 MW × 66.224535 × 0.250000 h = 662.245345 EUR</v>
      </c>
      <c r="BG357" s="1" t="str">
        <f t="shared" si="132"/>
        <v>24.000000 MW × 5.065462 × 0.250000 h = 30.392773 EUR</v>
      </c>
      <c r="BH357" s="1" t="str">
        <f t="shared" si="133"/>
        <v>24.000000 MW × 6.860671 × 0.250000 h = 41.164027 EUR</v>
      </c>
      <c r="BI357" s="1" t="str">
        <f t="shared" si="134"/>
        <v>0.037440 MWh × 133.189069 = 4.986599 EUR</v>
      </c>
      <c r="BJ357" s="1" t="str">
        <f t="shared" si="135"/>
        <v>−(0.013989 MWh × 72.963810) = -1.020659 EUR</v>
      </c>
      <c r="BK357" s="1" t="str">
        <f t="shared" si="136"/>
        <v>-144.458509 + 662.245345 + 30.392773 + 41.164027 + 4.986599 + -1.020659 = 593.309577 EUR</v>
      </c>
    </row>
    <row r="358" spans="1:63" ht="21" customHeight="1" x14ac:dyDescent="0.45">
      <c r="A358" s="13">
        <f>原始输入与口径!C262</f>
        <v>46237.635416666664</v>
      </c>
      <c r="B358" s="15">
        <f>IF(ISNUMBER(原始输入与口径!H262),原始输入与口径!H262,"缺失")</f>
        <v>99.63</v>
      </c>
      <c r="C358" s="15">
        <f>IF(ISNUMBER(原始输入与口径!R262),原始输入与口径!R262,"缺失")</f>
        <v>66.224534522516336</v>
      </c>
      <c r="D358" s="15">
        <f>IF(ISNUMBER(原始输入与口径!W262),原始输入与口径!W262,"缺失")</f>
        <v>5.0654622377222571</v>
      </c>
      <c r="E358" s="15">
        <f>IF(ISNUMBER(原始输入与口径!AB262),原始输入与口径!AB262,"缺失")</f>
        <v>6.8606712023326279</v>
      </c>
      <c r="F358" s="15">
        <f>IF(ISNUMBER(原始输入与口径!AG262),原始输入与口径!AG262,"缺失")</f>
        <v>133.21136584529185</v>
      </c>
      <c r="G358" s="15">
        <f>IF(ISNUMBER(原始输入与口径!AJ262),原始输入与口径!AJ262,"缺失")</f>
        <v>48.703523716959197</v>
      </c>
      <c r="H358" s="15" t="str">
        <f t="shared" si="115"/>
        <v>未模拟</v>
      </c>
      <c r="I358" s="16">
        <f>原始输入与口径!CD262</f>
        <v>171.19277273193703</v>
      </c>
      <c r="J358" s="16">
        <f>原始输入与口径!CE262</f>
        <v>171.54486308571435</v>
      </c>
      <c r="K358" s="16">
        <f>原始输入与口径!BZ262</f>
        <v>0.21685336230970481</v>
      </c>
      <c r="L358" s="16">
        <f>原始输入与口径!CK262</f>
        <v>40</v>
      </c>
      <c r="M358" s="16">
        <f>原始输入与口径!BT262</f>
        <v>24</v>
      </c>
      <c r="N358" s="16">
        <f>原始输入与口径!BJ262</f>
        <v>24</v>
      </c>
      <c r="O358" s="16">
        <f t="shared" si="116"/>
        <v>5.4857142857142865E-4</v>
      </c>
      <c r="P358" s="16">
        <f t="shared" si="117"/>
        <v>0.44667428571428569</v>
      </c>
      <c r="Q358" s="17">
        <f t="shared" si="118"/>
        <v>5.4012751217289727</v>
      </c>
      <c r="R358" s="17">
        <f t="shared" si="119"/>
        <v>662.24534522516342</v>
      </c>
      <c r="S358" s="17">
        <f t="shared" si="120"/>
        <v>30.392773426333541</v>
      </c>
      <c r="T358" s="17">
        <f t="shared" si="121"/>
        <v>41.164027213995766</v>
      </c>
      <c r="U358" s="17">
        <f t="shared" si="122"/>
        <v>7.3075949263702963E-2</v>
      </c>
      <c r="V358" s="17">
        <f t="shared" si="123"/>
        <v>-21.754611668041523</v>
      </c>
      <c r="W358" s="17">
        <f t="shared" si="124"/>
        <v>717.52188526844384</v>
      </c>
      <c r="X358" s="12">
        <f>原始输入与口径!CP262</f>
        <v>717.52188526844384</v>
      </c>
      <c r="Y358" s="19">
        <f t="shared" si="125"/>
        <v>0</v>
      </c>
      <c r="Z358" s="12" t="str">
        <f t="shared" si="126"/>
        <v>次日冻结计划复原</v>
      </c>
      <c r="AA358" s="12">
        <f>IF(原始输入与口径!AW262,1,0)</f>
        <v>1</v>
      </c>
      <c r="AB358" s="12">
        <f>IF(原始输入与口径!AY262,1,0)</f>
        <v>1</v>
      </c>
      <c r="AC358" s="12">
        <f>原始输入与口径!$F$5</f>
        <v>0.25</v>
      </c>
      <c r="AD358" s="18">
        <f>原始输入与口径!CG262</f>
        <v>0.3125</v>
      </c>
      <c r="AE358" s="18">
        <f>原始输入与口径!BQ262</f>
        <v>0.13714285714285715</v>
      </c>
      <c r="AF358" s="18">
        <f t="shared" si="127"/>
        <v>9.1428571428571432E-5</v>
      </c>
      <c r="AG358" s="18">
        <f t="shared" si="128"/>
        <v>7.4445714285714282E-2</v>
      </c>
      <c r="AH358" s="12">
        <f>IF(ISNUMBER(原始输入与口径!T262),原始输入与口径!T262,"缺失")</f>
        <v>175</v>
      </c>
      <c r="AI358" s="12">
        <f>IF(ISNUMBER(原始输入与口径!Y262),原始输入与口径!Y262,"缺失")</f>
        <v>175</v>
      </c>
      <c r="AJ358" s="12">
        <f>IF(ISNUMBER(原始输入与口径!AI262),原始输入与口径!AI262,"缺失")</f>
        <v>4.0000000000000001E-3</v>
      </c>
      <c r="AK358" s="12">
        <f>IF(ISNUMBER(原始输入与口径!AL262),原始输入与口径!AL262,"缺失")</f>
        <v>3.2570000000000001</v>
      </c>
      <c r="AL358" s="12">
        <f>IF(ISNUMBER(原始输入与口径!O262),原始输入与口径!O262,"缺失")</f>
        <v>91.903999999999996</v>
      </c>
      <c r="AM358" s="12">
        <f>SUMIFS(相位SOC复算!$N$9:$N$929,相位SOC复算!$S$9:$S$929,350)</f>
        <v>1.2843449509690186E-3</v>
      </c>
      <c r="AN358" s="12">
        <f>SUMIFS(相位SOC复算!$Q$9:$Q$929,相位SOC复算!$S$9:$S$929,350)</f>
        <v>0.44263833485118448</v>
      </c>
      <c r="AO358" s="12">
        <f>SUMIFS(相位SOC复算!$R$9:$R$929,相位SOC复算!$S$9:$S$929,350)</f>
        <v>5.0725961142896438E-2</v>
      </c>
      <c r="AP358" s="12">
        <f>相位SOC复算!J857</f>
        <v>171.54486308571435</v>
      </c>
      <c r="AQ358" s="19">
        <f t="shared" si="129"/>
        <v>0</v>
      </c>
      <c r="AR358" s="12">
        <f>IF(ISBLANK(原始输入与口径!M262),"",原始输入与口径!M262)</f>
        <v>5.2473000000000001</v>
      </c>
      <c r="AS358" s="14">
        <f>IF(ISBLANK(原始输入与口径!L262),"",原始输入与口径!L262)</f>
        <v>46234</v>
      </c>
      <c r="AT358" s="13">
        <f>IF(ISBLANK(原始输入与口径!A262),"",原始输入与口径!A262)</f>
        <v>46237.510416666664</v>
      </c>
      <c r="AU358" s="12" t="str">
        <f>IF(ISBLANK(原始输入与口径!I262),"",原始输入与口径!I262)</f>
        <v>2026-08-03_58</v>
      </c>
      <c r="AV358" s="12">
        <f>IF(ISBLANK(原始输入与口径!J262),"",原始输入与口径!J262)</f>
        <v>15</v>
      </c>
      <c r="AW358" s="12" t="str">
        <f>IF(ISBLANK(原始输入与口径!BB262),"",原始输入与口径!BB262)</f>
        <v>OK</v>
      </c>
      <c r="AX358" s="12">
        <f>原始输入与口径!CI262</f>
        <v>128</v>
      </c>
      <c r="AY358" s="12">
        <f>原始输入与口径!BS262</f>
        <v>175</v>
      </c>
      <c r="AZ358" s="12">
        <f>原始输入与口径!BI262</f>
        <v>175</v>
      </c>
      <c r="BA358" s="12">
        <f>原始输入与口径!CM262</f>
        <v>40</v>
      </c>
      <c r="BB358" s="12">
        <f>原始输入与口径!BV262</f>
        <v>24</v>
      </c>
      <c r="BC358" s="12">
        <f>原始输入与口径!BL262</f>
        <v>24</v>
      </c>
      <c r="BD358" s="14">
        <f>46236</f>
        <v>46236</v>
      </c>
      <c r="BE358" s="1" t="str">
        <f t="shared" si="130"/>
        <v>0.216853 MW × 99.630000 × 0.250000 h = 5.401275 EUR</v>
      </c>
      <c r="BF358" s="1" t="str">
        <f t="shared" si="131"/>
        <v>40.000000 MW × 66.224535 × 0.250000 h = 662.245345 EUR</v>
      </c>
      <c r="BG358" s="1" t="str">
        <f t="shared" si="132"/>
        <v>24.000000 MW × 5.065462 × 0.250000 h = 30.392773 EUR</v>
      </c>
      <c r="BH358" s="1" t="str">
        <f t="shared" si="133"/>
        <v>24.000000 MW × 6.860671 × 0.250000 h = 41.164027 EUR</v>
      </c>
      <c r="BI358" s="1" t="str">
        <f t="shared" si="134"/>
        <v>0.000549 MWh × 133.211366 = 0.073076 EUR</v>
      </c>
      <c r="BJ358" s="1" t="str">
        <f t="shared" si="135"/>
        <v>−(0.446674 MWh × 48.703524) = -21.754612 EUR</v>
      </c>
      <c r="BK358" s="1" t="str">
        <f t="shared" si="136"/>
        <v>5.401275 + 662.245345 + 30.392773 + 41.164027 + 0.073076 + -21.754612 = 717.521885 EUR</v>
      </c>
    </row>
    <row r="359" spans="1:63" ht="21" customHeight="1" x14ac:dyDescent="0.45">
      <c r="A359" s="13">
        <f>原始输入与口径!C263</f>
        <v>46237.645833333336</v>
      </c>
      <c r="B359" s="15">
        <f>IF(ISNUMBER(原始输入与口径!H263),原始输入与口径!H263,"缺失")</f>
        <v>93.12</v>
      </c>
      <c r="C359" s="15">
        <f>IF(ISNUMBER(原始输入与口径!R263),原始输入与口径!R263,"缺失")</f>
        <v>66.224534522516336</v>
      </c>
      <c r="D359" s="15">
        <f>IF(ISNUMBER(原始输入与口径!W263),原始输入与口径!W263,"缺失")</f>
        <v>5.0654622377222571</v>
      </c>
      <c r="E359" s="15">
        <f>IF(ISNUMBER(原始输入与口径!AB263),原始输入与口径!AB263,"缺失")</f>
        <v>6.8606712023326279</v>
      </c>
      <c r="F359" s="15">
        <f>IF(ISNUMBER(原始输入与口径!AG263),原始输入与口径!AG263,"缺失")</f>
        <v>139.06542412288223</v>
      </c>
      <c r="G359" s="15">
        <f>IF(ISNUMBER(原始输入与口径!AJ263),原始输入与口径!AJ263,"缺失")</f>
        <v>52.972195224210544</v>
      </c>
      <c r="H359" s="15" t="str">
        <f t="shared" si="115"/>
        <v>未模拟</v>
      </c>
      <c r="I359" s="16">
        <f>原始输入与口径!CD263</f>
        <v>171.54486308571435</v>
      </c>
      <c r="J359" s="16">
        <f>原始输入与口径!CE263</f>
        <v>170.90280745341622</v>
      </c>
      <c r="K359" s="16">
        <f>原始输入与口径!BZ263</f>
        <v>0</v>
      </c>
      <c r="L359" s="16">
        <f>原始输入与口径!CK263</f>
        <v>40</v>
      </c>
      <c r="M359" s="16">
        <f>原始输入与口径!BT263</f>
        <v>24</v>
      </c>
      <c r="N359" s="16">
        <f>原始输入与口径!BJ263</f>
        <v>24</v>
      </c>
      <c r="O359" s="16">
        <f t="shared" si="116"/>
        <v>0.6414171428571428</v>
      </c>
      <c r="P359" s="16">
        <f t="shared" si="117"/>
        <v>5.9931428571428566E-2</v>
      </c>
      <c r="Q359" s="17">
        <f t="shared" si="118"/>
        <v>0</v>
      </c>
      <c r="R359" s="17">
        <f t="shared" si="119"/>
        <v>662.24534522516342</v>
      </c>
      <c r="S359" s="17">
        <f t="shared" si="120"/>
        <v>30.392773426333541</v>
      </c>
      <c r="T359" s="17">
        <f t="shared" si="121"/>
        <v>41.164027213995766</v>
      </c>
      <c r="U359" s="17">
        <f t="shared" si="122"/>
        <v>89.198947011115905</v>
      </c>
      <c r="V359" s="17">
        <f t="shared" si="123"/>
        <v>-3.1746993343515437</v>
      </c>
      <c r="W359" s="17">
        <f t="shared" si="124"/>
        <v>819.82639354225705</v>
      </c>
      <c r="X359" s="12">
        <f>原始输入与口径!CP263</f>
        <v>819.82639354225705</v>
      </c>
      <c r="Y359" s="19">
        <f t="shared" si="125"/>
        <v>0</v>
      </c>
      <c r="Z359" s="12" t="str">
        <f t="shared" si="126"/>
        <v>次日冻结计划复原</v>
      </c>
      <c r="AA359" s="12">
        <f>IF(原始输入与口径!AW263,1,0)</f>
        <v>1</v>
      </c>
      <c r="AB359" s="12">
        <f>IF(原始输入与口径!AY263,1,0)</f>
        <v>1</v>
      </c>
      <c r="AC359" s="12">
        <f>原始输入与口径!$F$5</f>
        <v>0.25</v>
      </c>
      <c r="AD359" s="18">
        <f>原始输入与口径!CG263</f>
        <v>0.3125</v>
      </c>
      <c r="AE359" s="18">
        <f>原始输入与口径!BQ263</f>
        <v>0.13714285714285715</v>
      </c>
      <c r="AF359" s="18">
        <f t="shared" si="127"/>
        <v>0.10690285714285713</v>
      </c>
      <c r="AG359" s="18">
        <f t="shared" si="128"/>
        <v>9.9885714285714283E-3</v>
      </c>
      <c r="AH359" s="12">
        <f>IF(ISNUMBER(原始输入与口径!T263),原始输入与口径!T263,"缺失")</f>
        <v>175</v>
      </c>
      <c r="AI359" s="12">
        <f>IF(ISNUMBER(原始输入与口径!Y263),原始输入与口径!Y263,"缺失")</f>
        <v>175</v>
      </c>
      <c r="AJ359" s="12">
        <f>IF(ISNUMBER(原始输入与口径!AI263),原始输入与口径!AI263,"缺失")</f>
        <v>4.6769999999999996</v>
      </c>
      <c r="AK359" s="12">
        <f>IF(ISNUMBER(原始输入与口径!AL263),原始输入与口径!AL263,"缺失")</f>
        <v>0.437</v>
      </c>
      <c r="AL359" s="12">
        <f>IF(ISNUMBER(原始输入与口径!O263),原始输入与口径!O263,"缺失")</f>
        <v>91.903999999999996</v>
      </c>
      <c r="AM359" s="12">
        <f>SUMIFS(相位SOC复算!$N$9:$N$929,相位SOC复算!$S$9:$S$929,351)</f>
        <v>2.0898040579710145E-3</v>
      </c>
      <c r="AN359" s="12">
        <f>SUMIFS(相位SOC复算!$Q$9:$Q$929,相位SOC复算!$S$9:$S$929,351)</f>
        <v>5.9931428571428566E-2</v>
      </c>
      <c r="AO359" s="12">
        <f>SUMIFS(相位SOC复算!$R$9:$R$929,相位SOC复算!$S$9:$S$929,351)</f>
        <v>0.6414171428571428</v>
      </c>
      <c r="AP359" s="12">
        <f>相位SOC复算!J860</f>
        <v>170.90280745341622</v>
      </c>
      <c r="AQ359" s="19">
        <f t="shared" si="129"/>
        <v>0</v>
      </c>
      <c r="AR359" s="12">
        <f>IF(ISBLANK(原始输入与口径!M263),"",原始输入与口径!M263)</f>
        <v>5.2473000000000001</v>
      </c>
      <c r="AS359" s="14">
        <f>IF(ISBLANK(原始输入与口径!L263),"",原始输入与口径!L263)</f>
        <v>46234</v>
      </c>
      <c r="AT359" s="13">
        <f>IF(ISBLANK(原始输入与口径!A263),"",原始输入与口径!A263)</f>
        <v>46237.520833333336</v>
      </c>
      <c r="AU359" s="12" t="str">
        <f>IF(ISBLANK(原始输入与口径!I263),"",原始输入与口径!I263)</f>
        <v>2026-08-03_59</v>
      </c>
      <c r="AV359" s="12">
        <f>IF(ISBLANK(原始输入与口径!J263),"",原始输入与口径!J263)</f>
        <v>15</v>
      </c>
      <c r="AW359" s="12" t="str">
        <f>IF(ISBLANK(原始输入与口径!BB263),"",原始输入与口径!BB263)</f>
        <v>OK</v>
      </c>
      <c r="AX359" s="12">
        <f>原始输入与口径!CI263</f>
        <v>128</v>
      </c>
      <c r="AY359" s="12">
        <f>原始输入与口径!BS263</f>
        <v>175</v>
      </c>
      <c r="AZ359" s="12">
        <f>原始输入与口径!BI263</f>
        <v>175</v>
      </c>
      <c r="BA359" s="12">
        <f>原始输入与口径!CM263</f>
        <v>40</v>
      </c>
      <c r="BB359" s="12">
        <f>原始输入与口径!BV263</f>
        <v>24</v>
      </c>
      <c r="BC359" s="12">
        <f>原始输入与口径!BL263</f>
        <v>24</v>
      </c>
      <c r="BD359" s="14">
        <f>46236</f>
        <v>46236</v>
      </c>
      <c r="BE359" s="1" t="str">
        <f t="shared" si="130"/>
        <v>零头寸，无结算现金</v>
      </c>
      <c r="BF359" s="1" t="str">
        <f t="shared" si="131"/>
        <v>40.000000 MW × 66.224535 × 0.250000 h = 662.245345 EUR</v>
      </c>
      <c r="BG359" s="1" t="str">
        <f t="shared" si="132"/>
        <v>24.000000 MW × 5.065462 × 0.250000 h = 30.392773 EUR</v>
      </c>
      <c r="BH359" s="1" t="str">
        <f t="shared" si="133"/>
        <v>24.000000 MW × 6.860671 × 0.250000 h = 41.164027 EUR</v>
      </c>
      <c r="BI359" s="1" t="str">
        <f t="shared" si="134"/>
        <v>0.641417 MWh × 139.065424 = 89.198947 EUR</v>
      </c>
      <c r="BJ359" s="1" t="str">
        <f t="shared" si="135"/>
        <v>−(0.059931 MWh × 52.972195) = -3.174699 EUR</v>
      </c>
      <c r="BK359" s="1" t="str">
        <f t="shared" si="136"/>
        <v>0.000000 + 662.245345 + 30.392773 + 41.164027 + 89.198947 + -3.174699 = 819.826394 EUR</v>
      </c>
    </row>
    <row r="360" spans="1:63" ht="21" customHeight="1" x14ac:dyDescent="0.45">
      <c r="A360" s="13">
        <f>原始输入与口径!C264</f>
        <v>46237.65625</v>
      </c>
      <c r="B360" s="15">
        <f>IF(ISNUMBER(原始输入与口径!H264),原始输入与口径!H264,"缺失")</f>
        <v>93.31</v>
      </c>
      <c r="C360" s="15">
        <f>IF(ISNUMBER(原始输入与口径!R264),原始输入与口径!R264,"缺失")</f>
        <v>66.224534522516336</v>
      </c>
      <c r="D360" s="15">
        <f>IF(ISNUMBER(原始输入与口径!W264),原始输入与口径!W264,"缺失")</f>
        <v>5.0654622377222571</v>
      </c>
      <c r="E360" s="15">
        <f>IF(ISNUMBER(原始输入与口径!AB264),原始输入与口径!AB264,"缺失")</f>
        <v>6.8606712023326279</v>
      </c>
      <c r="F360" s="15">
        <f>IF(ISNUMBER(原始输入与口径!AG264),原始输入与口径!AG264,"缺失")</f>
        <v>134.75901892401805</v>
      </c>
      <c r="G360" s="15">
        <f>IF(ISNUMBER(原始输入与口径!AJ264),原始输入与口径!AJ264,"缺失")</f>
        <v>0</v>
      </c>
      <c r="H360" s="15" t="str">
        <f t="shared" si="115"/>
        <v>未模拟</v>
      </c>
      <c r="I360" s="16">
        <f>原始输入与口径!CD264</f>
        <v>170.90280745341622</v>
      </c>
      <c r="J360" s="16">
        <f>原始输入与口径!CE264</f>
        <v>170.45768944099385</v>
      </c>
      <c r="K360" s="16">
        <f>原始输入与口径!BZ264</f>
        <v>0</v>
      </c>
      <c r="L360" s="16">
        <f>原始输入与口径!CK264</f>
        <v>40</v>
      </c>
      <c r="M360" s="16">
        <f>原始输入与口径!BT264</f>
        <v>24</v>
      </c>
      <c r="N360" s="16">
        <f>原始输入与口径!BJ264</f>
        <v>24</v>
      </c>
      <c r="O360" s="16">
        <f t="shared" si="116"/>
        <v>0.40950857142857144</v>
      </c>
      <c r="P360" s="16">
        <f t="shared" si="117"/>
        <v>0</v>
      </c>
      <c r="Q360" s="17">
        <f t="shared" si="118"/>
        <v>0</v>
      </c>
      <c r="R360" s="17">
        <f t="shared" si="119"/>
        <v>662.24534522516342</v>
      </c>
      <c r="S360" s="17">
        <f t="shared" si="120"/>
        <v>30.392773426333541</v>
      </c>
      <c r="T360" s="17">
        <f t="shared" si="121"/>
        <v>41.164027213995766</v>
      </c>
      <c r="U360" s="17">
        <f t="shared" si="122"/>
        <v>55.184973326690454</v>
      </c>
      <c r="V360" s="17">
        <f t="shared" si="123"/>
        <v>0</v>
      </c>
      <c r="W360" s="17">
        <f t="shared" si="124"/>
        <v>788.98711919218317</v>
      </c>
      <c r="X360" s="12">
        <f>原始输入与口径!CP264</f>
        <v>788.98711919218317</v>
      </c>
      <c r="Y360" s="19">
        <f t="shared" si="125"/>
        <v>0</v>
      </c>
      <c r="Z360" s="12" t="str">
        <f t="shared" si="126"/>
        <v>次日冻结计划复原</v>
      </c>
      <c r="AA360" s="12">
        <f>IF(原始输入与口径!AW264,1,0)</f>
        <v>1</v>
      </c>
      <c r="AB360" s="12">
        <f>IF(原始输入与口径!AY264,1,0)</f>
        <v>1</v>
      </c>
      <c r="AC360" s="12">
        <f>原始输入与口径!$F$5</f>
        <v>0.25</v>
      </c>
      <c r="AD360" s="18">
        <f>原始输入与口径!CG264</f>
        <v>0.3125</v>
      </c>
      <c r="AE360" s="18">
        <f>原始输入与口径!BQ264</f>
        <v>0.13714285714285715</v>
      </c>
      <c r="AF360" s="18">
        <f t="shared" si="127"/>
        <v>6.8251428571428574E-2</v>
      </c>
      <c r="AG360" s="18">
        <f t="shared" si="128"/>
        <v>0</v>
      </c>
      <c r="AH360" s="12">
        <f>IF(ISNUMBER(原始输入与口径!T264),原始输入与口径!T264,"缺失")</f>
        <v>175</v>
      </c>
      <c r="AI360" s="12">
        <f>IF(ISNUMBER(原始输入与口径!Y264),原始输入与口径!Y264,"缺失")</f>
        <v>175</v>
      </c>
      <c r="AJ360" s="12">
        <f>IF(ISNUMBER(原始输入与口径!AI264),原始输入与口径!AI264,"缺失")</f>
        <v>2.9860000000000002</v>
      </c>
      <c r="AK360" s="12">
        <f>IF(ISNUMBER(原始输入与口径!AL264),原始输入与口径!AL264,"缺失")</f>
        <v>0</v>
      </c>
      <c r="AL360" s="12">
        <f>IF(ISNUMBER(原始输入与口径!O264),原始输入与口径!O264,"缺失")</f>
        <v>91.903999999999996</v>
      </c>
      <c r="AM360" s="12">
        <f>SUMIFS(相位SOC复算!$N$9:$N$929,相位SOC复算!$S$9:$S$929,352)</f>
        <v>1.2364389233954453E-3</v>
      </c>
      <c r="AN360" s="12">
        <f>SUMIFS(相位SOC复算!$Q$9:$Q$929,相位SOC复算!$S$9:$S$929,352)</f>
        <v>0</v>
      </c>
      <c r="AO360" s="12">
        <f>SUMIFS(相位SOC复算!$R$9:$R$929,相位SOC复算!$S$9:$S$929,352)</f>
        <v>0.40950857142857144</v>
      </c>
      <c r="AP360" s="12">
        <f>相位SOC复算!J862</f>
        <v>170.45768944099385</v>
      </c>
      <c r="AQ360" s="19">
        <f t="shared" si="129"/>
        <v>0</v>
      </c>
      <c r="AR360" s="12">
        <f>IF(ISBLANK(原始输入与口径!M264),"",原始输入与口径!M264)</f>
        <v>5.2473000000000001</v>
      </c>
      <c r="AS360" s="14">
        <f>IF(ISBLANK(原始输入与口径!L264),"",原始输入与口径!L264)</f>
        <v>46234</v>
      </c>
      <c r="AT360" s="13">
        <f>IF(ISBLANK(原始输入与口径!A264),"",原始输入与口径!A264)</f>
        <v>46237.53125</v>
      </c>
      <c r="AU360" s="12" t="str">
        <f>IF(ISBLANK(原始输入与口径!I264),"",原始输入与口径!I264)</f>
        <v>2026-08-03_60</v>
      </c>
      <c r="AV360" s="12">
        <f>IF(ISBLANK(原始输入与口径!J264),"",原始输入与口径!J264)</f>
        <v>15</v>
      </c>
      <c r="AW360" s="12" t="str">
        <f>IF(ISBLANK(原始输入与口径!BB264),"",原始输入与口径!BB264)</f>
        <v>OK</v>
      </c>
      <c r="AX360" s="12">
        <f>原始输入与口径!CI264</f>
        <v>128</v>
      </c>
      <c r="AY360" s="12">
        <f>原始输入与口径!BS264</f>
        <v>175</v>
      </c>
      <c r="AZ360" s="12">
        <f>原始输入与口径!BI264</f>
        <v>175</v>
      </c>
      <c r="BA360" s="12">
        <f>原始输入与口径!CM264</f>
        <v>40</v>
      </c>
      <c r="BB360" s="12">
        <f>原始输入与口径!BV264</f>
        <v>24</v>
      </c>
      <c r="BC360" s="12">
        <f>原始输入与口径!BL264</f>
        <v>24</v>
      </c>
      <c r="BD360" s="14">
        <f>46236</f>
        <v>46236</v>
      </c>
      <c r="BE360" s="1" t="str">
        <f t="shared" si="130"/>
        <v>零头寸，无结算现金</v>
      </c>
      <c r="BF360" s="1" t="str">
        <f t="shared" si="131"/>
        <v>40.000000 MW × 66.224535 × 0.250000 h = 662.245345 EUR</v>
      </c>
      <c r="BG360" s="1" t="str">
        <f t="shared" si="132"/>
        <v>24.000000 MW × 5.065462 × 0.250000 h = 30.392773 EUR</v>
      </c>
      <c r="BH360" s="1" t="str">
        <f t="shared" si="133"/>
        <v>24.000000 MW × 6.860671 × 0.250000 h = 41.164027 EUR</v>
      </c>
      <c r="BI360" s="1" t="str">
        <f t="shared" si="134"/>
        <v>0.409509 MWh × 134.759019 = 55.184973 EUR</v>
      </c>
      <c r="BJ360" s="1" t="str">
        <f t="shared" si="135"/>
        <v>零下调激活电量</v>
      </c>
      <c r="BK360" s="1" t="str">
        <f t="shared" si="136"/>
        <v>0.000000 + 662.245345 + 30.392773 + 41.164027 + 55.184973 + 0.000000 = 788.987119 EUR</v>
      </c>
    </row>
    <row r="361" spans="1:63" ht="21" customHeight="1" x14ac:dyDescent="0.45">
      <c r="A361" s="13">
        <f>原始输入与口径!C265</f>
        <v>46237.666666666664</v>
      </c>
      <c r="B361" s="15">
        <f>IF(ISNUMBER(原始输入与口径!H265),原始输入与口径!H265,"缺失")</f>
        <v>87.48</v>
      </c>
      <c r="C361" s="15">
        <f>IF(ISNUMBER(原始输入与口径!R265),原始输入与口径!R265,"缺失")</f>
        <v>66.224534522516336</v>
      </c>
      <c r="D361" s="15">
        <f>IF(ISNUMBER(原始输入与口径!W265),原始输入与口径!W265,"缺失")</f>
        <v>5.5800125778972047</v>
      </c>
      <c r="E361" s="15">
        <f>IF(ISNUMBER(原始输入与口径!AB265),原始输入与口径!AB265,"缺失")</f>
        <v>2.9310311969965506</v>
      </c>
      <c r="F361" s="15">
        <f>IF(ISNUMBER(原始输入与口径!AG265),原始输入与口径!AG265,"缺失")</f>
        <v>133.21136584529185</v>
      </c>
      <c r="G361" s="15">
        <f>IF(ISNUMBER(原始输入与口径!AJ265),原始输入与口径!AJ265,"缺失")</f>
        <v>76.378899624568831</v>
      </c>
      <c r="H361" s="15" t="str">
        <f t="shared" si="115"/>
        <v>未模拟</v>
      </c>
      <c r="I361" s="16">
        <f>原始输入与口径!CD265</f>
        <v>170.45768944099385</v>
      </c>
      <c r="J361" s="16">
        <f>原始输入与口径!CE265</f>
        <v>170.84517926963619</v>
      </c>
      <c r="K361" s="16">
        <f>原始输入与口径!BZ265</f>
        <v>-0.6945669568299605</v>
      </c>
      <c r="L361" s="16">
        <f>原始输入与口径!CK265</f>
        <v>40</v>
      </c>
      <c r="M361" s="16">
        <f>原始输入与口径!BT265</f>
        <v>0</v>
      </c>
      <c r="N361" s="16">
        <f>原始输入与口径!BJ265</f>
        <v>24</v>
      </c>
      <c r="O361" s="16">
        <f t="shared" si="116"/>
        <v>0</v>
      </c>
      <c r="P361" s="16">
        <f t="shared" si="117"/>
        <v>0.24754285714285712</v>
      </c>
      <c r="Q361" s="17">
        <f t="shared" si="118"/>
        <v>-15.190179345871236</v>
      </c>
      <c r="R361" s="17">
        <f t="shared" si="119"/>
        <v>662.24534522516342</v>
      </c>
      <c r="S361" s="17">
        <f t="shared" si="120"/>
        <v>0</v>
      </c>
      <c r="T361" s="17">
        <f t="shared" si="121"/>
        <v>17.586187181979305</v>
      </c>
      <c r="U361" s="17">
        <f t="shared" si="122"/>
        <v>0</v>
      </c>
      <c r="V361" s="17">
        <f t="shared" si="123"/>
        <v>-18.907051038493265</v>
      </c>
      <c r="W361" s="17">
        <f t="shared" si="124"/>
        <v>645.73430202277825</v>
      </c>
      <c r="X361" s="12">
        <f>原始输入与口径!CP265</f>
        <v>645.73430202277825</v>
      </c>
      <c r="Y361" s="19">
        <f t="shared" si="125"/>
        <v>0</v>
      </c>
      <c r="Z361" s="12" t="str">
        <f t="shared" ref="Z361:Z392" si="137">"次日冻结计划复原"</f>
        <v>次日冻结计划复原</v>
      </c>
      <c r="AA361" s="12">
        <f>IF(原始输入与口径!AW265,1,0)</f>
        <v>1</v>
      </c>
      <c r="AB361" s="12">
        <f>IF(原始输入与口径!AY265,1,0)</f>
        <v>1</v>
      </c>
      <c r="AC361" s="12">
        <f>原始输入与口径!$F$5</f>
        <v>0.25</v>
      </c>
      <c r="AD361" s="18">
        <f>原始输入与口径!CG265</f>
        <v>0.3125</v>
      </c>
      <c r="AE361" s="18">
        <f>原始输入与口径!BQ265</f>
        <v>0.13714285714285715</v>
      </c>
      <c r="AF361" s="18">
        <f t="shared" si="127"/>
        <v>1.6685714285714285E-3</v>
      </c>
      <c r="AG361" s="18">
        <f t="shared" si="128"/>
        <v>4.1257142857142853E-2</v>
      </c>
      <c r="AH361" s="12">
        <f>IF(ISNUMBER(原始输入与口径!T265),原始输入与口径!T265,"缺失")</f>
        <v>175</v>
      </c>
      <c r="AI361" s="12">
        <f>IF(ISNUMBER(原始输入与口径!Y265),原始输入与口径!Y265,"缺失")</f>
        <v>175</v>
      </c>
      <c r="AJ361" s="12">
        <f>IF(ISNUMBER(原始输入与口径!AI265),原始输入与口径!AI265,"缺失")</f>
        <v>7.2999999999999995E-2</v>
      </c>
      <c r="AK361" s="12">
        <f>IF(ISNUMBER(原始输入与口径!AL265),原始输入与口径!AL265,"缺失")</f>
        <v>1.8049999999999999</v>
      </c>
      <c r="AL361" s="12">
        <f>IF(ISNUMBER(原始输入与口径!O265),原始输入与口径!O265,"缺失")</f>
        <v>91.903999999999996</v>
      </c>
      <c r="AM361" s="12">
        <f>SUMIFS(相位SOC复算!$N$9:$N$929,相位SOC复算!$S$9:$S$929,353)</f>
        <v>1.076360635117554E-3</v>
      </c>
      <c r="AN361" s="12">
        <f>SUMIFS(相位SOC复算!$Q$9:$Q$929,相位SOC复算!$S$9:$S$929,353)</f>
        <v>0.42118459635034722</v>
      </c>
      <c r="AO361" s="12">
        <f>SUMIFS(相位SOC复算!$R$9:$R$929,相位SOC复算!$S$9:$S$929,353)</f>
        <v>0</v>
      </c>
      <c r="AP361" s="12">
        <f>相位SOC复算!J865</f>
        <v>170.84517926963619</v>
      </c>
      <c r="AQ361" s="19">
        <f t="shared" si="129"/>
        <v>0</v>
      </c>
      <c r="AR361" s="12">
        <f>IF(ISBLANK(原始输入与口径!M265),"",原始输入与口径!M265)</f>
        <v>5.2473000000000001</v>
      </c>
      <c r="AS361" s="14">
        <f>IF(ISBLANK(原始输入与口径!L265),"",原始输入与口径!L265)</f>
        <v>46234</v>
      </c>
      <c r="AT361" s="13">
        <f>IF(ISBLANK(原始输入与口径!A265),"",原始输入与口径!A265)</f>
        <v>46237.541666666664</v>
      </c>
      <c r="AU361" s="12" t="str">
        <f>IF(ISBLANK(原始输入与口径!I265),"",原始输入与口径!I265)</f>
        <v>2026-08-03_61</v>
      </c>
      <c r="AV361" s="12">
        <f>IF(ISBLANK(原始输入与口径!J265),"",原始输入与口径!J265)</f>
        <v>15</v>
      </c>
      <c r="AW361" s="12" t="str">
        <f>IF(ISBLANK(原始输入与口径!BB265),"",原始输入与口径!BB265)</f>
        <v>OK</v>
      </c>
      <c r="AX361" s="12">
        <f>原始输入与口径!CI265</f>
        <v>128</v>
      </c>
      <c r="AY361" s="12">
        <f>原始输入与口径!BS265</f>
        <v>175</v>
      </c>
      <c r="AZ361" s="12">
        <f>原始输入与口径!BI265</f>
        <v>175</v>
      </c>
      <c r="BA361" s="12">
        <f>原始输入与口径!CM265</f>
        <v>40</v>
      </c>
      <c r="BB361" s="12">
        <f>原始输入与口径!BV265</f>
        <v>24</v>
      </c>
      <c r="BC361" s="12">
        <f>原始输入与口径!BL265</f>
        <v>24</v>
      </c>
      <c r="BD361" s="14">
        <f>46236</f>
        <v>46236</v>
      </c>
      <c r="BE361" s="1" t="str">
        <f t="shared" si="130"/>
        <v>-0.694567 MW × 87.480000 × 0.250000 h = -15.190179 EUR</v>
      </c>
      <c r="BF361" s="1" t="str">
        <f t="shared" si="131"/>
        <v>40.000000 MW × 66.224535 × 0.250000 h = 662.245345 EUR</v>
      </c>
      <c r="BG361" s="1" t="str">
        <f t="shared" si="132"/>
        <v>零头寸，无结算现金</v>
      </c>
      <c r="BH361" s="1" t="str">
        <f t="shared" si="133"/>
        <v>24.000000 MW × 2.931031 × 0.250000 h = 17.586187 EUR</v>
      </c>
      <c r="BI361" s="1" t="str">
        <f t="shared" si="134"/>
        <v>零上调激活电量</v>
      </c>
      <c r="BJ361" s="1" t="str">
        <f t="shared" si="135"/>
        <v>−(0.247543 MWh × 76.378900) = -18.907051 EUR</v>
      </c>
      <c r="BK361" s="1" t="str">
        <f t="shared" si="136"/>
        <v>-15.190179 + 662.245345 + 0.000000 + 17.586187 + 0.000000 + -18.907051 = 645.734302 EUR</v>
      </c>
    </row>
    <row r="362" spans="1:63" ht="21" customHeight="1" x14ac:dyDescent="0.45">
      <c r="A362" s="13">
        <f>原始输入与口径!C266</f>
        <v>46237.677083333336</v>
      </c>
      <c r="B362" s="15">
        <f>IF(ISNUMBER(原始输入与口径!H266),原始输入与口径!H266,"缺失")</f>
        <v>104.15</v>
      </c>
      <c r="C362" s="15">
        <f>IF(ISNUMBER(原始输入与口径!R266),原始输入与口径!R266,"缺失")</f>
        <v>66.224534522516336</v>
      </c>
      <c r="D362" s="15">
        <f>IF(ISNUMBER(原始输入与口径!W266),原始输入与口径!W266,"缺失")</f>
        <v>5.5800125778972047</v>
      </c>
      <c r="E362" s="15">
        <f>IF(ISNUMBER(原始输入与口径!AB266),原始输入与口径!AB266,"缺失")</f>
        <v>2.9310311969965506</v>
      </c>
      <c r="F362" s="15">
        <f>IF(ISNUMBER(原始输入与口径!AG266),原始输入与口径!AG266,"缺失")</f>
        <v>0</v>
      </c>
      <c r="G362" s="15">
        <f>IF(ISNUMBER(原始输入与口径!AJ266),原始输入与口径!AJ266,"缺失")</f>
        <v>50.963162007127472</v>
      </c>
      <c r="H362" s="15" t="str">
        <f t="shared" si="115"/>
        <v>未模拟</v>
      </c>
      <c r="I362" s="16">
        <f>原始输入与口径!CD266</f>
        <v>170.84517926963619</v>
      </c>
      <c r="J362" s="16">
        <f>原始输入与口径!CE266</f>
        <v>170.67627109237839</v>
      </c>
      <c r="K362" s="16">
        <f>原始输入与口径!BZ266</f>
        <v>4.0694016890247555</v>
      </c>
      <c r="L362" s="16">
        <f>原始输入与口径!CK266</f>
        <v>40</v>
      </c>
      <c r="M362" s="16">
        <f>原始输入与口径!BT266</f>
        <v>0</v>
      </c>
      <c r="N362" s="16">
        <f>原始输入与口径!BJ266</f>
        <v>24</v>
      </c>
      <c r="O362" s="16">
        <f t="shared" si="116"/>
        <v>0</v>
      </c>
      <c r="P362" s="16">
        <f t="shared" si="117"/>
        <v>0.98797714285714289</v>
      </c>
      <c r="Q362" s="17">
        <f t="shared" si="118"/>
        <v>105.95704647798208</v>
      </c>
      <c r="R362" s="17">
        <f t="shared" si="119"/>
        <v>662.24534522516342</v>
      </c>
      <c r="S362" s="17">
        <f t="shared" si="120"/>
        <v>0</v>
      </c>
      <c r="T362" s="17">
        <f t="shared" si="121"/>
        <v>17.586187181979305</v>
      </c>
      <c r="U362" s="17">
        <f t="shared" si="122"/>
        <v>0</v>
      </c>
      <c r="V362" s="17">
        <f t="shared" si="123"/>
        <v>-50.350439190767496</v>
      </c>
      <c r="W362" s="17">
        <f t="shared" si="124"/>
        <v>735.43813969435735</v>
      </c>
      <c r="X362" s="12">
        <f>原始输入与口径!CP266</f>
        <v>735.43813969435735</v>
      </c>
      <c r="Y362" s="19">
        <f t="shared" si="125"/>
        <v>0</v>
      </c>
      <c r="Z362" s="12" t="str">
        <f t="shared" si="137"/>
        <v>次日冻结计划复原</v>
      </c>
      <c r="AA362" s="12">
        <f>IF(原始输入与口径!AW266,1,0)</f>
        <v>1</v>
      </c>
      <c r="AB362" s="12">
        <f>IF(原始输入与口径!AY266,1,0)</f>
        <v>1</v>
      </c>
      <c r="AC362" s="12">
        <f>原始输入与口径!$F$5</f>
        <v>0.25</v>
      </c>
      <c r="AD362" s="18">
        <f>原始输入与口径!CG266</f>
        <v>0.3125</v>
      </c>
      <c r="AE362" s="18">
        <f>原始输入与口径!BQ266</f>
        <v>0.13714285714285715</v>
      </c>
      <c r="AF362" s="18">
        <f t="shared" si="127"/>
        <v>0</v>
      </c>
      <c r="AG362" s="18">
        <f t="shared" si="128"/>
        <v>0.16466285714285714</v>
      </c>
      <c r="AH362" s="12">
        <f>IF(ISNUMBER(原始输入与口径!T266),原始输入与口径!T266,"缺失")</f>
        <v>175</v>
      </c>
      <c r="AI362" s="12">
        <f>IF(ISNUMBER(原始输入与口径!Y266),原始输入与口径!Y266,"缺失")</f>
        <v>175</v>
      </c>
      <c r="AJ362" s="12">
        <f>IF(ISNUMBER(原始输入与口径!AI266),原始输入与口径!AI266,"缺失")</f>
        <v>0</v>
      </c>
      <c r="AK362" s="12">
        <f>IF(ISNUMBER(原始输入与口径!AL266),原始输入与口径!AL266,"缺失")</f>
        <v>7.2039999999999997</v>
      </c>
      <c r="AL362" s="12">
        <f>IF(ISNUMBER(原始输入与口径!O266),原始输入与口径!O266,"缺失")</f>
        <v>91.903999999999996</v>
      </c>
      <c r="AM362" s="12">
        <f>SUMIFS(相位SOC复算!$N$9:$N$929,相位SOC复算!$S$9:$S$929,354)</f>
        <v>4.6626378832934495E-3</v>
      </c>
      <c r="AN362" s="12">
        <f>SUMIFS(相位SOC复算!$Q$9:$Q$929,相位SOC复算!$S$9:$S$929,354)</f>
        <v>0.82045731561294666</v>
      </c>
      <c r="AO362" s="12">
        <f>SUMIFS(相位SOC复算!$R$9:$R$929,相位SOC复算!$S$9:$S$929,354)</f>
        <v>0.84983059501199265</v>
      </c>
      <c r="AP362" s="12">
        <f>相位SOC复算!J867</f>
        <v>170.67627109237839</v>
      </c>
      <c r="AQ362" s="19">
        <f t="shared" si="129"/>
        <v>0</v>
      </c>
      <c r="AR362" s="12">
        <f>IF(ISBLANK(原始输入与口径!M266),"",原始输入与口径!M266)</f>
        <v>5.2473000000000001</v>
      </c>
      <c r="AS362" s="14">
        <f>IF(ISBLANK(原始输入与口径!L266),"",原始输入与口径!L266)</f>
        <v>46234</v>
      </c>
      <c r="AT362" s="13">
        <f>IF(ISBLANK(原始输入与口径!A266),"",原始输入与口径!A266)</f>
        <v>46237.552083333336</v>
      </c>
      <c r="AU362" s="12" t="str">
        <f>IF(ISBLANK(原始输入与口径!I266),"",原始输入与口径!I266)</f>
        <v>2026-08-03_62</v>
      </c>
      <c r="AV362" s="12">
        <f>IF(ISBLANK(原始输入与口径!J266),"",原始输入与口径!J266)</f>
        <v>15</v>
      </c>
      <c r="AW362" s="12" t="str">
        <f>IF(ISBLANK(原始输入与口径!BB266),"",原始输入与口径!BB266)</f>
        <v>OK</v>
      </c>
      <c r="AX362" s="12">
        <f>原始输入与口径!CI266</f>
        <v>128</v>
      </c>
      <c r="AY362" s="12">
        <f>原始输入与口径!BS266</f>
        <v>175</v>
      </c>
      <c r="AZ362" s="12">
        <f>原始输入与口径!BI266</f>
        <v>175</v>
      </c>
      <c r="BA362" s="12">
        <f>原始输入与口径!CM266</f>
        <v>40</v>
      </c>
      <c r="BB362" s="12">
        <f>原始输入与口径!BV266</f>
        <v>24</v>
      </c>
      <c r="BC362" s="12">
        <f>原始输入与口径!BL266</f>
        <v>24</v>
      </c>
      <c r="BD362" s="14">
        <f>46236</f>
        <v>46236</v>
      </c>
      <c r="BE362" s="1" t="str">
        <f t="shared" si="130"/>
        <v>4.069402 MW × 104.150000 × 0.250000 h = 105.957046 EUR</v>
      </c>
      <c r="BF362" s="1" t="str">
        <f t="shared" si="131"/>
        <v>40.000000 MW × 66.224535 × 0.250000 h = 662.245345 EUR</v>
      </c>
      <c r="BG362" s="1" t="str">
        <f t="shared" si="132"/>
        <v>零头寸，无结算现金</v>
      </c>
      <c r="BH362" s="1" t="str">
        <f t="shared" si="133"/>
        <v>24.000000 MW × 2.931031 × 0.250000 h = 17.586187 EUR</v>
      </c>
      <c r="BI362" s="1" t="str">
        <f t="shared" si="134"/>
        <v>零上调激活电量</v>
      </c>
      <c r="BJ362" s="1" t="str">
        <f t="shared" si="135"/>
        <v>−(0.987977 MWh × 50.963162) = -50.350439 EUR</v>
      </c>
      <c r="BK362" s="1" t="str">
        <f t="shared" si="136"/>
        <v>105.957046 + 662.245345 + 0.000000 + 17.586187 + 0.000000 + -50.350439 = 735.438140 EUR</v>
      </c>
    </row>
    <row r="363" spans="1:63" ht="21" customHeight="1" x14ac:dyDescent="0.45">
      <c r="A363" s="13">
        <f>原始输入与口径!C267</f>
        <v>46237.6875</v>
      </c>
      <c r="B363" s="15">
        <f>IF(ISNUMBER(原始输入与口径!H267),原始输入与口径!H267,"缺失")</f>
        <v>110.76</v>
      </c>
      <c r="C363" s="15">
        <f>IF(ISNUMBER(原始输入与口径!R267),原始输入与口径!R267,"缺失")</f>
        <v>66.224534522516336</v>
      </c>
      <c r="D363" s="15">
        <f>IF(ISNUMBER(原始输入与口径!W267),原始输入与口径!W267,"缺失")</f>
        <v>5.5800125778972047</v>
      </c>
      <c r="E363" s="15">
        <f>IF(ISNUMBER(原始输入与口径!AB267),原始输入与口径!AB267,"缺失")</f>
        <v>2.9310311969965506</v>
      </c>
      <c r="F363" s="15">
        <f>IF(ISNUMBER(原始输入与口径!AG267),原始输入与口径!AG267,"缺失")</f>
        <v>0</v>
      </c>
      <c r="G363" s="15">
        <f>IF(ISNUMBER(原始输入与口径!AJ267),原始输入与口径!AJ267,"缺失")</f>
        <v>3.3070340937243921</v>
      </c>
      <c r="H363" s="15" t="str">
        <f t="shared" si="115"/>
        <v>未模拟</v>
      </c>
      <c r="I363" s="16">
        <f>原始输入与口径!CD267</f>
        <v>170.67627109237839</v>
      </c>
      <c r="J363" s="16">
        <f>原始输入与口径!CE267</f>
        <v>169.83696894409951</v>
      </c>
      <c r="K363" s="16">
        <f>原始输入与口径!BZ267</f>
        <v>8.8225530724520489</v>
      </c>
      <c r="L363" s="16">
        <f>原始输入与口径!CK267</f>
        <v>40</v>
      </c>
      <c r="M363" s="16">
        <f>原始输入与口径!BT267</f>
        <v>0</v>
      </c>
      <c r="N363" s="16">
        <f>原始输入与口径!BJ267</f>
        <v>24</v>
      </c>
      <c r="O363" s="16">
        <f t="shared" si="116"/>
        <v>0</v>
      </c>
      <c r="P363" s="16">
        <f t="shared" si="117"/>
        <v>1.5877028571428569</v>
      </c>
      <c r="Q363" s="17">
        <f t="shared" si="118"/>
        <v>244.29649457619723</v>
      </c>
      <c r="R363" s="17">
        <f t="shared" si="119"/>
        <v>662.24534522516342</v>
      </c>
      <c r="S363" s="17">
        <f t="shared" si="120"/>
        <v>0</v>
      </c>
      <c r="T363" s="17">
        <f t="shared" si="121"/>
        <v>17.586187181979305</v>
      </c>
      <c r="U363" s="17">
        <f t="shared" si="122"/>
        <v>0</v>
      </c>
      <c r="V363" s="17">
        <f t="shared" si="123"/>
        <v>-5.2505874792750555</v>
      </c>
      <c r="W363" s="17">
        <f t="shared" si="124"/>
        <v>918.87743950406491</v>
      </c>
      <c r="X363" s="12">
        <f>原始输入与口径!CP267</f>
        <v>918.87743950406491</v>
      </c>
      <c r="Y363" s="19">
        <f t="shared" si="125"/>
        <v>0</v>
      </c>
      <c r="Z363" s="12" t="str">
        <f t="shared" si="137"/>
        <v>次日冻结计划复原</v>
      </c>
      <c r="AA363" s="12">
        <f>IF(原始输入与口径!AW267,1,0)</f>
        <v>1</v>
      </c>
      <c r="AB363" s="12">
        <f>IF(原始输入与口径!AY267,1,0)</f>
        <v>1</v>
      </c>
      <c r="AC363" s="12">
        <f>原始输入与口径!$F$5</f>
        <v>0.25</v>
      </c>
      <c r="AD363" s="18">
        <f>原始输入与口径!CG267</f>
        <v>0.3125</v>
      </c>
      <c r="AE363" s="18">
        <f>原始输入与口径!BQ267</f>
        <v>0.13714285714285715</v>
      </c>
      <c r="AF363" s="18">
        <f t="shared" si="127"/>
        <v>0</v>
      </c>
      <c r="AG363" s="18">
        <f t="shared" si="128"/>
        <v>0.26461714285714283</v>
      </c>
      <c r="AH363" s="12">
        <f>IF(ISNUMBER(原始输入与口径!T267),原始输入与口径!T267,"缺失")</f>
        <v>175</v>
      </c>
      <c r="AI363" s="12">
        <f>IF(ISNUMBER(原始输入与口径!Y267),原始输入与口径!Y267,"缺失")</f>
        <v>175</v>
      </c>
      <c r="AJ363" s="12">
        <f>IF(ISNUMBER(原始输入与口径!AI267),原始输入与口径!AI267,"缺失")</f>
        <v>0</v>
      </c>
      <c r="AK363" s="12">
        <f>IF(ISNUMBER(原始输入与口径!AL267),原始输入与口径!AL267,"缺失")</f>
        <v>11.577</v>
      </c>
      <c r="AL363" s="12">
        <f>IF(ISNUMBER(原始输入与口径!O267),原始输入与口径!O267,"缺失")</f>
        <v>91.903999999999996</v>
      </c>
      <c r="AM363" s="12">
        <f>SUMIFS(相位SOC复算!$N$9:$N$929,相位SOC复算!$S$9:$S$929,355)</f>
        <v>7.4632221208954484E-3</v>
      </c>
      <c r="AN363" s="12">
        <f>SUMIFS(相位SOC复算!$Q$9:$Q$929,相位SOC复算!$S$9:$S$929,355)</f>
        <v>1.0040531604584149</v>
      </c>
      <c r="AO363" s="12">
        <f>SUMIFS(相位SOC复算!$R$9:$R$929,相位SOC复算!$S$9:$S$929,355)</f>
        <v>1.62198857142857</v>
      </c>
      <c r="AP363" s="12">
        <f>相位SOC复算!J869</f>
        <v>169.83696894409951</v>
      </c>
      <c r="AQ363" s="19">
        <f t="shared" si="129"/>
        <v>0</v>
      </c>
      <c r="AR363" s="12">
        <f>IF(ISBLANK(原始输入与口径!M267),"",原始输入与口径!M267)</f>
        <v>5.2473000000000001</v>
      </c>
      <c r="AS363" s="14">
        <f>IF(ISBLANK(原始输入与口径!L267),"",原始输入与口径!L267)</f>
        <v>46234</v>
      </c>
      <c r="AT363" s="13">
        <f>IF(ISBLANK(原始输入与口径!A267),"",原始输入与口径!A267)</f>
        <v>46237.5625</v>
      </c>
      <c r="AU363" s="12" t="str">
        <f>IF(ISBLANK(原始输入与口径!I267),"",原始输入与口径!I267)</f>
        <v>2026-08-03_63</v>
      </c>
      <c r="AV363" s="12">
        <f>IF(ISBLANK(原始输入与口径!J267),"",原始输入与口径!J267)</f>
        <v>15</v>
      </c>
      <c r="AW363" s="12" t="str">
        <f>IF(ISBLANK(原始输入与口径!BB267),"",原始输入与口径!BB267)</f>
        <v>OK</v>
      </c>
      <c r="AX363" s="12">
        <f>原始输入与口径!CI267</f>
        <v>128</v>
      </c>
      <c r="AY363" s="12">
        <f>原始输入与口径!BS267</f>
        <v>175</v>
      </c>
      <c r="AZ363" s="12">
        <f>原始输入与口径!BI267</f>
        <v>175</v>
      </c>
      <c r="BA363" s="12">
        <f>原始输入与口径!CM267</f>
        <v>40</v>
      </c>
      <c r="BB363" s="12">
        <f>原始输入与口径!BV267</f>
        <v>24</v>
      </c>
      <c r="BC363" s="12">
        <f>原始输入与口径!BL267</f>
        <v>24</v>
      </c>
      <c r="BD363" s="14">
        <f>46236</f>
        <v>46236</v>
      </c>
      <c r="BE363" s="1" t="str">
        <f t="shared" si="130"/>
        <v>8.822553 MW × 110.760000 × 0.250000 h = 244.296495 EUR</v>
      </c>
      <c r="BF363" s="1" t="str">
        <f t="shared" si="131"/>
        <v>40.000000 MW × 66.224535 × 0.250000 h = 662.245345 EUR</v>
      </c>
      <c r="BG363" s="1" t="str">
        <f t="shared" si="132"/>
        <v>零头寸，无结算现金</v>
      </c>
      <c r="BH363" s="1" t="str">
        <f t="shared" si="133"/>
        <v>24.000000 MW × 2.931031 × 0.250000 h = 17.586187 EUR</v>
      </c>
      <c r="BI363" s="1" t="str">
        <f t="shared" si="134"/>
        <v>零上调激活电量</v>
      </c>
      <c r="BJ363" s="1" t="str">
        <f t="shared" si="135"/>
        <v>−(1.587703 MWh × 3.307034) = -5.250587 EUR</v>
      </c>
      <c r="BK363" s="1" t="str">
        <f t="shared" si="136"/>
        <v>244.296495 + 662.245345 + 0.000000 + 17.586187 + 0.000000 + -5.250587 = 918.877440 EUR</v>
      </c>
    </row>
    <row r="364" spans="1:63" ht="21" customHeight="1" x14ac:dyDescent="0.45">
      <c r="A364" s="13">
        <f>原始输入与口径!C268</f>
        <v>46237.697916666664</v>
      </c>
      <c r="B364" s="15">
        <f>IF(ISNUMBER(原始输入与口径!H268),原始输入与口径!H268,"缺失")</f>
        <v>152.9</v>
      </c>
      <c r="C364" s="15">
        <f>IF(ISNUMBER(原始输入与口径!R268),原始输入与口径!R268,"缺失")</f>
        <v>66.224534522516336</v>
      </c>
      <c r="D364" s="15">
        <f>IF(ISNUMBER(原始输入与口径!W268),原始输入与口径!W268,"缺失")</f>
        <v>5.5800125778972047</v>
      </c>
      <c r="E364" s="15">
        <f>IF(ISNUMBER(原始输入与口径!AB268),原始输入与口径!AB268,"缺失")</f>
        <v>2.9310311969965506</v>
      </c>
      <c r="F364" s="15">
        <f>IF(ISNUMBER(原始输入与口径!AG268),原始输入与口径!AG268,"缺失")</f>
        <v>0</v>
      </c>
      <c r="G364" s="15">
        <f>IF(ISNUMBER(原始输入与口径!AJ268),原始输入与口径!AJ268,"缺失")</f>
        <v>-29.79741962533112</v>
      </c>
      <c r="H364" s="15" t="str">
        <f t="shared" si="115"/>
        <v>未模拟</v>
      </c>
      <c r="I364" s="16">
        <f>原始输入与口径!CD268</f>
        <v>169.83696894409951</v>
      </c>
      <c r="J364" s="16">
        <f>原始输入与口径!CE268</f>
        <v>157.80000000000013</v>
      </c>
      <c r="K364" s="16">
        <f>原始输入与口径!BZ268</f>
        <v>60</v>
      </c>
      <c r="L364" s="16">
        <f>原始输入与口径!CK268</f>
        <v>40</v>
      </c>
      <c r="M364" s="16">
        <f>原始输入与口径!BT268</f>
        <v>0</v>
      </c>
      <c r="N364" s="16">
        <f>原始输入与口径!BJ268</f>
        <v>24</v>
      </c>
      <c r="O364" s="16">
        <f t="shared" si="116"/>
        <v>0</v>
      </c>
      <c r="P364" s="16">
        <f t="shared" si="117"/>
        <v>3.9259885714285714</v>
      </c>
      <c r="Q364" s="17">
        <f t="shared" si="118"/>
        <v>2293.5</v>
      </c>
      <c r="R364" s="17">
        <f t="shared" si="119"/>
        <v>662.24534522516342</v>
      </c>
      <c r="S364" s="17">
        <f t="shared" si="120"/>
        <v>0</v>
      </c>
      <c r="T364" s="17">
        <f t="shared" si="121"/>
        <v>17.586187181979305</v>
      </c>
      <c r="U364" s="17">
        <f t="shared" si="122"/>
        <v>0</v>
      </c>
      <c r="V364" s="17">
        <f t="shared" si="123"/>
        <v>116.9843289071114</v>
      </c>
      <c r="W364" s="17">
        <f t="shared" si="124"/>
        <v>3090.3158613142541</v>
      </c>
      <c r="X364" s="12">
        <f>原始输入与口径!CP268</f>
        <v>3090.3158613142541</v>
      </c>
      <c r="Y364" s="19">
        <f t="shared" si="125"/>
        <v>0</v>
      </c>
      <c r="Z364" s="12" t="str">
        <f t="shared" si="137"/>
        <v>次日冻结计划复原</v>
      </c>
      <c r="AA364" s="12">
        <f>IF(原始输入与口径!AW268,1,0)</f>
        <v>1</v>
      </c>
      <c r="AB364" s="12">
        <f>IF(原始输入与口径!AY268,1,0)</f>
        <v>1</v>
      </c>
      <c r="AC364" s="12">
        <f>原始输入与口径!$F$5</f>
        <v>0.25</v>
      </c>
      <c r="AD364" s="18">
        <f>原始输入与口径!CG268</f>
        <v>0.3125</v>
      </c>
      <c r="AE364" s="18">
        <f>原始输入与口径!BQ268</f>
        <v>0.13714285714285715</v>
      </c>
      <c r="AF364" s="18">
        <f t="shared" si="127"/>
        <v>0</v>
      </c>
      <c r="AG364" s="18">
        <f t="shared" si="128"/>
        <v>0.65433142857142856</v>
      </c>
      <c r="AH364" s="12">
        <f>IF(ISNUMBER(原始输入与口径!T268),原始输入与口径!T268,"缺失")</f>
        <v>175</v>
      </c>
      <c r="AI364" s="12">
        <f>IF(ISNUMBER(原始输入与口径!Y268),原始输入与口径!Y268,"缺失")</f>
        <v>175</v>
      </c>
      <c r="AJ364" s="12">
        <f>IF(ISNUMBER(原始输入与口径!AI268),原始输入与口径!AI268,"缺失")</f>
        <v>0</v>
      </c>
      <c r="AK364" s="12">
        <f>IF(ISNUMBER(原始输入与口径!AL268),原始输入与口径!AL268,"缺失")</f>
        <v>28.626999999999999</v>
      </c>
      <c r="AL364" s="12">
        <f>IF(ISNUMBER(原始输入与口径!O268),原始输入与口径!O268,"缺失")</f>
        <v>91.903999999999996</v>
      </c>
      <c r="AM364" s="12">
        <f>SUMIFS(相位SOC复算!$N$9:$N$929,相位SOC复算!$S$9:$S$929,356)</f>
        <v>3.3436024844720497E-2</v>
      </c>
      <c r="AN364" s="12">
        <f>SUMIFS(相位SOC复算!$Q$9:$Q$929,相位SOC复算!$S$9:$S$929,356)</f>
        <v>0</v>
      </c>
      <c r="AO364" s="12">
        <f>SUMIFS(相位SOC复算!$R$9:$R$929,相位SOC复算!$S$9:$S$929,356)</f>
        <v>11.074011428571428</v>
      </c>
      <c r="AP364" s="12">
        <f>相位SOC复算!J871</f>
        <v>157.80000000000013</v>
      </c>
      <c r="AQ364" s="19">
        <f t="shared" si="129"/>
        <v>0</v>
      </c>
      <c r="AR364" s="12">
        <f>IF(ISBLANK(原始输入与口径!M268),"",原始输入与口径!M268)</f>
        <v>5.2473000000000001</v>
      </c>
      <c r="AS364" s="14">
        <f>IF(ISBLANK(原始输入与口径!L268),"",原始输入与口径!L268)</f>
        <v>46234</v>
      </c>
      <c r="AT364" s="13">
        <f>IF(ISBLANK(原始输入与口径!A268),"",原始输入与口径!A268)</f>
        <v>46237.572916666664</v>
      </c>
      <c r="AU364" s="12" t="str">
        <f>IF(ISBLANK(原始输入与口径!I268),"",原始输入与口径!I268)</f>
        <v>2026-08-03_64</v>
      </c>
      <c r="AV364" s="12">
        <f>IF(ISBLANK(原始输入与口径!J268),"",原始输入与口径!J268)</f>
        <v>15</v>
      </c>
      <c r="AW364" s="12" t="str">
        <f>IF(ISBLANK(原始输入与口径!BB268),"",原始输入与口径!BB268)</f>
        <v>OK</v>
      </c>
      <c r="AX364" s="12">
        <f>原始输入与口径!CI268</f>
        <v>128</v>
      </c>
      <c r="AY364" s="12">
        <f>原始输入与口径!BS268</f>
        <v>175</v>
      </c>
      <c r="AZ364" s="12">
        <f>原始输入与口径!BI268</f>
        <v>175</v>
      </c>
      <c r="BA364" s="12">
        <f>原始输入与口径!CM268</f>
        <v>40</v>
      </c>
      <c r="BB364" s="12">
        <f>原始输入与口径!BV268</f>
        <v>24</v>
      </c>
      <c r="BC364" s="12">
        <f>原始输入与口径!BL268</f>
        <v>24</v>
      </c>
      <c r="BD364" s="14">
        <f>46236</f>
        <v>46236</v>
      </c>
      <c r="BE364" s="1" t="str">
        <f t="shared" si="130"/>
        <v>60.000000 MW × 152.900000 × 0.250000 h = 2293.500000 EUR</v>
      </c>
      <c r="BF364" s="1" t="str">
        <f t="shared" si="131"/>
        <v>40.000000 MW × 66.224535 × 0.250000 h = 662.245345 EUR</v>
      </c>
      <c r="BG364" s="1" t="str">
        <f t="shared" si="132"/>
        <v>零头寸，无结算现金</v>
      </c>
      <c r="BH364" s="1" t="str">
        <f t="shared" si="133"/>
        <v>24.000000 MW × 2.931031 × 0.250000 h = 17.586187 EUR</v>
      </c>
      <c r="BI364" s="1" t="str">
        <f t="shared" si="134"/>
        <v>零上调激活电量</v>
      </c>
      <c r="BJ364" s="1" t="str">
        <f t="shared" si="135"/>
        <v>−(3.925989 MWh × -29.797420) = 116.984329 EUR</v>
      </c>
      <c r="BK364" s="1" t="str">
        <f t="shared" si="136"/>
        <v>2293.500000 + 662.245345 + 0.000000 + 17.586187 + 0.000000 + 116.984329 = 3090.315861 EUR</v>
      </c>
    </row>
    <row r="365" spans="1:63" ht="21" customHeight="1" x14ac:dyDescent="0.45">
      <c r="A365" s="13">
        <f>原始输入与口径!C269</f>
        <v>46237.708333333336</v>
      </c>
      <c r="B365" s="15">
        <f>IF(ISNUMBER(原始输入与口径!H269),原始输入与口径!H269,"缺失")</f>
        <v>88.22</v>
      </c>
      <c r="C365" s="15">
        <f>IF(ISNUMBER(原始输入与口径!R269),原始输入与口径!R269,"缺失")</f>
        <v>66.224534522516336</v>
      </c>
      <c r="D365" s="15">
        <f>IF(ISNUMBER(原始输入与口径!W269),原始输入与口径!W269,"缺失")</f>
        <v>5.8353820059840302</v>
      </c>
      <c r="E365" s="15">
        <f>IF(ISNUMBER(原始输入与口径!AB269),原始输入与口径!AB269,"缺失")</f>
        <v>2.9310311969965506</v>
      </c>
      <c r="F365" s="15">
        <f>IF(ISNUMBER(原始输入与口径!AG269),原始输入与口径!AG269,"缺失")</f>
        <v>0</v>
      </c>
      <c r="G365" s="15">
        <f>IF(ISNUMBER(原始输入与口径!AJ269),原始输入与口径!AJ269,"缺失")</f>
        <v>-610.432222285747</v>
      </c>
      <c r="H365" s="15" t="str">
        <f t="shared" si="115"/>
        <v>未模拟</v>
      </c>
      <c r="I365" s="16">
        <f>原始输入与口径!CD269</f>
        <v>157.80000000000013</v>
      </c>
      <c r="J365" s="16">
        <f>原始输入与口径!CE269</f>
        <v>171.60000000000014</v>
      </c>
      <c r="K365" s="16">
        <f>原始输入与口径!BZ269</f>
        <v>-60</v>
      </c>
      <c r="L365" s="16">
        <f>原始输入与口径!CK269</f>
        <v>40</v>
      </c>
      <c r="M365" s="16">
        <f>原始输入与口径!BT269</f>
        <v>0</v>
      </c>
      <c r="N365" s="16">
        <f>原始输入与口径!BJ269</f>
        <v>0</v>
      </c>
      <c r="O365" s="16">
        <f t="shared" si="116"/>
        <v>0</v>
      </c>
      <c r="P365" s="16">
        <f t="shared" si="117"/>
        <v>0</v>
      </c>
      <c r="Q365" s="17">
        <f t="shared" si="118"/>
        <v>-1323.3</v>
      </c>
      <c r="R365" s="17">
        <f t="shared" si="119"/>
        <v>662.24534522516342</v>
      </c>
      <c r="S365" s="17">
        <f t="shared" si="120"/>
        <v>0</v>
      </c>
      <c r="T365" s="17">
        <f t="shared" si="121"/>
        <v>0</v>
      </c>
      <c r="U365" s="17">
        <f t="shared" si="122"/>
        <v>0</v>
      </c>
      <c r="V365" s="17">
        <f t="shared" si="123"/>
        <v>0</v>
      </c>
      <c r="W365" s="17">
        <f t="shared" si="124"/>
        <v>-661.05465477483654</v>
      </c>
      <c r="X365" s="12">
        <f>原始输入与口径!CP269</f>
        <v>-661.05465477483654</v>
      </c>
      <c r="Y365" s="19">
        <f t="shared" si="125"/>
        <v>0</v>
      </c>
      <c r="Z365" s="12" t="str">
        <f t="shared" si="137"/>
        <v>次日冻结计划复原</v>
      </c>
      <c r="AA365" s="12">
        <f>IF(原始输入与口径!AW269,1,0)</f>
        <v>0</v>
      </c>
      <c r="AB365" s="12">
        <f>IF(原始输入与口径!AY269,1,0)</f>
        <v>1</v>
      </c>
      <c r="AC365" s="12">
        <f>原始输入与口径!$F$5</f>
        <v>0.25</v>
      </c>
      <c r="AD365" s="18">
        <f>原始输入与口径!CG269</f>
        <v>0.3125</v>
      </c>
      <c r="AE365" s="18">
        <f>原始输入与口径!BQ269</f>
        <v>0.13714285714285715</v>
      </c>
      <c r="AF365" s="18">
        <f t="shared" si="127"/>
        <v>0</v>
      </c>
      <c r="AG365" s="18">
        <f t="shared" si="128"/>
        <v>0</v>
      </c>
      <c r="AH365" s="12">
        <f>IF(ISNUMBER(原始输入与口径!T269),原始输入与口径!T269,"缺失")</f>
        <v>175</v>
      </c>
      <c r="AI365" s="12">
        <f>IF(ISNUMBER(原始输入与口径!Y269),原始输入与口径!Y269,"缺失")</f>
        <v>175</v>
      </c>
      <c r="AJ365" s="12">
        <f>IF(ISNUMBER(原始输入与口径!AI269),原始输入与口径!AI269,"缺失")</f>
        <v>0</v>
      </c>
      <c r="AK365" s="12">
        <f>IF(ISNUMBER(原始输入与口径!AL269),原始输入与口径!AL269,"缺失")</f>
        <v>50.802</v>
      </c>
      <c r="AL365" s="12">
        <f>IF(ISNUMBER(原始输入与口径!O269),原始输入与口径!O269,"缺失")</f>
        <v>128</v>
      </c>
      <c r="AM365" s="12">
        <f>SUMIFS(相位SOC复算!$N$9:$N$929,相位SOC复算!$S$9:$S$929,357)</f>
        <v>3.8333333333333337E-2</v>
      </c>
      <c r="AN365" s="12">
        <f>SUMIFS(相位SOC复算!$Q$9:$Q$929,相位SOC复算!$S$9:$S$929,357)</f>
        <v>15</v>
      </c>
      <c r="AO365" s="12">
        <f>SUMIFS(相位SOC复算!$R$9:$R$929,相位SOC复算!$S$9:$S$929,357)</f>
        <v>0</v>
      </c>
      <c r="AP365" s="12">
        <f>相位SOC复算!J872</f>
        <v>171.60000000000014</v>
      </c>
      <c r="AQ365" s="19">
        <f t="shared" si="129"/>
        <v>0</v>
      </c>
      <c r="AR365" s="12">
        <f>IF(ISBLANK(原始输入与口径!M269),"",原始输入与口径!M269)</f>
        <v>5.2473000000000001</v>
      </c>
      <c r="AS365" s="14">
        <f>IF(ISBLANK(原始输入与口径!L269),"",原始输入与口径!L269)</f>
        <v>46234</v>
      </c>
      <c r="AT365" s="13">
        <f>IF(ISBLANK(原始输入与口径!A269),"",原始输入与口径!A269)</f>
        <v>46237.583333333336</v>
      </c>
      <c r="AU365" s="12" t="str">
        <f>IF(ISBLANK(原始输入与口径!I269),"",原始输入与口径!I269)</f>
        <v>2026-08-03_65</v>
      </c>
      <c r="AV365" s="12">
        <f>IF(ISBLANK(原始输入与口径!J269),"",原始输入与口径!J269)</f>
        <v>15</v>
      </c>
      <c r="AW365" s="12" t="str">
        <f>IF(ISBLANK(原始输入与口径!BB269),"",原始输入与口径!BB269)</f>
        <v>ALPHA_OUTSIDE_SIMPLEX</v>
      </c>
      <c r="AX365" s="12">
        <f>原始输入与口径!CI269</f>
        <v>128</v>
      </c>
      <c r="AY365" s="12">
        <f>原始输入与口径!BS269</f>
        <v>175</v>
      </c>
      <c r="AZ365" s="12">
        <f>原始输入与口径!BI269</f>
        <v>175</v>
      </c>
      <c r="BA365" s="12">
        <f>原始输入与口径!CM269</f>
        <v>40</v>
      </c>
      <c r="BB365" s="12">
        <f>原始输入与口径!BV269</f>
        <v>0</v>
      </c>
      <c r="BC365" s="12">
        <f>原始输入与口径!BL269</f>
        <v>0</v>
      </c>
      <c r="BD365" s="14">
        <f>46236</f>
        <v>46236</v>
      </c>
      <c r="BE365" s="1" t="str">
        <f t="shared" si="130"/>
        <v>-60.000000 MW × 88.220000 × 0.250000 h = -1323.300000 EUR</v>
      </c>
      <c r="BF365" s="1" t="str">
        <f t="shared" si="131"/>
        <v>40.000000 MW × 66.224535 × 0.250000 h = 662.245345 EUR</v>
      </c>
      <c r="BG365" s="1" t="str">
        <f t="shared" si="132"/>
        <v>零头寸，无结算现金</v>
      </c>
      <c r="BH365" s="1" t="str">
        <f t="shared" si="133"/>
        <v>零头寸，无结算现金</v>
      </c>
      <c r="BI365" s="1" t="str">
        <f t="shared" si="134"/>
        <v>零上调激活电量</v>
      </c>
      <c r="BJ365" s="1" t="str">
        <f t="shared" si="135"/>
        <v>零下调激活电量</v>
      </c>
      <c r="BK365" s="1" t="str">
        <f t="shared" si="136"/>
        <v>-1323.300000 + 662.245345 + 0.000000 + 0.000000 + 0.000000 + 0.000000 = -661.054655 EUR</v>
      </c>
    </row>
    <row r="366" spans="1:63" ht="21" customHeight="1" x14ac:dyDescent="0.45">
      <c r="A366" s="13">
        <f>原始输入与口径!C270</f>
        <v>46237.71875</v>
      </c>
      <c r="B366" s="15">
        <f>IF(ISNUMBER(原始输入与口径!H270),原始输入与口径!H270,"缺失")</f>
        <v>107.47</v>
      </c>
      <c r="C366" s="15">
        <f>IF(ISNUMBER(原始输入与口径!R270),原始输入与口径!R270,"缺失")</f>
        <v>66.224534522516336</v>
      </c>
      <c r="D366" s="15">
        <f>IF(ISNUMBER(原始输入与口径!W270),原始输入与口径!W270,"缺失")</f>
        <v>5.8353820059840302</v>
      </c>
      <c r="E366" s="15">
        <f>IF(ISNUMBER(原始输入与口径!AB270),原始输入与口径!AB270,"缺失")</f>
        <v>2.9310311969965506</v>
      </c>
      <c r="F366" s="15">
        <f>IF(ISNUMBER(原始输入与口径!AG270),原始输入与口径!AG270,"缺失")</f>
        <v>0</v>
      </c>
      <c r="G366" s="15">
        <f>IF(ISNUMBER(原始输入与口径!AJ270),原始输入与口径!AJ270,"缺失")</f>
        <v>-725.89617517580461</v>
      </c>
      <c r="H366" s="15" t="str">
        <f t="shared" si="115"/>
        <v>未模拟</v>
      </c>
      <c r="I366" s="16">
        <f>原始输入与口径!CD270</f>
        <v>171.60000000000014</v>
      </c>
      <c r="J366" s="16">
        <f>原始输入与口径!CE270</f>
        <v>171.60000000000014</v>
      </c>
      <c r="K366" s="16">
        <f>原始输入与口径!BZ270</f>
        <v>0</v>
      </c>
      <c r="L366" s="16">
        <f>原始输入与口径!CK270</f>
        <v>40</v>
      </c>
      <c r="M366" s="16">
        <f>原始输入与口径!BT270</f>
        <v>0</v>
      </c>
      <c r="N366" s="16">
        <f>原始输入与口径!BJ270</f>
        <v>0</v>
      </c>
      <c r="O366" s="16">
        <f t="shared" si="116"/>
        <v>0</v>
      </c>
      <c r="P366" s="16">
        <f t="shared" si="117"/>
        <v>0</v>
      </c>
      <c r="Q366" s="17">
        <f t="shared" si="118"/>
        <v>0</v>
      </c>
      <c r="R366" s="17">
        <f t="shared" si="119"/>
        <v>662.24534522516342</v>
      </c>
      <c r="S366" s="17">
        <f t="shared" si="120"/>
        <v>0</v>
      </c>
      <c r="T366" s="17">
        <f t="shared" si="121"/>
        <v>0</v>
      </c>
      <c r="U366" s="17">
        <f t="shared" si="122"/>
        <v>0</v>
      </c>
      <c r="V366" s="17">
        <f t="shared" si="123"/>
        <v>0</v>
      </c>
      <c r="W366" s="17">
        <f t="shared" si="124"/>
        <v>662.24534522516342</v>
      </c>
      <c r="X366" s="12">
        <f>原始输入与口径!CP270</f>
        <v>662.24534522516342</v>
      </c>
      <c r="Y366" s="19">
        <f t="shared" si="125"/>
        <v>0</v>
      </c>
      <c r="Z366" s="12" t="str">
        <f t="shared" si="137"/>
        <v>次日冻结计划复原</v>
      </c>
      <c r="AA366" s="12">
        <f>IF(原始输入与口径!AW270,1,0)</f>
        <v>0</v>
      </c>
      <c r="AB366" s="12">
        <f>IF(原始输入与口径!AY270,1,0)</f>
        <v>1</v>
      </c>
      <c r="AC366" s="12">
        <f>原始输入与口径!$F$5</f>
        <v>0.25</v>
      </c>
      <c r="AD366" s="18">
        <f>原始输入与口径!CG270</f>
        <v>0.3125</v>
      </c>
      <c r="AE366" s="18">
        <f>原始输入与口径!BQ270</f>
        <v>0.13714285714285715</v>
      </c>
      <c r="AF366" s="18">
        <f t="shared" si="127"/>
        <v>0</v>
      </c>
      <c r="AG366" s="18">
        <f t="shared" si="128"/>
        <v>0</v>
      </c>
      <c r="AH366" s="12">
        <f>IF(ISNUMBER(原始输入与口径!T270),原始输入与口径!T270,"缺失")</f>
        <v>175</v>
      </c>
      <c r="AI366" s="12">
        <f>IF(ISNUMBER(原始输入与口径!Y270),原始输入与口径!Y270,"缺失")</f>
        <v>175</v>
      </c>
      <c r="AJ366" s="12">
        <f>IF(ISNUMBER(原始输入与口径!AI270),原始输入与口径!AI270,"缺失")</f>
        <v>0</v>
      </c>
      <c r="AK366" s="12">
        <f>IF(ISNUMBER(原始输入与口径!AL270),原始输入与口径!AL270,"缺失")</f>
        <v>64.891999999999996</v>
      </c>
      <c r="AL366" s="12">
        <f>IF(ISNUMBER(原始输入与口径!O270),原始输入与口径!O270,"缺失")</f>
        <v>128</v>
      </c>
      <c r="AM366" s="12">
        <f>SUMIFS(相位SOC复算!$N$9:$N$929,相位SOC复算!$S$9:$S$929,358)</f>
        <v>0</v>
      </c>
      <c r="AN366" s="12">
        <f>SUMIFS(相位SOC复算!$Q$9:$Q$929,相位SOC复算!$S$9:$S$929,358)</f>
        <v>0</v>
      </c>
      <c r="AO366" s="12">
        <f>SUMIFS(相位SOC复算!$R$9:$R$929,相位SOC复算!$S$9:$S$929,358)</f>
        <v>0</v>
      </c>
      <c r="AP366" s="12">
        <f>相位SOC复算!J873</f>
        <v>171.60000000000014</v>
      </c>
      <c r="AQ366" s="19">
        <f t="shared" si="129"/>
        <v>0</v>
      </c>
      <c r="AR366" s="12">
        <f>IF(ISBLANK(原始输入与口径!M270),"",原始输入与口径!M270)</f>
        <v>5.2473000000000001</v>
      </c>
      <c r="AS366" s="14">
        <f>IF(ISBLANK(原始输入与口径!L270),"",原始输入与口径!L270)</f>
        <v>46234</v>
      </c>
      <c r="AT366" s="13">
        <f>IF(ISBLANK(原始输入与口径!A270),"",原始输入与口径!A270)</f>
        <v>46237.59375</v>
      </c>
      <c r="AU366" s="12" t="str">
        <f>IF(ISBLANK(原始输入与口径!I270),"",原始输入与口径!I270)</f>
        <v>2026-08-03_66</v>
      </c>
      <c r="AV366" s="12">
        <f>IF(ISBLANK(原始输入与口径!J270),"",原始输入与口径!J270)</f>
        <v>15</v>
      </c>
      <c r="AW366" s="12" t="str">
        <f>IF(ISBLANK(原始输入与口径!BB270),"",原始输入与口径!BB270)</f>
        <v>ALPHA_OUTSIDE_SIMPLEX</v>
      </c>
      <c r="AX366" s="12">
        <f>原始输入与口径!CI270</f>
        <v>128</v>
      </c>
      <c r="AY366" s="12">
        <f>原始输入与口径!BS270</f>
        <v>175</v>
      </c>
      <c r="AZ366" s="12">
        <f>原始输入与口径!BI270</f>
        <v>175</v>
      </c>
      <c r="BA366" s="12">
        <f>原始输入与口径!CM270</f>
        <v>40</v>
      </c>
      <c r="BB366" s="12">
        <f>原始输入与口径!BV270</f>
        <v>0</v>
      </c>
      <c r="BC366" s="12">
        <f>原始输入与口径!BL270</f>
        <v>0</v>
      </c>
      <c r="BD366" s="14">
        <f>46236</f>
        <v>46236</v>
      </c>
      <c r="BE366" s="1" t="str">
        <f t="shared" si="130"/>
        <v>零头寸，无结算现金</v>
      </c>
      <c r="BF366" s="1" t="str">
        <f t="shared" si="131"/>
        <v>40.000000 MW × 66.224535 × 0.250000 h = 662.245345 EUR</v>
      </c>
      <c r="BG366" s="1" t="str">
        <f t="shared" si="132"/>
        <v>零头寸，无结算现金</v>
      </c>
      <c r="BH366" s="1" t="str">
        <f t="shared" si="133"/>
        <v>零头寸，无结算现金</v>
      </c>
      <c r="BI366" s="1" t="str">
        <f t="shared" si="134"/>
        <v>零上调激活电量</v>
      </c>
      <c r="BJ366" s="1" t="str">
        <f t="shared" si="135"/>
        <v>零下调激活电量</v>
      </c>
      <c r="BK366" s="1" t="str">
        <f t="shared" si="136"/>
        <v>0.000000 + 662.245345 + 0.000000 + 0.000000 + 0.000000 + 0.000000 = 662.245345 EUR</v>
      </c>
    </row>
    <row r="367" spans="1:63" ht="21" customHeight="1" x14ac:dyDescent="0.45">
      <c r="A367" s="13">
        <f>原始输入与口径!C271</f>
        <v>46237.729166666664</v>
      </c>
      <c r="B367" s="15">
        <f>IF(ISNUMBER(原始输入与口径!H271),原始输入与口径!H271,"缺失")</f>
        <v>172.61</v>
      </c>
      <c r="C367" s="15">
        <f>IF(ISNUMBER(原始输入与口径!R271),原始输入与口径!R271,"缺失")</f>
        <v>66.224534522516336</v>
      </c>
      <c r="D367" s="15">
        <f>IF(ISNUMBER(原始输入与口径!W271),原始输入与口径!W271,"缺失")</f>
        <v>5.8353820059840302</v>
      </c>
      <c r="E367" s="15">
        <f>IF(ISNUMBER(原始输入与口径!AB271),原始输入与口径!AB271,"缺失")</f>
        <v>2.9310311969965506</v>
      </c>
      <c r="F367" s="15">
        <f>IF(ISNUMBER(原始输入与口径!AG271),原始输入与口径!AG271,"缺失")</f>
        <v>0</v>
      </c>
      <c r="G367" s="15">
        <f>IF(ISNUMBER(原始输入与口径!AJ271),原始输入与口径!AJ271,"缺失")</f>
        <v>5.135212394945972</v>
      </c>
      <c r="H367" s="15" t="str">
        <f t="shared" si="115"/>
        <v>未模拟</v>
      </c>
      <c r="I367" s="16">
        <f>原始输入与口径!CD271</f>
        <v>171.60000000000014</v>
      </c>
      <c r="J367" s="16">
        <f>原始输入与口径!CE271</f>
        <v>171.60000000000014</v>
      </c>
      <c r="K367" s="16">
        <f>原始输入与口径!BZ271</f>
        <v>0</v>
      </c>
      <c r="L367" s="16">
        <f>原始输入与口径!CK271</f>
        <v>40</v>
      </c>
      <c r="M367" s="16">
        <f>原始输入与口径!BT271</f>
        <v>0</v>
      </c>
      <c r="N367" s="16">
        <f>原始输入与口径!BJ271</f>
        <v>0</v>
      </c>
      <c r="O367" s="16">
        <f t="shared" si="116"/>
        <v>0</v>
      </c>
      <c r="P367" s="16">
        <f t="shared" si="117"/>
        <v>0</v>
      </c>
      <c r="Q367" s="17">
        <f t="shared" si="118"/>
        <v>0</v>
      </c>
      <c r="R367" s="17">
        <f t="shared" si="119"/>
        <v>662.24534522516342</v>
      </c>
      <c r="S367" s="17">
        <f t="shared" si="120"/>
        <v>0</v>
      </c>
      <c r="T367" s="17">
        <f t="shared" si="121"/>
        <v>0</v>
      </c>
      <c r="U367" s="17">
        <f t="shared" si="122"/>
        <v>0</v>
      </c>
      <c r="V367" s="17">
        <f t="shared" si="123"/>
        <v>0</v>
      </c>
      <c r="W367" s="17">
        <f t="shared" si="124"/>
        <v>662.24534522516342</v>
      </c>
      <c r="X367" s="12">
        <f>原始输入与口径!CP271</f>
        <v>662.24534522516342</v>
      </c>
      <c r="Y367" s="19">
        <f t="shared" si="125"/>
        <v>0</v>
      </c>
      <c r="Z367" s="12" t="str">
        <f t="shared" si="137"/>
        <v>次日冻结计划复原</v>
      </c>
      <c r="AA367" s="12">
        <f>IF(原始输入与口径!AW271,1,0)</f>
        <v>0</v>
      </c>
      <c r="AB367" s="12">
        <f>IF(原始输入与口径!AY271,1,0)</f>
        <v>1</v>
      </c>
      <c r="AC367" s="12">
        <f>原始输入与口径!$F$5</f>
        <v>0.25</v>
      </c>
      <c r="AD367" s="18">
        <f>原始输入与口径!CG271</f>
        <v>0.3125</v>
      </c>
      <c r="AE367" s="18">
        <f>原始输入与口径!BQ271</f>
        <v>0.13714285714285715</v>
      </c>
      <c r="AF367" s="18">
        <f t="shared" si="127"/>
        <v>0</v>
      </c>
      <c r="AG367" s="18">
        <f t="shared" si="128"/>
        <v>0</v>
      </c>
      <c r="AH367" s="12">
        <f>IF(ISNUMBER(原始输入与口径!T271),原始输入与口径!T271,"缺失")</f>
        <v>175</v>
      </c>
      <c r="AI367" s="12">
        <f>IF(ISNUMBER(原始输入与口径!Y271),原始输入与口径!Y271,"缺失")</f>
        <v>175</v>
      </c>
      <c r="AJ367" s="12">
        <f>IF(ISNUMBER(原始输入与口径!AI271),原始输入与口径!AI271,"缺失")</f>
        <v>0</v>
      </c>
      <c r="AK367" s="12">
        <f>IF(ISNUMBER(原始输入与口径!AL271),原始输入与口径!AL271,"缺失")</f>
        <v>14.622999999999999</v>
      </c>
      <c r="AL367" s="12">
        <f>IF(ISNUMBER(原始输入与口径!O271),原始输入与口径!O271,"缺失")</f>
        <v>128</v>
      </c>
      <c r="AM367" s="12">
        <f>SUMIFS(相位SOC复算!$N$9:$N$929,相位SOC复算!$S$9:$S$929,359)</f>
        <v>0</v>
      </c>
      <c r="AN367" s="12">
        <f>SUMIFS(相位SOC复算!$Q$9:$Q$929,相位SOC复算!$S$9:$S$929,359)</f>
        <v>0</v>
      </c>
      <c r="AO367" s="12">
        <f>SUMIFS(相位SOC复算!$R$9:$R$929,相位SOC复算!$S$9:$S$929,359)</f>
        <v>0</v>
      </c>
      <c r="AP367" s="12">
        <f>相位SOC复算!J874</f>
        <v>171.60000000000014</v>
      </c>
      <c r="AQ367" s="19">
        <f t="shared" si="129"/>
        <v>0</v>
      </c>
      <c r="AR367" s="12">
        <f>IF(ISBLANK(原始输入与口径!M271),"",原始输入与口径!M271)</f>
        <v>5.2473000000000001</v>
      </c>
      <c r="AS367" s="14">
        <f>IF(ISBLANK(原始输入与口径!L271),"",原始输入与口径!L271)</f>
        <v>46234</v>
      </c>
      <c r="AT367" s="13">
        <f>IF(ISBLANK(原始输入与口径!A271),"",原始输入与口径!A271)</f>
        <v>46237.604166666664</v>
      </c>
      <c r="AU367" s="12" t="str">
        <f>IF(ISBLANK(原始输入与口径!I271),"",原始输入与口径!I271)</f>
        <v>2026-08-03_67</v>
      </c>
      <c r="AV367" s="12">
        <f>IF(ISBLANK(原始输入与口径!J271),"",原始输入与口径!J271)</f>
        <v>15</v>
      </c>
      <c r="AW367" s="12" t="str">
        <f>IF(ISBLANK(原始输入与口径!BB271),"",原始输入与口径!BB271)</f>
        <v>OTHER_QH_IN_SAME_HOUR_INVALID</v>
      </c>
      <c r="AX367" s="12">
        <f>原始输入与口径!CI271</f>
        <v>128</v>
      </c>
      <c r="AY367" s="12">
        <f>原始输入与口径!BS271</f>
        <v>175</v>
      </c>
      <c r="AZ367" s="12">
        <f>原始输入与口径!BI271</f>
        <v>175</v>
      </c>
      <c r="BA367" s="12">
        <f>原始输入与口径!CM271</f>
        <v>40</v>
      </c>
      <c r="BB367" s="12">
        <f>原始输入与口径!BV271</f>
        <v>0</v>
      </c>
      <c r="BC367" s="12">
        <f>原始输入与口径!BL271</f>
        <v>0</v>
      </c>
      <c r="BD367" s="14">
        <f>46236</f>
        <v>46236</v>
      </c>
      <c r="BE367" s="1" t="str">
        <f t="shared" si="130"/>
        <v>零头寸，无结算现金</v>
      </c>
      <c r="BF367" s="1" t="str">
        <f t="shared" si="131"/>
        <v>40.000000 MW × 66.224535 × 0.250000 h = 662.245345 EUR</v>
      </c>
      <c r="BG367" s="1" t="str">
        <f t="shared" si="132"/>
        <v>零头寸，无结算现金</v>
      </c>
      <c r="BH367" s="1" t="str">
        <f t="shared" si="133"/>
        <v>零头寸，无结算现金</v>
      </c>
      <c r="BI367" s="1" t="str">
        <f t="shared" si="134"/>
        <v>零上调激活电量</v>
      </c>
      <c r="BJ367" s="1" t="str">
        <f t="shared" si="135"/>
        <v>零下调激活电量</v>
      </c>
      <c r="BK367" s="1" t="str">
        <f t="shared" si="136"/>
        <v>0.000000 + 662.245345 + 0.000000 + 0.000000 + 0.000000 + 0.000000 = 662.245345 EUR</v>
      </c>
    </row>
    <row r="368" spans="1:63" ht="21" customHeight="1" x14ac:dyDescent="0.45">
      <c r="A368" s="13">
        <f>原始输入与口径!C272</f>
        <v>46237.739583333336</v>
      </c>
      <c r="B368" s="15">
        <f>IF(ISNUMBER(原始输入与口径!H272),原始输入与口径!H272,"缺失")</f>
        <v>200.34</v>
      </c>
      <c r="C368" s="15">
        <f>IF(ISNUMBER(原始输入与口径!R272),原始输入与口径!R272,"缺失")</f>
        <v>66.224534522516336</v>
      </c>
      <c r="D368" s="15">
        <f>IF(ISNUMBER(原始输入与口径!W272),原始输入与口径!W272,"缺失")</f>
        <v>5.8353820059840302</v>
      </c>
      <c r="E368" s="15">
        <f>IF(ISNUMBER(原始输入与口径!AB272),原始输入与口径!AB272,"缺失")</f>
        <v>2.9310311969965506</v>
      </c>
      <c r="F368" s="15">
        <f>IF(ISNUMBER(原始输入与口径!AG272),原始输入与口径!AG272,"缺失")</f>
        <v>152.45936005183617</v>
      </c>
      <c r="G368" s="15">
        <f>IF(ISNUMBER(原始输入与口径!AJ272),原始输入与口径!AJ272,"缺失")</f>
        <v>36.112476892878242</v>
      </c>
      <c r="H368" s="15" t="str">
        <f t="shared" si="115"/>
        <v>未模拟</v>
      </c>
      <c r="I368" s="16">
        <f>原始输入与口径!CD272</f>
        <v>171.60000000000014</v>
      </c>
      <c r="J368" s="16">
        <f>原始输入与口径!CE272</f>
        <v>161.17882804145145</v>
      </c>
      <c r="K368" s="16">
        <f>原始输入与口径!BZ272</f>
        <v>38.349912807459155</v>
      </c>
      <c r="L368" s="16">
        <f>原始输入与口径!CK272</f>
        <v>40</v>
      </c>
      <c r="M368" s="16">
        <f>原始输入与口径!BT272</f>
        <v>0</v>
      </c>
      <c r="N368" s="16">
        <f>原始输入与口径!BJ272</f>
        <v>0</v>
      </c>
      <c r="O368" s="16">
        <f t="shared" si="116"/>
        <v>0</v>
      </c>
      <c r="P368" s="16">
        <f t="shared" si="117"/>
        <v>0</v>
      </c>
      <c r="Q368" s="17">
        <f t="shared" si="118"/>
        <v>1920.7553829615917</v>
      </c>
      <c r="R368" s="17">
        <f t="shared" si="119"/>
        <v>662.24534522516342</v>
      </c>
      <c r="S368" s="17">
        <f t="shared" si="120"/>
        <v>0</v>
      </c>
      <c r="T368" s="17">
        <f t="shared" si="121"/>
        <v>0</v>
      </c>
      <c r="U368" s="17">
        <f t="shared" si="122"/>
        <v>0</v>
      </c>
      <c r="V368" s="17">
        <f t="shared" si="123"/>
        <v>0</v>
      </c>
      <c r="W368" s="17">
        <f t="shared" si="124"/>
        <v>2583.0007281867552</v>
      </c>
      <c r="X368" s="12">
        <f>原始输入与口径!CP272</f>
        <v>2583.0007281867552</v>
      </c>
      <c r="Y368" s="19">
        <f t="shared" si="125"/>
        <v>0</v>
      </c>
      <c r="Z368" s="12" t="str">
        <f t="shared" si="137"/>
        <v>次日冻结计划复原</v>
      </c>
      <c r="AA368" s="12">
        <f>IF(原始输入与口径!AW272,1,0)</f>
        <v>0</v>
      </c>
      <c r="AB368" s="12">
        <f>IF(原始输入与口径!AY272,1,0)</f>
        <v>1</v>
      </c>
      <c r="AC368" s="12">
        <f>原始输入与口径!$F$5</f>
        <v>0.25</v>
      </c>
      <c r="AD368" s="18">
        <f>原始输入与口径!CG272</f>
        <v>0.3125</v>
      </c>
      <c r="AE368" s="18">
        <f>原始输入与口径!BQ272</f>
        <v>0.13714285714285715</v>
      </c>
      <c r="AF368" s="18">
        <f t="shared" si="127"/>
        <v>0</v>
      </c>
      <c r="AG368" s="18">
        <f t="shared" si="128"/>
        <v>0</v>
      </c>
      <c r="AH368" s="12">
        <f>IF(ISNUMBER(原始输入与口径!T272),原始输入与口径!T272,"缺失")</f>
        <v>175</v>
      </c>
      <c r="AI368" s="12">
        <f>IF(ISNUMBER(原始输入与口径!Y272),原始输入与口径!Y272,"缺失")</f>
        <v>175</v>
      </c>
      <c r="AJ368" s="12">
        <f>IF(ISNUMBER(原始输入与口径!AI272),原始输入与口径!AI272,"缺失")</f>
        <v>1.2999999999999999E-2</v>
      </c>
      <c r="AK368" s="12">
        <f>IF(ISNUMBER(原始输入与口径!AL272),原始输入与口径!AL272,"缺失")</f>
        <v>2.706</v>
      </c>
      <c r="AL368" s="12">
        <f>IF(ISNUMBER(原始输入与口径!O272),原始输入与口径!O272,"缺失")</f>
        <v>128</v>
      </c>
      <c r="AM368" s="12">
        <f>SUMIFS(相位SOC复算!$N$9:$N$929,相位SOC复算!$S$9:$S$929,360)</f>
        <v>2.8947699884857455E-2</v>
      </c>
      <c r="AN368" s="12">
        <f>SUMIFS(相位SOC复算!$Q$9:$Q$929,相位SOC复算!$S$9:$S$929,360)</f>
        <v>0</v>
      </c>
      <c r="AO368" s="12">
        <f>SUMIFS(相位SOC复算!$R$9:$R$929,相位SOC复算!$S$9:$S$929,360)</f>
        <v>9.5874782018647888</v>
      </c>
      <c r="AP368" s="12">
        <f>相位SOC复算!J875</f>
        <v>161.17882804145145</v>
      </c>
      <c r="AQ368" s="19">
        <f t="shared" si="129"/>
        <v>0</v>
      </c>
      <c r="AR368" s="12">
        <f>IF(ISBLANK(原始输入与口径!M272),"",原始输入与口径!M272)</f>
        <v>5.2473000000000001</v>
      </c>
      <c r="AS368" s="14">
        <f>IF(ISBLANK(原始输入与口径!L272),"",原始输入与口径!L272)</f>
        <v>46234</v>
      </c>
      <c r="AT368" s="13">
        <f>IF(ISBLANK(原始输入与口径!A272),"",原始输入与口径!A272)</f>
        <v>46237.614583333336</v>
      </c>
      <c r="AU368" s="12" t="str">
        <f>IF(ISBLANK(原始输入与口径!I272),"",原始输入与口径!I272)</f>
        <v>2026-08-03_68</v>
      </c>
      <c r="AV368" s="12">
        <f>IF(ISBLANK(原始输入与口径!J272),"",原始输入与口径!J272)</f>
        <v>15</v>
      </c>
      <c r="AW368" s="12" t="str">
        <f>IF(ISBLANK(原始输入与口径!BB272),"",原始输入与口径!BB272)</f>
        <v>OTHER_QH_IN_SAME_HOUR_INVALID</v>
      </c>
      <c r="AX368" s="12">
        <f>原始输入与口径!CI272</f>
        <v>128</v>
      </c>
      <c r="AY368" s="12">
        <f>原始输入与口径!BS272</f>
        <v>175</v>
      </c>
      <c r="AZ368" s="12">
        <f>原始输入与口径!BI272</f>
        <v>175</v>
      </c>
      <c r="BA368" s="12">
        <f>原始输入与口径!CM272</f>
        <v>40</v>
      </c>
      <c r="BB368" s="12">
        <f>原始输入与口径!BV272</f>
        <v>0</v>
      </c>
      <c r="BC368" s="12">
        <f>原始输入与口径!BL272</f>
        <v>0</v>
      </c>
      <c r="BD368" s="14">
        <f>46236</f>
        <v>46236</v>
      </c>
      <c r="BE368" s="1" t="str">
        <f t="shared" si="130"/>
        <v>38.349913 MW × 200.340000 × 0.250000 h = 1920.755383 EUR</v>
      </c>
      <c r="BF368" s="1" t="str">
        <f t="shared" si="131"/>
        <v>40.000000 MW × 66.224535 × 0.250000 h = 662.245345 EUR</v>
      </c>
      <c r="BG368" s="1" t="str">
        <f t="shared" si="132"/>
        <v>零头寸，无结算现金</v>
      </c>
      <c r="BH368" s="1" t="str">
        <f t="shared" si="133"/>
        <v>零头寸，无结算现金</v>
      </c>
      <c r="BI368" s="1" t="str">
        <f t="shared" si="134"/>
        <v>零上调激活电量</v>
      </c>
      <c r="BJ368" s="1" t="str">
        <f t="shared" si="135"/>
        <v>零下调激活电量</v>
      </c>
      <c r="BK368" s="1" t="str">
        <f t="shared" si="136"/>
        <v>1920.755383 + 662.245345 + 0.000000 + 0.000000 + 0.000000 + 0.000000 = 2583.000728 EUR</v>
      </c>
    </row>
    <row r="369" spans="1:63" ht="21" customHeight="1" x14ac:dyDescent="0.45">
      <c r="A369" s="13">
        <f>原始输入与口径!C273</f>
        <v>46237.75</v>
      </c>
      <c r="B369" s="15">
        <f>IF(ISNUMBER(原始输入与口径!H273),原始输入与口径!H273,"缺失")</f>
        <v>166.96</v>
      </c>
      <c r="C369" s="15">
        <f>IF(ISNUMBER(原始输入与口径!R273),原始输入与口径!R273,"缺失")</f>
        <v>66.224534522516336</v>
      </c>
      <c r="D369" s="15">
        <f>IF(ISNUMBER(原始输入与口径!W273),原始输入与口径!W273,"缺失")</f>
        <v>7.0664913384026065</v>
      </c>
      <c r="E369" s="15">
        <f>IF(ISNUMBER(原始输入与口径!AB273),原始输入与口径!AB273,"缺失")</f>
        <v>2.5937148628818627</v>
      </c>
      <c r="F369" s="15">
        <f>IF(ISNUMBER(原始输入与口径!AG273),原始输入与口径!AG273,"缺失")</f>
        <v>0</v>
      </c>
      <c r="G369" s="15">
        <f>IF(ISNUMBER(原始输入与口径!AJ273),原始输入与口径!AJ273,"缺失")</f>
        <v>24.810283383835497</v>
      </c>
      <c r="H369" s="15" t="str">
        <f t="shared" si="115"/>
        <v>未模拟</v>
      </c>
      <c r="I369" s="16">
        <f>原始输入与口径!CD273</f>
        <v>161.17882804145145</v>
      </c>
      <c r="J369" s="16">
        <f>原始输入与口径!CE273</f>
        <v>170.94033295573715</v>
      </c>
      <c r="K369" s="16">
        <f>原始输入与口径!BZ273</f>
        <v>-36</v>
      </c>
      <c r="L369" s="16">
        <f>原始输入与口径!CK273</f>
        <v>40</v>
      </c>
      <c r="M369" s="16">
        <f>原始输入与口径!BT273</f>
        <v>24</v>
      </c>
      <c r="N369" s="16">
        <f>原始输入与口径!BJ273</f>
        <v>24</v>
      </c>
      <c r="O369" s="16">
        <f t="shared" si="116"/>
        <v>0</v>
      </c>
      <c r="P369" s="16">
        <f t="shared" si="117"/>
        <v>1.610331428571429</v>
      </c>
      <c r="Q369" s="17">
        <f t="shared" si="118"/>
        <v>-1502.64</v>
      </c>
      <c r="R369" s="17">
        <f t="shared" si="119"/>
        <v>662.24534522516342</v>
      </c>
      <c r="S369" s="17">
        <f t="shared" si="120"/>
        <v>42.398948030415639</v>
      </c>
      <c r="T369" s="17">
        <f t="shared" si="121"/>
        <v>15.562289177291177</v>
      </c>
      <c r="U369" s="17">
        <f t="shared" si="122"/>
        <v>0</v>
      </c>
      <c r="V369" s="17">
        <f t="shared" si="123"/>
        <v>-39.9527790847538</v>
      </c>
      <c r="W369" s="17">
        <f t="shared" si="124"/>
        <v>-822.38619665188367</v>
      </c>
      <c r="X369" s="12">
        <f>原始输入与口径!CP273</f>
        <v>-822.38619665188367</v>
      </c>
      <c r="Y369" s="19">
        <f t="shared" si="125"/>
        <v>0</v>
      </c>
      <c r="Z369" s="12" t="str">
        <f t="shared" si="137"/>
        <v>次日冻结计划复原</v>
      </c>
      <c r="AA369" s="12">
        <f>IF(原始输入与口径!AW273,1,0)</f>
        <v>1</v>
      </c>
      <c r="AB369" s="12">
        <f>IF(原始输入与口径!AY273,1,0)</f>
        <v>1</v>
      </c>
      <c r="AC369" s="12">
        <f>原始输入与口径!$F$5</f>
        <v>0.25</v>
      </c>
      <c r="AD369" s="18">
        <f>原始输入与口径!CG273</f>
        <v>0.3125</v>
      </c>
      <c r="AE369" s="18">
        <f>原始输入与口径!BQ273</f>
        <v>0.13714285714285715</v>
      </c>
      <c r="AF369" s="18">
        <f t="shared" si="127"/>
        <v>0</v>
      </c>
      <c r="AG369" s="18">
        <f t="shared" si="128"/>
        <v>0.26838857142857148</v>
      </c>
      <c r="AH369" s="12">
        <f>IF(ISNUMBER(原始输入与口径!T273),原始输入与口径!T273,"缺失")</f>
        <v>175</v>
      </c>
      <c r="AI369" s="12">
        <f>IF(ISNUMBER(原始输入与口径!Y273),原始输入与口径!Y273,"缺失")</f>
        <v>175</v>
      </c>
      <c r="AJ369" s="12">
        <f>IF(ISNUMBER(原始输入与口径!AI273),原始输入与口径!AI273,"缺失")</f>
        <v>0</v>
      </c>
      <c r="AK369" s="12">
        <f>IF(ISNUMBER(原始输入与口径!AL273),原始输入与口径!AL273,"缺失")</f>
        <v>11.742000000000001</v>
      </c>
      <c r="AL369" s="12">
        <f>IF(ISNUMBER(原始输入与口径!O273),原始输入与口径!O273,"缺失")</f>
        <v>131.96799999999999</v>
      </c>
      <c r="AM369" s="12">
        <f>SUMIFS(相位SOC复算!$N$9:$N$929,相位SOC复算!$S$9:$S$929,361)</f>
        <v>2.7115291428571435E-2</v>
      </c>
      <c r="AN369" s="12">
        <f>SUMIFS(相位SOC复算!$Q$9:$Q$929,相位SOC复算!$S$9:$S$929,361)</f>
        <v>10.610331428571428</v>
      </c>
      <c r="AO369" s="12">
        <f>SUMIFS(相位SOC复算!$R$9:$R$929,相位SOC复算!$S$9:$S$929,361)</f>
        <v>0</v>
      </c>
      <c r="AP369" s="12">
        <f>相位SOC复算!J877</f>
        <v>170.94033295573715</v>
      </c>
      <c r="AQ369" s="19">
        <f t="shared" si="129"/>
        <v>0</v>
      </c>
      <c r="AR369" s="12">
        <f>IF(ISBLANK(原始输入与口径!M273),"",原始输入与口径!M273)</f>
        <v>5.2473000000000001</v>
      </c>
      <c r="AS369" s="14">
        <f>IF(ISBLANK(原始输入与口径!L273),"",原始输入与口径!L273)</f>
        <v>46234</v>
      </c>
      <c r="AT369" s="13">
        <f>IF(ISBLANK(原始输入与口径!A273),"",原始输入与口径!A273)</f>
        <v>46237.625</v>
      </c>
      <c r="AU369" s="12" t="str">
        <f>IF(ISBLANK(原始输入与口径!I273),"",原始输入与口径!I273)</f>
        <v>2026-08-03_69</v>
      </c>
      <c r="AV369" s="12">
        <f>IF(ISBLANK(原始输入与口径!J273),"",原始输入与口径!J273)</f>
        <v>15</v>
      </c>
      <c r="AW369" s="12" t="str">
        <f>IF(ISBLANK(原始输入与口径!BB273),"",原始输入与口径!BB273)</f>
        <v>OK</v>
      </c>
      <c r="AX369" s="12">
        <f>原始输入与口径!CI273</f>
        <v>128</v>
      </c>
      <c r="AY369" s="12">
        <f>原始输入与口径!BS273</f>
        <v>175</v>
      </c>
      <c r="AZ369" s="12">
        <f>原始输入与口径!BI273</f>
        <v>175</v>
      </c>
      <c r="BA369" s="12">
        <f>原始输入与口径!CM273</f>
        <v>40</v>
      </c>
      <c r="BB369" s="12">
        <f>原始输入与口径!BV273</f>
        <v>24</v>
      </c>
      <c r="BC369" s="12">
        <f>原始输入与口径!BL273</f>
        <v>24</v>
      </c>
      <c r="BD369" s="14">
        <f>46236</f>
        <v>46236</v>
      </c>
      <c r="BE369" s="1" t="str">
        <f t="shared" si="130"/>
        <v>-36.000000 MW × 166.960000 × 0.250000 h = -1502.640000 EUR</v>
      </c>
      <c r="BF369" s="1" t="str">
        <f t="shared" si="131"/>
        <v>40.000000 MW × 66.224535 × 0.250000 h = 662.245345 EUR</v>
      </c>
      <c r="BG369" s="1" t="str">
        <f t="shared" si="132"/>
        <v>24.000000 MW × 7.066491 × 0.250000 h = 42.398948 EUR</v>
      </c>
      <c r="BH369" s="1" t="str">
        <f t="shared" si="133"/>
        <v>24.000000 MW × 2.593715 × 0.250000 h = 15.562289 EUR</v>
      </c>
      <c r="BI369" s="1" t="str">
        <f t="shared" si="134"/>
        <v>零上调激活电量</v>
      </c>
      <c r="BJ369" s="1" t="str">
        <f t="shared" si="135"/>
        <v>−(1.610331 MWh × 24.810283) = -39.952779 EUR</v>
      </c>
      <c r="BK369" s="1" t="str">
        <f t="shared" si="136"/>
        <v>-1502.640000 + 662.245345 + 42.398948 + 15.562289 + 0.000000 + -39.952779 = -822.386197 EUR</v>
      </c>
    </row>
    <row r="370" spans="1:63" ht="21" customHeight="1" x14ac:dyDescent="0.45">
      <c r="A370" s="13">
        <f>原始输入与口径!C274</f>
        <v>46237.760416666664</v>
      </c>
      <c r="B370" s="15">
        <f>IF(ISNUMBER(原始输入与口径!H274),原始输入与口径!H274,"缺失")</f>
        <v>189.53</v>
      </c>
      <c r="C370" s="15">
        <f>IF(ISNUMBER(原始输入与口径!R274),原始输入与口径!R274,"缺失")</f>
        <v>66.224534522516336</v>
      </c>
      <c r="D370" s="15">
        <f>IF(ISNUMBER(原始输入与口径!W274),原始输入与口径!W274,"缺失")</f>
        <v>7.0664913384026065</v>
      </c>
      <c r="E370" s="15">
        <f>IF(ISNUMBER(原始输入与口径!AB274),原始输入与口径!AB274,"缺失")</f>
        <v>2.5937148628818627</v>
      </c>
      <c r="F370" s="15">
        <f>IF(ISNUMBER(原始输入与口径!AG274),原始输入与口径!AG274,"缺失")</f>
        <v>219.30554761496387</v>
      </c>
      <c r="G370" s="15">
        <f>IF(ISNUMBER(原始输入与口径!AJ274),原始输入与口径!AJ274,"缺失")</f>
        <v>47.888056714881934</v>
      </c>
      <c r="H370" s="15" t="str">
        <f t="shared" si="115"/>
        <v>未模拟</v>
      </c>
      <c r="I370" s="16">
        <f>原始输入与口径!CD274</f>
        <v>170.94033295573715</v>
      </c>
      <c r="J370" s="16">
        <f>原始输入与口径!CE274</f>
        <v>171.59874208010388</v>
      </c>
      <c r="K370" s="16">
        <f>原始输入与口径!BZ274</f>
        <v>-1.1412831675311623</v>
      </c>
      <c r="L370" s="16">
        <f>原始输入与口径!CK274</f>
        <v>40</v>
      </c>
      <c r="M370" s="16">
        <f>原始输入与口径!BT274</f>
        <v>24</v>
      </c>
      <c r="N370" s="16">
        <f>原始输入与口径!BJ274</f>
        <v>24</v>
      </c>
      <c r="O370" s="16">
        <f t="shared" si="116"/>
        <v>0.21668571428571431</v>
      </c>
      <c r="P370" s="16">
        <f t="shared" si="117"/>
        <v>0.68447999999999998</v>
      </c>
      <c r="Q370" s="17">
        <f t="shared" si="118"/>
        <v>-54.076849685545298</v>
      </c>
      <c r="R370" s="17">
        <f t="shared" si="119"/>
        <v>662.24534522516342</v>
      </c>
      <c r="S370" s="17">
        <f t="shared" si="120"/>
        <v>42.398948030415639</v>
      </c>
      <c r="T370" s="17">
        <f t="shared" si="121"/>
        <v>15.562289177291177</v>
      </c>
      <c r="U370" s="17">
        <f t="shared" si="122"/>
        <v>47.520379231768175</v>
      </c>
      <c r="V370" s="17">
        <f t="shared" si="123"/>
        <v>-32.778417060202386</v>
      </c>
      <c r="W370" s="17">
        <f t="shared" si="124"/>
        <v>680.87169491889074</v>
      </c>
      <c r="X370" s="12">
        <f>原始输入与口径!CP274</f>
        <v>680.87169491889074</v>
      </c>
      <c r="Y370" s="19">
        <f t="shared" si="125"/>
        <v>0</v>
      </c>
      <c r="Z370" s="12" t="str">
        <f t="shared" si="137"/>
        <v>次日冻结计划复原</v>
      </c>
      <c r="AA370" s="12">
        <f>IF(原始输入与口径!AW274,1,0)</f>
        <v>1</v>
      </c>
      <c r="AB370" s="12">
        <f>IF(原始输入与口径!AY274,1,0)</f>
        <v>1</v>
      </c>
      <c r="AC370" s="12">
        <f>原始输入与口径!$F$5</f>
        <v>0.25</v>
      </c>
      <c r="AD370" s="18">
        <f>原始输入与口径!CG274</f>
        <v>0.3125</v>
      </c>
      <c r="AE370" s="18">
        <f>原始输入与口径!BQ274</f>
        <v>0.13714285714285715</v>
      </c>
      <c r="AF370" s="18">
        <f t="shared" si="127"/>
        <v>3.6114285714285717E-2</v>
      </c>
      <c r="AG370" s="18">
        <f t="shared" si="128"/>
        <v>0.11407999999999999</v>
      </c>
      <c r="AH370" s="12">
        <f>IF(ISNUMBER(原始输入与口径!T274),原始输入与口径!T274,"缺失")</f>
        <v>175</v>
      </c>
      <c r="AI370" s="12">
        <f>IF(ISNUMBER(原始输入与口径!Y274),原始输入与口径!Y274,"缺失")</f>
        <v>175</v>
      </c>
      <c r="AJ370" s="12">
        <f>IF(ISNUMBER(原始输入与口径!AI274),原始输入与口径!AI274,"缺失")</f>
        <v>1.58</v>
      </c>
      <c r="AK370" s="12">
        <f>IF(ISNUMBER(原始输入与口径!AL274),原始输入与口径!AL274,"缺失")</f>
        <v>4.9909999999999997</v>
      </c>
      <c r="AL370" s="12">
        <f>IF(ISNUMBER(原始输入与口径!O274),原始输入与口径!O274,"缺失")</f>
        <v>131.96799999999999</v>
      </c>
      <c r="AM370" s="12">
        <f>SUMIFS(相位SOC复算!$N$9:$N$929,相位SOC复算!$S$9:$S$929,362)</f>
        <v>3.0751796793244009E-3</v>
      </c>
      <c r="AN370" s="12">
        <f>SUMIFS(相位SOC复算!$Q$9:$Q$929,相位SOC复算!$S$9:$S$929,362)</f>
        <v>0.95949663528450924</v>
      </c>
      <c r="AO370" s="12">
        <f>SUMIFS(相位SOC复算!$R$9:$R$929,相位SOC复算!$S$9:$S$929,362)</f>
        <v>0.20638155768743294</v>
      </c>
      <c r="AP370" s="12">
        <f>相位SOC复算!J880</f>
        <v>171.59874208010388</v>
      </c>
      <c r="AQ370" s="19">
        <f t="shared" si="129"/>
        <v>0</v>
      </c>
      <c r="AR370" s="12">
        <f>IF(ISBLANK(原始输入与口径!M274),"",原始输入与口径!M274)</f>
        <v>5.2473000000000001</v>
      </c>
      <c r="AS370" s="14">
        <f>IF(ISBLANK(原始输入与口径!L274),"",原始输入与口径!L274)</f>
        <v>46234</v>
      </c>
      <c r="AT370" s="13">
        <f>IF(ISBLANK(原始输入与口径!A274),"",原始输入与口径!A274)</f>
        <v>46237.635416666664</v>
      </c>
      <c r="AU370" s="12" t="str">
        <f>IF(ISBLANK(原始输入与口径!I274),"",原始输入与口径!I274)</f>
        <v>2026-08-03_70</v>
      </c>
      <c r="AV370" s="12">
        <f>IF(ISBLANK(原始输入与口径!J274),"",原始输入与口径!J274)</f>
        <v>15</v>
      </c>
      <c r="AW370" s="12" t="str">
        <f>IF(ISBLANK(原始输入与口径!BB274),"",原始输入与口径!BB274)</f>
        <v>OK</v>
      </c>
      <c r="AX370" s="12">
        <f>原始输入与口径!CI274</f>
        <v>128</v>
      </c>
      <c r="AY370" s="12">
        <f>原始输入与口径!BS274</f>
        <v>175</v>
      </c>
      <c r="AZ370" s="12">
        <f>原始输入与口径!BI274</f>
        <v>175</v>
      </c>
      <c r="BA370" s="12">
        <f>原始输入与口径!CM274</f>
        <v>40</v>
      </c>
      <c r="BB370" s="12">
        <f>原始输入与口径!BV274</f>
        <v>24</v>
      </c>
      <c r="BC370" s="12">
        <f>原始输入与口径!BL274</f>
        <v>24</v>
      </c>
      <c r="BD370" s="14">
        <f>46236</f>
        <v>46236</v>
      </c>
      <c r="BE370" s="1" t="str">
        <f t="shared" si="130"/>
        <v>-1.141283 MW × 189.530000 × 0.250000 h = -54.076850 EUR</v>
      </c>
      <c r="BF370" s="1" t="str">
        <f t="shared" si="131"/>
        <v>40.000000 MW × 66.224535 × 0.250000 h = 662.245345 EUR</v>
      </c>
      <c r="BG370" s="1" t="str">
        <f t="shared" si="132"/>
        <v>24.000000 MW × 7.066491 × 0.250000 h = 42.398948 EUR</v>
      </c>
      <c r="BH370" s="1" t="str">
        <f t="shared" si="133"/>
        <v>24.000000 MW × 2.593715 × 0.250000 h = 15.562289 EUR</v>
      </c>
      <c r="BI370" s="1" t="str">
        <f t="shared" si="134"/>
        <v>0.216686 MWh × 219.305548 = 47.520379 EUR</v>
      </c>
      <c r="BJ370" s="1" t="str">
        <f t="shared" si="135"/>
        <v>−(0.684480 MWh × 47.888057) = -32.778417 EUR</v>
      </c>
      <c r="BK370" s="1" t="str">
        <f t="shared" si="136"/>
        <v>-54.076850 + 662.245345 + 42.398948 + 15.562289 + 47.520379 + -32.778417 = 680.871695 EUR</v>
      </c>
    </row>
    <row r="371" spans="1:63" ht="21" customHeight="1" x14ac:dyDescent="0.45">
      <c r="A371" s="13">
        <f>原始输入与口径!C275</f>
        <v>46237.770833333336</v>
      </c>
      <c r="B371" s="15">
        <f>IF(ISNUMBER(原始输入与口径!H275),原始输入与口径!H275,"缺失")</f>
        <v>227</v>
      </c>
      <c r="C371" s="15">
        <f>IF(ISNUMBER(原始输入与口径!R275),原始输入与口径!R275,"缺失")</f>
        <v>66.224534522516336</v>
      </c>
      <c r="D371" s="15">
        <f>IF(ISNUMBER(原始输入与口径!W275),原始输入与口径!W275,"缺失")</f>
        <v>7.0664913384026065</v>
      </c>
      <c r="E371" s="15">
        <f>IF(ISNUMBER(原始输入与口径!AB275),原始输入与口径!AB275,"缺失")</f>
        <v>2.5937148628818627</v>
      </c>
      <c r="F371" s="15">
        <f>IF(ISNUMBER(原始输入与口径!AG275),原始输入与口径!AG275,"缺失")</f>
        <v>330.64185390581827</v>
      </c>
      <c r="G371" s="15">
        <f>IF(ISNUMBER(原始输入与口径!AJ275),原始输入与口径!AJ275,"缺失")</f>
        <v>76.253501800926188</v>
      </c>
      <c r="H371" s="15" t="str">
        <f t="shared" si="115"/>
        <v>未模拟</v>
      </c>
      <c r="I371" s="16">
        <f>原始输入与口径!CD275</f>
        <v>171.59874208010388</v>
      </c>
      <c r="J371" s="16">
        <f>原始输入与口径!CE275</f>
        <v>171.60000000000016</v>
      </c>
      <c r="K371" s="16">
        <f>原始输入与口径!BZ275</f>
        <v>-5.909780142456837</v>
      </c>
      <c r="L371" s="16">
        <f>原始输入与口径!CK275</f>
        <v>40</v>
      </c>
      <c r="M371" s="16">
        <f>原始输入与口径!BT275</f>
        <v>24</v>
      </c>
      <c r="N371" s="16">
        <f>原始输入与口径!BJ275</f>
        <v>24</v>
      </c>
      <c r="O371" s="16">
        <f t="shared" si="116"/>
        <v>1.2994285714285714</v>
      </c>
      <c r="P371" s="16">
        <f t="shared" si="117"/>
        <v>1.0971428571428573E-3</v>
      </c>
      <c r="Q371" s="17">
        <f t="shared" si="118"/>
        <v>-335.38002308442549</v>
      </c>
      <c r="R371" s="17">
        <f t="shared" si="119"/>
        <v>662.24534522516342</v>
      </c>
      <c r="S371" s="17">
        <f t="shared" si="120"/>
        <v>42.398948030415639</v>
      </c>
      <c r="T371" s="17">
        <f t="shared" si="121"/>
        <v>15.562289177291177</v>
      </c>
      <c r="U371" s="17">
        <f t="shared" si="122"/>
        <v>429.64547187533185</v>
      </c>
      <c r="V371" s="17">
        <f t="shared" si="123"/>
        <v>-8.3660984833016178E-2</v>
      </c>
      <c r="W371" s="17">
        <f t="shared" si="124"/>
        <v>814.38837023894359</v>
      </c>
      <c r="X371" s="12">
        <f>原始输入与口径!CP275</f>
        <v>814.38837023894359</v>
      </c>
      <c r="Y371" s="19">
        <f t="shared" si="125"/>
        <v>0</v>
      </c>
      <c r="Z371" s="12" t="str">
        <f t="shared" si="137"/>
        <v>次日冻结计划复原</v>
      </c>
      <c r="AA371" s="12">
        <f>IF(原始输入与口径!AW275,1,0)</f>
        <v>1</v>
      </c>
      <c r="AB371" s="12">
        <f>IF(原始输入与口径!AY275,1,0)</f>
        <v>1</v>
      </c>
      <c r="AC371" s="12">
        <f>原始输入与口径!$F$5</f>
        <v>0.25</v>
      </c>
      <c r="AD371" s="18">
        <f>原始输入与口径!CG275</f>
        <v>0.3125</v>
      </c>
      <c r="AE371" s="18">
        <f>原始输入与口径!BQ275</f>
        <v>0.13714285714285715</v>
      </c>
      <c r="AF371" s="18">
        <f t="shared" si="127"/>
        <v>0.21657142857142855</v>
      </c>
      <c r="AG371" s="18">
        <f t="shared" si="128"/>
        <v>1.8285714285714286E-4</v>
      </c>
      <c r="AH371" s="12">
        <f>IF(ISNUMBER(原始输入与口径!T275),原始输入与口径!T275,"缺失")</f>
        <v>175</v>
      </c>
      <c r="AI371" s="12">
        <f>IF(ISNUMBER(原始输入与口径!Y275),原始输入与口径!Y275,"缺失")</f>
        <v>175</v>
      </c>
      <c r="AJ371" s="12">
        <f>IF(ISNUMBER(原始输入与口径!AI275),原始输入与口径!AI275,"缺失")</f>
        <v>9.4749999999999996</v>
      </c>
      <c r="AK371" s="12">
        <f>IF(ISNUMBER(原始输入与口径!AL275),原始输入与口径!AL275,"缺失")</f>
        <v>8.0000000000000002E-3</v>
      </c>
      <c r="AL371" s="12">
        <f>IF(ISNUMBER(原始输入与口径!O275),原始输入与口径!O275,"缺失")</f>
        <v>131.96799999999999</v>
      </c>
      <c r="AM371" s="12">
        <f>SUMIFS(相位SOC复算!$N$9:$N$929,相位SOC复算!$S$9:$S$929,363)</f>
        <v>5.9180847378147959E-3</v>
      </c>
      <c r="AN371" s="12">
        <f>SUMIFS(相位SOC复算!$Q$9:$Q$929,相位SOC复算!$S$9:$S$929,363)</f>
        <v>1.1585697964726176</v>
      </c>
      <c r="AO371" s="12">
        <f>SUMIFS(相位SOC复算!$R$9:$R$929,相位SOC复算!$S$9:$S$929,363)</f>
        <v>0.97945618942983681</v>
      </c>
      <c r="AP371" s="12">
        <f>相位SOC复算!J883</f>
        <v>171.60000000000016</v>
      </c>
      <c r="AQ371" s="19">
        <f t="shared" si="129"/>
        <v>0</v>
      </c>
      <c r="AR371" s="12">
        <f>IF(ISBLANK(原始输入与口径!M275),"",原始输入与口径!M275)</f>
        <v>5.2473000000000001</v>
      </c>
      <c r="AS371" s="14">
        <f>IF(ISBLANK(原始输入与口径!L275),"",原始输入与口径!L275)</f>
        <v>46234</v>
      </c>
      <c r="AT371" s="13">
        <f>IF(ISBLANK(原始输入与口径!A275),"",原始输入与口径!A275)</f>
        <v>46237.645833333336</v>
      </c>
      <c r="AU371" s="12" t="str">
        <f>IF(ISBLANK(原始输入与口径!I275),"",原始输入与口径!I275)</f>
        <v>2026-08-03_71</v>
      </c>
      <c r="AV371" s="12">
        <f>IF(ISBLANK(原始输入与口径!J275),"",原始输入与口径!J275)</f>
        <v>15</v>
      </c>
      <c r="AW371" s="12" t="str">
        <f>IF(ISBLANK(原始输入与口径!BB275),"",原始输入与口径!BB275)</f>
        <v>OK</v>
      </c>
      <c r="AX371" s="12">
        <f>原始输入与口径!CI275</f>
        <v>128</v>
      </c>
      <c r="AY371" s="12">
        <f>原始输入与口径!BS275</f>
        <v>175</v>
      </c>
      <c r="AZ371" s="12">
        <f>原始输入与口径!BI275</f>
        <v>175</v>
      </c>
      <c r="BA371" s="12">
        <f>原始输入与口径!CM275</f>
        <v>40</v>
      </c>
      <c r="BB371" s="12">
        <f>原始输入与口径!BV275</f>
        <v>24</v>
      </c>
      <c r="BC371" s="12">
        <f>原始输入与口径!BL275</f>
        <v>24</v>
      </c>
      <c r="BD371" s="14">
        <f>46236</f>
        <v>46236</v>
      </c>
      <c r="BE371" s="1" t="str">
        <f t="shared" si="130"/>
        <v>-5.909780 MW × 227.000000 × 0.250000 h = -335.380023 EUR</v>
      </c>
      <c r="BF371" s="1" t="str">
        <f t="shared" si="131"/>
        <v>40.000000 MW × 66.224535 × 0.250000 h = 662.245345 EUR</v>
      </c>
      <c r="BG371" s="1" t="str">
        <f t="shared" si="132"/>
        <v>24.000000 MW × 7.066491 × 0.250000 h = 42.398948 EUR</v>
      </c>
      <c r="BH371" s="1" t="str">
        <f t="shared" si="133"/>
        <v>24.000000 MW × 2.593715 × 0.250000 h = 15.562289 EUR</v>
      </c>
      <c r="BI371" s="1" t="str">
        <f t="shared" si="134"/>
        <v>1.299429 MWh × 330.641854 = 429.645472 EUR</v>
      </c>
      <c r="BJ371" s="1" t="str">
        <f t="shared" si="135"/>
        <v>−(0.001097 MWh × 76.253502) = -0.083661 EUR</v>
      </c>
      <c r="BK371" s="1" t="str">
        <f t="shared" si="136"/>
        <v>-335.380023 + 662.245345 + 42.398948 + 15.562289 + 429.645472 + -0.083661 = 814.388370 EUR</v>
      </c>
    </row>
    <row r="372" spans="1:63" ht="21" customHeight="1" x14ac:dyDescent="0.45">
      <c r="A372" s="13">
        <f>原始输入与口径!C276</f>
        <v>46237.78125</v>
      </c>
      <c r="B372" s="15">
        <f>IF(ISNUMBER(原始输入与口径!H276),原始输入与口径!H276,"缺失")</f>
        <v>262.27</v>
      </c>
      <c r="C372" s="15">
        <f>IF(ISNUMBER(原始输入与口径!R276),原始输入与口径!R276,"缺失")</f>
        <v>66.224534522516336</v>
      </c>
      <c r="D372" s="15">
        <f>IF(ISNUMBER(原始输入与口径!W276),原始输入与口径!W276,"缺失")</f>
        <v>7.0664913384026065</v>
      </c>
      <c r="E372" s="15">
        <f>IF(ISNUMBER(原始输入与口径!AB276),原始输入与口径!AB276,"缺失")</f>
        <v>2.5937148628818627</v>
      </c>
      <c r="F372" s="15">
        <f>IF(ISNUMBER(原始输入与口径!AG276),原始输入与口径!AG276,"缺失")</f>
        <v>355.77840032016462</v>
      </c>
      <c r="G372" s="15">
        <f>IF(ISNUMBER(原始输入与口径!AJ276),原始输入与口径!AJ276,"缺失")</f>
        <v>0</v>
      </c>
      <c r="H372" s="15" t="str">
        <f t="shared" si="115"/>
        <v>未模拟</v>
      </c>
      <c r="I372" s="16">
        <f>原始输入与口径!CD276</f>
        <v>171.60000000000016</v>
      </c>
      <c r="J372" s="16">
        <f>原始输入与口径!CE276</f>
        <v>170.05355448447219</v>
      </c>
      <c r="K372" s="16">
        <f>原始输入与口径!BZ276</f>
        <v>-9.8820098810040093</v>
      </c>
      <c r="L372" s="16">
        <f>原始输入与口径!CK276</f>
        <v>40</v>
      </c>
      <c r="M372" s="16">
        <f>原始输入与口径!BT276</f>
        <v>24</v>
      </c>
      <c r="N372" s="16">
        <f>原始输入与口径!BJ276</f>
        <v>24</v>
      </c>
      <c r="O372" s="16">
        <f t="shared" si="116"/>
        <v>3.7509942857142855</v>
      </c>
      <c r="P372" s="16">
        <f t="shared" si="117"/>
        <v>0</v>
      </c>
      <c r="Q372" s="17">
        <f t="shared" si="118"/>
        <v>-647.93868287273028</v>
      </c>
      <c r="R372" s="17">
        <f t="shared" si="119"/>
        <v>662.24534522516342</v>
      </c>
      <c r="S372" s="17">
        <f t="shared" si="120"/>
        <v>42.398948030415639</v>
      </c>
      <c r="T372" s="17">
        <f t="shared" si="121"/>
        <v>15.562289177291177</v>
      </c>
      <c r="U372" s="17">
        <f t="shared" si="122"/>
        <v>1334.5227465815069</v>
      </c>
      <c r="V372" s="17">
        <f t="shared" si="123"/>
        <v>0</v>
      </c>
      <c r="W372" s="17">
        <f t="shared" si="124"/>
        <v>1406.7906461416469</v>
      </c>
      <c r="X372" s="12">
        <f>原始输入与口径!CP276</f>
        <v>1406.7906461416469</v>
      </c>
      <c r="Y372" s="19">
        <f t="shared" si="125"/>
        <v>0</v>
      </c>
      <c r="Z372" s="12" t="str">
        <f t="shared" si="137"/>
        <v>次日冻结计划复原</v>
      </c>
      <c r="AA372" s="12">
        <f>IF(原始输入与口径!AW276,1,0)</f>
        <v>1</v>
      </c>
      <c r="AB372" s="12">
        <f>IF(原始输入与口径!AY276,1,0)</f>
        <v>1</v>
      </c>
      <c r="AC372" s="12">
        <f>原始输入与口径!$F$5</f>
        <v>0.25</v>
      </c>
      <c r="AD372" s="18">
        <f>原始输入与口径!CG276</f>
        <v>0.3125</v>
      </c>
      <c r="AE372" s="18">
        <f>原始输入与口径!BQ276</f>
        <v>0.13714285714285715</v>
      </c>
      <c r="AF372" s="18">
        <f t="shared" si="127"/>
        <v>0.62516571428571421</v>
      </c>
      <c r="AG372" s="18">
        <f t="shared" si="128"/>
        <v>0</v>
      </c>
      <c r="AH372" s="12">
        <f>IF(ISNUMBER(原始输入与口径!T276),原始输入与口径!T276,"缺失")</f>
        <v>175</v>
      </c>
      <c r="AI372" s="12">
        <f>IF(ISNUMBER(原始输入与口径!Y276),原始输入与口径!Y276,"缺失")</f>
        <v>175</v>
      </c>
      <c r="AJ372" s="12">
        <f>IF(ISNUMBER(原始输入与口径!AI276),原始输入与口径!AI276,"缺失")</f>
        <v>27.350999999999999</v>
      </c>
      <c r="AK372" s="12">
        <f>IF(ISNUMBER(原始输入与口径!AL276),原始输入与口径!AL276,"缺失")</f>
        <v>0</v>
      </c>
      <c r="AL372" s="12">
        <f>IF(ISNUMBER(原始输入与口径!O276),原始输入与口径!O276,"缺失")</f>
        <v>131.96799999999999</v>
      </c>
      <c r="AM372" s="12">
        <f>SUMIFS(相位SOC复算!$N$9:$N$929,相位SOC复算!$S$9:$S$929,364)</f>
        <v>9.0287192458474372E-3</v>
      </c>
      <c r="AN372" s="12">
        <f>SUMIFS(相位SOC复算!$Q$9:$Q$929,相位SOC复算!$S$9:$S$929,364)</f>
        <v>0.92602902879191307</v>
      </c>
      <c r="AO372" s="12">
        <f>SUMIFS(相位SOC复算!$R$9:$R$929,相位SOC复算!$S$9:$S$929,364)</f>
        <v>2.2065208442551958</v>
      </c>
      <c r="AP372" s="12">
        <f>相位SOC复算!J885</f>
        <v>170.05355448447219</v>
      </c>
      <c r="AQ372" s="19">
        <f t="shared" si="129"/>
        <v>0</v>
      </c>
      <c r="AR372" s="12">
        <f>IF(ISBLANK(原始输入与口径!M276),"",原始输入与口径!M276)</f>
        <v>5.2473000000000001</v>
      </c>
      <c r="AS372" s="14">
        <f>IF(ISBLANK(原始输入与口径!L276),"",原始输入与口径!L276)</f>
        <v>46234</v>
      </c>
      <c r="AT372" s="13">
        <f>IF(ISBLANK(原始输入与口径!A276),"",原始输入与口径!A276)</f>
        <v>46237.65625</v>
      </c>
      <c r="AU372" s="12" t="str">
        <f>IF(ISBLANK(原始输入与口径!I276),"",原始输入与口径!I276)</f>
        <v>2026-08-03_72</v>
      </c>
      <c r="AV372" s="12">
        <f>IF(ISBLANK(原始输入与口径!J276),"",原始输入与口径!J276)</f>
        <v>15</v>
      </c>
      <c r="AW372" s="12" t="str">
        <f>IF(ISBLANK(原始输入与口径!BB276),"",原始输入与口径!BB276)</f>
        <v>OK</v>
      </c>
      <c r="AX372" s="12">
        <f>原始输入与口径!CI276</f>
        <v>128</v>
      </c>
      <c r="AY372" s="12">
        <f>原始输入与口径!BS276</f>
        <v>175</v>
      </c>
      <c r="AZ372" s="12">
        <f>原始输入与口径!BI276</f>
        <v>175</v>
      </c>
      <c r="BA372" s="12">
        <f>原始输入与口径!CM276</f>
        <v>40</v>
      </c>
      <c r="BB372" s="12">
        <f>原始输入与口径!BV276</f>
        <v>24</v>
      </c>
      <c r="BC372" s="12">
        <f>原始输入与口径!BL276</f>
        <v>24</v>
      </c>
      <c r="BD372" s="14">
        <f>46236</f>
        <v>46236</v>
      </c>
      <c r="BE372" s="1" t="str">
        <f t="shared" si="130"/>
        <v>-9.882010 MW × 262.270000 × 0.250000 h = -647.938683 EUR</v>
      </c>
      <c r="BF372" s="1" t="str">
        <f t="shared" si="131"/>
        <v>40.000000 MW × 66.224535 × 0.250000 h = 662.245345 EUR</v>
      </c>
      <c r="BG372" s="1" t="str">
        <f t="shared" si="132"/>
        <v>24.000000 MW × 7.066491 × 0.250000 h = 42.398948 EUR</v>
      </c>
      <c r="BH372" s="1" t="str">
        <f t="shared" si="133"/>
        <v>24.000000 MW × 2.593715 × 0.250000 h = 15.562289 EUR</v>
      </c>
      <c r="BI372" s="1" t="str">
        <f t="shared" si="134"/>
        <v>3.750994 MWh × 355.778400 = 1334.522747 EUR</v>
      </c>
      <c r="BJ372" s="1" t="str">
        <f t="shared" si="135"/>
        <v>零下调激活电量</v>
      </c>
      <c r="BK372" s="1" t="str">
        <f t="shared" si="136"/>
        <v>-647.938683 + 662.245345 + 42.398948 + 15.562289 + 1334.522747 + 0.000000 = 1406.790646 EUR</v>
      </c>
    </row>
    <row r="373" spans="1:63" ht="21" customHeight="1" x14ac:dyDescent="0.45">
      <c r="A373" s="13">
        <f>原始输入与口径!C277</f>
        <v>46237.791666666664</v>
      </c>
      <c r="B373" s="15">
        <f>IF(ISNUMBER(原始输入与口径!H277),原始输入与口径!H277,"缺失")</f>
        <v>244.44</v>
      </c>
      <c r="C373" s="15">
        <f>IF(ISNUMBER(原始输入与口径!R277),原始输入与口径!R277,"缺失")</f>
        <v>66.224534522516336</v>
      </c>
      <c r="D373" s="15">
        <f>IF(ISNUMBER(原始输入与口径!W277),原始输入与口径!W277,"缺失")</f>
        <v>7.0379052083928872</v>
      </c>
      <c r="E373" s="15">
        <f>IF(ISNUMBER(原始输入与口径!AB277),原始输入与口径!AB277,"缺失")</f>
        <v>2.5937148628818627</v>
      </c>
      <c r="F373" s="15">
        <f>IF(ISNUMBER(原始输入与口径!AG277),原始输入与口径!AG277,"缺失")</f>
        <v>351.13315419358526</v>
      </c>
      <c r="G373" s="15">
        <f>IF(ISNUMBER(原始输入与口径!AJ277),原始输入与口径!AJ277,"缺失")</f>
        <v>47.91473710289101</v>
      </c>
      <c r="H373" s="15" t="str">
        <f t="shared" si="115"/>
        <v>未模拟</v>
      </c>
      <c r="I373" s="16">
        <f>原始输入与口径!CD277</f>
        <v>170.05355448447219</v>
      </c>
      <c r="J373" s="16">
        <f>原始输入与口径!CE277</f>
        <v>169.48543840993801</v>
      </c>
      <c r="K373" s="16">
        <f>原始输入与口径!BZ277</f>
        <v>0</v>
      </c>
      <c r="L373" s="16">
        <f>原始输入与口径!CK277</f>
        <v>40</v>
      </c>
      <c r="M373" s="16">
        <f>原始输入与口径!BT277</f>
        <v>24</v>
      </c>
      <c r="N373" s="16">
        <f>原始输入与口径!BJ277</f>
        <v>24</v>
      </c>
      <c r="O373" s="16">
        <f t="shared" si="116"/>
        <v>0.68749714285714281</v>
      </c>
      <c r="P373" s="16">
        <f t="shared" si="117"/>
        <v>0.19474285714285716</v>
      </c>
      <c r="Q373" s="17">
        <f t="shared" si="118"/>
        <v>0</v>
      </c>
      <c r="R373" s="17">
        <f t="shared" si="119"/>
        <v>662.24534522516342</v>
      </c>
      <c r="S373" s="17">
        <f t="shared" si="120"/>
        <v>42.227431250357327</v>
      </c>
      <c r="T373" s="17">
        <f t="shared" si="121"/>
        <v>15.562289177291177</v>
      </c>
      <c r="U373" s="17">
        <f t="shared" si="122"/>
        <v>241.40304027050644</v>
      </c>
      <c r="V373" s="17">
        <f t="shared" si="123"/>
        <v>-9.3310528026658623</v>
      </c>
      <c r="W373" s="17">
        <f t="shared" si="124"/>
        <v>952.10705312065238</v>
      </c>
      <c r="X373" s="12">
        <f>原始输入与口径!CP277</f>
        <v>952.10705312065249</v>
      </c>
      <c r="Y373" s="19">
        <f t="shared" si="125"/>
        <v>0</v>
      </c>
      <c r="Z373" s="12" t="str">
        <f t="shared" si="137"/>
        <v>次日冻结计划复原</v>
      </c>
      <c r="AA373" s="12">
        <f>IF(原始输入与口径!AW277,1,0)</f>
        <v>1</v>
      </c>
      <c r="AB373" s="12">
        <f>IF(原始输入与口径!AY277,1,0)</f>
        <v>1</v>
      </c>
      <c r="AC373" s="12">
        <f>原始输入与口径!$F$5</f>
        <v>0.25</v>
      </c>
      <c r="AD373" s="18">
        <f>原始输入与口径!CG277</f>
        <v>0.3125</v>
      </c>
      <c r="AE373" s="18">
        <f>原始输入与口径!BQ277</f>
        <v>0.13714285714285715</v>
      </c>
      <c r="AF373" s="18">
        <f t="shared" si="127"/>
        <v>0.11458285714285714</v>
      </c>
      <c r="AG373" s="18">
        <f t="shared" si="128"/>
        <v>3.2457142857142858E-2</v>
      </c>
      <c r="AH373" s="12">
        <f>IF(ISNUMBER(原始输入与口径!T277),原始输入与口径!T277,"缺失")</f>
        <v>175</v>
      </c>
      <c r="AI373" s="12">
        <f>IF(ISNUMBER(原始输入与口径!Y277),原始输入与口径!Y277,"缺失")</f>
        <v>175</v>
      </c>
      <c r="AJ373" s="12">
        <f>IF(ISNUMBER(原始输入与口径!AI277),原始输入与口径!AI277,"缺失")</f>
        <v>5.0129999999999999</v>
      </c>
      <c r="AK373" s="12">
        <f>IF(ISNUMBER(原始输入与口径!AL277),原始输入与口径!AL277,"缺失")</f>
        <v>1.42</v>
      </c>
      <c r="AL373" s="12">
        <f>IF(ISNUMBER(原始输入与口径!O277),原始输入与口径!O277,"缺失")</f>
        <v>131.96799999999999</v>
      </c>
      <c r="AM373" s="12">
        <f>SUMIFS(相位SOC复算!$N$9:$N$929,相位SOC复算!$S$9:$S$929,365)</f>
        <v>2.5734525879917186E-3</v>
      </c>
      <c r="AN373" s="12">
        <f>SUMIFS(相位SOC复算!$Q$9:$Q$929,相位SOC复算!$S$9:$S$929,365)</f>
        <v>0.19474285714285716</v>
      </c>
      <c r="AO373" s="12">
        <f>SUMIFS(相位SOC复算!$R$9:$R$929,相位SOC复算!$S$9:$S$929,365)</f>
        <v>0.68749714285714281</v>
      </c>
      <c r="AP373" s="12">
        <f>相位SOC复算!J888</f>
        <v>169.48543840993801</v>
      </c>
      <c r="AQ373" s="19">
        <f t="shared" si="129"/>
        <v>0</v>
      </c>
      <c r="AR373" s="12">
        <f>IF(ISBLANK(原始输入与口径!M277),"",原始输入与口径!M277)</f>
        <v>5.2473000000000001</v>
      </c>
      <c r="AS373" s="14">
        <f>IF(ISBLANK(原始输入与口径!L277),"",原始输入与口径!L277)</f>
        <v>46234</v>
      </c>
      <c r="AT373" s="13">
        <f>IF(ISBLANK(原始输入与口径!A277),"",原始输入与口径!A277)</f>
        <v>46237.666666666664</v>
      </c>
      <c r="AU373" s="12" t="str">
        <f>IF(ISBLANK(原始输入与口径!I277),"",原始输入与口径!I277)</f>
        <v>2026-08-03_73</v>
      </c>
      <c r="AV373" s="12">
        <f>IF(ISBLANK(原始输入与口径!J277),"",原始输入与口径!J277)</f>
        <v>15</v>
      </c>
      <c r="AW373" s="12" t="str">
        <f>IF(ISBLANK(原始输入与口径!BB277),"",原始输入与口径!BB277)</f>
        <v>OK</v>
      </c>
      <c r="AX373" s="12">
        <f>原始输入与口径!CI277</f>
        <v>128</v>
      </c>
      <c r="AY373" s="12">
        <f>原始输入与口径!BS277</f>
        <v>175</v>
      </c>
      <c r="AZ373" s="12">
        <f>原始输入与口径!BI277</f>
        <v>175</v>
      </c>
      <c r="BA373" s="12">
        <f>原始输入与口径!CM277</f>
        <v>40</v>
      </c>
      <c r="BB373" s="12">
        <f>原始输入与口径!BV277</f>
        <v>24</v>
      </c>
      <c r="BC373" s="12">
        <f>原始输入与口径!BL277</f>
        <v>24</v>
      </c>
      <c r="BD373" s="14">
        <f>46236</f>
        <v>46236</v>
      </c>
      <c r="BE373" s="1" t="str">
        <f t="shared" si="130"/>
        <v>零头寸，无结算现金</v>
      </c>
      <c r="BF373" s="1" t="str">
        <f t="shared" si="131"/>
        <v>40.000000 MW × 66.224535 × 0.250000 h = 662.245345 EUR</v>
      </c>
      <c r="BG373" s="1" t="str">
        <f t="shared" si="132"/>
        <v>24.000000 MW × 7.037905 × 0.250000 h = 42.227431 EUR</v>
      </c>
      <c r="BH373" s="1" t="str">
        <f t="shared" si="133"/>
        <v>24.000000 MW × 2.593715 × 0.250000 h = 15.562289 EUR</v>
      </c>
      <c r="BI373" s="1" t="str">
        <f t="shared" si="134"/>
        <v>0.687497 MWh × 351.133154 = 241.403040 EUR</v>
      </c>
      <c r="BJ373" s="1" t="str">
        <f t="shared" si="135"/>
        <v>−(0.194743 MWh × 47.914737) = -9.331053 EUR</v>
      </c>
      <c r="BK373" s="1" t="str">
        <f t="shared" si="136"/>
        <v>0.000000 + 662.245345 + 42.227431 + 15.562289 + 241.403040 + -9.331053 = 952.107053 EUR</v>
      </c>
    </row>
    <row r="374" spans="1:63" ht="21" customHeight="1" x14ac:dyDescent="0.45">
      <c r="A374" s="13">
        <f>原始输入与口径!C278</f>
        <v>46237.802083333336</v>
      </c>
      <c r="B374" s="15">
        <f>IF(ISNUMBER(原始输入与口径!H278),原始输入与口径!H278,"缺失")</f>
        <v>265.37</v>
      </c>
      <c r="C374" s="15">
        <f>IF(ISNUMBER(原始输入与口径!R278),原始输入与口径!R278,"缺失")</f>
        <v>66.224534522516336</v>
      </c>
      <c r="D374" s="15">
        <f>IF(ISNUMBER(原始输入与口径!W278),原始输入与口径!W278,"缺失")</f>
        <v>7.0379052083928872</v>
      </c>
      <c r="E374" s="15">
        <f>IF(ISNUMBER(原始输入与口径!AB278),原始输入与口径!AB278,"缺失")</f>
        <v>2.5937148628818627</v>
      </c>
      <c r="F374" s="15">
        <f>IF(ISNUMBER(原始输入与口径!AG278),原始输入与口径!AG278,"缺失")</f>
        <v>428.12284412936179</v>
      </c>
      <c r="G374" s="15">
        <f>IF(ISNUMBER(原始输入与口径!AJ278),原始输入与口径!AJ278,"缺失")</f>
        <v>0</v>
      </c>
      <c r="H374" s="15" t="str">
        <f t="shared" si="115"/>
        <v>未模拟</v>
      </c>
      <c r="I374" s="16">
        <f>原始输入与口径!CD278</f>
        <v>169.48543840993801</v>
      </c>
      <c r="J374" s="16">
        <f>原始输入与口径!CE278</f>
        <v>167.83882971428585</v>
      </c>
      <c r="K374" s="16">
        <f>原始输入与口径!BZ278</f>
        <v>0</v>
      </c>
      <c r="L374" s="16">
        <f>原始输入与口径!CK278</f>
        <v>40</v>
      </c>
      <c r="M374" s="16">
        <f>原始输入与口径!BT278</f>
        <v>24</v>
      </c>
      <c r="N374" s="16">
        <f>原始输入与口径!BJ278</f>
        <v>24</v>
      </c>
      <c r="O374" s="16">
        <f t="shared" si="116"/>
        <v>1.5148799999999998</v>
      </c>
      <c r="P374" s="16">
        <f t="shared" si="117"/>
        <v>0</v>
      </c>
      <c r="Q374" s="17">
        <f t="shared" si="118"/>
        <v>0</v>
      </c>
      <c r="R374" s="17">
        <f t="shared" si="119"/>
        <v>662.24534522516342</v>
      </c>
      <c r="S374" s="17">
        <f t="shared" si="120"/>
        <v>42.227431250357327</v>
      </c>
      <c r="T374" s="17">
        <f t="shared" si="121"/>
        <v>15.562289177291177</v>
      </c>
      <c r="U374" s="17">
        <f t="shared" si="122"/>
        <v>648.55473411468745</v>
      </c>
      <c r="V374" s="17">
        <f t="shared" si="123"/>
        <v>0</v>
      </c>
      <c r="W374" s="17">
        <f t="shared" si="124"/>
        <v>1368.5897997674992</v>
      </c>
      <c r="X374" s="12">
        <f>原始输入与口径!CP278</f>
        <v>1368.5897997674995</v>
      </c>
      <c r="Y374" s="19">
        <f t="shared" si="125"/>
        <v>0</v>
      </c>
      <c r="Z374" s="12" t="str">
        <f t="shared" si="137"/>
        <v>次日冻结计划复原</v>
      </c>
      <c r="AA374" s="12">
        <f>IF(原始输入与口径!AW278,1,0)</f>
        <v>1</v>
      </c>
      <c r="AB374" s="12">
        <f>IF(原始输入与口径!AY278,1,0)</f>
        <v>1</v>
      </c>
      <c r="AC374" s="12">
        <f>原始输入与口径!$F$5</f>
        <v>0.25</v>
      </c>
      <c r="AD374" s="18">
        <f>原始输入与口径!CG278</f>
        <v>0.3125</v>
      </c>
      <c r="AE374" s="18">
        <f>原始输入与口径!BQ278</f>
        <v>0.13714285714285715</v>
      </c>
      <c r="AF374" s="18">
        <f t="shared" si="127"/>
        <v>0.25247999999999998</v>
      </c>
      <c r="AG374" s="18">
        <f t="shared" si="128"/>
        <v>0</v>
      </c>
      <c r="AH374" s="12">
        <f>IF(ISNUMBER(原始输入与口径!T278),原始输入与口径!T278,"缺失")</f>
        <v>175</v>
      </c>
      <c r="AI374" s="12">
        <f>IF(ISNUMBER(原始输入与口径!Y278),原始输入与口径!Y278,"缺失")</f>
        <v>175</v>
      </c>
      <c r="AJ374" s="12">
        <f>IF(ISNUMBER(原始输入与口径!AI278),原始输入与口径!AI278,"缺失")</f>
        <v>11.045999999999999</v>
      </c>
      <c r="AK374" s="12">
        <f>IF(ISNUMBER(原始输入与口径!AL278),原始输入与口径!AL278,"缺失")</f>
        <v>0</v>
      </c>
      <c r="AL374" s="12">
        <f>IF(ISNUMBER(原始输入与口径!O278),原始输入与口径!O278,"缺失")</f>
        <v>131.96799999999999</v>
      </c>
      <c r="AM374" s="12">
        <f>SUMIFS(相位SOC复算!$N$9:$N$929,相位SOC复算!$S$9:$S$929,366)</f>
        <v>4.5739130434782607E-3</v>
      </c>
      <c r="AN374" s="12">
        <f>SUMIFS(相位SOC复算!$Q$9:$Q$929,相位SOC复算!$S$9:$S$929,366)</f>
        <v>0</v>
      </c>
      <c r="AO374" s="12">
        <f>SUMIFS(相位SOC复算!$R$9:$R$929,相位SOC复算!$S$9:$S$929,366)</f>
        <v>1.5148799999999998</v>
      </c>
      <c r="AP374" s="12">
        <f>相位SOC复算!J890</f>
        <v>167.83882971428585</v>
      </c>
      <c r="AQ374" s="19">
        <f t="shared" si="129"/>
        <v>0</v>
      </c>
      <c r="AR374" s="12">
        <f>IF(ISBLANK(原始输入与口径!M278),"",原始输入与口径!M278)</f>
        <v>5.2473000000000001</v>
      </c>
      <c r="AS374" s="14">
        <f>IF(ISBLANK(原始输入与口径!L278),"",原始输入与口径!L278)</f>
        <v>46234</v>
      </c>
      <c r="AT374" s="13">
        <f>IF(ISBLANK(原始输入与口径!A278),"",原始输入与口径!A278)</f>
        <v>46237.677083333336</v>
      </c>
      <c r="AU374" s="12" t="str">
        <f>IF(ISBLANK(原始输入与口径!I278),"",原始输入与口径!I278)</f>
        <v>2026-08-03_74</v>
      </c>
      <c r="AV374" s="12">
        <f>IF(ISBLANK(原始输入与口径!J278),"",原始输入与口径!J278)</f>
        <v>15</v>
      </c>
      <c r="AW374" s="12" t="str">
        <f>IF(ISBLANK(原始输入与口径!BB278),"",原始输入与口径!BB278)</f>
        <v>OK</v>
      </c>
      <c r="AX374" s="12">
        <f>原始输入与口径!CI278</f>
        <v>128</v>
      </c>
      <c r="AY374" s="12">
        <f>原始输入与口径!BS278</f>
        <v>175</v>
      </c>
      <c r="AZ374" s="12">
        <f>原始输入与口径!BI278</f>
        <v>175</v>
      </c>
      <c r="BA374" s="12">
        <f>原始输入与口径!CM278</f>
        <v>40</v>
      </c>
      <c r="BB374" s="12">
        <f>原始输入与口径!BV278</f>
        <v>24</v>
      </c>
      <c r="BC374" s="12">
        <f>原始输入与口径!BL278</f>
        <v>24</v>
      </c>
      <c r="BD374" s="14">
        <f>46236</f>
        <v>46236</v>
      </c>
      <c r="BE374" s="1" t="str">
        <f t="shared" si="130"/>
        <v>零头寸，无结算现金</v>
      </c>
      <c r="BF374" s="1" t="str">
        <f t="shared" si="131"/>
        <v>40.000000 MW × 66.224535 × 0.250000 h = 662.245345 EUR</v>
      </c>
      <c r="BG374" s="1" t="str">
        <f t="shared" si="132"/>
        <v>24.000000 MW × 7.037905 × 0.250000 h = 42.227431 EUR</v>
      </c>
      <c r="BH374" s="1" t="str">
        <f t="shared" si="133"/>
        <v>24.000000 MW × 2.593715 × 0.250000 h = 15.562289 EUR</v>
      </c>
      <c r="BI374" s="1" t="str">
        <f t="shared" si="134"/>
        <v>1.514880 MWh × 428.122844 = 648.554734 EUR</v>
      </c>
      <c r="BJ374" s="1" t="str">
        <f t="shared" si="135"/>
        <v>零下调激活电量</v>
      </c>
      <c r="BK374" s="1" t="str">
        <f t="shared" si="136"/>
        <v>0.000000 + 662.245345 + 42.227431 + 15.562289 + 648.554734 + 0.000000 = 1368.589800 EUR</v>
      </c>
    </row>
    <row r="375" spans="1:63" ht="21" customHeight="1" x14ac:dyDescent="0.45">
      <c r="A375" s="13">
        <f>原始输入与口径!C279</f>
        <v>46237.8125</v>
      </c>
      <c r="B375" s="15">
        <f>IF(ISNUMBER(原始输入与口径!H279),原始输入与口径!H279,"缺失")</f>
        <v>243.16</v>
      </c>
      <c r="C375" s="15">
        <f>IF(ISNUMBER(原始输入与口径!R279),原始输入与口径!R279,"缺失")</f>
        <v>66.224534522516336</v>
      </c>
      <c r="D375" s="15">
        <f>IF(ISNUMBER(原始输入与口径!W279),原始输入与口径!W279,"缺失")</f>
        <v>7.0379052083928872</v>
      </c>
      <c r="E375" s="15">
        <f>IF(ISNUMBER(原始输入与口径!AB279),原始输入与口径!AB279,"缺失")</f>
        <v>2.5937148628818627</v>
      </c>
      <c r="F375" s="15">
        <f>IF(ISNUMBER(原始输入与口径!AG279),原始输入与口径!AG279,"缺失")</f>
        <v>432.72730737712732</v>
      </c>
      <c r="G375" s="15">
        <f>IF(ISNUMBER(原始输入与口径!AJ279),原始输入与口径!AJ279,"缺失")</f>
        <v>0</v>
      </c>
      <c r="H375" s="15" t="str">
        <f t="shared" si="115"/>
        <v>未模拟</v>
      </c>
      <c r="I375" s="16">
        <f>原始输入与口径!CD279</f>
        <v>167.83882971428585</v>
      </c>
      <c r="J375" s="16">
        <f>原始输入与口径!CE279</f>
        <v>171.60000000000014</v>
      </c>
      <c r="K375" s="16">
        <f>原始输入与口径!BZ279</f>
        <v>-24</v>
      </c>
      <c r="L375" s="16">
        <f>原始输入与口径!CK279</f>
        <v>40</v>
      </c>
      <c r="M375" s="16">
        <f>原始输入与口径!BT279</f>
        <v>24</v>
      </c>
      <c r="N375" s="16">
        <f>原始输入与口径!BJ279</f>
        <v>24</v>
      </c>
      <c r="O375" s="16">
        <f t="shared" si="116"/>
        <v>1.9117714285714285</v>
      </c>
      <c r="P375" s="16">
        <f t="shared" si="117"/>
        <v>0</v>
      </c>
      <c r="Q375" s="17">
        <f t="shared" si="118"/>
        <v>-1458.96</v>
      </c>
      <c r="R375" s="17">
        <f t="shared" si="119"/>
        <v>662.24534522516342</v>
      </c>
      <c r="S375" s="17">
        <f t="shared" si="120"/>
        <v>42.227431250357327</v>
      </c>
      <c r="T375" s="17">
        <f t="shared" si="121"/>
        <v>15.562289177291177</v>
      </c>
      <c r="U375" s="17">
        <f t="shared" si="122"/>
        <v>827.27570260623827</v>
      </c>
      <c r="V375" s="17">
        <f t="shared" si="123"/>
        <v>0</v>
      </c>
      <c r="W375" s="17">
        <f t="shared" si="124"/>
        <v>88.350768259050142</v>
      </c>
      <c r="X375" s="12">
        <f>原始输入与口径!CP279</f>
        <v>88.350768259050156</v>
      </c>
      <c r="Y375" s="19">
        <f t="shared" si="125"/>
        <v>0</v>
      </c>
      <c r="Z375" s="12" t="str">
        <f t="shared" si="137"/>
        <v>次日冻结计划复原</v>
      </c>
      <c r="AA375" s="12">
        <f>IF(原始输入与口径!AW279,1,0)</f>
        <v>1</v>
      </c>
      <c r="AB375" s="12">
        <f>IF(原始输入与口径!AY279,1,0)</f>
        <v>1</v>
      </c>
      <c r="AC375" s="12">
        <f>原始输入与口径!$F$5</f>
        <v>0.25</v>
      </c>
      <c r="AD375" s="18">
        <f>原始输入与口径!CG279</f>
        <v>0.3125</v>
      </c>
      <c r="AE375" s="18">
        <f>原始输入与口径!BQ279</f>
        <v>0.13714285714285715</v>
      </c>
      <c r="AF375" s="18">
        <f t="shared" si="127"/>
        <v>0.31862857142857143</v>
      </c>
      <c r="AG375" s="18">
        <f t="shared" si="128"/>
        <v>0</v>
      </c>
      <c r="AH375" s="12">
        <f>IF(ISNUMBER(原始输入与口径!T279),原始输入与口径!T279,"缺失")</f>
        <v>175</v>
      </c>
      <c r="AI375" s="12">
        <f>IF(ISNUMBER(原始输入与口径!Y279),原始输入与口径!Y279,"缺失")</f>
        <v>175</v>
      </c>
      <c r="AJ375" s="12">
        <f>IF(ISNUMBER(原始输入与口径!AI279),原始输入与口径!AI279,"缺失")</f>
        <v>13.94</v>
      </c>
      <c r="AK375" s="12">
        <f>IF(ISNUMBER(原始输入与口径!AL279),原始输入与口径!AL279,"缺失")</f>
        <v>0</v>
      </c>
      <c r="AL375" s="12">
        <f>IF(ISNUMBER(原始输入与口径!O279),原始输入与口径!O279,"缺失")</f>
        <v>131.96799999999999</v>
      </c>
      <c r="AM375" s="12">
        <f>SUMIFS(相位SOC复算!$N$9:$N$929,相位SOC复算!$S$9:$S$929,367)</f>
        <v>1.0447695238095238E-2</v>
      </c>
      <c r="AN375" s="12">
        <f>SUMIFS(相位SOC复算!$Q$9:$Q$929,相位SOC复算!$S$9:$S$929,367)</f>
        <v>4.0882285714285711</v>
      </c>
      <c r="AO375" s="12">
        <f>SUMIFS(相位SOC复算!$R$9:$R$929,相位SOC复算!$S$9:$S$929,367)</f>
        <v>0</v>
      </c>
      <c r="AP375" s="12">
        <f>相位SOC复算!J892</f>
        <v>171.60000000000014</v>
      </c>
      <c r="AQ375" s="19">
        <f t="shared" si="129"/>
        <v>0</v>
      </c>
      <c r="AR375" s="12">
        <f>IF(ISBLANK(原始输入与口径!M279),"",原始输入与口径!M279)</f>
        <v>5.2473000000000001</v>
      </c>
      <c r="AS375" s="14">
        <f>IF(ISBLANK(原始输入与口径!L279),"",原始输入与口径!L279)</f>
        <v>46234</v>
      </c>
      <c r="AT375" s="13">
        <f>IF(ISBLANK(原始输入与口径!A279),"",原始输入与口径!A279)</f>
        <v>46237.6875</v>
      </c>
      <c r="AU375" s="12" t="str">
        <f>IF(ISBLANK(原始输入与口径!I279),"",原始输入与口径!I279)</f>
        <v>2026-08-03_75</v>
      </c>
      <c r="AV375" s="12">
        <f>IF(ISBLANK(原始输入与口径!J279),"",原始输入与口径!J279)</f>
        <v>15</v>
      </c>
      <c r="AW375" s="12" t="str">
        <f>IF(ISBLANK(原始输入与口径!BB279),"",原始输入与口径!BB279)</f>
        <v>OK</v>
      </c>
      <c r="AX375" s="12">
        <f>原始输入与口径!CI279</f>
        <v>128</v>
      </c>
      <c r="AY375" s="12">
        <f>原始输入与口径!BS279</f>
        <v>175</v>
      </c>
      <c r="AZ375" s="12">
        <f>原始输入与口径!BI279</f>
        <v>175</v>
      </c>
      <c r="BA375" s="12">
        <f>原始输入与口径!CM279</f>
        <v>40</v>
      </c>
      <c r="BB375" s="12">
        <f>原始输入与口径!BV279</f>
        <v>24</v>
      </c>
      <c r="BC375" s="12">
        <f>原始输入与口径!BL279</f>
        <v>24</v>
      </c>
      <c r="BD375" s="14">
        <f>46236</f>
        <v>46236</v>
      </c>
      <c r="BE375" s="1" t="str">
        <f t="shared" si="130"/>
        <v>-24.000000 MW × 243.160000 × 0.250000 h = -1458.960000 EUR</v>
      </c>
      <c r="BF375" s="1" t="str">
        <f t="shared" si="131"/>
        <v>40.000000 MW × 66.224535 × 0.250000 h = 662.245345 EUR</v>
      </c>
      <c r="BG375" s="1" t="str">
        <f t="shared" si="132"/>
        <v>24.000000 MW × 7.037905 × 0.250000 h = 42.227431 EUR</v>
      </c>
      <c r="BH375" s="1" t="str">
        <f t="shared" si="133"/>
        <v>24.000000 MW × 2.593715 × 0.250000 h = 15.562289 EUR</v>
      </c>
      <c r="BI375" s="1" t="str">
        <f t="shared" si="134"/>
        <v>1.911771 MWh × 432.727307 = 827.275703 EUR</v>
      </c>
      <c r="BJ375" s="1" t="str">
        <f t="shared" si="135"/>
        <v>零下调激活电量</v>
      </c>
      <c r="BK375" s="1" t="str">
        <f t="shared" si="136"/>
        <v>-1458.960000 + 662.245345 + 42.227431 + 15.562289 + 827.275703 + 0.000000 = 88.350768 EUR</v>
      </c>
    </row>
    <row r="376" spans="1:63" ht="21" customHeight="1" x14ac:dyDescent="0.45">
      <c r="A376" s="13">
        <f>原始输入与口径!C280</f>
        <v>46237.822916666664</v>
      </c>
      <c r="B376" s="15">
        <f>IF(ISNUMBER(原始输入与口径!H280),原始输入与口径!H280,"缺失")</f>
        <v>377.84</v>
      </c>
      <c r="C376" s="15">
        <f>IF(ISNUMBER(原始输入与口径!R280),原始输入与口径!R280,"缺失")</f>
        <v>66.224534522516336</v>
      </c>
      <c r="D376" s="15">
        <f>IF(ISNUMBER(原始输入与口径!W280),原始输入与口径!W280,"缺失")</f>
        <v>7.0379052083928872</v>
      </c>
      <c r="E376" s="15">
        <f>IF(ISNUMBER(原始输入与口径!AB280),原始输入与口径!AB280,"缺失")</f>
        <v>2.5937148628818627</v>
      </c>
      <c r="F376" s="15">
        <f>IF(ISNUMBER(原始输入与口径!AG280),原始输入与口径!AG280,"缺失")</f>
        <v>388.38469308025077</v>
      </c>
      <c r="G376" s="15">
        <f>IF(ISNUMBER(原始输入与口径!AJ280),原始输入与口径!AJ280,"缺失")</f>
        <v>0</v>
      </c>
      <c r="H376" s="15" t="str">
        <f t="shared" si="115"/>
        <v>未模拟</v>
      </c>
      <c r="I376" s="16">
        <f>原始输入与口径!CD280</f>
        <v>171.60000000000014</v>
      </c>
      <c r="J376" s="16">
        <f>原始输入与口径!CE280</f>
        <v>160.39736645962745</v>
      </c>
      <c r="K376" s="16">
        <f>原始输入与口径!BZ280</f>
        <v>36</v>
      </c>
      <c r="L376" s="16">
        <f>原始输入与口径!CK280</f>
        <v>40</v>
      </c>
      <c r="M376" s="16">
        <f>原始输入与口径!BT280</f>
        <v>24</v>
      </c>
      <c r="N376" s="16">
        <f>原始输入与口径!BJ280</f>
        <v>24</v>
      </c>
      <c r="O376" s="16">
        <f t="shared" si="116"/>
        <v>1.3064228571428571</v>
      </c>
      <c r="P376" s="16">
        <f t="shared" si="117"/>
        <v>0</v>
      </c>
      <c r="Q376" s="17">
        <f t="shared" si="118"/>
        <v>3400.56</v>
      </c>
      <c r="R376" s="17">
        <f t="shared" si="119"/>
        <v>662.24534522516342</v>
      </c>
      <c r="S376" s="17">
        <f t="shared" si="120"/>
        <v>42.227431250357327</v>
      </c>
      <c r="T376" s="17">
        <f t="shared" si="121"/>
        <v>15.562289177291177</v>
      </c>
      <c r="U376" s="17">
        <f t="shared" si="122"/>
        <v>507.39464040445284</v>
      </c>
      <c r="V376" s="17">
        <f t="shared" si="123"/>
        <v>0</v>
      </c>
      <c r="W376" s="17">
        <f t="shared" si="124"/>
        <v>4627.9897060572648</v>
      </c>
      <c r="X376" s="12">
        <f>原始输入与口径!CP280</f>
        <v>4627.9897060572648</v>
      </c>
      <c r="Y376" s="19">
        <f t="shared" si="125"/>
        <v>0</v>
      </c>
      <c r="Z376" s="12" t="str">
        <f t="shared" si="137"/>
        <v>次日冻结计划复原</v>
      </c>
      <c r="AA376" s="12">
        <f>IF(原始输入与口径!AW280,1,0)</f>
        <v>1</v>
      </c>
      <c r="AB376" s="12">
        <f>IF(原始输入与口径!AY280,1,0)</f>
        <v>1</v>
      </c>
      <c r="AC376" s="12">
        <f>原始输入与口径!$F$5</f>
        <v>0.25</v>
      </c>
      <c r="AD376" s="18">
        <f>原始输入与口径!CG280</f>
        <v>0.3125</v>
      </c>
      <c r="AE376" s="18">
        <f>原始输入与口径!BQ280</f>
        <v>0.13714285714285715</v>
      </c>
      <c r="AF376" s="18">
        <f t="shared" si="127"/>
        <v>0.21773714285714285</v>
      </c>
      <c r="AG376" s="18">
        <f t="shared" si="128"/>
        <v>0</v>
      </c>
      <c r="AH376" s="12">
        <f>IF(ISNUMBER(原始输入与口径!T280),原始输入与口径!T280,"缺失")</f>
        <v>175</v>
      </c>
      <c r="AI376" s="12">
        <f>IF(ISNUMBER(原始输入与口径!Y280),原始输入与口径!Y280,"缺失")</f>
        <v>175</v>
      </c>
      <c r="AJ376" s="12">
        <f>IF(ISNUMBER(原始输入与口径!AI280),原始输入与口径!AI280,"缺失")</f>
        <v>9.5259999999999998</v>
      </c>
      <c r="AK376" s="12">
        <f>IF(ISNUMBER(原始输入与口径!AL280),原始输入与口径!AL280,"缺失")</f>
        <v>0</v>
      </c>
      <c r="AL376" s="12">
        <f>IF(ISNUMBER(原始输入与口径!O280),原始输入与口径!O280,"缺失")</f>
        <v>131.96799999999999</v>
      </c>
      <c r="AM376" s="12">
        <f>SUMIFS(相位SOC复算!$N$9:$N$929,相位SOC复算!$S$9:$S$929,368)</f>
        <v>3.1118426501035197E-2</v>
      </c>
      <c r="AN376" s="12">
        <f>SUMIFS(相位SOC复算!$Q$9:$Q$929,相位SOC复算!$S$9:$S$929,368)</f>
        <v>0</v>
      </c>
      <c r="AO376" s="12">
        <f>SUMIFS(相位SOC复算!$R$9:$R$929,相位SOC复算!$S$9:$S$929,368)</f>
        <v>10.306422857142858</v>
      </c>
      <c r="AP376" s="12">
        <f>相位SOC复算!J894</f>
        <v>160.39736645962745</v>
      </c>
      <c r="AQ376" s="19">
        <f t="shared" si="129"/>
        <v>0</v>
      </c>
      <c r="AR376" s="12">
        <f>IF(ISBLANK(原始输入与口径!M280),"",原始输入与口径!M280)</f>
        <v>5.2473000000000001</v>
      </c>
      <c r="AS376" s="14">
        <f>IF(ISBLANK(原始输入与口径!L280),"",原始输入与口径!L280)</f>
        <v>46234</v>
      </c>
      <c r="AT376" s="13">
        <f>IF(ISBLANK(原始输入与口径!A280),"",原始输入与口径!A280)</f>
        <v>46237.697916666664</v>
      </c>
      <c r="AU376" s="12" t="str">
        <f>IF(ISBLANK(原始输入与口径!I280),"",原始输入与口径!I280)</f>
        <v>2026-08-03_76</v>
      </c>
      <c r="AV376" s="12">
        <f>IF(ISBLANK(原始输入与口径!J280),"",原始输入与口径!J280)</f>
        <v>15</v>
      </c>
      <c r="AW376" s="12" t="str">
        <f>IF(ISBLANK(原始输入与口径!BB280),"",原始输入与口径!BB280)</f>
        <v>OK</v>
      </c>
      <c r="AX376" s="12">
        <f>原始输入与口径!CI280</f>
        <v>128</v>
      </c>
      <c r="AY376" s="12">
        <f>原始输入与口径!BS280</f>
        <v>175</v>
      </c>
      <c r="AZ376" s="12">
        <f>原始输入与口径!BI280</f>
        <v>175</v>
      </c>
      <c r="BA376" s="12">
        <f>原始输入与口径!CM280</f>
        <v>40</v>
      </c>
      <c r="BB376" s="12">
        <f>原始输入与口径!BV280</f>
        <v>24</v>
      </c>
      <c r="BC376" s="12">
        <f>原始输入与口径!BL280</f>
        <v>24</v>
      </c>
      <c r="BD376" s="14">
        <f>46236</f>
        <v>46236</v>
      </c>
      <c r="BE376" s="1" t="str">
        <f t="shared" si="130"/>
        <v>36.000000 MW × 377.840000 × 0.250000 h = 3400.560000 EUR</v>
      </c>
      <c r="BF376" s="1" t="str">
        <f t="shared" si="131"/>
        <v>40.000000 MW × 66.224535 × 0.250000 h = 662.245345 EUR</v>
      </c>
      <c r="BG376" s="1" t="str">
        <f t="shared" si="132"/>
        <v>24.000000 MW × 7.037905 × 0.250000 h = 42.227431 EUR</v>
      </c>
      <c r="BH376" s="1" t="str">
        <f t="shared" si="133"/>
        <v>24.000000 MW × 2.593715 × 0.250000 h = 15.562289 EUR</v>
      </c>
      <c r="BI376" s="1" t="str">
        <f t="shared" si="134"/>
        <v>1.306423 MWh × 388.384693 = 507.394640 EUR</v>
      </c>
      <c r="BJ376" s="1" t="str">
        <f t="shared" si="135"/>
        <v>零下调激活电量</v>
      </c>
      <c r="BK376" s="1" t="str">
        <f t="shared" si="136"/>
        <v>3400.560000 + 662.245345 + 42.227431 + 15.562289 + 507.394640 + 0.000000 = 4627.989706 EUR</v>
      </c>
    </row>
    <row r="377" spans="1:63" ht="21" customHeight="1" x14ac:dyDescent="0.45">
      <c r="A377" s="13">
        <f>原始输入与口径!C281</f>
        <v>46237.833333333336</v>
      </c>
      <c r="B377" s="15">
        <f>IF(ISNUMBER(原始输入与口径!H281),原始输入与口径!H281,"缺失")</f>
        <v>274.55</v>
      </c>
      <c r="C377" s="15">
        <f>IF(ISNUMBER(原始输入与口径!R281),原始输入与口径!R281,"缺失")</f>
        <v>66.224534522516336</v>
      </c>
      <c r="D377" s="15">
        <f>IF(ISNUMBER(原始输入与口径!W281),原始输入与口径!W281,"缺失")</f>
        <v>4.0325500733710671</v>
      </c>
      <c r="E377" s="15">
        <f>IF(ISNUMBER(原始输入与口径!AB281),原始输入与口径!AB281,"缺失")</f>
        <v>2.5937148628818627</v>
      </c>
      <c r="F377" s="15">
        <f>IF(ISNUMBER(原始输入与口径!AG281),原始输入与口径!AG281,"缺失")</f>
        <v>409.30326072456313</v>
      </c>
      <c r="G377" s="15">
        <f>IF(ISNUMBER(原始输入与口径!AJ281),原始输入与口径!AJ281,"缺失")</f>
        <v>0</v>
      </c>
      <c r="H377" s="15" t="str">
        <f t="shared" si="115"/>
        <v>未模拟</v>
      </c>
      <c r="I377" s="16">
        <f>原始输入与口径!CD281</f>
        <v>160.39736645962745</v>
      </c>
      <c r="J377" s="16">
        <f>原始输入与口径!CE281</f>
        <v>177.87736645962747</v>
      </c>
      <c r="K377" s="16">
        <f>原始输入与口径!BZ281</f>
        <v>-76</v>
      </c>
      <c r="L377" s="16">
        <f>原始输入与口径!CK281</f>
        <v>0</v>
      </c>
      <c r="M377" s="16">
        <f>原始输入与口径!BT281</f>
        <v>0</v>
      </c>
      <c r="N377" s="16">
        <f>原始输入与口径!BJ281</f>
        <v>24</v>
      </c>
      <c r="O377" s="16">
        <f t="shared" si="116"/>
        <v>0</v>
      </c>
      <c r="P377" s="16">
        <f t="shared" si="117"/>
        <v>0</v>
      </c>
      <c r="Q377" s="17">
        <f t="shared" si="118"/>
        <v>-5216.45</v>
      </c>
      <c r="R377" s="17">
        <f t="shared" si="119"/>
        <v>0</v>
      </c>
      <c r="S377" s="17">
        <f t="shared" si="120"/>
        <v>0</v>
      </c>
      <c r="T377" s="17">
        <f t="shared" si="121"/>
        <v>15.562289177291177</v>
      </c>
      <c r="U377" s="17">
        <f t="shared" si="122"/>
        <v>0</v>
      </c>
      <c r="V377" s="17">
        <f t="shared" si="123"/>
        <v>0</v>
      </c>
      <c r="W377" s="17">
        <f t="shared" si="124"/>
        <v>-5200.8877108227089</v>
      </c>
      <c r="X377" s="12">
        <f>原始输入与口径!CP281</f>
        <v>-5200.8877108227089</v>
      </c>
      <c r="Y377" s="19">
        <f t="shared" si="125"/>
        <v>0</v>
      </c>
      <c r="Z377" s="12" t="str">
        <f t="shared" si="137"/>
        <v>次日冻结计划复原</v>
      </c>
      <c r="AA377" s="12">
        <f>IF(原始输入与口径!AW281,1,0)</f>
        <v>1</v>
      </c>
      <c r="AB377" s="12">
        <f>IF(原始输入与口径!AY281,1,0)</f>
        <v>1</v>
      </c>
      <c r="AC377" s="12">
        <f>原始输入与口径!$F$5</f>
        <v>0.25</v>
      </c>
      <c r="AD377" s="18">
        <f>原始输入与口径!CG281</f>
        <v>0.3125</v>
      </c>
      <c r="AE377" s="18">
        <f>原始输入与口径!BQ281</f>
        <v>0.13714285714285715</v>
      </c>
      <c r="AF377" s="18">
        <f t="shared" si="127"/>
        <v>0.1928</v>
      </c>
      <c r="AG377" s="18">
        <f t="shared" si="128"/>
        <v>0</v>
      </c>
      <c r="AH377" s="12">
        <f>IF(ISNUMBER(原始输入与口径!T281),原始输入与口径!T281,"缺失")</f>
        <v>175</v>
      </c>
      <c r="AI377" s="12">
        <f>IF(ISNUMBER(原始输入与口径!Y281),原始输入与口径!Y281,"缺失")</f>
        <v>175</v>
      </c>
      <c r="AJ377" s="12">
        <f>IF(ISNUMBER(原始输入与口径!AI281),原始输入与口径!AI281,"缺失")</f>
        <v>8.4350000000000005</v>
      </c>
      <c r="AK377" s="12">
        <f>IF(ISNUMBER(原始输入与口径!AL281),原始输入与口径!AL281,"缺失")</f>
        <v>0</v>
      </c>
      <c r="AL377" s="12">
        <f>IF(ISNUMBER(原始输入与口径!O281),原始输入与口径!O281,"缺失")</f>
        <v>131.96799999999999</v>
      </c>
      <c r="AM377" s="12">
        <f>SUMIFS(相位SOC复算!$N$9:$N$929,相位SOC复算!$S$9:$S$929,369)</f>
        <v>4.8555555555555553E-2</v>
      </c>
      <c r="AN377" s="12">
        <f>SUMIFS(相位SOC复算!$Q$9:$Q$929,相位SOC复算!$S$9:$S$929,369)</f>
        <v>19</v>
      </c>
      <c r="AO377" s="12">
        <f>SUMIFS(相位SOC复算!$R$9:$R$929,相位SOC复算!$S$9:$S$929,369)</f>
        <v>0</v>
      </c>
      <c r="AP377" s="12">
        <f>相位SOC复算!J896</f>
        <v>177.87736645962747</v>
      </c>
      <c r="AQ377" s="19">
        <f t="shared" si="129"/>
        <v>0</v>
      </c>
      <c r="AR377" s="12">
        <f>IF(ISBLANK(原始输入与口径!M281),"",原始输入与口径!M281)</f>
        <v>5.2473000000000001</v>
      </c>
      <c r="AS377" s="14">
        <f>IF(ISBLANK(原始输入与口径!L281),"",原始输入与口径!L281)</f>
        <v>46234</v>
      </c>
      <c r="AT377" s="13">
        <f>IF(ISBLANK(原始输入与口径!A281),"",原始输入与口径!A281)</f>
        <v>46237.708333333336</v>
      </c>
      <c r="AU377" s="12" t="str">
        <f>IF(ISBLANK(原始输入与口径!I281),"",原始输入与口径!I281)</f>
        <v>2026-08-03_77</v>
      </c>
      <c r="AV377" s="12">
        <f>IF(ISBLANK(原始输入与口径!J281),"",原始输入与口径!J281)</f>
        <v>15</v>
      </c>
      <c r="AW377" s="12" t="str">
        <f>IF(ISBLANK(原始输入与口径!BB281),"",原始输入与口径!BB281)</f>
        <v>OK</v>
      </c>
      <c r="AX377" s="12">
        <f>原始输入与口径!CI281</f>
        <v>128</v>
      </c>
      <c r="AY377" s="12">
        <f>原始输入与口径!BS281</f>
        <v>175</v>
      </c>
      <c r="AZ377" s="12">
        <f>原始输入与口径!BI281</f>
        <v>175</v>
      </c>
      <c r="BA377" s="12">
        <f>原始输入与口径!CM281</f>
        <v>40</v>
      </c>
      <c r="BB377" s="12">
        <f>原始输入与口径!BV281</f>
        <v>24</v>
      </c>
      <c r="BC377" s="12">
        <f>原始输入与口径!BL281</f>
        <v>24</v>
      </c>
      <c r="BD377" s="14">
        <f>46236</f>
        <v>46236</v>
      </c>
      <c r="BE377" s="1" t="str">
        <f t="shared" si="130"/>
        <v>-76.000000 MW × 274.550000 × 0.250000 h = -5216.450000 EUR</v>
      </c>
      <c r="BF377" s="1" t="str">
        <f t="shared" si="131"/>
        <v>零头寸，无结算现金</v>
      </c>
      <c r="BG377" s="1" t="str">
        <f t="shared" si="132"/>
        <v>零头寸，无结算现金</v>
      </c>
      <c r="BH377" s="1" t="str">
        <f t="shared" si="133"/>
        <v>24.000000 MW × 2.593715 × 0.250000 h = 15.562289 EUR</v>
      </c>
      <c r="BI377" s="1" t="str">
        <f t="shared" si="134"/>
        <v>零上调激活电量</v>
      </c>
      <c r="BJ377" s="1" t="str">
        <f t="shared" si="135"/>
        <v>零下调激活电量</v>
      </c>
      <c r="BK377" s="1" t="str">
        <f t="shared" si="136"/>
        <v>-5216.450000 + 0.000000 + 0.000000 + 15.562289 + 0.000000 + 0.000000 = -5200.887711 EUR</v>
      </c>
    </row>
    <row r="378" spans="1:63" ht="21" customHeight="1" x14ac:dyDescent="0.45">
      <c r="A378" s="13">
        <f>原始输入与口径!C282</f>
        <v>46237.84375</v>
      </c>
      <c r="B378" s="15">
        <f>IF(ISNUMBER(原始输入与口径!H282),原始输入与口径!H282,"缺失")</f>
        <v>331.56</v>
      </c>
      <c r="C378" s="15">
        <f>IF(ISNUMBER(原始输入与口径!R282),原始输入与口径!R282,"缺失")</f>
        <v>66.224534522516336</v>
      </c>
      <c r="D378" s="15">
        <f>IF(ISNUMBER(原始输入与口径!W282),原始输入与口径!W282,"缺失")</f>
        <v>4.0325500733710671</v>
      </c>
      <c r="E378" s="15">
        <f>IF(ISNUMBER(原始输入与口径!AB282),原始输入与口径!AB282,"缺失")</f>
        <v>2.5937148628818627</v>
      </c>
      <c r="F378" s="15">
        <f>IF(ISNUMBER(原始输入与口径!AG282),原始输入与口径!AG282,"缺失")</f>
        <v>311.91126865244985</v>
      </c>
      <c r="G378" s="15">
        <f>IF(ISNUMBER(原始输入与口径!AJ282),原始输入与口径!AJ282,"缺失")</f>
        <v>0</v>
      </c>
      <c r="H378" s="15" t="str">
        <f t="shared" si="115"/>
        <v>未模拟</v>
      </c>
      <c r="I378" s="16">
        <f>原始输入与口径!CD282</f>
        <v>177.87736645962747</v>
      </c>
      <c r="J378" s="16">
        <f>原始输入与口径!CE282</f>
        <v>167.60452173913055</v>
      </c>
      <c r="K378" s="16">
        <f>原始输入与口径!BZ282</f>
        <v>37.804068571428665</v>
      </c>
      <c r="L378" s="16">
        <f>原始输入与口径!CK282</f>
        <v>0</v>
      </c>
      <c r="M378" s="16">
        <f>原始输入与口径!BT282</f>
        <v>0</v>
      </c>
      <c r="N378" s="16">
        <f>原始输入与口径!BJ282</f>
        <v>24</v>
      </c>
      <c r="O378" s="16">
        <f t="shared" si="116"/>
        <v>0</v>
      </c>
      <c r="P378" s="16">
        <f t="shared" si="117"/>
        <v>0</v>
      </c>
      <c r="Q378" s="17">
        <f t="shared" si="118"/>
        <v>3133.579243885722</v>
      </c>
      <c r="R378" s="17">
        <f t="shared" si="119"/>
        <v>0</v>
      </c>
      <c r="S378" s="17">
        <f t="shared" si="120"/>
        <v>0</v>
      </c>
      <c r="T378" s="17">
        <f t="shared" si="121"/>
        <v>15.562289177291177</v>
      </c>
      <c r="U378" s="17">
        <f t="shared" si="122"/>
        <v>0</v>
      </c>
      <c r="V378" s="17">
        <f t="shared" si="123"/>
        <v>0</v>
      </c>
      <c r="W378" s="17">
        <f t="shared" si="124"/>
        <v>3149.1415330630134</v>
      </c>
      <c r="X378" s="12">
        <f>原始输入与口径!CP282</f>
        <v>3149.1415330630134</v>
      </c>
      <c r="Y378" s="19">
        <f t="shared" si="125"/>
        <v>0</v>
      </c>
      <c r="Z378" s="12" t="str">
        <f t="shared" si="137"/>
        <v>次日冻结计划复原</v>
      </c>
      <c r="AA378" s="12">
        <f>IF(原始输入与口径!AW282,1,0)</f>
        <v>1</v>
      </c>
      <c r="AB378" s="12">
        <f>IF(原始输入与口径!AY282,1,0)</f>
        <v>1</v>
      </c>
      <c r="AC378" s="12">
        <f>原始输入与口径!$F$5</f>
        <v>0.25</v>
      </c>
      <c r="AD378" s="18">
        <f>原始输入与口径!CG282</f>
        <v>0.3125</v>
      </c>
      <c r="AE378" s="18">
        <f>原始输入与口径!BQ282</f>
        <v>0.13714285714285715</v>
      </c>
      <c r="AF378" s="18">
        <f t="shared" si="127"/>
        <v>0.13211428571428571</v>
      </c>
      <c r="AG378" s="18">
        <f t="shared" si="128"/>
        <v>0</v>
      </c>
      <c r="AH378" s="12">
        <f>IF(ISNUMBER(原始输入与口径!T282),原始输入与口径!T282,"缺失")</f>
        <v>175</v>
      </c>
      <c r="AI378" s="12">
        <f>IF(ISNUMBER(原始输入与口径!Y282),原始输入与口径!Y282,"缺失")</f>
        <v>175</v>
      </c>
      <c r="AJ378" s="12">
        <f>IF(ISNUMBER(原始输入与口径!AI282),原始输入与口径!AI282,"缺失")</f>
        <v>5.78</v>
      </c>
      <c r="AK378" s="12">
        <f>IF(ISNUMBER(原始输入与口径!AL282),原始输入与口径!AL282,"缺失")</f>
        <v>0</v>
      </c>
      <c r="AL378" s="12">
        <f>IF(ISNUMBER(原始输入与口径!O282),原始输入与口径!O282,"缺失")</f>
        <v>131.96799999999999</v>
      </c>
      <c r="AM378" s="12">
        <f>SUMIFS(相位SOC复算!$N$9:$N$929,相位SOC复算!$S$9:$S$929,370)</f>
        <v>2.8535679779158107E-2</v>
      </c>
      <c r="AN378" s="12">
        <f>SUMIFS(相位SOC复算!$Q$9:$Q$929,相位SOC复算!$S$9:$S$929,370)</f>
        <v>0</v>
      </c>
      <c r="AO378" s="12">
        <f>SUMIFS(相位SOC复算!$R$9:$R$929,相位SOC复算!$S$9:$S$929,370)</f>
        <v>9.4510171428571663</v>
      </c>
      <c r="AP378" s="12">
        <f>相位SOC复算!J898</f>
        <v>167.60452173913055</v>
      </c>
      <c r="AQ378" s="19">
        <f t="shared" si="129"/>
        <v>0</v>
      </c>
      <c r="AR378" s="12">
        <f>IF(ISBLANK(原始输入与口径!M282),"",原始输入与口径!M282)</f>
        <v>5.2473000000000001</v>
      </c>
      <c r="AS378" s="14">
        <f>IF(ISBLANK(原始输入与口径!L282),"",原始输入与口径!L282)</f>
        <v>46234</v>
      </c>
      <c r="AT378" s="13">
        <f>IF(ISBLANK(原始输入与口径!A282),"",原始输入与口径!A282)</f>
        <v>46237.71875</v>
      </c>
      <c r="AU378" s="12" t="str">
        <f>IF(ISBLANK(原始输入与口径!I282),"",原始输入与口径!I282)</f>
        <v>2026-08-03_78</v>
      </c>
      <c r="AV378" s="12">
        <f>IF(ISBLANK(原始输入与口径!J282),"",原始输入与口径!J282)</f>
        <v>15</v>
      </c>
      <c r="AW378" s="12" t="str">
        <f>IF(ISBLANK(原始输入与口径!BB282),"",原始输入与口径!BB282)</f>
        <v>OK</v>
      </c>
      <c r="AX378" s="12">
        <f>原始输入与口径!CI282</f>
        <v>128</v>
      </c>
      <c r="AY378" s="12">
        <f>原始输入与口径!BS282</f>
        <v>175</v>
      </c>
      <c r="AZ378" s="12">
        <f>原始输入与口径!BI282</f>
        <v>175</v>
      </c>
      <c r="BA378" s="12">
        <f>原始输入与口径!CM282</f>
        <v>40</v>
      </c>
      <c r="BB378" s="12">
        <f>原始输入与口径!BV282</f>
        <v>24</v>
      </c>
      <c r="BC378" s="12">
        <f>原始输入与口径!BL282</f>
        <v>24</v>
      </c>
      <c r="BD378" s="14">
        <f>46236</f>
        <v>46236</v>
      </c>
      <c r="BE378" s="1" t="str">
        <f t="shared" si="130"/>
        <v>37.804069 MW × 331.560000 × 0.250000 h = 3133.579244 EUR</v>
      </c>
      <c r="BF378" s="1" t="str">
        <f t="shared" si="131"/>
        <v>零头寸，无结算现金</v>
      </c>
      <c r="BG378" s="1" t="str">
        <f t="shared" si="132"/>
        <v>零头寸，无结算现金</v>
      </c>
      <c r="BH378" s="1" t="str">
        <f t="shared" si="133"/>
        <v>24.000000 MW × 2.593715 × 0.250000 h = 15.562289 EUR</v>
      </c>
      <c r="BI378" s="1" t="str">
        <f t="shared" si="134"/>
        <v>零上调激活电量</v>
      </c>
      <c r="BJ378" s="1" t="str">
        <f t="shared" si="135"/>
        <v>零下调激活电量</v>
      </c>
      <c r="BK378" s="1" t="str">
        <f t="shared" si="136"/>
        <v>3133.579244 + 0.000000 + 0.000000 + 15.562289 + 0.000000 + 0.000000 = 3149.141533 EUR</v>
      </c>
    </row>
    <row r="379" spans="1:63" ht="21" customHeight="1" x14ac:dyDescent="0.45">
      <c r="A379" s="13">
        <f>原始输入与口径!C283</f>
        <v>46237.854166666664</v>
      </c>
      <c r="B379" s="15">
        <f>IF(ISNUMBER(原始输入与口径!H283),原始输入与口径!H283,"缺失")</f>
        <v>516.79999999999995</v>
      </c>
      <c r="C379" s="15">
        <f>IF(ISNUMBER(原始输入与口径!R283),原始输入与口径!R283,"缺失")</f>
        <v>66.224534522516336</v>
      </c>
      <c r="D379" s="15">
        <f>IF(ISNUMBER(原始输入与口径!W283),原始输入与口径!W283,"缺失")</f>
        <v>4.0325500733710671</v>
      </c>
      <c r="E379" s="15">
        <f>IF(ISNUMBER(原始输入与口径!AB283),原始输入与口径!AB283,"缺失")</f>
        <v>2.5937148628818627</v>
      </c>
      <c r="F379" s="15">
        <f>IF(ISNUMBER(原始输入与口径!AG283),原始输入与口径!AG283,"缺失")</f>
        <v>285.50969069807331</v>
      </c>
      <c r="G379" s="15">
        <f>IF(ISNUMBER(原始输入与口径!AJ283),原始输入与口径!AJ283,"缺失")</f>
        <v>0</v>
      </c>
      <c r="H379" s="15" t="str">
        <f t="shared" si="115"/>
        <v>未模拟</v>
      </c>
      <c r="I379" s="16">
        <f>原始输入与口径!CD283</f>
        <v>167.60452173913055</v>
      </c>
      <c r="J379" s="16">
        <f>原始输入与口径!CE283</f>
        <v>140.4306086956523</v>
      </c>
      <c r="K379" s="16">
        <f>原始输入与口径!BZ283</f>
        <v>100</v>
      </c>
      <c r="L379" s="16">
        <f>原始输入与口径!CK283</f>
        <v>0</v>
      </c>
      <c r="M379" s="16">
        <f>原始输入与口径!BT283</f>
        <v>0</v>
      </c>
      <c r="N379" s="16">
        <f>原始输入与口径!BJ283</f>
        <v>24</v>
      </c>
      <c r="O379" s="16">
        <f t="shared" si="116"/>
        <v>0</v>
      </c>
      <c r="P379" s="16">
        <f t="shared" si="117"/>
        <v>0</v>
      </c>
      <c r="Q379" s="17">
        <f t="shared" si="118"/>
        <v>12919.999999999998</v>
      </c>
      <c r="R379" s="17">
        <f t="shared" si="119"/>
        <v>0</v>
      </c>
      <c r="S379" s="17">
        <f t="shared" si="120"/>
        <v>0</v>
      </c>
      <c r="T379" s="17">
        <f t="shared" si="121"/>
        <v>15.562289177291177</v>
      </c>
      <c r="U379" s="17">
        <f t="shared" si="122"/>
        <v>0</v>
      </c>
      <c r="V379" s="17">
        <f t="shared" si="123"/>
        <v>0</v>
      </c>
      <c r="W379" s="17">
        <f t="shared" si="124"/>
        <v>12935.562289177289</v>
      </c>
      <c r="X379" s="12">
        <f>原始输入与口径!CP283</f>
        <v>12935.562289177289</v>
      </c>
      <c r="Y379" s="19">
        <f t="shared" si="125"/>
        <v>0</v>
      </c>
      <c r="Z379" s="12" t="str">
        <f t="shared" si="137"/>
        <v>次日冻结计划复原</v>
      </c>
      <c r="AA379" s="12">
        <f>IF(原始输入与口径!AW283,1,0)</f>
        <v>1</v>
      </c>
      <c r="AB379" s="12">
        <f>IF(原始输入与口径!AY283,1,0)</f>
        <v>1</v>
      </c>
      <c r="AC379" s="12">
        <f>原始输入与口径!$F$5</f>
        <v>0.25</v>
      </c>
      <c r="AD379" s="18">
        <f>原始输入与口径!CG283</f>
        <v>0.3125</v>
      </c>
      <c r="AE379" s="18">
        <f>原始输入与口径!BQ283</f>
        <v>0.13714285714285715</v>
      </c>
      <c r="AF379" s="18">
        <f t="shared" si="127"/>
        <v>0.16166857142857144</v>
      </c>
      <c r="AG379" s="18">
        <f t="shared" si="128"/>
        <v>0</v>
      </c>
      <c r="AH379" s="12">
        <f>IF(ISNUMBER(原始输入与口径!T283),原始输入与口径!T283,"缺失")</f>
        <v>175</v>
      </c>
      <c r="AI379" s="12">
        <f>IF(ISNUMBER(原始输入与口径!Y283),原始输入与口径!Y283,"缺失")</f>
        <v>175</v>
      </c>
      <c r="AJ379" s="12">
        <f>IF(ISNUMBER(原始输入与口径!AI283),原始输入与口径!AI283,"缺失")</f>
        <v>7.0730000000000004</v>
      </c>
      <c r="AK379" s="12">
        <f>IF(ISNUMBER(原始输入与口径!AL283),原始输入与口径!AL283,"缺失")</f>
        <v>0</v>
      </c>
      <c r="AL379" s="12">
        <f>IF(ISNUMBER(原始输入与口径!O283),原始输入与口径!O283,"缺失")</f>
        <v>131.96799999999999</v>
      </c>
      <c r="AM379" s="12">
        <f>SUMIFS(相位SOC复算!$N$9:$N$929,相位SOC复算!$S$9:$S$929,371)</f>
        <v>7.5483091787439602E-2</v>
      </c>
      <c r="AN379" s="12">
        <f>SUMIFS(相位SOC复算!$Q$9:$Q$929,相位SOC复算!$S$9:$S$929,371)</f>
        <v>0</v>
      </c>
      <c r="AO379" s="12">
        <f>SUMIFS(相位SOC复算!$R$9:$R$929,相位SOC复算!$S$9:$S$929,371)</f>
        <v>24.999999999999996</v>
      </c>
      <c r="AP379" s="12">
        <f>相位SOC复算!J900</f>
        <v>140.4306086956523</v>
      </c>
      <c r="AQ379" s="19">
        <f t="shared" si="129"/>
        <v>0</v>
      </c>
      <c r="AR379" s="12">
        <f>IF(ISBLANK(原始输入与口径!M283),"",原始输入与口径!M283)</f>
        <v>5.2473000000000001</v>
      </c>
      <c r="AS379" s="14">
        <f>IF(ISBLANK(原始输入与口径!L283),"",原始输入与口径!L283)</f>
        <v>46234</v>
      </c>
      <c r="AT379" s="13">
        <f>IF(ISBLANK(原始输入与口径!A283),"",原始输入与口径!A283)</f>
        <v>46237.729166666664</v>
      </c>
      <c r="AU379" s="12" t="str">
        <f>IF(ISBLANK(原始输入与口径!I283),"",原始输入与口径!I283)</f>
        <v>2026-08-03_79</v>
      </c>
      <c r="AV379" s="12">
        <f>IF(ISBLANK(原始输入与口径!J283),"",原始输入与口径!J283)</f>
        <v>15</v>
      </c>
      <c r="AW379" s="12" t="str">
        <f>IF(ISBLANK(原始输入与口径!BB283),"",原始输入与口径!BB283)</f>
        <v>OK</v>
      </c>
      <c r="AX379" s="12">
        <f>原始输入与口径!CI283</f>
        <v>128</v>
      </c>
      <c r="AY379" s="12">
        <f>原始输入与口径!BS283</f>
        <v>175</v>
      </c>
      <c r="AZ379" s="12">
        <f>原始输入与口径!BI283</f>
        <v>175</v>
      </c>
      <c r="BA379" s="12">
        <f>原始输入与口径!CM283</f>
        <v>40</v>
      </c>
      <c r="BB379" s="12">
        <f>原始输入与口径!BV283</f>
        <v>24</v>
      </c>
      <c r="BC379" s="12">
        <f>原始输入与口径!BL283</f>
        <v>24</v>
      </c>
      <c r="BD379" s="14">
        <f>46236</f>
        <v>46236</v>
      </c>
      <c r="BE379" s="1" t="str">
        <f t="shared" si="130"/>
        <v>100.000000 MW × 516.800000 × 0.250000 h = 12920.000000 EUR</v>
      </c>
      <c r="BF379" s="1" t="str">
        <f t="shared" si="131"/>
        <v>零头寸，无结算现金</v>
      </c>
      <c r="BG379" s="1" t="str">
        <f t="shared" si="132"/>
        <v>零头寸，无结算现金</v>
      </c>
      <c r="BH379" s="1" t="str">
        <f t="shared" si="133"/>
        <v>24.000000 MW × 2.593715 × 0.250000 h = 15.562289 EUR</v>
      </c>
      <c r="BI379" s="1" t="str">
        <f t="shared" si="134"/>
        <v>零上调激活电量</v>
      </c>
      <c r="BJ379" s="1" t="str">
        <f t="shared" si="135"/>
        <v>零下调激活电量</v>
      </c>
      <c r="BK379" s="1" t="str">
        <f t="shared" si="136"/>
        <v>12920.000000 + 0.000000 + 0.000000 + 15.562289 + 0.000000 + 0.000000 = 12935.562289 EUR</v>
      </c>
    </row>
    <row r="380" spans="1:63" ht="21" customHeight="1" x14ac:dyDescent="0.45">
      <c r="A380" s="13">
        <f>原始输入与口径!C284</f>
        <v>46237.864583333336</v>
      </c>
      <c r="B380" s="15">
        <f>IF(ISNUMBER(原始输入与口径!H284),原始输入与口径!H284,"缺失")</f>
        <v>559.05999999999995</v>
      </c>
      <c r="C380" s="15">
        <f>IF(ISNUMBER(原始输入与口径!R284),原始输入与口径!R284,"缺失")</f>
        <v>66.224534522516336</v>
      </c>
      <c r="D380" s="15">
        <f>IF(ISNUMBER(原始输入与口径!W284),原始输入与口径!W284,"缺失")</f>
        <v>4.0325500733710671</v>
      </c>
      <c r="E380" s="15">
        <f>IF(ISNUMBER(原始输入与口径!AB284),原始输入与口径!AB284,"缺失")</f>
        <v>2.5937148628818627</v>
      </c>
      <c r="F380" s="15">
        <f>IF(ISNUMBER(原始输入与口径!AG284),原始输入与口径!AG284,"缺失")</f>
        <v>251.0393916871534</v>
      </c>
      <c r="G380" s="15">
        <f>IF(ISNUMBER(原始输入与口径!AJ284),原始输入与口径!AJ284,"缺失")</f>
        <v>95.287100032397618</v>
      </c>
      <c r="H380" s="15" t="str">
        <f t="shared" si="115"/>
        <v>未模拟</v>
      </c>
      <c r="I380" s="16">
        <f>原始输入与口径!CD284</f>
        <v>140.4306086956523</v>
      </c>
      <c r="J380" s="16">
        <f>原始输入与口径!CE284</f>
        <v>113.25833540372683</v>
      </c>
      <c r="K380" s="16">
        <f>原始输入与口径!BZ284</f>
        <v>100</v>
      </c>
      <c r="L380" s="16">
        <f>原始输入与口径!CK284</f>
        <v>0</v>
      </c>
      <c r="M380" s="16">
        <f>原始输入与口径!BT284</f>
        <v>0</v>
      </c>
      <c r="N380" s="16">
        <f>原始输入与口径!BJ284</f>
        <v>24</v>
      </c>
      <c r="O380" s="16">
        <f t="shared" si="116"/>
        <v>0</v>
      </c>
      <c r="P380" s="16">
        <f t="shared" si="117"/>
        <v>1.5085714285714283E-3</v>
      </c>
      <c r="Q380" s="17">
        <f t="shared" si="118"/>
        <v>13976.499999999998</v>
      </c>
      <c r="R380" s="17">
        <f t="shared" si="119"/>
        <v>0</v>
      </c>
      <c r="S380" s="17">
        <f t="shared" si="120"/>
        <v>0</v>
      </c>
      <c r="T380" s="17">
        <f t="shared" si="121"/>
        <v>15.562289177291177</v>
      </c>
      <c r="U380" s="17">
        <f t="shared" si="122"/>
        <v>0</v>
      </c>
      <c r="V380" s="17">
        <f t="shared" si="123"/>
        <v>-0.14374739662030267</v>
      </c>
      <c r="W380" s="17">
        <f t="shared" si="124"/>
        <v>13991.918541780669</v>
      </c>
      <c r="X380" s="12">
        <f>原始输入与口径!CP284</f>
        <v>13991.918541780669</v>
      </c>
      <c r="Y380" s="19">
        <f t="shared" si="125"/>
        <v>0</v>
      </c>
      <c r="Z380" s="12" t="str">
        <f t="shared" si="137"/>
        <v>次日冻结计划复原</v>
      </c>
      <c r="AA380" s="12">
        <f>IF(原始输入与口径!AW284,1,0)</f>
        <v>1</v>
      </c>
      <c r="AB380" s="12">
        <f>IF(原始输入与口径!AY284,1,0)</f>
        <v>1</v>
      </c>
      <c r="AC380" s="12">
        <f>原始输入与口径!$F$5</f>
        <v>0.25</v>
      </c>
      <c r="AD380" s="18">
        <f>原始输入与口径!CG284</f>
        <v>0.3125</v>
      </c>
      <c r="AE380" s="18">
        <f>原始输入与口径!BQ284</f>
        <v>0.13714285714285715</v>
      </c>
      <c r="AF380" s="18">
        <f t="shared" si="127"/>
        <v>7.1428571428571425E-2</v>
      </c>
      <c r="AG380" s="18">
        <f t="shared" si="128"/>
        <v>2.5142857142857139E-4</v>
      </c>
      <c r="AH380" s="12">
        <f>IF(ISNUMBER(原始输入与口径!T284),原始输入与口径!T284,"缺失")</f>
        <v>175</v>
      </c>
      <c r="AI380" s="12">
        <f>IF(ISNUMBER(原始输入与口径!Y284),原始输入与口径!Y284,"缺失")</f>
        <v>175</v>
      </c>
      <c r="AJ380" s="12">
        <f>IF(ISNUMBER(原始输入与口径!AI284),原始输入与口径!AI284,"缺失")</f>
        <v>3.125</v>
      </c>
      <c r="AK380" s="12">
        <f>IF(ISNUMBER(原始输入与口径!AL284),原始输入与口径!AL284,"缺失")</f>
        <v>1.0999999999999999E-2</v>
      </c>
      <c r="AL380" s="12">
        <f>IF(ISNUMBER(原始输入与口径!O284),原始输入与口径!O284,"缺失")</f>
        <v>131.96799999999999</v>
      </c>
      <c r="AM380" s="12">
        <f>SUMIFS(相位SOC复算!$N$9:$N$929,相位SOC复算!$S$9:$S$929,372)</f>
        <v>7.5478536922015171E-2</v>
      </c>
      <c r="AN380" s="12">
        <f>SUMIFS(相位SOC复算!$Q$9:$Q$929,相位SOC复算!$S$9:$S$929,372)</f>
        <v>0</v>
      </c>
      <c r="AO380" s="12">
        <f>SUMIFS(相位SOC复算!$R$9:$R$929,相位SOC复算!$S$9:$S$929,372)</f>
        <v>24.99849142857143</v>
      </c>
      <c r="AP380" s="12">
        <f>相位SOC复算!J903</f>
        <v>113.25833540372683</v>
      </c>
      <c r="AQ380" s="19">
        <f t="shared" si="129"/>
        <v>0</v>
      </c>
      <c r="AR380" s="12">
        <f>IF(ISBLANK(原始输入与口径!M284),"",原始输入与口径!M284)</f>
        <v>5.2473000000000001</v>
      </c>
      <c r="AS380" s="14">
        <f>IF(ISBLANK(原始输入与口径!L284),"",原始输入与口径!L284)</f>
        <v>46234</v>
      </c>
      <c r="AT380" s="13">
        <f>IF(ISBLANK(原始输入与口径!A284),"",原始输入与口径!A284)</f>
        <v>46237.739583333336</v>
      </c>
      <c r="AU380" s="12" t="str">
        <f>IF(ISBLANK(原始输入与口径!I284),"",原始输入与口径!I284)</f>
        <v>2026-08-03_80</v>
      </c>
      <c r="AV380" s="12">
        <f>IF(ISBLANK(原始输入与口径!J284),"",原始输入与口径!J284)</f>
        <v>15</v>
      </c>
      <c r="AW380" s="12" t="str">
        <f>IF(ISBLANK(原始输入与口径!BB284),"",原始输入与口径!BB284)</f>
        <v>OK</v>
      </c>
      <c r="AX380" s="12">
        <f>原始输入与口径!CI284</f>
        <v>128</v>
      </c>
      <c r="AY380" s="12">
        <f>原始输入与口径!BS284</f>
        <v>175</v>
      </c>
      <c r="AZ380" s="12">
        <f>原始输入与口径!BI284</f>
        <v>175</v>
      </c>
      <c r="BA380" s="12">
        <f>原始输入与口径!CM284</f>
        <v>40</v>
      </c>
      <c r="BB380" s="12">
        <f>原始输入与口径!BV284</f>
        <v>24</v>
      </c>
      <c r="BC380" s="12">
        <f>原始输入与口径!BL284</f>
        <v>24</v>
      </c>
      <c r="BD380" s="14">
        <f>46236</f>
        <v>46236</v>
      </c>
      <c r="BE380" s="1" t="str">
        <f t="shared" si="130"/>
        <v>100.000000 MW × 559.060000 × 0.250000 h = 13976.500000 EUR</v>
      </c>
      <c r="BF380" s="1" t="str">
        <f t="shared" si="131"/>
        <v>零头寸，无结算现金</v>
      </c>
      <c r="BG380" s="1" t="str">
        <f t="shared" si="132"/>
        <v>零头寸，无结算现金</v>
      </c>
      <c r="BH380" s="1" t="str">
        <f t="shared" si="133"/>
        <v>24.000000 MW × 2.593715 × 0.250000 h = 15.562289 EUR</v>
      </c>
      <c r="BI380" s="1" t="str">
        <f t="shared" si="134"/>
        <v>零上调激活电量</v>
      </c>
      <c r="BJ380" s="1" t="str">
        <f t="shared" si="135"/>
        <v>−(0.001509 MWh × 95.287100) = -0.143747 EUR</v>
      </c>
      <c r="BK380" s="1" t="str">
        <f t="shared" si="136"/>
        <v>13976.500000 + 0.000000 + 0.000000 + 15.562289 + 0.000000 + -0.143747 = 13991.918542 EUR</v>
      </c>
    </row>
    <row r="381" spans="1:63" ht="21" customHeight="1" x14ac:dyDescent="0.45">
      <c r="A381" s="13">
        <f>原始输入与口径!C285</f>
        <v>46237.875</v>
      </c>
      <c r="B381" s="15">
        <f>IF(ISNUMBER(原始输入与口径!H285),原始输入与口径!H285,"缺失")</f>
        <v>535.71</v>
      </c>
      <c r="C381" s="15">
        <f>IF(ISNUMBER(原始输入与口径!R285),原始输入与口径!R285,"缺失")</f>
        <v>66.224534522516336</v>
      </c>
      <c r="D381" s="15">
        <f>IF(ISNUMBER(原始输入与口径!W285),原始输入与口径!W285,"缺失")</f>
        <v>7.0836430164084385</v>
      </c>
      <c r="E381" s="15">
        <f>IF(ISNUMBER(原始输入与口径!AB285),原始输入与口径!AB285,"缺失")</f>
        <v>2.5937148628818627</v>
      </c>
      <c r="F381" s="15">
        <f>IF(ISNUMBER(原始输入与口径!AG285),原始输入与口径!AG285,"缺失")</f>
        <v>262.38141520400967</v>
      </c>
      <c r="G381" s="15">
        <f>IF(ISNUMBER(原始输入与口径!AJ285),原始输入与口径!AJ285,"缺失")</f>
        <v>95.287100032397618</v>
      </c>
      <c r="H381" s="15" t="str">
        <f t="shared" si="115"/>
        <v>未模拟</v>
      </c>
      <c r="I381" s="16">
        <f>原始输入与口径!CD285</f>
        <v>113.25833540372683</v>
      </c>
      <c r="J381" s="16">
        <f>原始输入与口径!CE285</f>
        <v>86.086956521739268</v>
      </c>
      <c r="K381" s="16">
        <f>原始输入与口径!BZ285</f>
        <v>100</v>
      </c>
      <c r="L381" s="16">
        <f>原始输入与口径!CK285</f>
        <v>0</v>
      </c>
      <c r="M381" s="16">
        <f>原始输入与口径!BT285</f>
        <v>0</v>
      </c>
      <c r="N381" s="16">
        <f>原始输入与口径!BJ285</f>
        <v>24</v>
      </c>
      <c r="O381" s="16">
        <f t="shared" si="116"/>
        <v>0</v>
      </c>
      <c r="P381" s="16">
        <f t="shared" si="117"/>
        <v>2.3314285714285715E-3</v>
      </c>
      <c r="Q381" s="17">
        <f t="shared" si="118"/>
        <v>13392.75</v>
      </c>
      <c r="R381" s="17">
        <f t="shared" si="119"/>
        <v>0</v>
      </c>
      <c r="S381" s="17">
        <f t="shared" si="120"/>
        <v>0</v>
      </c>
      <c r="T381" s="17">
        <f t="shared" si="121"/>
        <v>15.562289177291177</v>
      </c>
      <c r="U381" s="17">
        <f t="shared" si="122"/>
        <v>0</v>
      </c>
      <c r="V381" s="17">
        <f t="shared" si="123"/>
        <v>-0.22215506750410416</v>
      </c>
      <c r="W381" s="17">
        <f t="shared" si="124"/>
        <v>13408.090134109787</v>
      </c>
      <c r="X381" s="12">
        <f>原始输入与口径!CP285</f>
        <v>13408.090134109787</v>
      </c>
      <c r="Y381" s="19">
        <f t="shared" si="125"/>
        <v>0</v>
      </c>
      <c r="Z381" s="12" t="str">
        <f t="shared" si="137"/>
        <v>次日冻结计划复原</v>
      </c>
      <c r="AA381" s="12">
        <f>IF(原始输入与口径!AW285,1,0)</f>
        <v>1</v>
      </c>
      <c r="AB381" s="12">
        <f>IF(原始输入与口径!AY285,1,0)</f>
        <v>1</v>
      </c>
      <c r="AC381" s="12">
        <f>原始输入与口径!$F$5</f>
        <v>0.25</v>
      </c>
      <c r="AD381" s="18">
        <f>原始输入与口径!CG285</f>
        <v>0.3125</v>
      </c>
      <c r="AE381" s="18">
        <f>原始输入与口径!BQ285</f>
        <v>0.13714285714285715</v>
      </c>
      <c r="AF381" s="18">
        <f t="shared" si="127"/>
        <v>4.0640000000000003E-2</v>
      </c>
      <c r="AG381" s="18">
        <f t="shared" si="128"/>
        <v>3.8857142857142861E-4</v>
      </c>
      <c r="AH381" s="12">
        <f>IF(ISNUMBER(原始输入与口径!T285),原始输入与口径!T285,"缺失")</f>
        <v>175</v>
      </c>
      <c r="AI381" s="12">
        <f>IF(ISNUMBER(原始输入与口径!Y285),原始输入与口径!Y285,"缺失")</f>
        <v>175</v>
      </c>
      <c r="AJ381" s="12">
        <f>IF(ISNUMBER(原始输入与口径!AI285),原始输入与口径!AI285,"缺失")</f>
        <v>1.778</v>
      </c>
      <c r="AK381" s="12">
        <f>IF(ISNUMBER(原始输入与口径!AL285),原始输入与口径!AL285,"缺失")</f>
        <v>1.7000000000000001E-2</v>
      </c>
      <c r="AL381" s="12">
        <f>IF(ISNUMBER(原始输入与口径!O285),原始输入与口径!O285,"缺失")</f>
        <v>131.96799999999999</v>
      </c>
      <c r="AM381" s="12">
        <f>SUMIFS(相位SOC复算!$N$9:$N$929,相位SOC复算!$S$9:$S$929,373)</f>
        <v>7.5476052449965497E-2</v>
      </c>
      <c r="AN381" s="12">
        <f>SUMIFS(相位SOC复算!$Q$9:$Q$929,相位SOC复算!$S$9:$S$929,373)</f>
        <v>0</v>
      </c>
      <c r="AO381" s="12">
        <f>SUMIFS(相位SOC复算!$R$9:$R$929,相位SOC复算!$S$9:$S$929,373)</f>
        <v>24.997668571428569</v>
      </c>
      <c r="AP381" s="12">
        <f>相位SOC复算!J906</f>
        <v>86.086956521739268</v>
      </c>
      <c r="AQ381" s="19">
        <f t="shared" si="129"/>
        <v>0</v>
      </c>
      <c r="AR381" s="12">
        <f>IF(ISBLANK(原始输入与口径!M285),"",原始输入与口径!M285)</f>
        <v>5.2473000000000001</v>
      </c>
      <c r="AS381" s="14">
        <f>IF(ISBLANK(原始输入与口径!L285),"",原始输入与口径!L285)</f>
        <v>46234</v>
      </c>
      <c r="AT381" s="13">
        <f>IF(ISBLANK(原始输入与口径!A285),"",原始输入与口径!A285)</f>
        <v>46237.75</v>
      </c>
      <c r="AU381" s="12" t="str">
        <f>IF(ISBLANK(原始输入与口径!I285),"",原始输入与口径!I285)</f>
        <v>2026-08-03_81</v>
      </c>
      <c r="AV381" s="12">
        <f>IF(ISBLANK(原始输入与口径!J285),"",原始输入与口径!J285)</f>
        <v>15</v>
      </c>
      <c r="AW381" s="12" t="str">
        <f>IF(ISBLANK(原始输入与口径!BB285),"",原始输入与口径!BB285)</f>
        <v>OK</v>
      </c>
      <c r="AX381" s="12">
        <f>原始输入与口径!CI285</f>
        <v>128</v>
      </c>
      <c r="AY381" s="12">
        <f>原始输入与口径!BS285</f>
        <v>175</v>
      </c>
      <c r="AZ381" s="12">
        <f>原始输入与口径!BI285</f>
        <v>175</v>
      </c>
      <c r="BA381" s="12">
        <f>原始输入与口径!CM285</f>
        <v>40</v>
      </c>
      <c r="BB381" s="12">
        <f>原始输入与口径!BV285</f>
        <v>24</v>
      </c>
      <c r="BC381" s="12">
        <f>原始输入与口径!BL285</f>
        <v>24</v>
      </c>
      <c r="BD381" s="14">
        <f>46236</f>
        <v>46236</v>
      </c>
      <c r="BE381" s="1" t="str">
        <f t="shared" si="130"/>
        <v>100.000000 MW × 535.710000 × 0.250000 h = 13392.750000 EUR</v>
      </c>
      <c r="BF381" s="1" t="str">
        <f t="shared" si="131"/>
        <v>零头寸，无结算现金</v>
      </c>
      <c r="BG381" s="1" t="str">
        <f t="shared" si="132"/>
        <v>零头寸，无结算现金</v>
      </c>
      <c r="BH381" s="1" t="str">
        <f t="shared" si="133"/>
        <v>24.000000 MW × 2.593715 × 0.250000 h = 15.562289 EUR</v>
      </c>
      <c r="BI381" s="1" t="str">
        <f t="shared" si="134"/>
        <v>零上调激活电量</v>
      </c>
      <c r="BJ381" s="1" t="str">
        <f t="shared" si="135"/>
        <v>−(0.002331 MWh × 95.287100) = -0.222155 EUR</v>
      </c>
      <c r="BK381" s="1" t="str">
        <f t="shared" si="136"/>
        <v>13392.750000 + 0.000000 + 0.000000 + 15.562289 + 0.000000 + -0.222155 = 13408.090134 EUR</v>
      </c>
    </row>
    <row r="382" spans="1:63" ht="21" customHeight="1" x14ac:dyDescent="0.45">
      <c r="A382" s="13">
        <f>原始输入与口径!C286</f>
        <v>46237.885416666664</v>
      </c>
      <c r="B382" s="15">
        <f>IF(ISNUMBER(原始输入与口径!H286),原始输入与口径!H286,"缺失")</f>
        <v>469.04</v>
      </c>
      <c r="C382" s="15">
        <f>IF(ISNUMBER(原始输入与口径!R286),原始输入与口径!R286,"缺失")</f>
        <v>66.224534522516336</v>
      </c>
      <c r="D382" s="15">
        <f>IF(ISNUMBER(原始输入与口径!W286),原始输入与口径!W286,"缺失")</f>
        <v>7.0836430164084385</v>
      </c>
      <c r="E382" s="15">
        <f>IF(ISNUMBER(原始输入与口径!AB286),原始输入与口径!AB286,"缺失")</f>
        <v>2.5937148628818627</v>
      </c>
      <c r="F382" s="15">
        <f>IF(ISNUMBER(原始输入与口径!AG286),原始输入与口径!AG286,"缺失")</f>
        <v>369.7741695729232</v>
      </c>
      <c r="G382" s="15">
        <f>IF(ISNUMBER(原始输入与口径!AJ286),原始输入与口径!AJ286,"缺失")</f>
        <v>0</v>
      </c>
      <c r="H382" s="15" t="str">
        <f t="shared" si="115"/>
        <v>未模拟</v>
      </c>
      <c r="I382" s="16">
        <f>原始输入与口径!CD286</f>
        <v>86.086956521739268</v>
      </c>
      <c r="J382" s="16">
        <f>原始输入与口径!CE286</f>
        <v>58.91304347826101</v>
      </c>
      <c r="K382" s="16">
        <f>原始输入与口径!BZ286</f>
        <v>100</v>
      </c>
      <c r="L382" s="16">
        <f>原始输入与口径!CK286</f>
        <v>0</v>
      </c>
      <c r="M382" s="16">
        <f>原始输入与口径!BT286</f>
        <v>0</v>
      </c>
      <c r="N382" s="16">
        <f>原始输入与口径!BJ286</f>
        <v>24</v>
      </c>
      <c r="O382" s="16">
        <f t="shared" si="116"/>
        <v>0</v>
      </c>
      <c r="P382" s="16">
        <f t="shared" si="117"/>
        <v>0</v>
      </c>
      <c r="Q382" s="17">
        <f t="shared" si="118"/>
        <v>11726</v>
      </c>
      <c r="R382" s="17">
        <f t="shared" si="119"/>
        <v>0</v>
      </c>
      <c r="S382" s="17">
        <f t="shared" si="120"/>
        <v>0</v>
      </c>
      <c r="T382" s="17">
        <f t="shared" si="121"/>
        <v>15.562289177291177</v>
      </c>
      <c r="U382" s="17">
        <f t="shared" si="122"/>
        <v>0</v>
      </c>
      <c r="V382" s="17">
        <f t="shared" si="123"/>
        <v>0</v>
      </c>
      <c r="W382" s="17">
        <f t="shared" si="124"/>
        <v>11741.562289177291</v>
      </c>
      <c r="X382" s="12">
        <f>原始输入与口径!CP286</f>
        <v>11741.562289177291</v>
      </c>
      <c r="Y382" s="19">
        <f t="shared" si="125"/>
        <v>0</v>
      </c>
      <c r="Z382" s="12" t="str">
        <f t="shared" si="137"/>
        <v>次日冻结计划复原</v>
      </c>
      <c r="AA382" s="12">
        <f>IF(原始输入与口径!AW286,1,0)</f>
        <v>1</v>
      </c>
      <c r="AB382" s="12">
        <f>IF(原始输入与口径!AY286,1,0)</f>
        <v>1</v>
      </c>
      <c r="AC382" s="12">
        <f>原始输入与口径!$F$5</f>
        <v>0.25</v>
      </c>
      <c r="AD382" s="18">
        <f>原始输入与口径!CG286</f>
        <v>0.3125</v>
      </c>
      <c r="AE382" s="18">
        <f>原始输入与口径!BQ286</f>
        <v>0.13714285714285715</v>
      </c>
      <c r="AF382" s="18">
        <f t="shared" si="127"/>
        <v>0.40845714285714291</v>
      </c>
      <c r="AG382" s="18">
        <f t="shared" si="128"/>
        <v>0</v>
      </c>
      <c r="AH382" s="12">
        <f>IF(ISNUMBER(原始输入与口径!T286),原始输入与口径!T286,"缺失")</f>
        <v>175</v>
      </c>
      <c r="AI382" s="12">
        <f>IF(ISNUMBER(原始输入与口径!Y286),原始输入与口径!Y286,"缺失")</f>
        <v>175</v>
      </c>
      <c r="AJ382" s="12">
        <f>IF(ISNUMBER(原始输入与口径!AI286),原始输入与口径!AI286,"缺失")</f>
        <v>17.87</v>
      </c>
      <c r="AK382" s="12">
        <f>IF(ISNUMBER(原始输入与口径!AL286),原始输入与口径!AL286,"缺失")</f>
        <v>0</v>
      </c>
      <c r="AL382" s="12">
        <f>IF(ISNUMBER(原始输入与口径!O286),原始输入与口径!O286,"缺失")</f>
        <v>131.96799999999999</v>
      </c>
      <c r="AM382" s="12">
        <f>SUMIFS(相位SOC复算!$N$9:$N$929,相位SOC复算!$S$9:$S$929,374)</f>
        <v>7.5483091787439616E-2</v>
      </c>
      <c r="AN382" s="12">
        <f>SUMIFS(相位SOC复算!$Q$9:$Q$929,相位SOC复算!$S$9:$S$929,374)</f>
        <v>0</v>
      </c>
      <c r="AO382" s="12">
        <f>SUMIFS(相位SOC复算!$R$9:$R$929,相位SOC复算!$S$9:$S$929,374)</f>
        <v>25</v>
      </c>
      <c r="AP382" s="12">
        <f>相位SOC复算!J908</f>
        <v>58.91304347826101</v>
      </c>
      <c r="AQ382" s="19">
        <f t="shared" si="129"/>
        <v>0</v>
      </c>
      <c r="AR382" s="12">
        <f>IF(ISBLANK(原始输入与口径!M286),"",原始输入与口径!M286)</f>
        <v>5.2473000000000001</v>
      </c>
      <c r="AS382" s="14">
        <f>IF(ISBLANK(原始输入与口径!L286),"",原始输入与口径!L286)</f>
        <v>46234</v>
      </c>
      <c r="AT382" s="13">
        <f>IF(ISBLANK(原始输入与口径!A286),"",原始输入与口径!A286)</f>
        <v>46237.760416666664</v>
      </c>
      <c r="AU382" s="12" t="str">
        <f>IF(ISBLANK(原始输入与口径!I286),"",原始输入与口径!I286)</f>
        <v>2026-08-03_82</v>
      </c>
      <c r="AV382" s="12">
        <f>IF(ISBLANK(原始输入与口径!J286),"",原始输入与口径!J286)</f>
        <v>15</v>
      </c>
      <c r="AW382" s="12" t="str">
        <f>IF(ISBLANK(原始输入与口径!BB286),"",原始输入与口径!BB286)</f>
        <v>OK</v>
      </c>
      <c r="AX382" s="12">
        <f>原始输入与口径!CI286</f>
        <v>128</v>
      </c>
      <c r="AY382" s="12">
        <f>原始输入与口径!BS286</f>
        <v>175</v>
      </c>
      <c r="AZ382" s="12">
        <f>原始输入与口径!BI286</f>
        <v>175</v>
      </c>
      <c r="BA382" s="12">
        <f>原始输入与口径!CM286</f>
        <v>40</v>
      </c>
      <c r="BB382" s="12">
        <f>原始输入与口径!BV286</f>
        <v>24</v>
      </c>
      <c r="BC382" s="12">
        <f>原始输入与口径!BL286</f>
        <v>24</v>
      </c>
      <c r="BD382" s="14">
        <f>46236</f>
        <v>46236</v>
      </c>
      <c r="BE382" s="1" t="str">
        <f t="shared" si="130"/>
        <v>100.000000 MW × 469.040000 × 0.250000 h = 11726.000000 EUR</v>
      </c>
      <c r="BF382" s="1" t="str">
        <f t="shared" si="131"/>
        <v>零头寸，无结算现金</v>
      </c>
      <c r="BG382" s="1" t="str">
        <f t="shared" si="132"/>
        <v>零头寸，无结算现金</v>
      </c>
      <c r="BH382" s="1" t="str">
        <f t="shared" si="133"/>
        <v>24.000000 MW × 2.593715 × 0.250000 h = 15.562289 EUR</v>
      </c>
      <c r="BI382" s="1" t="str">
        <f t="shared" si="134"/>
        <v>零上调激活电量</v>
      </c>
      <c r="BJ382" s="1" t="str">
        <f t="shared" si="135"/>
        <v>零下调激活电量</v>
      </c>
      <c r="BK382" s="1" t="str">
        <f t="shared" si="136"/>
        <v>11726.000000 + 0.000000 + 0.000000 + 15.562289 + 0.000000 + 0.000000 = 11741.562289 EUR</v>
      </c>
    </row>
    <row r="383" spans="1:63" ht="21" customHeight="1" x14ac:dyDescent="0.45">
      <c r="A383" s="13">
        <f>原始输入与口径!C287</f>
        <v>46237.895833333336</v>
      </c>
      <c r="B383" s="15">
        <f>IF(ISNUMBER(原始输入与口径!H287),原始输入与口径!H287,"缺失")</f>
        <v>336.01</v>
      </c>
      <c r="C383" s="15">
        <f>IF(ISNUMBER(原始输入与口径!R287),原始输入与口径!R287,"缺失")</f>
        <v>66.224534522516336</v>
      </c>
      <c r="D383" s="15">
        <f>IF(ISNUMBER(原始输入与口径!W287),原始输入与口径!W287,"缺失")</f>
        <v>7.0836430164084385</v>
      </c>
      <c r="E383" s="15">
        <f>IF(ISNUMBER(原始输入与口径!AB287),原始输入与口径!AB287,"缺失")</f>
        <v>2.5937148628818627</v>
      </c>
      <c r="F383" s="15">
        <f>IF(ISNUMBER(原始输入与口径!AG287),原始输入与口径!AG287,"缺失")</f>
        <v>289.38139614658968</v>
      </c>
      <c r="G383" s="15">
        <f>IF(ISNUMBER(原始输入与口径!AJ287),原始输入与口径!AJ287,"缺失")</f>
        <v>0</v>
      </c>
      <c r="H383" s="15" t="str">
        <f t="shared" si="115"/>
        <v>未模拟</v>
      </c>
      <c r="I383" s="16">
        <f>原始输入与口径!CD287</f>
        <v>58.91304347826101</v>
      </c>
      <c r="J383" s="16">
        <f>原始输入与口径!CE287</f>
        <v>31.739130434782751</v>
      </c>
      <c r="K383" s="16">
        <f>原始输入与口径!BZ287</f>
        <v>100</v>
      </c>
      <c r="L383" s="16">
        <f>原始输入与口径!CK287</f>
        <v>0</v>
      </c>
      <c r="M383" s="16">
        <f>原始输入与口径!BT287</f>
        <v>0</v>
      </c>
      <c r="N383" s="16">
        <f>原始输入与口径!BJ287</f>
        <v>24</v>
      </c>
      <c r="O383" s="16">
        <f t="shared" si="116"/>
        <v>0</v>
      </c>
      <c r="P383" s="16">
        <f t="shared" si="117"/>
        <v>0</v>
      </c>
      <c r="Q383" s="17">
        <f t="shared" si="118"/>
        <v>8400.25</v>
      </c>
      <c r="R383" s="17">
        <f t="shared" si="119"/>
        <v>0</v>
      </c>
      <c r="S383" s="17">
        <f t="shared" si="120"/>
        <v>0</v>
      </c>
      <c r="T383" s="17">
        <f t="shared" si="121"/>
        <v>15.562289177291177</v>
      </c>
      <c r="U383" s="17">
        <f t="shared" si="122"/>
        <v>0</v>
      </c>
      <c r="V383" s="17">
        <f t="shared" si="123"/>
        <v>0</v>
      </c>
      <c r="W383" s="17">
        <f t="shared" si="124"/>
        <v>8415.8122891772909</v>
      </c>
      <c r="X383" s="12">
        <f>原始输入与口径!CP287</f>
        <v>8415.8122891772909</v>
      </c>
      <c r="Y383" s="19">
        <f t="shared" si="125"/>
        <v>0</v>
      </c>
      <c r="Z383" s="12" t="str">
        <f t="shared" si="137"/>
        <v>次日冻结计划复原</v>
      </c>
      <c r="AA383" s="12">
        <f>IF(原始输入与口径!AW287,1,0)</f>
        <v>1</v>
      </c>
      <c r="AB383" s="12">
        <f>IF(原始输入与口径!AY287,1,0)</f>
        <v>1</v>
      </c>
      <c r="AC383" s="12">
        <f>原始输入与口径!$F$5</f>
        <v>0.25</v>
      </c>
      <c r="AD383" s="18">
        <f>原始输入与口径!CG287</f>
        <v>0.3125</v>
      </c>
      <c r="AE383" s="18">
        <f>原始输入与口径!BQ287</f>
        <v>0.13714285714285715</v>
      </c>
      <c r="AF383" s="18">
        <f t="shared" si="127"/>
        <v>0.29360000000000003</v>
      </c>
      <c r="AG383" s="18">
        <f t="shared" si="128"/>
        <v>0</v>
      </c>
      <c r="AH383" s="12">
        <f>IF(ISNUMBER(原始输入与口径!T287),原始输入与口径!T287,"缺失")</f>
        <v>175</v>
      </c>
      <c r="AI383" s="12">
        <f>IF(ISNUMBER(原始输入与口径!Y287),原始输入与口径!Y287,"缺失")</f>
        <v>175</v>
      </c>
      <c r="AJ383" s="12">
        <f>IF(ISNUMBER(原始输入与口径!AI287),原始输入与口径!AI287,"缺失")</f>
        <v>12.845000000000001</v>
      </c>
      <c r="AK383" s="12">
        <f>IF(ISNUMBER(原始输入与口径!AL287),原始输入与口径!AL287,"缺失")</f>
        <v>0</v>
      </c>
      <c r="AL383" s="12">
        <f>IF(ISNUMBER(原始输入与口径!O287),原始输入与口径!O287,"缺失")</f>
        <v>131.96799999999999</v>
      </c>
      <c r="AM383" s="12">
        <f>SUMIFS(相位SOC复算!$N$9:$N$929,相位SOC复算!$S$9:$S$929,375)</f>
        <v>7.5483091787439602E-2</v>
      </c>
      <c r="AN383" s="12">
        <f>SUMIFS(相位SOC复算!$Q$9:$Q$929,相位SOC复算!$S$9:$S$929,375)</f>
        <v>0</v>
      </c>
      <c r="AO383" s="12">
        <f>SUMIFS(相位SOC复算!$R$9:$R$929,相位SOC复算!$S$9:$S$929,375)</f>
        <v>24.999999999999996</v>
      </c>
      <c r="AP383" s="12">
        <f>相位SOC复算!J910</f>
        <v>31.739130434782751</v>
      </c>
      <c r="AQ383" s="19">
        <f t="shared" si="129"/>
        <v>0</v>
      </c>
      <c r="AR383" s="12">
        <f>IF(ISBLANK(原始输入与口径!M287),"",原始输入与口径!M287)</f>
        <v>5.2473000000000001</v>
      </c>
      <c r="AS383" s="14">
        <f>IF(ISBLANK(原始输入与口径!L287),"",原始输入与口径!L287)</f>
        <v>46234</v>
      </c>
      <c r="AT383" s="13">
        <f>IF(ISBLANK(原始输入与口径!A287),"",原始输入与口径!A287)</f>
        <v>46237.770833333336</v>
      </c>
      <c r="AU383" s="12" t="str">
        <f>IF(ISBLANK(原始输入与口径!I287),"",原始输入与口径!I287)</f>
        <v>2026-08-03_83</v>
      </c>
      <c r="AV383" s="12">
        <f>IF(ISBLANK(原始输入与口径!J287),"",原始输入与口径!J287)</f>
        <v>15</v>
      </c>
      <c r="AW383" s="12" t="str">
        <f>IF(ISBLANK(原始输入与口径!BB287),"",原始输入与口径!BB287)</f>
        <v>OK</v>
      </c>
      <c r="AX383" s="12">
        <f>原始输入与口径!CI287</f>
        <v>128</v>
      </c>
      <c r="AY383" s="12">
        <f>原始输入与口径!BS287</f>
        <v>175</v>
      </c>
      <c r="AZ383" s="12">
        <f>原始输入与口径!BI287</f>
        <v>175</v>
      </c>
      <c r="BA383" s="12">
        <f>原始输入与口径!CM287</f>
        <v>40</v>
      </c>
      <c r="BB383" s="12">
        <f>原始输入与口径!BV287</f>
        <v>24</v>
      </c>
      <c r="BC383" s="12">
        <f>原始输入与口径!BL287</f>
        <v>24</v>
      </c>
      <c r="BD383" s="14">
        <f>46236</f>
        <v>46236</v>
      </c>
      <c r="BE383" s="1" t="str">
        <f t="shared" si="130"/>
        <v>100.000000 MW × 336.010000 × 0.250000 h = 8400.250000 EUR</v>
      </c>
      <c r="BF383" s="1" t="str">
        <f t="shared" si="131"/>
        <v>零头寸，无结算现金</v>
      </c>
      <c r="BG383" s="1" t="str">
        <f t="shared" si="132"/>
        <v>零头寸，无结算现金</v>
      </c>
      <c r="BH383" s="1" t="str">
        <f t="shared" si="133"/>
        <v>24.000000 MW × 2.593715 × 0.250000 h = 15.562289 EUR</v>
      </c>
      <c r="BI383" s="1" t="str">
        <f t="shared" si="134"/>
        <v>零上调激活电量</v>
      </c>
      <c r="BJ383" s="1" t="str">
        <f t="shared" si="135"/>
        <v>零下调激活电量</v>
      </c>
      <c r="BK383" s="1" t="str">
        <f t="shared" si="136"/>
        <v>8400.250000 + 0.000000 + 0.000000 + 15.562289 + 0.000000 + 0.000000 = 8415.812289 EUR</v>
      </c>
    </row>
    <row r="384" spans="1:63" ht="21" customHeight="1" x14ac:dyDescent="0.45">
      <c r="A384" s="13">
        <f>原始输入与口径!C288</f>
        <v>46237.90625</v>
      </c>
      <c r="B384" s="15">
        <f>IF(ISNUMBER(原始输入与口径!H288),原始输入与口径!H288,"缺失")</f>
        <v>280.92</v>
      </c>
      <c r="C384" s="15">
        <f>IF(ISNUMBER(原始输入与口径!R288),原始输入与口径!R288,"缺失")</f>
        <v>66.224534522516336</v>
      </c>
      <c r="D384" s="15">
        <f>IF(ISNUMBER(原始输入与口径!W288),原始输入与口径!W288,"缺失")</f>
        <v>7.0836430164084385</v>
      </c>
      <c r="E384" s="15">
        <f>IF(ISNUMBER(原始输入与口径!AB288),原始输入与口径!AB288,"缺失")</f>
        <v>2.5937148628818627</v>
      </c>
      <c r="F384" s="15">
        <f>IF(ISNUMBER(原始输入与口径!AG288),原始输入与口径!AG288,"缺失")</f>
        <v>275.3781945000286</v>
      </c>
      <c r="G384" s="15">
        <f>IF(ISNUMBER(原始输入与口径!AJ288),原始输入与口径!AJ288,"缺失")</f>
        <v>0</v>
      </c>
      <c r="H384" s="15" t="str">
        <f t="shared" si="115"/>
        <v>未模拟</v>
      </c>
      <c r="I384" s="16">
        <f>原始输入与口径!CD288</f>
        <v>31.739130434782751</v>
      </c>
      <c r="J384" s="16">
        <f>原始输入与口径!CE288</f>
        <v>31.739130434782751</v>
      </c>
      <c r="K384" s="16">
        <f>原始输入与口径!BZ288</f>
        <v>0</v>
      </c>
      <c r="L384" s="16">
        <f>原始输入与口径!CK288</f>
        <v>0</v>
      </c>
      <c r="M384" s="16">
        <f>原始输入与口径!BT288</f>
        <v>0</v>
      </c>
      <c r="N384" s="16">
        <f>原始输入与口径!BJ288</f>
        <v>24</v>
      </c>
      <c r="O384" s="16">
        <f t="shared" si="116"/>
        <v>0</v>
      </c>
      <c r="P384" s="16">
        <f t="shared" si="117"/>
        <v>0</v>
      </c>
      <c r="Q384" s="17">
        <f t="shared" si="118"/>
        <v>0</v>
      </c>
      <c r="R384" s="17">
        <f t="shared" si="119"/>
        <v>0</v>
      </c>
      <c r="S384" s="17">
        <f t="shared" si="120"/>
        <v>0</v>
      </c>
      <c r="T384" s="17">
        <f t="shared" si="121"/>
        <v>15.562289177291177</v>
      </c>
      <c r="U384" s="17">
        <f t="shared" si="122"/>
        <v>0</v>
      </c>
      <c r="V384" s="17">
        <f t="shared" si="123"/>
        <v>0</v>
      </c>
      <c r="W384" s="17">
        <f t="shared" si="124"/>
        <v>15.562289177291177</v>
      </c>
      <c r="X384" s="12">
        <f>原始输入与口径!CP288</f>
        <v>15.562289177291177</v>
      </c>
      <c r="Y384" s="19">
        <f t="shared" si="125"/>
        <v>0</v>
      </c>
      <c r="Z384" s="12" t="str">
        <f t="shared" si="137"/>
        <v>次日冻结计划复原</v>
      </c>
      <c r="AA384" s="12">
        <f>IF(原始输入与口径!AW288,1,0)</f>
        <v>1</v>
      </c>
      <c r="AB384" s="12">
        <f>IF(原始输入与口径!AY288,1,0)</f>
        <v>1</v>
      </c>
      <c r="AC384" s="12">
        <f>原始输入与口径!$F$5</f>
        <v>0.25</v>
      </c>
      <c r="AD384" s="18">
        <f>原始输入与口径!CG288</f>
        <v>0.3125</v>
      </c>
      <c r="AE384" s="18">
        <f>原始输入与口径!BQ288</f>
        <v>0.13714285714285715</v>
      </c>
      <c r="AF384" s="18">
        <f t="shared" si="127"/>
        <v>0.37339428571428568</v>
      </c>
      <c r="AG384" s="18">
        <f t="shared" si="128"/>
        <v>0</v>
      </c>
      <c r="AH384" s="12">
        <f>IF(ISNUMBER(原始输入与口径!T288),原始输入与口径!T288,"缺失")</f>
        <v>175</v>
      </c>
      <c r="AI384" s="12">
        <f>IF(ISNUMBER(原始输入与口径!Y288),原始输入与口径!Y288,"缺失")</f>
        <v>175</v>
      </c>
      <c r="AJ384" s="12">
        <f>IF(ISNUMBER(原始输入与口径!AI288),原始输入与口径!AI288,"缺失")</f>
        <v>16.335999999999999</v>
      </c>
      <c r="AK384" s="12">
        <f>IF(ISNUMBER(原始输入与口径!AL288),原始输入与口径!AL288,"缺失")</f>
        <v>0</v>
      </c>
      <c r="AL384" s="12">
        <f>IF(ISNUMBER(原始输入与口径!O288),原始输入与口径!O288,"缺失")</f>
        <v>131.96799999999999</v>
      </c>
      <c r="AM384" s="12">
        <f>SUMIFS(相位SOC复算!$N$9:$N$929,相位SOC复算!$S$9:$S$929,376)</f>
        <v>0</v>
      </c>
      <c r="AN384" s="12">
        <f>SUMIFS(相位SOC复算!$Q$9:$Q$929,相位SOC复算!$S$9:$S$929,376)</f>
        <v>0</v>
      </c>
      <c r="AO384" s="12">
        <f>SUMIFS(相位SOC复算!$R$9:$R$929,相位SOC复算!$S$9:$S$929,376)</f>
        <v>0</v>
      </c>
      <c r="AP384" s="12">
        <f>相位SOC复算!J912</f>
        <v>31.739130434782751</v>
      </c>
      <c r="AQ384" s="19">
        <f t="shared" si="129"/>
        <v>0</v>
      </c>
      <c r="AR384" s="12">
        <f>IF(ISBLANK(原始输入与口径!M288),"",原始输入与口径!M288)</f>
        <v>5.2473000000000001</v>
      </c>
      <c r="AS384" s="14">
        <f>IF(ISBLANK(原始输入与口径!L288),"",原始输入与口径!L288)</f>
        <v>46234</v>
      </c>
      <c r="AT384" s="13">
        <f>IF(ISBLANK(原始输入与口径!A288),"",原始输入与口径!A288)</f>
        <v>46237.78125</v>
      </c>
      <c r="AU384" s="12" t="str">
        <f>IF(ISBLANK(原始输入与口径!I288),"",原始输入与口径!I288)</f>
        <v>2026-08-03_84</v>
      </c>
      <c r="AV384" s="12">
        <f>IF(ISBLANK(原始输入与口径!J288),"",原始输入与口径!J288)</f>
        <v>15</v>
      </c>
      <c r="AW384" s="12" t="str">
        <f>IF(ISBLANK(原始输入与口径!BB288),"",原始输入与口径!BB288)</f>
        <v>OK</v>
      </c>
      <c r="AX384" s="12">
        <f>原始输入与口径!CI288</f>
        <v>128</v>
      </c>
      <c r="AY384" s="12">
        <f>原始输入与口径!BS288</f>
        <v>175</v>
      </c>
      <c r="AZ384" s="12">
        <f>原始输入与口径!BI288</f>
        <v>175</v>
      </c>
      <c r="BA384" s="12">
        <f>原始输入与口径!CM288</f>
        <v>40</v>
      </c>
      <c r="BB384" s="12">
        <f>原始输入与口径!BV288</f>
        <v>24</v>
      </c>
      <c r="BC384" s="12">
        <f>原始输入与口径!BL288</f>
        <v>24</v>
      </c>
      <c r="BD384" s="14">
        <f>46236</f>
        <v>46236</v>
      </c>
      <c r="BE384" s="1" t="str">
        <f t="shared" si="130"/>
        <v>零头寸，无结算现金</v>
      </c>
      <c r="BF384" s="1" t="str">
        <f t="shared" si="131"/>
        <v>零头寸，无结算现金</v>
      </c>
      <c r="BG384" s="1" t="str">
        <f t="shared" si="132"/>
        <v>零头寸，无结算现金</v>
      </c>
      <c r="BH384" s="1" t="str">
        <f t="shared" si="133"/>
        <v>24.000000 MW × 2.593715 × 0.250000 h = 15.562289 EUR</v>
      </c>
      <c r="BI384" s="1" t="str">
        <f t="shared" si="134"/>
        <v>零上调激活电量</v>
      </c>
      <c r="BJ384" s="1" t="str">
        <f t="shared" si="135"/>
        <v>零下调激活电量</v>
      </c>
      <c r="BK384" s="1" t="str">
        <f t="shared" si="136"/>
        <v>0.000000 + 0.000000 + 0.000000 + 15.562289 + 0.000000 + 0.000000 = 15.562289 EUR</v>
      </c>
    </row>
    <row r="385" spans="1:63" ht="21" customHeight="1" x14ac:dyDescent="0.45">
      <c r="A385" s="13">
        <f>原始输入与口径!C289</f>
        <v>46237.916666666664</v>
      </c>
      <c r="B385" s="15">
        <f>IF(ISNUMBER(原始输入与口径!H289),原始输入与口径!H289,"缺失")</f>
        <v>284.93</v>
      </c>
      <c r="C385" s="15">
        <f>IF(ISNUMBER(原始输入与口径!R289),原始输入与口径!R289,"缺失")</f>
        <v>66.224534522516336</v>
      </c>
      <c r="D385" s="15">
        <f>IF(ISNUMBER(原始输入与口径!W289),原始输入与口径!W289,"缺失")</f>
        <v>3.4512987631734413</v>
      </c>
      <c r="E385" s="15">
        <f>IF(ISNUMBER(原始输入与口径!AB289),原始输入与口径!AB289,"缺失")</f>
        <v>2.5937148628818627</v>
      </c>
      <c r="F385" s="15">
        <f>IF(ISNUMBER(原始输入与口径!AG289),原始输入与口径!AG289,"缺失")</f>
        <v>315.43860652144912</v>
      </c>
      <c r="G385" s="15">
        <f>IF(ISNUMBER(原始输入与口径!AJ289),原始输入与口径!AJ289,"缺失")</f>
        <v>0</v>
      </c>
      <c r="H385" s="15" t="str">
        <f t="shared" si="115"/>
        <v>未模拟</v>
      </c>
      <c r="I385" s="16">
        <f>原始输入与口径!CD289</f>
        <v>31.739130434782751</v>
      </c>
      <c r="J385" s="16">
        <f>原始输入与口径!CE289</f>
        <v>31.739130434782751</v>
      </c>
      <c r="K385" s="16">
        <f>原始输入与口径!BZ289</f>
        <v>0</v>
      </c>
      <c r="L385" s="16">
        <f>原始输入与口径!CK289</f>
        <v>40</v>
      </c>
      <c r="M385" s="16">
        <f>原始输入与口径!BT289</f>
        <v>0</v>
      </c>
      <c r="N385" s="16">
        <f>原始输入与口径!BJ289</f>
        <v>24</v>
      </c>
      <c r="O385" s="16">
        <f t="shared" si="116"/>
        <v>0</v>
      </c>
      <c r="P385" s="16">
        <f t="shared" si="117"/>
        <v>0</v>
      </c>
      <c r="Q385" s="17">
        <f t="shared" si="118"/>
        <v>0</v>
      </c>
      <c r="R385" s="17">
        <f t="shared" si="119"/>
        <v>662.24534522516342</v>
      </c>
      <c r="S385" s="17">
        <f t="shared" si="120"/>
        <v>0</v>
      </c>
      <c r="T385" s="17">
        <f t="shared" si="121"/>
        <v>15.562289177291177</v>
      </c>
      <c r="U385" s="17">
        <f t="shared" si="122"/>
        <v>0</v>
      </c>
      <c r="V385" s="17">
        <f t="shared" si="123"/>
        <v>0</v>
      </c>
      <c r="W385" s="17">
        <f t="shared" si="124"/>
        <v>677.8076344024546</v>
      </c>
      <c r="X385" s="12">
        <f>原始输入与口径!CP289</f>
        <v>677.8076344024546</v>
      </c>
      <c r="Y385" s="19">
        <f t="shared" si="125"/>
        <v>0</v>
      </c>
      <c r="Z385" s="12" t="str">
        <f t="shared" si="137"/>
        <v>次日冻结计划复原</v>
      </c>
      <c r="AA385" s="12">
        <f>IF(原始输入与口径!AW289,1,0)</f>
        <v>1</v>
      </c>
      <c r="AB385" s="12">
        <f>IF(原始输入与口径!AY289,1,0)</f>
        <v>1</v>
      </c>
      <c r="AC385" s="12">
        <f>原始输入与口径!$F$5</f>
        <v>0.25</v>
      </c>
      <c r="AD385" s="18">
        <f>原始输入与口径!CG289</f>
        <v>0.3125</v>
      </c>
      <c r="AE385" s="18">
        <f>原始输入与口径!BQ289</f>
        <v>0.13714285714285715</v>
      </c>
      <c r="AF385" s="18">
        <f t="shared" si="127"/>
        <v>0.38112000000000001</v>
      </c>
      <c r="AG385" s="18">
        <f t="shared" si="128"/>
        <v>0</v>
      </c>
      <c r="AH385" s="12">
        <f>IF(ISNUMBER(原始输入与口径!T289),原始输入与口径!T289,"缺失")</f>
        <v>175</v>
      </c>
      <c r="AI385" s="12">
        <f>IF(ISNUMBER(原始输入与口径!Y289),原始输入与口径!Y289,"缺失")</f>
        <v>175</v>
      </c>
      <c r="AJ385" s="12">
        <f>IF(ISNUMBER(原始输入与口径!AI289),原始输入与口径!AI289,"缺失")</f>
        <v>16.673999999999999</v>
      </c>
      <c r="AK385" s="12">
        <f>IF(ISNUMBER(原始输入与口径!AL289),原始输入与口径!AL289,"缺失")</f>
        <v>0</v>
      </c>
      <c r="AL385" s="12">
        <f>IF(ISNUMBER(原始输入与口径!O289),原始输入与口径!O289,"缺失")</f>
        <v>131.96799999999999</v>
      </c>
      <c r="AM385" s="12">
        <f>SUMIFS(相位SOC复算!$N$9:$N$929,相位SOC复算!$S$9:$S$929,377)</f>
        <v>0</v>
      </c>
      <c r="AN385" s="12">
        <f>SUMIFS(相位SOC复算!$Q$9:$Q$929,相位SOC复算!$S$9:$S$929,377)</f>
        <v>0</v>
      </c>
      <c r="AO385" s="12">
        <f>SUMIFS(相位SOC复算!$R$9:$R$929,相位SOC复算!$S$9:$S$929,377)</f>
        <v>0</v>
      </c>
      <c r="AP385" s="12">
        <f>相位SOC复算!J914</f>
        <v>31.739130434782751</v>
      </c>
      <c r="AQ385" s="19">
        <f t="shared" si="129"/>
        <v>0</v>
      </c>
      <c r="AR385" s="12">
        <f>IF(ISBLANK(原始输入与口径!M289),"",原始输入与口径!M289)</f>
        <v>5.2473000000000001</v>
      </c>
      <c r="AS385" s="14">
        <f>IF(ISBLANK(原始输入与口径!L289),"",原始输入与口径!L289)</f>
        <v>46234</v>
      </c>
      <c r="AT385" s="13">
        <f>IF(ISBLANK(原始输入与口径!A289),"",原始输入与口径!A289)</f>
        <v>46237.791666666664</v>
      </c>
      <c r="AU385" s="12" t="str">
        <f>IF(ISBLANK(原始输入与口径!I289),"",原始输入与口径!I289)</f>
        <v>2026-08-03_85</v>
      </c>
      <c r="AV385" s="12">
        <f>IF(ISBLANK(原始输入与口径!J289),"",原始输入与口径!J289)</f>
        <v>15</v>
      </c>
      <c r="AW385" s="12" t="str">
        <f>IF(ISBLANK(原始输入与口径!BB289),"",原始输入与口径!BB289)</f>
        <v>OK</v>
      </c>
      <c r="AX385" s="12">
        <f>原始输入与口径!CI289</f>
        <v>128</v>
      </c>
      <c r="AY385" s="12">
        <f>原始输入与口径!BS289</f>
        <v>175</v>
      </c>
      <c r="AZ385" s="12">
        <f>原始输入与口径!BI289</f>
        <v>175</v>
      </c>
      <c r="BA385" s="12">
        <f>原始输入与口径!CM289</f>
        <v>40</v>
      </c>
      <c r="BB385" s="12">
        <f>原始输入与口径!BV289</f>
        <v>24</v>
      </c>
      <c r="BC385" s="12">
        <f>原始输入与口径!BL289</f>
        <v>24</v>
      </c>
      <c r="BD385" s="14">
        <f>46236</f>
        <v>46236</v>
      </c>
      <c r="BE385" s="1" t="str">
        <f t="shared" si="130"/>
        <v>零头寸，无结算现金</v>
      </c>
      <c r="BF385" s="1" t="str">
        <f t="shared" si="131"/>
        <v>40.000000 MW × 66.224535 × 0.250000 h = 662.245345 EUR</v>
      </c>
      <c r="BG385" s="1" t="str">
        <f t="shared" si="132"/>
        <v>零头寸，无结算现金</v>
      </c>
      <c r="BH385" s="1" t="str">
        <f t="shared" si="133"/>
        <v>24.000000 MW × 2.593715 × 0.250000 h = 15.562289 EUR</v>
      </c>
      <c r="BI385" s="1" t="str">
        <f t="shared" si="134"/>
        <v>零上调激活电量</v>
      </c>
      <c r="BJ385" s="1" t="str">
        <f t="shared" si="135"/>
        <v>零下调激活电量</v>
      </c>
      <c r="BK385" s="1" t="str">
        <f t="shared" si="136"/>
        <v>0.000000 + 662.245345 + 0.000000 + 15.562289 + 0.000000 + 0.000000 = 677.807634 EUR</v>
      </c>
    </row>
    <row r="386" spans="1:63" ht="21" customHeight="1" x14ac:dyDescent="0.45">
      <c r="A386" s="13">
        <f>原始输入与口径!C290</f>
        <v>46237.927083333336</v>
      </c>
      <c r="B386" s="15">
        <f>IF(ISNUMBER(原始输入与口径!H290),原始输入与口径!H290,"缺失")</f>
        <v>273.52</v>
      </c>
      <c r="C386" s="15">
        <f>IF(ISNUMBER(原始输入与口径!R290),原始输入与口径!R290,"缺失")</f>
        <v>66.224534522516336</v>
      </c>
      <c r="D386" s="15">
        <f>IF(ISNUMBER(原始输入与口径!W290),原始输入与口径!W290,"缺失")</f>
        <v>3.4512987631734413</v>
      </c>
      <c r="E386" s="15">
        <f>IF(ISNUMBER(原始输入与口径!AB290),原始输入与口径!AB290,"缺失")</f>
        <v>2.5937148628818627</v>
      </c>
      <c r="F386" s="15">
        <f>IF(ISNUMBER(原始输入与口径!AG290),原始输入与口径!AG290,"缺失")</f>
        <v>304.5253749547386</v>
      </c>
      <c r="G386" s="15">
        <f>IF(ISNUMBER(原始输入与口径!AJ290),原始输入与口径!AJ290,"缺失")</f>
        <v>0</v>
      </c>
      <c r="H386" s="15" t="str">
        <f t="shared" si="115"/>
        <v>未模拟</v>
      </c>
      <c r="I386" s="16">
        <f>原始输入与口径!CD290</f>
        <v>31.739130434782751</v>
      </c>
      <c r="J386" s="16">
        <f>原始输入与口径!CE290</f>
        <v>31.739130434782751</v>
      </c>
      <c r="K386" s="16">
        <f>原始输入与口径!BZ290</f>
        <v>0</v>
      </c>
      <c r="L386" s="16">
        <f>原始输入与口径!CK290</f>
        <v>40</v>
      </c>
      <c r="M386" s="16">
        <f>原始输入与口径!BT290</f>
        <v>0</v>
      </c>
      <c r="N386" s="16">
        <f>原始输入与口径!BJ290</f>
        <v>24</v>
      </c>
      <c r="O386" s="16">
        <f t="shared" si="116"/>
        <v>0</v>
      </c>
      <c r="P386" s="16">
        <f t="shared" si="117"/>
        <v>0</v>
      </c>
      <c r="Q386" s="17">
        <f t="shared" si="118"/>
        <v>0</v>
      </c>
      <c r="R386" s="17">
        <f t="shared" si="119"/>
        <v>662.24534522516342</v>
      </c>
      <c r="S386" s="17">
        <f t="shared" si="120"/>
        <v>0</v>
      </c>
      <c r="T386" s="17">
        <f t="shared" si="121"/>
        <v>15.562289177291177</v>
      </c>
      <c r="U386" s="17">
        <f t="shared" si="122"/>
        <v>0</v>
      </c>
      <c r="V386" s="17">
        <f t="shared" si="123"/>
        <v>0</v>
      </c>
      <c r="W386" s="17">
        <f t="shared" si="124"/>
        <v>677.8076344024546</v>
      </c>
      <c r="X386" s="12">
        <f>原始输入与口径!CP290</f>
        <v>677.8076344024546</v>
      </c>
      <c r="Y386" s="19">
        <f t="shared" si="125"/>
        <v>0</v>
      </c>
      <c r="Z386" s="12" t="str">
        <f t="shared" si="137"/>
        <v>次日冻结计划复原</v>
      </c>
      <c r="AA386" s="12">
        <f>IF(原始输入与口径!AW290,1,0)</f>
        <v>1</v>
      </c>
      <c r="AB386" s="12">
        <f>IF(原始输入与口径!AY290,1,0)</f>
        <v>1</v>
      </c>
      <c r="AC386" s="12">
        <f>原始输入与口径!$F$5</f>
        <v>0.25</v>
      </c>
      <c r="AD386" s="18">
        <f>原始输入与口径!CG290</f>
        <v>0.3125</v>
      </c>
      <c r="AE386" s="18">
        <f>原始输入与口径!BQ290</f>
        <v>0.13714285714285715</v>
      </c>
      <c r="AF386" s="18">
        <f t="shared" si="127"/>
        <v>0.40130285714285713</v>
      </c>
      <c r="AG386" s="18">
        <f t="shared" si="128"/>
        <v>0</v>
      </c>
      <c r="AH386" s="12">
        <f>IF(ISNUMBER(原始输入与口径!T290),原始输入与口径!T290,"缺失")</f>
        <v>175</v>
      </c>
      <c r="AI386" s="12">
        <f>IF(ISNUMBER(原始输入与口径!Y290),原始输入与口径!Y290,"缺失")</f>
        <v>175</v>
      </c>
      <c r="AJ386" s="12">
        <f>IF(ISNUMBER(原始输入与口径!AI290),原始输入与口径!AI290,"缺失")</f>
        <v>17.556999999999999</v>
      </c>
      <c r="AK386" s="12">
        <f>IF(ISNUMBER(原始输入与口径!AL290),原始输入与口径!AL290,"缺失")</f>
        <v>0</v>
      </c>
      <c r="AL386" s="12">
        <f>IF(ISNUMBER(原始输入与口径!O290),原始输入与口径!O290,"缺失")</f>
        <v>131.96799999999999</v>
      </c>
      <c r="AM386" s="12">
        <f>SUMIFS(相位SOC复算!$N$9:$N$929,相位SOC复算!$S$9:$S$929,378)</f>
        <v>0</v>
      </c>
      <c r="AN386" s="12">
        <f>SUMIFS(相位SOC复算!$Q$9:$Q$929,相位SOC复算!$S$9:$S$929,378)</f>
        <v>0</v>
      </c>
      <c r="AO386" s="12">
        <f>SUMIFS(相位SOC复算!$R$9:$R$929,相位SOC复算!$S$9:$S$929,378)</f>
        <v>0</v>
      </c>
      <c r="AP386" s="12">
        <f>相位SOC复算!J916</f>
        <v>31.739130434782751</v>
      </c>
      <c r="AQ386" s="19">
        <f t="shared" si="129"/>
        <v>0</v>
      </c>
      <c r="AR386" s="12">
        <f>IF(ISBLANK(原始输入与口径!M290),"",原始输入与口径!M290)</f>
        <v>5.2473000000000001</v>
      </c>
      <c r="AS386" s="14">
        <f>IF(ISBLANK(原始输入与口径!L290),"",原始输入与口径!L290)</f>
        <v>46234</v>
      </c>
      <c r="AT386" s="13">
        <f>IF(ISBLANK(原始输入与口径!A290),"",原始输入与口径!A290)</f>
        <v>46237.802083333336</v>
      </c>
      <c r="AU386" s="12" t="str">
        <f>IF(ISBLANK(原始输入与口径!I290),"",原始输入与口径!I290)</f>
        <v>2026-08-03_86</v>
      </c>
      <c r="AV386" s="12">
        <f>IF(ISBLANK(原始输入与口径!J290),"",原始输入与口径!J290)</f>
        <v>15</v>
      </c>
      <c r="AW386" s="12" t="str">
        <f>IF(ISBLANK(原始输入与口径!BB290),"",原始输入与口径!BB290)</f>
        <v>OK</v>
      </c>
      <c r="AX386" s="12">
        <f>原始输入与口径!CI290</f>
        <v>128</v>
      </c>
      <c r="AY386" s="12">
        <f>原始输入与口径!BS290</f>
        <v>175</v>
      </c>
      <c r="AZ386" s="12">
        <f>原始输入与口径!BI290</f>
        <v>175</v>
      </c>
      <c r="BA386" s="12">
        <f>原始输入与口径!CM290</f>
        <v>40</v>
      </c>
      <c r="BB386" s="12">
        <f>原始输入与口径!BV290</f>
        <v>24</v>
      </c>
      <c r="BC386" s="12">
        <f>原始输入与口径!BL290</f>
        <v>24</v>
      </c>
      <c r="BD386" s="14">
        <f>46236</f>
        <v>46236</v>
      </c>
      <c r="BE386" s="1" t="str">
        <f t="shared" si="130"/>
        <v>零头寸，无结算现金</v>
      </c>
      <c r="BF386" s="1" t="str">
        <f t="shared" si="131"/>
        <v>40.000000 MW × 66.224535 × 0.250000 h = 662.245345 EUR</v>
      </c>
      <c r="BG386" s="1" t="str">
        <f t="shared" si="132"/>
        <v>零头寸，无结算现金</v>
      </c>
      <c r="BH386" s="1" t="str">
        <f t="shared" si="133"/>
        <v>24.000000 MW × 2.593715 × 0.250000 h = 15.562289 EUR</v>
      </c>
      <c r="BI386" s="1" t="str">
        <f t="shared" si="134"/>
        <v>零上调激活电量</v>
      </c>
      <c r="BJ386" s="1" t="str">
        <f t="shared" si="135"/>
        <v>零下调激活电量</v>
      </c>
      <c r="BK386" s="1" t="str">
        <f t="shared" si="136"/>
        <v>0.000000 + 662.245345 + 0.000000 + 15.562289 + 0.000000 + 0.000000 = 677.807634 EUR</v>
      </c>
    </row>
    <row r="387" spans="1:63" ht="21" customHeight="1" x14ac:dyDescent="0.45">
      <c r="A387" s="13">
        <f>原始输入与口径!C291</f>
        <v>46237.9375</v>
      </c>
      <c r="B387" s="15">
        <f>IF(ISNUMBER(原始输入与口径!H291),原始输入与口径!H291,"缺失")</f>
        <v>264.77999999999997</v>
      </c>
      <c r="C387" s="15">
        <f>IF(ISNUMBER(原始输入与口径!R291),原始输入与口径!R291,"缺失")</f>
        <v>66.224534522516336</v>
      </c>
      <c r="D387" s="15">
        <f>IF(ISNUMBER(原始输入与口径!W291),原始输入与口径!W291,"缺失")</f>
        <v>3.4512987631734413</v>
      </c>
      <c r="E387" s="15">
        <f>IF(ISNUMBER(原始输入与口径!AB291),原始输入与口径!AB291,"缺失")</f>
        <v>2.5937148628818627</v>
      </c>
      <c r="F387" s="15">
        <f>IF(ISNUMBER(原始输入与口径!AG291),原始输入与口径!AG291,"缺失")</f>
        <v>281.18422807920263</v>
      </c>
      <c r="G387" s="15">
        <f>IF(ISNUMBER(原始输入与口径!AJ291),原始输入与口径!AJ291,"缺失")</f>
        <v>0</v>
      </c>
      <c r="H387" s="15" t="str">
        <f t="shared" si="115"/>
        <v>未模拟</v>
      </c>
      <c r="I387" s="16">
        <f>原始输入与口径!CD291</f>
        <v>31.739130434782751</v>
      </c>
      <c r="J387" s="16">
        <f>原始输入与口径!CE291</f>
        <v>31.739130434782751</v>
      </c>
      <c r="K387" s="16">
        <f>原始输入与口径!BZ291</f>
        <v>0</v>
      </c>
      <c r="L387" s="16">
        <f>原始输入与口径!CK291</f>
        <v>40</v>
      </c>
      <c r="M387" s="16">
        <f>原始输入与口径!BT291</f>
        <v>0</v>
      </c>
      <c r="N387" s="16">
        <f>原始输入与口径!BJ291</f>
        <v>24</v>
      </c>
      <c r="O387" s="16">
        <f t="shared" si="116"/>
        <v>0</v>
      </c>
      <c r="P387" s="16">
        <f t="shared" si="117"/>
        <v>0</v>
      </c>
      <c r="Q387" s="17">
        <f t="shared" si="118"/>
        <v>0</v>
      </c>
      <c r="R387" s="17">
        <f t="shared" si="119"/>
        <v>662.24534522516342</v>
      </c>
      <c r="S387" s="17">
        <f t="shared" si="120"/>
        <v>0</v>
      </c>
      <c r="T387" s="17">
        <f t="shared" si="121"/>
        <v>15.562289177291177</v>
      </c>
      <c r="U387" s="17">
        <f t="shared" si="122"/>
        <v>0</v>
      </c>
      <c r="V387" s="17">
        <f t="shared" si="123"/>
        <v>0</v>
      </c>
      <c r="W387" s="17">
        <f t="shared" si="124"/>
        <v>677.8076344024546</v>
      </c>
      <c r="X387" s="12">
        <f>原始输入与口径!CP291</f>
        <v>677.8076344024546</v>
      </c>
      <c r="Y387" s="19">
        <f t="shared" si="125"/>
        <v>0</v>
      </c>
      <c r="Z387" s="12" t="str">
        <f t="shared" si="137"/>
        <v>次日冻结计划复原</v>
      </c>
      <c r="AA387" s="12">
        <f>IF(原始输入与口径!AW291,1,0)</f>
        <v>1</v>
      </c>
      <c r="AB387" s="12">
        <f>IF(原始输入与口径!AY291,1,0)</f>
        <v>1</v>
      </c>
      <c r="AC387" s="12">
        <f>原始输入与口径!$F$5</f>
        <v>0.25</v>
      </c>
      <c r="AD387" s="18">
        <f>原始输入与口径!CG291</f>
        <v>0.3125</v>
      </c>
      <c r="AE387" s="18">
        <f>原始输入与口径!BQ291</f>
        <v>0.13714285714285715</v>
      </c>
      <c r="AF387" s="18">
        <f t="shared" si="127"/>
        <v>0.24959999999999999</v>
      </c>
      <c r="AG387" s="18">
        <f t="shared" si="128"/>
        <v>0</v>
      </c>
      <c r="AH387" s="12">
        <f>IF(ISNUMBER(原始输入与口径!T291),原始输入与口径!T291,"缺失")</f>
        <v>175</v>
      </c>
      <c r="AI387" s="12">
        <f>IF(ISNUMBER(原始输入与口径!Y291),原始输入与口径!Y291,"缺失")</f>
        <v>175</v>
      </c>
      <c r="AJ387" s="12">
        <f>IF(ISNUMBER(原始输入与口径!AI291),原始输入与口径!AI291,"缺失")</f>
        <v>10.92</v>
      </c>
      <c r="AK387" s="12">
        <f>IF(ISNUMBER(原始输入与口径!AL291),原始输入与口径!AL291,"缺失")</f>
        <v>0</v>
      </c>
      <c r="AL387" s="12">
        <f>IF(ISNUMBER(原始输入与口径!O291),原始输入与口径!O291,"缺失")</f>
        <v>131.96799999999999</v>
      </c>
      <c r="AM387" s="12">
        <f>SUMIFS(相位SOC复算!$N$9:$N$929,相位SOC复算!$S$9:$S$929,379)</f>
        <v>0</v>
      </c>
      <c r="AN387" s="12">
        <f>SUMIFS(相位SOC复算!$Q$9:$Q$929,相位SOC复算!$S$9:$S$929,379)</f>
        <v>0</v>
      </c>
      <c r="AO387" s="12">
        <f>SUMIFS(相位SOC复算!$R$9:$R$929,相位SOC复算!$S$9:$S$929,379)</f>
        <v>0</v>
      </c>
      <c r="AP387" s="12">
        <f>相位SOC复算!J918</f>
        <v>31.739130434782751</v>
      </c>
      <c r="AQ387" s="19">
        <f t="shared" si="129"/>
        <v>0</v>
      </c>
      <c r="AR387" s="12">
        <f>IF(ISBLANK(原始输入与口径!M291),"",原始输入与口径!M291)</f>
        <v>5.2473000000000001</v>
      </c>
      <c r="AS387" s="14">
        <f>IF(ISBLANK(原始输入与口径!L291),"",原始输入与口径!L291)</f>
        <v>46234</v>
      </c>
      <c r="AT387" s="13">
        <f>IF(ISBLANK(原始输入与口径!A291),"",原始输入与口径!A291)</f>
        <v>46237.8125</v>
      </c>
      <c r="AU387" s="12" t="str">
        <f>IF(ISBLANK(原始输入与口径!I291),"",原始输入与口径!I291)</f>
        <v>2026-08-03_87</v>
      </c>
      <c r="AV387" s="12">
        <f>IF(ISBLANK(原始输入与口径!J291),"",原始输入与口径!J291)</f>
        <v>15</v>
      </c>
      <c r="AW387" s="12" t="str">
        <f>IF(ISBLANK(原始输入与口径!BB291),"",原始输入与口径!BB291)</f>
        <v>OK</v>
      </c>
      <c r="AX387" s="12">
        <f>原始输入与口径!CI291</f>
        <v>128</v>
      </c>
      <c r="AY387" s="12">
        <f>原始输入与口径!BS291</f>
        <v>175</v>
      </c>
      <c r="AZ387" s="12">
        <f>原始输入与口径!BI291</f>
        <v>175</v>
      </c>
      <c r="BA387" s="12">
        <f>原始输入与口径!CM291</f>
        <v>40</v>
      </c>
      <c r="BB387" s="12">
        <f>原始输入与口径!BV291</f>
        <v>24</v>
      </c>
      <c r="BC387" s="12">
        <f>原始输入与口径!BL291</f>
        <v>24</v>
      </c>
      <c r="BD387" s="14">
        <f>46236</f>
        <v>46236</v>
      </c>
      <c r="BE387" s="1" t="str">
        <f t="shared" si="130"/>
        <v>零头寸，无结算现金</v>
      </c>
      <c r="BF387" s="1" t="str">
        <f t="shared" si="131"/>
        <v>40.000000 MW × 66.224535 × 0.250000 h = 662.245345 EUR</v>
      </c>
      <c r="BG387" s="1" t="str">
        <f t="shared" si="132"/>
        <v>零头寸，无结算现金</v>
      </c>
      <c r="BH387" s="1" t="str">
        <f t="shared" si="133"/>
        <v>24.000000 MW × 2.593715 × 0.250000 h = 15.562289 EUR</v>
      </c>
      <c r="BI387" s="1" t="str">
        <f t="shared" si="134"/>
        <v>零上调激活电量</v>
      </c>
      <c r="BJ387" s="1" t="str">
        <f t="shared" si="135"/>
        <v>零下调激活电量</v>
      </c>
      <c r="BK387" s="1" t="str">
        <f t="shared" si="136"/>
        <v>0.000000 + 662.245345 + 0.000000 + 15.562289 + 0.000000 + 0.000000 = 677.807634 EUR</v>
      </c>
    </row>
    <row r="388" spans="1:63" ht="21" customHeight="1" x14ac:dyDescent="0.45">
      <c r="A388" s="13">
        <f>原始输入与口径!C292</f>
        <v>46237.947916666664</v>
      </c>
      <c r="B388" s="15">
        <f>IF(ISNUMBER(原始输入与口径!H292),原始输入与口径!H292,"缺失")</f>
        <v>252.4</v>
      </c>
      <c r="C388" s="15">
        <f>IF(ISNUMBER(原始输入与口径!R292),原始输入与口径!R292,"缺失")</f>
        <v>66.224534522516336</v>
      </c>
      <c r="D388" s="15">
        <f>IF(ISNUMBER(原始输入与口径!W292),原始输入与口径!W292,"缺失")</f>
        <v>3.4512987631734413</v>
      </c>
      <c r="E388" s="15">
        <f>IF(ISNUMBER(原始输入与口径!AB292),原始输入与口径!AB292,"缺失")</f>
        <v>2.5937148628818627</v>
      </c>
      <c r="F388" s="15">
        <f>IF(ISNUMBER(原始输入与口径!AG292),原始输入与口径!AG292,"缺失")</f>
        <v>272.8608998913727</v>
      </c>
      <c r="G388" s="15">
        <f>IF(ISNUMBER(原始输入与口径!AJ292),原始输入与口径!AJ292,"缺失")</f>
        <v>0</v>
      </c>
      <c r="H388" s="15" t="str">
        <f t="shared" si="115"/>
        <v>未模拟</v>
      </c>
      <c r="I388" s="16">
        <f>原始输入与口径!CD292</f>
        <v>31.739130434782751</v>
      </c>
      <c r="J388" s="16">
        <f>原始输入与口径!CE292</f>
        <v>31.739130434782751</v>
      </c>
      <c r="K388" s="16">
        <f>原始输入与口径!BZ292</f>
        <v>0</v>
      </c>
      <c r="L388" s="16">
        <f>原始输入与口径!CK292</f>
        <v>40</v>
      </c>
      <c r="M388" s="16">
        <f>原始输入与口径!BT292</f>
        <v>0</v>
      </c>
      <c r="N388" s="16">
        <f>原始输入与口径!BJ292</f>
        <v>24</v>
      </c>
      <c r="O388" s="16">
        <f t="shared" si="116"/>
        <v>0</v>
      </c>
      <c r="P388" s="16">
        <f t="shared" si="117"/>
        <v>0</v>
      </c>
      <c r="Q388" s="17">
        <f t="shared" si="118"/>
        <v>0</v>
      </c>
      <c r="R388" s="17">
        <f t="shared" si="119"/>
        <v>662.24534522516342</v>
      </c>
      <c r="S388" s="17">
        <f t="shared" si="120"/>
        <v>0</v>
      </c>
      <c r="T388" s="17">
        <f t="shared" si="121"/>
        <v>15.562289177291177</v>
      </c>
      <c r="U388" s="17">
        <f t="shared" si="122"/>
        <v>0</v>
      </c>
      <c r="V388" s="17">
        <f t="shared" si="123"/>
        <v>0</v>
      </c>
      <c r="W388" s="17">
        <f t="shared" si="124"/>
        <v>677.8076344024546</v>
      </c>
      <c r="X388" s="12">
        <f>原始输入与口径!CP292</f>
        <v>677.8076344024546</v>
      </c>
      <c r="Y388" s="19">
        <f t="shared" si="125"/>
        <v>0</v>
      </c>
      <c r="Z388" s="12" t="str">
        <f t="shared" si="137"/>
        <v>次日冻结计划复原</v>
      </c>
      <c r="AA388" s="12">
        <f>IF(原始输入与口径!AW292,1,0)</f>
        <v>1</v>
      </c>
      <c r="AB388" s="12">
        <f>IF(原始输入与口径!AY292,1,0)</f>
        <v>1</v>
      </c>
      <c r="AC388" s="12">
        <f>原始输入与口径!$F$5</f>
        <v>0.25</v>
      </c>
      <c r="AD388" s="18">
        <f>原始输入与口径!CG292</f>
        <v>0.3125</v>
      </c>
      <c r="AE388" s="18">
        <f>原始输入与口径!BQ292</f>
        <v>0.13714285714285715</v>
      </c>
      <c r="AF388" s="18">
        <f t="shared" si="127"/>
        <v>0.18857142857142858</v>
      </c>
      <c r="AG388" s="18">
        <f t="shared" si="128"/>
        <v>0</v>
      </c>
      <c r="AH388" s="12">
        <f>IF(ISNUMBER(原始输入与口径!T292),原始输入与口径!T292,"缺失")</f>
        <v>175</v>
      </c>
      <c r="AI388" s="12">
        <f>IF(ISNUMBER(原始输入与口径!Y292),原始输入与口径!Y292,"缺失")</f>
        <v>175</v>
      </c>
      <c r="AJ388" s="12">
        <f>IF(ISNUMBER(原始输入与口径!AI292),原始输入与口径!AI292,"缺失")</f>
        <v>8.25</v>
      </c>
      <c r="AK388" s="12">
        <f>IF(ISNUMBER(原始输入与口径!AL292),原始输入与口径!AL292,"缺失")</f>
        <v>0</v>
      </c>
      <c r="AL388" s="12">
        <f>IF(ISNUMBER(原始输入与口径!O292),原始输入与口径!O292,"缺失")</f>
        <v>131.96799999999999</v>
      </c>
      <c r="AM388" s="12">
        <f>SUMIFS(相位SOC复算!$N$9:$N$929,相位SOC复算!$S$9:$S$929,380)</f>
        <v>0</v>
      </c>
      <c r="AN388" s="12">
        <f>SUMIFS(相位SOC复算!$Q$9:$Q$929,相位SOC复算!$S$9:$S$929,380)</f>
        <v>0</v>
      </c>
      <c r="AO388" s="12">
        <f>SUMIFS(相位SOC复算!$R$9:$R$929,相位SOC复算!$S$9:$S$929,380)</f>
        <v>0</v>
      </c>
      <c r="AP388" s="12">
        <f>相位SOC复算!J920</f>
        <v>31.739130434782751</v>
      </c>
      <c r="AQ388" s="19">
        <f t="shared" si="129"/>
        <v>0</v>
      </c>
      <c r="AR388" s="12">
        <f>IF(ISBLANK(原始输入与口径!M292),"",原始输入与口径!M292)</f>
        <v>5.2473000000000001</v>
      </c>
      <c r="AS388" s="14">
        <f>IF(ISBLANK(原始输入与口径!L292),"",原始输入与口径!L292)</f>
        <v>46234</v>
      </c>
      <c r="AT388" s="13">
        <f>IF(ISBLANK(原始输入与口径!A292),"",原始输入与口径!A292)</f>
        <v>46237.822916666664</v>
      </c>
      <c r="AU388" s="12" t="str">
        <f>IF(ISBLANK(原始输入与口径!I292),"",原始输入与口径!I292)</f>
        <v>2026-08-03_88</v>
      </c>
      <c r="AV388" s="12">
        <f>IF(ISBLANK(原始输入与口径!J292),"",原始输入与口径!J292)</f>
        <v>15</v>
      </c>
      <c r="AW388" s="12" t="str">
        <f>IF(ISBLANK(原始输入与口径!BB292),"",原始输入与口径!BB292)</f>
        <v>OK</v>
      </c>
      <c r="AX388" s="12">
        <f>原始输入与口径!CI292</f>
        <v>128</v>
      </c>
      <c r="AY388" s="12">
        <f>原始输入与口径!BS292</f>
        <v>175</v>
      </c>
      <c r="AZ388" s="12">
        <f>原始输入与口径!BI292</f>
        <v>175</v>
      </c>
      <c r="BA388" s="12">
        <f>原始输入与口径!CM292</f>
        <v>40</v>
      </c>
      <c r="BB388" s="12">
        <f>原始输入与口径!BV292</f>
        <v>24</v>
      </c>
      <c r="BC388" s="12">
        <f>原始输入与口径!BL292</f>
        <v>24</v>
      </c>
      <c r="BD388" s="14">
        <f>46236</f>
        <v>46236</v>
      </c>
      <c r="BE388" s="1" t="str">
        <f t="shared" si="130"/>
        <v>零头寸，无结算现金</v>
      </c>
      <c r="BF388" s="1" t="str">
        <f t="shared" si="131"/>
        <v>40.000000 MW × 66.224535 × 0.250000 h = 662.245345 EUR</v>
      </c>
      <c r="BG388" s="1" t="str">
        <f t="shared" si="132"/>
        <v>零头寸，无结算现金</v>
      </c>
      <c r="BH388" s="1" t="str">
        <f t="shared" si="133"/>
        <v>24.000000 MW × 2.593715 × 0.250000 h = 15.562289 EUR</v>
      </c>
      <c r="BI388" s="1" t="str">
        <f t="shared" si="134"/>
        <v>零上调激活电量</v>
      </c>
      <c r="BJ388" s="1" t="str">
        <f t="shared" si="135"/>
        <v>零下调激活电量</v>
      </c>
      <c r="BK388" s="1" t="str">
        <f t="shared" si="136"/>
        <v>0.000000 + 662.245345 + 0.000000 + 15.562289 + 0.000000 + 0.000000 = 677.807634 EUR</v>
      </c>
    </row>
    <row r="389" spans="1:63" ht="21" customHeight="1" x14ac:dyDescent="0.45">
      <c r="A389" s="13">
        <f>原始输入与口径!C293</f>
        <v>46237.958333333336</v>
      </c>
      <c r="B389" s="15">
        <f>IF(ISNUMBER(原始输入与口径!H293),原始输入与口径!H293,"缺失")</f>
        <v>252.1</v>
      </c>
      <c r="C389" s="15">
        <f>IF(ISNUMBER(原始输入与口径!R293),原始输入与口径!R293,"缺失")</f>
        <v>66.224534522516336</v>
      </c>
      <c r="D389" s="15">
        <f>IF(ISNUMBER(原始输入与口径!W293),原始输入与口径!W293,"缺失")</f>
        <v>7.0664913384026065</v>
      </c>
      <c r="E389" s="15">
        <f>IF(ISNUMBER(原始输入与口径!AB293),原始输入与口径!AB293,"缺失")</f>
        <v>2.5937148628818627</v>
      </c>
      <c r="F389" s="15">
        <f>IF(ISNUMBER(原始输入与口径!AG293),原始输入与口径!AG293,"缺失")</f>
        <v>476.50105768681038</v>
      </c>
      <c r="G389" s="15">
        <f>IF(ISNUMBER(原始输入与口径!AJ293),原始输入与口径!AJ293,"缺失")</f>
        <v>0</v>
      </c>
      <c r="H389" s="15" t="str">
        <f t="shared" si="115"/>
        <v>未模拟</v>
      </c>
      <c r="I389" s="16">
        <f>原始输入与口径!CD293</f>
        <v>31.739130434782751</v>
      </c>
      <c r="J389" s="16">
        <f>原始输入与口径!CE293</f>
        <v>34.195435806211322</v>
      </c>
      <c r="K389" s="16">
        <f>原始输入与口径!BZ293</f>
        <v>-24</v>
      </c>
      <c r="L389" s="16">
        <f>原始输入与口径!CK293</f>
        <v>40</v>
      </c>
      <c r="M389" s="16">
        <f>原始输入与口径!BT293</f>
        <v>24</v>
      </c>
      <c r="N389" s="16">
        <f>原始输入与口径!BJ293</f>
        <v>24</v>
      </c>
      <c r="O389" s="16">
        <f t="shared" si="116"/>
        <v>3.3301028571428573</v>
      </c>
      <c r="P389" s="16">
        <f t="shared" si="117"/>
        <v>0</v>
      </c>
      <c r="Q389" s="17">
        <f t="shared" si="118"/>
        <v>-1512.6</v>
      </c>
      <c r="R389" s="17">
        <f t="shared" si="119"/>
        <v>662.24534522516342</v>
      </c>
      <c r="S389" s="17">
        <f t="shared" si="120"/>
        <v>42.398948030415639</v>
      </c>
      <c r="T389" s="17">
        <f t="shared" si="121"/>
        <v>15.562289177291177</v>
      </c>
      <c r="U389" s="17">
        <f t="shared" si="122"/>
        <v>1586.7975336344407</v>
      </c>
      <c r="V389" s="17">
        <f t="shared" si="123"/>
        <v>0</v>
      </c>
      <c r="W389" s="17">
        <f t="shared" si="124"/>
        <v>794.40411606731107</v>
      </c>
      <c r="X389" s="12">
        <f>原始输入与口径!CP293</f>
        <v>794.40411606731107</v>
      </c>
      <c r="Y389" s="19">
        <f t="shared" si="125"/>
        <v>0</v>
      </c>
      <c r="Z389" s="12" t="str">
        <f t="shared" si="137"/>
        <v>次日冻结计划复原</v>
      </c>
      <c r="AA389" s="12">
        <f>IF(原始输入与口径!AW293,1,0)</f>
        <v>1</v>
      </c>
      <c r="AB389" s="12">
        <f>IF(原始输入与口径!AY293,1,0)</f>
        <v>1</v>
      </c>
      <c r="AC389" s="12">
        <f>原始输入与口径!$F$5</f>
        <v>0.25</v>
      </c>
      <c r="AD389" s="18">
        <f>原始输入与口径!CG293</f>
        <v>0.3125</v>
      </c>
      <c r="AE389" s="18">
        <f>原始输入与口径!BQ293</f>
        <v>0.13714285714285715</v>
      </c>
      <c r="AF389" s="18">
        <f t="shared" si="127"/>
        <v>0.55501714285714288</v>
      </c>
      <c r="AG389" s="18">
        <f t="shared" si="128"/>
        <v>0</v>
      </c>
      <c r="AH389" s="12">
        <f>IF(ISNUMBER(原始输入与口径!T293),原始输入与口径!T293,"缺失")</f>
        <v>175</v>
      </c>
      <c r="AI389" s="12">
        <f>IF(ISNUMBER(原始输入与口径!Y293),原始输入与口径!Y293,"缺失")</f>
        <v>175</v>
      </c>
      <c r="AJ389" s="12">
        <f>IF(ISNUMBER(原始输入与口径!AI293),原始输入与口径!AI293,"缺失")</f>
        <v>24.282</v>
      </c>
      <c r="AK389" s="12">
        <f>IF(ISNUMBER(原始输入与口径!AL293),原始输入与口径!AL293,"缺失")</f>
        <v>0</v>
      </c>
      <c r="AL389" s="12">
        <f>IF(ISNUMBER(原始输入与口径!O293),原始输入与口径!O293,"缺失")</f>
        <v>131.96799999999999</v>
      </c>
      <c r="AM389" s="12">
        <f>SUMIFS(相位SOC复算!$N$9:$N$929,相位SOC复算!$S$9:$S$929,381)</f>
        <v>6.8230704761904765E-3</v>
      </c>
      <c r="AN389" s="12">
        <f>SUMIFS(相位SOC复算!$Q$9:$Q$929,相位SOC复算!$S$9:$S$929,381)</f>
        <v>2.6698971428571427</v>
      </c>
      <c r="AO389" s="12">
        <f>SUMIFS(相位SOC复算!$R$9:$R$929,相位SOC复算!$S$9:$S$929,381)</f>
        <v>0</v>
      </c>
      <c r="AP389" s="12">
        <f>相位SOC复算!J922</f>
        <v>34.195435806211322</v>
      </c>
      <c r="AQ389" s="19">
        <f t="shared" si="129"/>
        <v>0</v>
      </c>
      <c r="AR389" s="12">
        <f>IF(ISBLANK(原始输入与口径!M293),"",原始输入与口径!M293)</f>
        <v>5.2473000000000001</v>
      </c>
      <c r="AS389" s="14">
        <f>IF(ISBLANK(原始输入与口径!L293),"",原始输入与口径!L293)</f>
        <v>46234</v>
      </c>
      <c r="AT389" s="13">
        <f>IF(ISBLANK(原始输入与口径!A293),"",原始输入与口径!A293)</f>
        <v>46237.833333333336</v>
      </c>
      <c r="AU389" s="12" t="str">
        <f>IF(ISBLANK(原始输入与口径!I293),"",原始输入与口径!I293)</f>
        <v>2026-08-03_89</v>
      </c>
      <c r="AV389" s="12">
        <f>IF(ISBLANK(原始输入与口径!J293),"",原始输入与口径!J293)</f>
        <v>15</v>
      </c>
      <c r="AW389" s="12" t="str">
        <f>IF(ISBLANK(原始输入与口径!BB293),"",原始输入与口径!BB293)</f>
        <v>OK</v>
      </c>
      <c r="AX389" s="12">
        <f>原始输入与口径!CI293</f>
        <v>128</v>
      </c>
      <c r="AY389" s="12">
        <f>原始输入与口径!BS293</f>
        <v>175</v>
      </c>
      <c r="AZ389" s="12">
        <f>原始输入与口径!BI293</f>
        <v>175</v>
      </c>
      <c r="BA389" s="12">
        <f>原始输入与口径!CM293</f>
        <v>40</v>
      </c>
      <c r="BB389" s="12">
        <f>原始输入与口径!BV293</f>
        <v>24</v>
      </c>
      <c r="BC389" s="12">
        <f>原始输入与口径!BL293</f>
        <v>24</v>
      </c>
      <c r="BD389" s="14">
        <f>46236</f>
        <v>46236</v>
      </c>
      <c r="BE389" s="1" t="str">
        <f t="shared" si="130"/>
        <v>-24.000000 MW × 252.100000 × 0.250000 h = -1512.600000 EUR</v>
      </c>
      <c r="BF389" s="1" t="str">
        <f t="shared" si="131"/>
        <v>40.000000 MW × 66.224535 × 0.250000 h = 662.245345 EUR</v>
      </c>
      <c r="BG389" s="1" t="str">
        <f t="shared" si="132"/>
        <v>24.000000 MW × 7.066491 × 0.250000 h = 42.398948 EUR</v>
      </c>
      <c r="BH389" s="1" t="str">
        <f t="shared" si="133"/>
        <v>24.000000 MW × 2.593715 × 0.250000 h = 15.562289 EUR</v>
      </c>
      <c r="BI389" s="1" t="str">
        <f t="shared" si="134"/>
        <v>3.330103 MWh × 476.501058 = 1586.797534 EUR</v>
      </c>
      <c r="BJ389" s="1" t="str">
        <f t="shared" si="135"/>
        <v>零下调激活电量</v>
      </c>
      <c r="BK389" s="1" t="str">
        <f t="shared" si="136"/>
        <v>-1512.600000 + 662.245345 + 42.398948 + 15.562289 + 1586.797534 + 0.000000 = 794.404116 EUR</v>
      </c>
    </row>
    <row r="390" spans="1:63" ht="21" customHeight="1" x14ac:dyDescent="0.45">
      <c r="A390" s="13">
        <f>原始输入与口径!C294</f>
        <v>46237.96875</v>
      </c>
      <c r="B390" s="15">
        <f>IF(ISNUMBER(原始输入与口径!H294),原始输入与口径!H294,"缺失")</f>
        <v>242.82</v>
      </c>
      <c r="C390" s="15">
        <f>IF(ISNUMBER(原始输入与口径!R294),原始输入与口径!R294,"缺失")</f>
        <v>66.224534522516336</v>
      </c>
      <c r="D390" s="15">
        <f>IF(ISNUMBER(原始输入与口径!W294),原始输入与口径!W294,"缺失")</f>
        <v>7.0664913384026065</v>
      </c>
      <c r="E390" s="15">
        <f>IF(ISNUMBER(原始输入与口径!AB294),原始输入与口径!AB294,"缺失")</f>
        <v>2.5937148628818627</v>
      </c>
      <c r="F390" s="15">
        <f>IF(ISNUMBER(原始输入与口径!AG294),原始输入与口径!AG294,"缺失")</f>
        <v>273.10083280925426</v>
      </c>
      <c r="G390" s="15">
        <f>IF(ISNUMBER(原始输入与口径!AJ294),原始输入与口径!AJ294,"缺失")</f>
        <v>0</v>
      </c>
      <c r="H390" s="15" t="str">
        <f t="shared" si="115"/>
        <v>未模拟</v>
      </c>
      <c r="I390" s="16">
        <f>原始输入与口径!CD294</f>
        <v>34.195435806211322</v>
      </c>
      <c r="J390" s="16">
        <f>原始输入与口径!CE294</f>
        <v>32.717656768540294</v>
      </c>
      <c r="K390" s="16">
        <f>原始输入与口径!BZ294</f>
        <v>-0.89166961782914911</v>
      </c>
      <c r="L390" s="16">
        <f>原始输入与口径!CK294</f>
        <v>40</v>
      </c>
      <c r="M390" s="16">
        <f>原始输入与口径!BT294</f>
        <v>24</v>
      </c>
      <c r="N390" s="16">
        <f>原始输入与口径!BJ294</f>
        <v>24</v>
      </c>
      <c r="O390" s="16">
        <f t="shared" si="116"/>
        <v>1.5571199999999998</v>
      </c>
      <c r="P390" s="16">
        <f t="shared" si="117"/>
        <v>0</v>
      </c>
      <c r="Q390" s="17">
        <f t="shared" si="118"/>
        <v>-54.128804150318494</v>
      </c>
      <c r="R390" s="17">
        <f t="shared" si="119"/>
        <v>662.24534522516342</v>
      </c>
      <c r="S390" s="17">
        <f t="shared" si="120"/>
        <v>42.398948030415639</v>
      </c>
      <c r="T390" s="17">
        <f t="shared" si="121"/>
        <v>15.562289177291177</v>
      </c>
      <c r="U390" s="17">
        <f t="shared" si="122"/>
        <v>425.25076878394594</v>
      </c>
      <c r="V390" s="17">
        <f t="shared" si="123"/>
        <v>0</v>
      </c>
      <c r="W390" s="17">
        <f t="shared" si="124"/>
        <v>1091.3285470664978</v>
      </c>
      <c r="X390" s="12">
        <f>原始输入与口径!CP294</f>
        <v>1091.3285470664978</v>
      </c>
      <c r="Y390" s="19">
        <f t="shared" si="125"/>
        <v>0</v>
      </c>
      <c r="Z390" s="12" t="str">
        <f t="shared" si="137"/>
        <v>次日冻结计划复原</v>
      </c>
      <c r="AA390" s="12">
        <f>IF(原始输入与口径!AW294,1,0)</f>
        <v>1</v>
      </c>
      <c r="AB390" s="12">
        <f>IF(原始输入与口径!AY294,1,0)</f>
        <v>1</v>
      </c>
      <c r="AC390" s="12">
        <f>原始输入与口径!$F$5</f>
        <v>0.25</v>
      </c>
      <c r="AD390" s="18">
        <f>原始输入与口径!CG294</f>
        <v>0.3125</v>
      </c>
      <c r="AE390" s="18">
        <f>原始输入与口径!BQ294</f>
        <v>0.13714285714285715</v>
      </c>
      <c r="AF390" s="18">
        <f t="shared" si="127"/>
        <v>0.25951999999999997</v>
      </c>
      <c r="AG390" s="18">
        <f t="shared" si="128"/>
        <v>0</v>
      </c>
      <c r="AH390" s="12">
        <f>IF(ISNUMBER(原始输入与口径!T294),原始输入与口径!T294,"缺失")</f>
        <v>175</v>
      </c>
      <c r="AI390" s="12">
        <f>IF(ISNUMBER(原始输入与口径!Y294),原始输入与口径!Y294,"缺失")</f>
        <v>175</v>
      </c>
      <c r="AJ390" s="12">
        <f>IF(ISNUMBER(原始输入与口径!AI294),原始输入与口径!AI294,"缺失")</f>
        <v>11.353999999999999</v>
      </c>
      <c r="AK390" s="12">
        <f>IF(ISNUMBER(原始输入与口径!AL294),原始输入与口径!AL294,"缺失")</f>
        <v>0</v>
      </c>
      <c r="AL390" s="12">
        <f>IF(ISNUMBER(原始输入与口径!O294),原始输入与口径!O294,"缺失")</f>
        <v>131.96799999999999</v>
      </c>
      <c r="AM390" s="12">
        <f>SUMIFS(相位SOC复算!$N$9:$N$929,相位SOC复算!$S$9:$S$929,382)</f>
        <v>4.9486118228657845E-3</v>
      </c>
      <c r="AN390" s="12">
        <f>SUMIFS(相位SOC复算!$Q$9:$Q$929,相位SOC复算!$S$9:$S$929,382)</f>
        <v>0.16506587965253208</v>
      </c>
      <c r="AO390" s="12">
        <f>SUMIFS(相位SOC复算!$R$9:$R$929,相位SOC复算!$S$9:$S$929,382)</f>
        <v>1.4992684751952448</v>
      </c>
      <c r="AP390" s="12">
        <f>相位SOC复算!J924</f>
        <v>32.717656768540294</v>
      </c>
      <c r="AQ390" s="19">
        <f t="shared" si="129"/>
        <v>0</v>
      </c>
      <c r="AR390" s="12">
        <f>IF(ISBLANK(原始输入与口径!M294),"",原始输入与口径!M294)</f>
        <v>5.2473000000000001</v>
      </c>
      <c r="AS390" s="14">
        <f>IF(ISBLANK(原始输入与口径!L294),"",原始输入与口径!L294)</f>
        <v>46234</v>
      </c>
      <c r="AT390" s="13">
        <f>IF(ISBLANK(原始输入与口径!A294),"",原始输入与口径!A294)</f>
        <v>46237.84375</v>
      </c>
      <c r="AU390" s="12" t="str">
        <f>IF(ISBLANK(原始输入与口径!I294),"",原始输入与口径!I294)</f>
        <v>2026-08-03_90</v>
      </c>
      <c r="AV390" s="12">
        <f>IF(ISBLANK(原始输入与口径!J294),"",原始输入与口径!J294)</f>
        <v>15</v>
      </c>
      <c r="AW390" s="12" t="str">
        <f>IF(ISBLANK(原始输入与口径!BB294),"",原始输入与口径!BB294)</f>
        <v>OK</v>
      </c>
      <c r="AX390" s="12">
        <f>原始输入与口径!CI294</f>
        <v>128</v>
      </c>
      <c r="AY390" s="12">
        <f>原始输入与口径!BS294</f>
        <v>175</v>
      </c>
      <c r="AZ390" s="12">
        <f>原始输入与口径!BI294</f>
        <v>175</v>
      </c>
      <c r="BA390" s="12">
        <f>原始输入与口径!CM294</f>
        <v>40</v>
      </c>
      <c r="BB390" s="12">
        <f>原始输入与口径!BV294</f>
        <v>24</v>
      </c>
      <c r="BC390" s="12">
        <f>原始输入与口径!BL294</f>
        <v>24</v>
      </c>
      <c r="BD390" s="14">
        <f>46236</f>
        <v>46236</v>
      </c>
      <c r="BE390" s="1" t="str">
        <f t="shared" si="130"/>
        <v>-0.891670 MW × 242.820000 × 0.250000 h = -54.128804 EUR</v>
      </c>
      <c r="BF390" s="1" t="str">
        <f t="shared" si="131"/>
        <v>40.000000 MW × 66.224535 × 0.250000 h = 662.245345 EUR</v>
      </c>
      <c r="BG390" s="1" t="str">
        <f t="shared" si="132"/>
        <v>24.000000 MW × 7.066491 × 0.250000 h = 42.398948 EUR</v>
      </c>
      <c r="BH390" s="1" t="str">
        <f t="shared" si="133"/>
        <v>24.000000 MW × 2.593715 × 0.250000 h = 15.562289 EUR</v>
      </c>
      <c r="BI390" s="1" t="str">
        <f t="shared" si="134"/>
        <v>1.557120 MWh × 273.100833 = 425.250769 EUR</v>
      </c>
      <c r="BJ390" s="1" t="str">
        <f t="shared" si="135"/>
        <v>零下调激活电量</v>
      </c>
      <c r="BK390" s="1" t="str">
        <f t="shared" si="136"/>
        <v>-54.128804 + 662.245345 + 42.398948 + 15.562289 + 425.250769 + 0.000000 = 1091.328547 EUR</v>
      </c>
    </row>
    <row r="391" spans="1:63" ht="21" customHeight="1" x14ac:dyDescent="0.45">
      <c r="A391" s="13">
        <f>原始输入与口径!C295</f>
        <v>46237.979166666664</v>
      </c>
      <c r="B391" s="15">
        <f>IF(ISNUMBER(原始输入与口径!H295),原始输入与口径!H295,"缺失")</f>
        <v>234.76</v>
      </c>
      <c r="C391" s="15">
        <f>IF(ISNUMBER(原始输入与口径!R295),原始输入与口径!R295,"缺失")</f>
        <v>66.224534522516336</v>
      </c>
      <c r="D391" s="15">
        <f>IF(ISNUMBER(原始输入与口径!W295),原始输入与口径!W295,"缺失")</f>
        <v>7.0664913384026065</v>
      </c>
      <c r="E391" s="15">
        <f>IF(ISNUMBER(原始输入与口径!AB295),原始输入与口径!AB295,"缺失")</f>
        <v>2.5937148628818627</v>
      </c>
      <c r="F391" s="15">
        <f>IF(ISNUMBER(原始输入与口径!AG295),原始输入与口径!AG295,"缺失")</f>
        <v>254.86059497265259</v>
      </c>
      <c r="G391" s="15">
        <f>IF(ISNUMBER(原始输入与口径!AJ295),原始输入与口径!AJ295,"缺失")</f>
        <v>0</v>
      </c>
      <c r="H391" s="15" t="str">
        <f t="shared" si="115"/>
        <v>未模拟</v>
      </c>
      <c r="I391" s="16">
        <f>原始输入与口径!CD295</f>
        <v>32.717656768540294</v>
      </c>
      <c r="J391" s="16">
        <f>原始输入与口径!CE295</f>
        <v>32.0927753540374</v>
      </c>
      <c r="K391" s="16">
        <f>原始输入与口径!BZ295</f>
        <v>-1.8358554115129444</v>
      </c>
      <c r="L391" s="16">
        <f>原始输入与口径!CK295</f>
        <v>40</v>
      </c>
      <c r="M391" s="16">
        <f>原始输入与口径!BT295</f>
        <v>24</v>
      </c>
      <c r="N391" s="16">
        <f>原始输入与口径!BJ295</f>
        <v>24</v>
      </c>
      <c r="O391" s="16">
        <f t="shared" si="116"/>
        <v>0.97481142857142866</v>
      </c>
      <c r="P391" s="16">
        <f t="shared" si="117"/>
        <v>0</v>
      </c>
      <c r="Q391" s="17">
        <f t="shared" si="118"/>
        <v>-107.74635410169471</v>
      </c>
      <c r="R391" s="17">
        <f t="shared" si="119"/>
        <v>662.24534522516342</v>
      </c>
      <c r="S391" s="17">
        <f t="shared" si="120"/>
        <v>42.398948030415639</v>
      </c>
      <c r="T391" s="17">
        <f t="shared" si="121"/>
        <v>15.562289177291177</v>
      </c>
      <c r="U391" s="17">
        <f t="shared" si="122"/>
        <v>248.44102067185574</v>
      </c>
      <c r="V391" s="17">
        <f t="shared" si="123"/>
        <v>0</v>
      </c>
      <c r="W391" s="17">
        <f t="shared" si="124"/>
        <v>860.90124900303135</v>
      </c>
      <c r="X391" s="12">
        <f>原始输入与口径!CP295</f>
        <v>860.90124900303124</v>
      </c>
      <c r="Y391" s="19">
        <f t="shared" si="125"/>
        <v>0</v>
      </c>
      <c r="Z391" s="12" t="str">
        <f t="shared" si="137"/>
        <v>次日冻结计划复原</v>
      </c>
      <c r="AA391" s="12">
        <f>IF(原始输入与口径!AW295,1,0)</f>
        <v>1</v>
      </c>
      <c r="AB391" s="12">
        <f>IF(原始输入与口径!AY295,1,0)</f>
        <v>1</v>
      </c>
      <c r="AC391" s="12">
        <f>原始输入与口径!$F$5</f>
        <v>0.25</v>
      </c>
      <c r="AD391" s="18">
        <f>原始输入与口径!CG295</f>
        <v>0.3125</v>
      </c>
      <c r="AE391" s="18">
        <f>原始输入与口径!BQ295</f>
        <v>0.13714285714285715</v>
      </c>
      <c r="AF391" s="18">
        <f t="shared" si="127"/>
        <v>0.16246857142857143</v>
      </c>
      <c r="AG391" s="18">
        <f t="shared" si="128"/>
        <v>0</v>
      </c>
      <c r="AH391" s="12">
        <f>IF(ISNUMBER(原始输入与口径!T295),原始输入与口径!T295,"缺失")</f>
        <v>175</v>
      </c>
      <c r="AI391" s="12">
        <f>IF(ISNUMBER(原始输入与口径!Y295),原始输入与口径!Y295,"缺失")</f>
        <v>175</v>
      </c>
      <c r="AJ391" s="12">
        <f>IF(ISNUMBER(原始输入与口径!AI295),原始输入与口径!AI295,"缺失")</f>
        <v>7.1079999999999997</v>
      </c>
      <c r="AK391" s="12">
        <f>IF(ISNUMBER(原始输入与口径!AL295),原始输入与口径!AL295,"缺失")</f>
        <v>0</v>
      </c>
      <c r="AL391" s="12">
        <f>IF(ISNUMBER(原始输入与口径!O295),原始输入与口径!O295,"缺失")</f>
        <v>131.96799999999999</v>
      </c>
      <c r="AM391" s="12">
        <f>SUMIFS(相位SOC复算!$N$9:$N$929,相位SOC复算!$S$9:$S$929,383)</f>
        <v>3.7004757028116899E-3</v>
      </c>
      <c r="AN391" s="12">
        <f>SUMIFS(相位SOC复算!$Q$9:$Q$929,相位SOC复算!$S$9:$S$929,383)</f>
        <v>0.38439665136375606</v>
      </c>
      <c r="AO391" s="12">
        <f>SUMIFS(相位SOC复算!$R$9:$R$929,相位SOC复算!$S$9:$S$929,383)</f>
        <v>0.90024422705694851</v>
      </c>
      <c r="AP391" s="12">
        <f>相位SOC复算!J926</f>
        <v>32.0927753540374</v>
      </c>
      <c r="AQ391" s="19">
        <f t="shared" si="129"/>
        <v>0</v>
      </c>
      <c r="AR391" s="12">
        <f>IF(ISBLANK(原始输入与口径!M295),"",原始输入与口径!M295)</f>
        <v>5.2473000000000001</v>
      </c>
      <c r="AS391" s="14">
        <f>IF(ISBLANK(原始输入与口径!L295),"",原始输入与口径!L295)</f>
        <v>46234</v>
      </c>
      <c r="AT391" s="13">
        <f>IF(ISBLANK(原始输入与口径!A295),"",原始输入与口径!A295)</f>
        <v>46237.854166666664</v>
      </c>
      <c r="AU391" s="12" t="str">
        <f>IF(ISBLANK(原始输入与口径!I295),"",原始输入与口径!I295)</f>
        <v>2026-08-03_91</v>
      </c>
      <c r="AV391" s="12">
        <f>IF(ISBLANK(原始输入与口径!J295),"",原始输入与口径!J295)</f>
        <v>15</v>
      </c>
      <c r="AW391" s="12" t="str">
        <f>IF(ISBLANK(原始输入与口径!BB295),"",原始输入与口径!BB295)</f>
        <v>OK</v>
      </c>
      <c r="AX391" s="12">
        <f>原始输入与口径!CI295</f>
        <v>128</v>
      </c>
      <c r="AY391" s="12">
        <f>原始输入与口径!BS295</f>
        <v>175</v>
      </c>
      <c r="AZ391" s="12">
        <f>原始输入与口径!BI295</f>
        <v>175</v>
      </c>
      <c r="BA391" s="12">
        <f>原始输入与口径!CM295</f>
        <v>40</v>
      </c>
      <c r="BB391" s="12">
        <f>原始输入与口径!BV295</f>
        <v>24</v>
      </c>
      <c r="BC391" s="12">
        <f>原始输入与口径!BL295</f>
        <v>24</v>
      </c>
      <c r="BD391" s="14">
        <f>46236</f>
        <v>46236</v>
      </c>
      <c r="BE391" s="1" t="str">
        <f t="shared" si="130"/>
        <v>-1.835855 MW × 234.760000 × 0.250000 h = -107.746354 EUR</v>
      </c>
      <c r="BF391" s="1" t="str">
        <f t="shared" si="131"/>
        <v>40.000000 MW × 66.224535 × 0.250000 h = 662.245345 EUR</v>
      </c>
      <c r="BG391" s="1" t="str">
        <f t="shared" si="132"/>
        <v>24.000000 MW × 7.066491 × 0.250000 h = 42.398948 EUR</v>
      </c>
      <c r="BH391" s="1" t="str">
        <f t="shared" si="133"/>
        <v>24.000000 MW × 2.593715 × 0.250000 h = 15.562289 EUR</v>
      </c>
      <c r="BI391" s="1" t="str">
        <f t="shared" si="134"/>
        <v>0.974811 MWh × 254.860595 = 248.441021 EUR</v>
      </c>
      <c r="BJ391" s="1" t="str">
        <f t="shared" si="135"/>
        <v>零下调激活电量</v>
      </c>
      <c r="BK391" s="1" t="str">
        <f t="shared" si="136"/>
        <v>-107.746354 + 662.245345 + 42.398948 + 15.562289 + 248.441021 + 0.000000 = 860.901249 EUR</v>
      </c>
    </row>
    <row r="392" spans="1:63" ht="21" customHeight="1" x14ac:dyDescent="0.45">
      <c r="A392" s="13">
        <f>原始输入与口径!C296</f>
        <v>46237.989583333336</v>
      </c>
      <c r="B392" s="15">
        <f>IF(ISNUMBER(原始输入与口径!H296),原始输入与口径!H296,"缺失")</f>
        <v>229.66</v>
      </c>
      <c r="C392" s="15">
        <f>IF(ISNUMBER(原始输入与口径!R296),原始输入与口径!R296,"缺失")</f>
        <v>66.224534522516336</v>
      </c>
      <c r="D392" s="15">
        <f>IF(ISNUMBER(原始输入与口径!W296),原始输入与口径!W296,"缺失")</f>
        <v>7.0664913384026065</v>
      </c>
      <c r="E392" s="15">
        <f>IF(ISNUMBER(原始输入与口径!AB296),原始输入与口径!AB296,"缺失")</f>
        <v>2.5937148628818627</v>
      </c>
      <c r="F392" s="15">
        <f>IF(ISNUMBER(原始输入与口径!AG296),原始输入与口径!AG296,"缺失")</f>
        <v>221.74165761439218</v>
      </c>
      <c r="G392" s="15">
        <f>IF(ISNUMBER(原始输入与口径!AJ296),原始输入与口径!AJ296,"缺失")</f>
        <v>76.934804566157837</v>
      </c>
      <c r="H392" s="15" t="str">
        <f t="shared" si="115"/>
        <v>未模拟</v>
      </c>
      <c r="I392" s="16">
        <f>原始输入与口径!CD296</f>
        <v>32.0927753540374</v>
      </c>
      <c r="J392" s="16">
        <f>原始输入与口径!CE296</f>
        <v>31.739130434782741</v>
      </c>
      <c r="K392" s="16">
        <f>原始输入与口径!BZ296</f>
        <v>0</v>
      </c>
      <c r="L392" s="16">
        <f>原始输入与口径!CK296</f>
        <v>40</v>
      </c>
      <c r="M392" s="16">
        <f>原始输入与口径!BT296</f>
        <v>24</v>
      </c>
      <c r="N392" s="16">
        <f>原始输入与口径!BJ296</f>
        <v>24</v>
      </c>
      <c r="O392" s="16">
        <f t="shared" si="116"/>
        <v>0.44201142857142861</v>
      </c>
      <c r="P392" s="16">
        <f t="shared" si="117"/>
        <v>0.13782857142857141</v>
      </c>
      <c r="Q392" s="17">
        <f t="shared" si="118"/>
        <v>0</v>
      </c>
      <c r="R392" s="17">
        <f t="shared" si="119"/>
        <v>662.24534522516342</v>
      </c>
      <c r="S392" s="17">
        <f t="shared" si="120"/>
        <v>42.398948030415639</v>
      </c>
      <c r="T392" s="17">
        <f t="shared" si="121"/>
        <v>15.562289177291177</v>
      </c>
      <c r="U392" s="17">
        <f t="shared" si="122"/>
        <v>98.012346855934084</v>
      </c>
      <c r="V392" s="17">
        <f t="shared" si="123"/>
        <v>-10.603814206489867</v>
      </c>
      <c r="W392" s="17">
        <f t="shared" si="124"/>
        <v>807.61511508231445</v>
      </c>
      <c r="X392" s="12">
        <f>原始输入与口径!CP296</f>
        <v>807.61511508231445</v>
      </c>
      <c r="Y392" s="19">
        <f t="shared" si="125"/>
        <v>0</v>
      </c>
      <c r="Z392" s="12" t="str">
        <f t="shared" si="137"/>
        <v>次日冻结计划复原</v>
      </c>
      <c r="AA392" s="12">
        <f>IF(原始输入与口径!AW296,1,0)</f>
        <v>1</v>
      </c>
      <c r="AB392" s="12">
        <f>IF(原始输入与口径!AY296,1,0)</f>
        <v>1</v>
      </c>
      <c r="AC392" s="12">
        <f>原始输入与口径!$F$5</f>
        <v>0.25</v>
      </c>
      <c r="AD392" s="18">
        <f>原始输入与口径!CG296</f>
        <v>0.3125</v>
      </c>
      <c r="AE392" s="18">
        <f>原始输入与口径!BQ296</f>
        <v>0.13714285714285715</v>
      </c>
      <c r="AF392" s="18">
        <f t="shared" si="127"/>
        <v>7.366857142857143E-2</v>
      </c>
      <c r="AG392" s="18">
        <f t="shared" si="128"/>
        <v>2.297142857142857E-2</v>
      </c>
      <c r="AH392" s="12">
        <f>IF(ISNUMBER(原始输入与口径!T296),原始输入与口径!T296,"缺失")</f>
        <v>175</v>
      </c>
      <c r="AI392" s="12">
        <f>IF(ISNUMBER(原始输入与口径!Y296),原始输入与口径!Y296,"缺失")</f>
        <v>175</v>
      </c>
      <c r="AJ392" s="12">
        <f>IF(ISNUMBER(原始输入与口径!AI296),原始输入与口径!AI296,"缺失")</f>
        <v>3.2229999999999999</v>
      </c>
      <c r="AK392" s="12">
        <f>IF(ISNUMBER(原始输入与口径!AL296),原始输入与口径!AL296,"缺失")</f>
        <v>1.0049999999999999</v>
      </c>
      <c r="AL392" s="12">
        <f>IF(ISNUMBER(原始输入与口径!O296),原始输入与口径!O296,"缺失")</f>
        <v>131.96799999999999</v>
      </c>
      <c r="AM392" s="12">
        <f>SUMIFS(相位SOC复算!$N$9:$N$929,相位SOC复算!$S$9:$S$929,384)</f>
        <v>1.6868041407867495E-3</v>
      </c>
      <c r="AN392" s="12">
        <f>SUMIFS(相位SOC复算!$Q$9:$Q$929,相位SOC复算!$S$9:$S$929,384)</f>
        <v>0.13782857142857141</v>
      </c>
      <c r="AO392" s="12">
        <f>SUMIFS(相位SOC复算!$R$9:$R$929,相位SOC复算!$S$9:$S$929,384)</f>
        <v>0.44201142857142861</v>
      </c>
      <c r="AP392" s="12">
        <f>相位SOC复算!J929</f>
        <v>31.739130434782741</v>
      </c>
      <c r="AQ392" s="19">
        <f t="shared" si="129"/>
        <v>0</v>
      </c>
      <c r="AR392" s="12">
        <f>IF(ISBLANK(原始输入与口径!M296),"",原始输入与口径!M296)</f>
        <v>5.2473000000000001</v>
      </c>
      <c r="AS392" s="14">
        <f>IF(ISBLANK(原始输入与口径!L296),"",原始输入与口径!L296)</f>
        <v>46234</v>
      </c>
      <c r="AT392" s="13">
        <f>IF(ISBLANK(原始输入与口径!A296),"",原始输入与口径!A296)</f>
        <v>46237.864583333336</v>
      </c>
      <c r="AU392" s="12" t="str">
        <f>IF(ISBLANK(原始输入与口径!I296),"",原始输入与口径!I296)</f>
        <v>2026-08-03_92</v>
      </c>
      <c r="AV392" s="12">
        <f>IF(ISBLANK(原始输入与口径!J296),"",原始输入与口径!J296)</f>
        <v>15</v>
      </c>
      <c r="AW392" s="12" t="str">
        <f>IF(ISBLANK(原始输入与口径!BB296),"",原始输入与口径!BB296)</f>
        <v>OK</v>
      </c>
      <c r="AX392" s="12">
        <f>原始输入与口径!CI296</f>
        <v>128</v>
      </c>
      <c r="AY392" s="12">
        <f>原始输入与口径!BS296</f>
        <v>175</v>
      </c>
      <c r="AZ392" s="12">
        <f>原始输入与口径!BI296</f>
        <v>175</v>
      </c>
      <c r="BA392" s="12">
        <f>原始输入与口径!CM296</f>
        <v>40</v>
      </c>
      <c r="BB392" s="12">
        <f>原始输入与口径!BV296</f>
        <v>24</v>
      </c>
      <c r="BC392" s="12">
        <f>原始输入与口径!BL296</f>
        <v>24</v>
      </c>
      <c r="BD392" s="14">
        <f>46236</f>
        <v>46236</v>
      </c>
      <c r="BE392" s="1" t="str">
        <f t="shared" si="130"/>
        <v>零头寸，无结算现金</v>
      </c>
      <c r="BF392" s="1" t="str">
        <f t="shared" si="131"/>
        <v>40.000000 MW × 66.224535 × 0.250000 h = 662.245345 EUR</v>
      </c>
      <c r="BG392" s="1" t="str">
        <f t="shared" si="132"/>
        <v>24.000000 MW × 7.066491 × 0.250000 h = 42.398948 EUR</v>
      </c>
      <c r="BH392" s="1" t="str">
        <f t="shared" si="133"/>
        <v>24.000000 MW × 2.593715 × 0.250000 h = 15.562289 EUR</v>
      </c>
      <c r="BI392" s="1" t="str">
        <f t="shared" si="134"/>
        <v>0.442011 MWh × 221.741658 = 98.012347 EUR</v>
      </c>
      <c r="BJ392" s="1" t="str">
        <f t="shared" si="135"/>
        <v>−(0.137829 MWh × 76.934805) = -10.603814 EUR</v>
      </c>
      <c r="BK392" s="1" t="str">
        <f t="shared" si="136"/>
        <v>0.000000 + 662.245345 + 42.398948 + 15.562289 + 98.012347 + -10.603814 = 807.615115 EUR</v>
      </c>
    </row>
    <row r="393" spans="1:63" ht="21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 spans="1:63" ht="21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 spans="1:63" ht="21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 spans="1:63" ht="21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 spans="1:63" ht="21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 spans="1:63" ht="21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 spans="1:63" ht="21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 spans="1:63" ht="21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 spans="1:63" ht="21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 spans="1:63" ht="21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 spans="1:63" ht="21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</sheetData>
  <phoneticPr fontId="9" type="noConversion"/>
  <conditionalFormatting sqref="Y9:Y392">
    <cfRule type="expression" dxfId="3" priority="4">
      <formula>ABS(Y9)&gt;0.00001</formula>
    </cfRule>
  </conditionalFormatting>
  <conditionalFormatting sqref="AQ9:AQ392">
    <cfRule type="expression" dxfId="2" priority="5">
      <formula>ABS(AQ9)&gt;0.000001</formula>
    </cfRule>
  </conditionalFormatting>
  <conditionalFormatting sqref="B9:B39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{915964D6-34A0-4CE4-A16E-4AA6915EA173}</x14:id>
        </ext>
      </extLst>
    </cfRule>
  </conditionalFormatting>
  <conditionalFormatting sqref="C9:C39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{E5EDAD03-6B2F-441B-B992-B38D58865EA0}</x14:id>
        </ext>
      </extLst>
    </cfRule>
  </conditionalFormatting>
  <conditionalFormatting sqref="F9:F39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{924B0303-51C1-4764-9CE0-E457D9692579}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5964D6-34A0-4CE4-A16E-4AA6915EA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B9:B392</xm:sqref>
        </x14:conditionalFormatting>
        <x14:conditionalFormatting xmlns:xm="http://schemas.microsoft.com/office/excel/2006/main">
          <x14:cfRule type="dataBar" id="{E5EDAD03-6B2F-441B-B992-B38D58865E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C9:C392</xm:sqref>
        </x14:conditionalFormatting>
        <x14:conditionalFormatting xmlns:xm="http://schemas.microsoft.com/office/excel/2006/main">
          <x14:cfRule type="dataBar" id="{924B0303-51C1-4764-9CE0-E457D96925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F9:F392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3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B9" sqref="B9"/>
    </sheetView>
  </sheetViews>
  <sheetFormatPr defaultRowHeight="14.25" x14ac:dyDescent="0.45"/>
  <cols>
    <col min="1" max="3" width="30" customWidth="1"/>
    <col min="4" max="20" width="19" customWidth="1"/>
  </cols>
  <sheetData>
    <row r="1" spans="1:20" ht="21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customHeight="1" x14ac:dyDescent="0.45">
      <c r="A2" s="2" t="s">
        <v>78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1" customHeight="1" x14ac:dyDescent="0.45">
      <c r="A3" s="3" t="s">
        <v>79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1" customHeight="1" x14ac:dyDescent="0.45">
      <c r="A4" s="3" t="s">
        <v>80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1" customHeight="1" x14ac:dyDescent="0.4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1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1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55.05" customHeight="1" x14ac:dyDescent="0.45">
      <c r="A8" s="6" t="s">
        <v>81</v>
      </c>
      <c r="B8" s="6" t="s">
        <v>82</v>
      </c>
      <c r="C8" s="6" t="s">
        <v>83</v>
      </c>
      <c r="D8" s="6" t="s">
        <v>84</v>
      </c>
      <c r="E8" s="6" t="s">
        <v>85</v>
      </c>
      <c r="F8" s="6" t="s">
        <v>86</v>
      </c>
      <c r="G8" s="6" t="s">
        <v>87</v>
      </c>
      <c r="H8" s="6" t="s">
        <v>88</v>
      </c>
      <c r="I8" s="6" t="s">
        <v>89</v>
      </c>
      <c r="J8" s="6" t="s">
        <v>90</v>
      </c>
      <c r="K8" s="6" t="s">
        <v>91</v>
      </c>
      <c r="L8" s="6" t="s">
        <v>92</v>
      </c>
      <c r="M8" s="6" t="s">
        <v>93</v>
      </c>
      <c r="N8" s="6" t="s">
        <v>94</v>
      </c>
      <c r="O8" s="6" t="s">
        <v>95</v>
      </c>
      <c r="P8" s="6" t="s">
        <v>96</v>
      </c>
      <c r="Q8" s="6" t="s">
        <v>97</v>
      </c>
      <c r="R8" s="6" t="s">
        <v>98</v>
      </c>
      <c r="S8" s="6" t="s">
        <v>99</v>
      </c>
      <c r="T8" s="6" t="s">
        <v>100</v>
      </c>
    </row>
    <row r="9" spans="1:20" ht="21" customHeight="1" x14ac:dyDescent="0.45">
      <c r="A9" s="31">
        <v>46235</v>
      </c>
      <c r="B9" s="31">
        <v>46235.004386428569</v>
      </c>
      <c r="C9" s="31">
        <v>46235</v>
      </c>
      <c r="D9" s="1" t="s">
        <v>101</v>
      </c>
      <c r="E9" s="12">
        <v>0.10527428571428571</v>
      </c>
      <c r="F9" s="12">
        <f>IF(D9="d",两日求解价格与决策!K9-两日求解价格与决策!N9,IF(D9="u",两日求解价格与决策!K9+两日求解价格与决策!M9,两日求解价格与决策!K9))</f>
        <v>1.8829382497642655E-13</v>
      </c>
      <c r="G9" s="12">
        <f t="shared" ref="G9:G72" si="0">MAX(-F9,0)</f>
        <v>0</v>
      </c>
      <c r="H9" s="12">
        <f t="shared" ref="H9:H72" si="1">MAX(F9,0)</f>
        <v>1.8829382497642655E-13</v>
      </c>
      <c r="I9" s="12">
        <f>订单与窗口!C6</f>
        <v>31.73913043478267</v>
      </c>
      <c r="J9" s="12">
        <f>I9+E9*(G9*原始输入与口径!$B$5-H9/原始输入与口径!$B$5)</f>
        <v>31.739130434782648</v>
      </c>
      <c r="K9" s="12">
        <v>31.73913043478267</v>
      </c>
      <c r="L9" s="12">
        <v>31.739130434782648</v>
      </c>
      <c r="M9" s="19">
        <f t="shared" ref="M9:M72" si="2">J9-L9</f>
        <v>0</v>
      </c>
      <c r="N9" s="12">
        <f>E9*(G9*原始输入与口径!$B$5+H9/原始输入与口径!$B$5)/原始输入与口径!$H$5</f>
        <v>5.9850537224649867E-17</v>
      </c>
      <c r="O9" s="12">
        <v>5.9850537224649854E-17</v>
      </c>
      <c r="P9" s="19">
        <f t="shared" ref="P9:P72" si="3">N9-O9</f>
        <v>0</v>
      </c>
      <c r="Q9" s="12">
        <f t="shared" ref="Q9:Q72" si="4">E9*G9</f>
        <v>0</v>
      </c>
      <c r="R9" s="12">
        <f t="shared" ref="R9:R72" si="5">E9*H9</f>
        <v>1.9822497928804034E-14</v>
      </c>
      <c r="S9" s="1">
        <v>1</v>
      </c>
      <c r="T9" s="14">
        <v>46235</v>
      </c>
    </row>
    <row r="10" spans="1:20" ht="21" customHeight="1" x14ac:dyDescent="0.45">
      <c r="A10" s="31">
        <v>46235.004386428569</v>
      </c>
      <c r="B10" s="31">
        <v>46235.010416666664</v>
      </c>
      <c r="C10" s="31">
        <v>46235</v>
      </c>
      <c r="D10" s="1" t="s">
        <v>102</v>
      </c>
      <c r="E10" s="12">
        <v>0.14472571428571429</v>
      </c>
      <c r="F10" s="12">
        <f>IF(D10="d",两日求解价格与决策!K9-两日求解价格与决策!N9,IF(D10="u",两日求解价格与决策!K9+两日求解价格与决策!M9,两日求解价格与决策!K9))</f>
        <v>-23.999999999999812</v>
      </c>
      <c r="G10" s="12">
        <f t="shared" si="0"/>
        <v>23.999999999999812</v>
      </c>
      <c r="H10" s="12">
        <f t="shared" si="1"/>
        <v>0</v>
      </c>
      <c r="I10" s="12">
        <f t="shared" ref="I10:I73" si="6">J9</f>
        <v>31.739130434782648</v>
      </c>
      <c r="J10" s="12">
        <f>I10+E10*(G10*原始输入与口径!$B$5-H10/原始输入与口径!$B$5)</f>
        <v>34.934674206211199</v>
      </c>
      <c r="K10" s="12">
        <v>31.739130434782648</v>
      </c>
      <c r="L10" s="12">
        <v>34.934674206211199</v>
      </c>
      <c r="M10" s="19">
        <f t="shared" si="2"/>
        <v>0</v>
      </c>
      <c r="N10" s="12">
        <f>E10*(G10*原始输入与口径!$B$5+H10/原始输入与口径!$B$5)/原始输入与口径!$H$5</f>
        <v>8.8765104761904072E-3</v>
      </c>
      <c r="O10" s="12">
        <v>8.8765104761904072E-3</v>
      </c>
      <c r="P10" s="19">
        <f t="shared" si="3"/>
        <v>0</v>
      </c>
      <c r="Q10" s="12">
        <f t="shared" si="4"/>
        <v>3.4734171428571159</v>
      </c>
      <c r="R10" s="12">
        <f t="shared" si="5"/>
        <v>0</v>
      </c>
      <c r="S10" s="1">
        <v>1</v>
      </c>
      <c r="T10" s="14">
        <v>46235</v>
      </c>
    </row>
    <row r="11" spans="1:20" ht="21" customHeight="1" x14ac:dyDescent="0.45">
      <c r="A11" s="31">
        <v>46235.010416666664</v>
      </c>
      <c r="B11" s="31">
        <v>46235.014092619043</v>
      </c>
      <c r="C11" s="31">
        <v>46235.010416666664</v>
      </c>
      <c r="D11" s="1" t="s">
        <v>101</v>
      </c>
      <c r="E11" s="12">
        <v>8.8222857142857145E-2</v>
      </c>
      <c r="F11" s="12">
        <f>IF(D11="d",两日求解价格与决策!K10-两日求解价格与决策!N10,IF(D11="u",两日求解价格与决策!K10+两日求解价格与决策!M10,两日求解价格与决策!K10))</f>
        <v>24</v>
      </c>
      <c r="G11" s="12">
        <f t="shared" si="0"/>
        <v>0</v>
      </c>
      <c r="H11" s="12">
        <f t="shared" si="1"/>
        <v>24</v>
      </c>
      <c r="I11" s="12">
        <f t="shared" si="6"/>
        <v>34.934674206211199</v>
      </c>
      <c r="J11" s="12">
        <f>I11+E11*(G11*原始输入与口径!$B$5-H11/原始输入与口径!$B$5)</f>
        <v>32.633208367701883</v>
      </c>
      <c r="K11" s="12">
        <v>34.934674206211199</v>
      </c>
      <c r="L11" s="12">
        <v>32.633208367701883</v>
      </c>
      <c r="M11" s="19">
        <f t="shared" si="2"/>
        <v>0</v>
      </c>
      <c r="N11" s="12">
        <f>E11*(G11*原始输入与口径!$B$5+H11/原始输入与口径!$B$5)/原始输入与口径!$H$5</f>
        <v>6.3929606625258793E-3</v>
      </c>
      <c r="O11" s="12">
        <v>6.3929606625258793E-3</v>
      </c>
      <c r="P11" s="19">
        <f t="shared" si="3"/>
        <v>0</v>
      </c>
      <c r="Q11" s="12">
        <f t="shared" si="4"/>
        <v>0</v>
      </c>
      <c r="R11" s="12">
        <f t="shared" si="5"/>
        <v>2.1173485714285714</v>
      </c>
      <c r="S11" s="1">
        <v>2</v>
      </c>
      <c r="T11" s="14">
        <v>46235</v>
      </c>
    </row>
    <row r="12" spans="1:20" ht="21" customHeight="1" x14ac:dyDescent="0.45">
      <c r="A12" s="31">
        <v>46235.014092619043</v>
      </c>
      <c r="B12" s="31">
        <v>46235.020833333328</v>
      </c>
      <c r="C12" s="31">
        <v>46235.010416666664</v>
      </c>
      <c r="D12" s="1" t="s">
        <v>102</v>
      </c>
      <c r="E12" s="12">
        <v>0.16177714285714284</v>
      </c>
      <c r="F12" s="12">
        <f>IF(D12="d",两日求解价格与决策!K10-两日求解价格与决策!N10,IF(D12="u",两日求解价格与决策!K10+两日求解价格与决策!M10,两日求解价格与决策!K10))</f>
        <v>0</v>
      </c>
      <c r="G12" s="12">
        <f t="shared" si="0"/>
        <v>0</v>
      </c>
      <c r="H12" s="12">
        <f t="shared" si="1"/>
        <v>0</v>
      </c>
      <c r="I12" s="12">
        <f t="shared" si="6"/>
        <v>32.633208367701883</v>
      </c>
      <c r="J12" s="12">
        <f>I12+E12*(G12*原始输入与口径!$B$5-H12/原始输入与口径!$B$5)</f>
        <v>32.633208367701883</v>
      </c>
      <c r="K12" s="12">
        <v>32.633208367701883</v>
      </c>
      <c r="L12" s="12">
        <v>32.633208367701883</v>
      </c>
      <c r="M12" s="19">
        <f t="shared" si="2"/>
        <v>0</v>
      </c>
      <c r="N12" s="12">
        <f>E12*(G12*原始输入与口径!$B$5+H12/原始输入与口径!$B$5)/原始输入与口径!$H$5</f>
        <v>0</v>
      </c>
      <c r="O12" s="12">
        <v>0</v>
      </c>
      <c r="P12" s="19">
        <f t="shared" si="3"/>
        <v>0</v>
      </c>
      <c r="Q12" s="12">
        <f t="shared" si="4"/>
        <v>0</v>
      </c>
      <c r="R12" s="12">
        <f t="shared" si="5"/>
        <v>0</v>
      </c>
      <c r="S12" s="1">
        <v>2</v>
      </c>
      <c r="T12" s="14">
        <v>46235</v>
      </c>
    </row>
    <row r="13" spans="1:20" ht="21" customHeight="1" x14ac:dyDescent="0.45">
      <c r="A13" s="31">
        <v>46235.020833333336</v>
      </c>
      <c r="B13" s="31">
        <v>46235.026513095239</v>
      </c>
      <c r="C13" s="31">
        <v>46235.020833333336</v>
      </c>
      <c r="D13" s="1" t="s">
        <v>101</v>
      </c>
      <c r="E13" s="12">
        <v>0.13631428571428572</v>
      </c>
      <c r="F13" s="12">
        <f>IF(D13="d",两日求解价格与决策!K11-两日求解价格与决策!N11,IF(D13="u",两日求解价格与决策!K11+两日求解价格与决策!M11,两日求解价格与决策!K11))</f>
        <v>0</v>
      </c>
      <c r="G13" s="12">
        <f t="shared" si="0"/>
        <v>0</v>
      </c>
      <c r="H13" s="12">
        <f t="shared" si="1"/>
        <v>0</v>
      </c>
      <c r="I13" s="12">
        <f t="shared" si="6"/>
        <v>32.633208367701883</v>
      </c>
      <c r="J13" s="12">
        <f>I13+E13*(G13*原始输入与口径!$B$5-H13/原始输入与口径!$B$5)</f>
        <v>32.633208367701883</v>
      </c>
      <c r="K13" s="12">
        <v>32.633208367701883</v>
      </c>
      <c r="L13" s="12">
        <v>32.633208367701883</v>
      </c>
      <c r="M13" s="19">
        <f t="shared" si="2"/>
        <v>0</v>
      </c>
      <c r="N13" s="12">
        <f>E13*(G13*原始输入与口径!$B$5+H13/原始输入与口径!$B$5)/原始输入与口径!$H$5</f>
        <v>0</v>
      </c>
      <c r="O13" s="12">
        <v>0</v>
      </c>
      <c r="P13" s="19">
        <f t="shared" si="3"/>
        <v>0</v>
      </c>
      <c r="Q13" s="12">
        <f t="shared" si="4"/>
        <v>0</v>
      </c>
      <c r="R13" s="12">
        <f t="shared" si="5"/>
        <v>0</v>
      </c>
      <c r="S13" s="1">
        <v>3</v>
      </c>
      <c r="T13" s="14">
        <v>46235</v>
      </c>
    </row>
    <row r="14" spans="1:20" ht="21" customHeight="1" x14ac:dyDescent="0.45">
      <c r="A14" s="31">
        <v>46235.026513095239</v>
      </c>
      <c r="B14" s="31">
        <v>46235.03125</v>
      </c>
      <c r="C14" s="31">
        <v>46235.020833333336</v>
      </c>
      <c r="D14" s="1" t="s">
        <v>102</v>
      </c>
      <c r="E14" s="12">
        <v>0.11368571428571428</v>
      </c>
      <c r="F14" s="12">
        <f>IF(D14="d",两日求解价格与决策!K11-两日求解价格与决策!N11,IF(D14="u",两日求解价格与决策!K11+两日求解价格与决策!M11,两日求解价格与决策!K11))</f>
        <v>-24</v>
      </c>
      <c r="G14" s="12">
        <f t="shared" si="0"/>
        <v>24</v>
      </c>
      <c r="H14" s="12">
        <f t="shared" si="1"/>
        <v>0</v>
      </c>
      <c r="I14" s="12">
        <f t="shared" si="6"/>
        <v>32.633208367701883</v>
      </c>
      <c r="J14" s="12">
        <f>I14+E14*(G14*原始输入与口径!$B$5-H14/原始输入与口径!$B$5)</f>
        <v>35.143388939130453</v>
      </c>
      <c r="K14" s="12">
        <v>32.633208367701883</v>
      </c>
      <c r="L14" s="12">
        <v>35.143388939130453</v>
      </c>
      <c r="M14" s="19">
        <f t="shared" si="2"/>
        <v>0</v>
      </c>
      <c r="N14" s="12">
        <f>E14*(G14*原始输入与口径!$B$5+H14/原始输入与口径!$B$5)/原始输入与口径!$H$5</f>
        <v>6.9727238095238101E-3</v>
      </c>
      <c r="O14" s="12">
        <v>6.9727238095238092E-3</v>
      </c>
      <c r="P14" s="19">
        <f t="shared" si="3"/>
        <v>0</v>
      </c>
      <c r="Q14" s="12">
        <f t="shared" si="4"/>
        <v>2.7284571428571427</v>
      </c>
      <c r="R14" s="12">
        <f t="shared" si="5"/>
        <v>0</v>
      </c>
      <c r="S14" s="1">
        <v>3</v>
      </c>
      <c r="T14" s="14">
        <v>46235</v>
      </c>
    </row>
    <row r="15" spans="1:20" ht="21" customHeight="1" x14ac:dyDescent="0.45">
      <c r="A15" s="31">
        <v>46235.03125</v>
      </c>
      <c r="B15" s="31">
        <v>46235.031368095239</v>
      </c>
      <c r="C15" s="31">
        <v>46235.03125</v>
      </c>
      <c r="D15" s="1" t="s">
        <v>103</v>
      </c>
      <c r="E15" s="12">
        <v>2.8342857142857141E-3</v>
      </c>
      <c r="F15" s="12">
        <f>IF(D15="d",两日求解价格与决策!K12-两日求解价格与决策!N12,IF(D15="u",两日求解价格与决策!K12+两日求解价格与决策!M12,两日求解价格与决策!K12))</f>
        <v>-48</v>
      </c>
      <c r="G15" s="12">
        <f t="shared" si="0"/>
        <v>48</v>
      </c>
      <c r="H15" s="12">
        <f t="shared" si="1"/>
        <v>0</v>
      </c>
      <c r="I15" s="12">
        <f t="shared" si="6"/>
        <v>35.143388939130453</v>
      </c>
      <c r="J15" s="12">
        <f>I15+E15*(G15*原始输入与口径!$B$5-H15/原始输入与口径!$B$5)</f>
        <v>35.268550996273312</v>
      </c>
      <c r="K15" s="12">
        <v>35.143388939130453</v>
      </c>
      <c r="L15" s="12">
        <v>35.268550996273312</v>
      </c>
      <c r="M15" s="19">
        <f t="shared" si="2"/>
        <v>0</v>
      </c>
      <c r="N15" s="12">
        <f>E15*(G15*原始输入与口径!$B$5+H15/原始输入与口径!$B$5)/原始输入与口径!$H$5</f>
        <v>3.4767238095238096E-4</v>
      </c>
      <c r="O15" s="12">
        <v>3.4767238095238096E-4</v>
      </c>
      <c r="P15" s="19">
        <f t="shared" si="3"/>
        <v>0</v>
      </c>
      <c r="Q15" s="12">
        <f t="shared" si="4"/>
        <v>0.13604571428571427</v>
      </c>
      <c r="R15" s="12">
        <f t="shared" si="5"/>
        <v>0</v>
      </c>
      <c r="S15" s="1">
        <v>4</v>
      </c>
      <c r="T15" s="14">
        <v>46235</v>
      </c>
    </row>
    <row r="16" spans="1:20" ht="21" customHeight="1" x14ac:dyDescent="0.45">
      <c r="A16" s="31">
        <v>46235.031368095239</v>
      </c>
      <c r="B16" s="31">
        <v>46235.034643333332</v>
      </c>
      <c r="C16" s="31">
        <v>46235.03125</v>
      </c>
      <c r="D16" s="1" t="s">
        <v>101</v>
      </c>
      <c r="E16" s="12">
        <v>7.8605714285714293E-2</v>
      </c>
      <c r="F16" s="12">
        <f>IF(D16="d",两日求解价格与决策!K12-两日求解价格与决策!N12,IF(D16="u",两日求解价格与决策!K12+两日求解价格与决策!M12,两日求解价格与决策!K12))</f>
        <v>0</v>
      </c>
      <c r="G16" s="12">
        <f t="shared" si="0"/>
        <v>0</v>
      </c>
      <c r="H16" s="12">
        <f t="shared" si="1"/>
        <v>0</v>
      </c>
      <c r="I16" s="12">
        <f t="shared" si="6"/>
        <v>35.268550996273312</v>
      </c>
      <c r="J16" s="12">
        <f>I16+E16*(G16*原始输入与口径!$B$5-H16/原始输入与口径!$B$5)</f>
        <v>35.268550996273312</v>
      </c>
      <c r="K16" s="12">
        <v>35.268550996273312</v>
      </c>
      <c r="L16" s="12">
        <v>35.268550996273312</v>
      </c>
      <c r="M16" s="19">
        <f t="shared" si="2"/>
        <v>0</v>
      </c>
      <c r="N16" s="12">
        <f>E16*(G16*原始输入与口径!$B$5+H16/原始输入与口径!$B$5)/原始输入与口径!$H$5</f>
        <v>0</v>
      </c>
      <c r="O16" s="12">
        <v>0</v>
      </c>
      <c r="P16" s="19">
        <f t="shared" si="3"/>
        <v>0</v>
      </c>
      <c r="Q16" s="12">
        <f t="shared" si="4"/>
        <v>0</v>
      </c>
      <c r="R16" s="12">
        <f t="shared" si="5"/>
        <v>0</v>
      </c>
      <c r="S16" s="1">
        <v>4</v>
      </c>
      <c r="T16" s="14">
        <v>46235</v>
      </c>
    </row>
    <row r="17" spans="1:20" ht="21" customHeight="1" x14ac:dyDescent="0.45">
      <c r="A17" s="31">
        <v>46235.034643333332</v>
      </c>
      <c r="B17" s="31">
        <v>46235.041666666664</v>
      </c>
      <c r="C17" s="31">
        <v>46235.03125</v>
      </c>
      <c r="D17" s="1" t="s">
        <v>102</v>
      </c>
      <c r="E17" s="12">
        <v>0.16856000000000002</v>
      </c>
      <c r="F17" s="12">
        <f>IF(D17="d",两日求解价格与决策!K12-两日求解价格与决策!N12,IF(D17="u",两日求解价格与决策!K12+两日求解价格与决策!M12,两日求解价格与决策!K12))</f>
        <v>-24</v>
      </c>
      <c r="G17" s="12">
        <f t="shared" si="0"/>
        <v>24</v>
      </c>
      <c r="H17" s="12">
        <f t="shared" si="1"/>
        <v>0</v>
      </c>
      <c r="I17" s="12">
        <f t="shared" si="6"/>
        <v>35.268550996273312</v>
      </c>
      <c r="J17" s="12">
        <f>I17+E17*(G17*原始输入与口径!$B$5-H17/原始输入与口径!$B$5)</f>
        <v>38.990355796273313</v>
      </c>
      <c r="K17" s="12">
        <v>35.268550996273312</v>
      </c>
      <c r="L17" s="12">
        <v>38.990355796273313</v>
      </c>
      <c r="M17" s="19">
        <f t="shared" si="2"/>
        <v>0</v>
      </c>
      <c r="N17" s="12">
        <f>E17*(G17*原始输入与口径!$B$5+H17/原始输入与口径!$B$5)/原始输入与口径!$H$5</f>
        <v>1.0338346666666668E-2</v>
      </c>
      <c r="O17" s="12">
        <v>1.0338346666666666E-2</v>
      </c>
      <c r="P17" s="19">
        <f t="shared" si="3"/>
        <v>0</v>
      </c>
      <c r="Q17" s="12">
        <f t="shared" si="4"/>
        <v>4.0454400000000001</v>
      </c>
      <c r="R17" s="12">
        <f t="shared" si="5"/>
        <v>0</v>
      </c>
      <c r="S17" s="1">
        <v>4</v>
      </c>
      <c r="T17" s="14">
        <v>46235</v>
      </c>
    </row>
    <row r="18" spans="1:20" ht="21" customHeight="1" x14ac:dyDescent="0.45">
      <c r="A18" s="31">
        <v>46235.041666666664</v>
      </c>
      <c r="B18" s="31">
        <v>46235.042086904759</v>
      </c>
      <c r="C18" s="31">
        <v>46235.041666666664</v>
      </c>
      <c r="D18" s="1" t="s">
        <v>103</v>
      </c>
      <c r="E18" s="12">
        <v>1.0085714285714285E-2</v>
      </c>
      <c r="F18" s="12">
        <f>IF(D18="d",两日求解价格与决策!K13-两日求解价格与决策!N13,IF(D18="u",两日求解价格与决策!K13+两日求解价格与决策!M13,两日求解价格与决策!K13))</f>
        <v>-3.6615878179868488</v>
      </c>
      <c r="G18" s="12">
        <f t="shared" si="0"/>
        <v>3.6615878179868488</v>
      </c>
      <c r="H18" s="12">
        <f t="shared" si="1"/>
        <v>0</v>
      </c>
      <c r="I18" s="12">
        <f t="shared" si="6"/>
        <v>38.990355796273313</v>
      </c>
      <c r="J18" s="12">
        <f>I18+E18*(G18*原始输入与口径!$B$5-H18/原始输入与口径!$B$5)</f>
        <v>39.024331146552441</v>
      </c>
      <c r="K18" s="12">
        <v>38.990355796273313</v>
      </c>
      <c r="L18" s="12">
        <v>39.024331146552441</v>
      </c>
      <c r="M18" s="19">
        <f t="shared" si="2"/>
        <v>0</v>
      </c>
      <c r="N18" s="12">
        <f>E18*(G18*原始输入与口径!$B$5+H18/原始输入与口径!$B$5)/原始输入与口径!$H$5</f>
        <v>9.4375972997572151E-5</v>
      </c>
      <c r="O18" s="12">
        <v>9.4375972997572124E-5</v>
      </c>
      <c r="P18" s="19">
        <f t="shared" si="3"/>
        <v>0</v>
      </c>
      <c r="Q18" s="12">
        <f t="shared" si="4"/>
        <v>3.6929728564267357E-2</v>
      </c>
      <c r="R18" s="12">
        <f t="shared" si="5"/>
        <v>0</v>
      </c>
      <c r="S18" s="1">
        <v>5</v>
      </c>
      <c r="T18" s="14">
        <v>46235</v>
      </c>
    </row>
    <row r="19" spans="1:20" ht="21" customHeight="1" x14ac:dyDescent="0.45">
      <c r="A19" s="31">
        <v>46235.042086904759</v>
      </c>
      <c r="B19" s="31">
        <v>46235.042341428569</v>
      </c>
      <c r="C19" s="31">
        <v>46235.041666666664</v>
      </c>
      <c r="D19" s="1" t="s">
        <v>101</v>
      </c>
      <c r="E19" s="12">
        <v>6.1085714285714285E-3</v>
      </c>
      <c r="F19" s="12">
        <f>IF(D19="d",两日求解价格与决策!K13-两日求解价格与决策!N13,IF(D19="u",两日求解价格与决策!K13+两日求解价格与决策!M13,两日求解价格与决策!K13))</f>
        <v>44.338412182013151</v>
      </c>
      <c r="G19" s="12">
        <f t="shared" si="0"/>
        <v>0</v>
      </c>
      <c r="H19" s="12">
        <f t="shared" si="1"/>
        <v>44.338412182013151</v>
      </c>
      <c r="I19" s="12">
        <f t="shared" si="6"/>
        <v>39.024331146552441</v>
      </c>
      <c r="J19" s="12">
        <f>I19+E19*(G19*原始输入与口径!$B$5-H19/原始输入与口径!$B$5)</f>
        <v>38.729935105418456</v>
      </c>
      <c r="K19" s="12">
        <v>39.024331146552441</v>
      </c>
      <c r="L19" s="12">
        <v>38.729935105418456</v>
      </c>
      <c r="M19" s="19">
        <f t="shared" si="2"/>
        <v>0</v>
      </c>
      <c r="N19" s="12">
        <f>E19*(G19*原始输入与口径!$B$5+H19/原始输入与口径!$B$5)/原始输入与口径!$H$5</f>
        <v>8.1776678092774428E-4</v>
      </c>
      <c r="O19" s="12">
        <v>8.1776678092774406E-4</v>
      </c>
      <c r="P19" s="19">
        <f t="shared" si="3"/>
        <v>0</v>
      </c>
      <c r="Q19" s="12">
        <f t="shared" si="4"/>
        <v>0</v>
      </c>
      <c r="R19" s="12">
        <f t="shared" si="5"/>
        <v>0.27084435784326888</v>
      </c>
      <c r="S19" s="1">
        <v>5</v>
      </c>
      <c r="T19" s="14">
        <v>46235</v>
      </c>
    </row>
    <row r="20" spans="1:20" ht="21" customHeight="1" x14ac:dyDescent="0.45">
      <c r="A20" s="31">
        <v>46235.042341428569</v>
      </c>
      <c r="B20" s="31">
        <v>46235.052083333328</v>
      </c>
      <c r="C20" s="31">
        <v>46235.041666666664</v>
      </c>
      <c r="D20" s="1" t="s">
        <v>102</v>
      </c>
      <c r="E20" s="12">
        <v>0.23380571428571428</v>
      </c>
      <c r="F20" s="12">
        <f>IF(D20="d",两日求解价格与决策!K13-两日求解价格与决策!N13,IF(D20="u",两日求解价格与决策!K13+两日求解价格与决策!M13,两日求解价格与决策!K13))</f>
        <v>20.338412182013151</v>
      </c>
      <c r="G20" s="12">
        <f t="shared" si="0"/>
        <v>0</v>
      </c>
      <c r="H20" s="12">
        <f t="shared" si="1"/>
        <v>20.338412182013151</v>
      </c>
      <c r="I20" s="12">
        <f t="shared" si="6"/>
        <v>38.729935105418456</v>
      </c>
      <c r="J20" s="12">
        <f>I20+E20*(G20*原始输入与口径!$B$5-H20/原始输入与口径!$B$5)</f>
        <v>33.561199249274047</v>
      </c>
      <c r="K20" s="12">
        <v>38.729935105418456</v>
      </c>
      <c r="L20" s="12">
        <v>33.561199249274047</v>
      </c>
      <c r="M20" s="19">
        <f t="shared" si="2"/>
        <v>0</v>
      </c>
      <c r="N20" s="12">
        <f>E20*(G20*原始输入与口径!$B$5+H20/原始输入与口径!$B$5)/原始输入与口径!$H$5</f>
        <v>1.4357599600401141E-2</v>
      </c>
      <c r="O20" s="12">
        <v>1.4357599600401137E-2</v>
      </c>
      <c r="P20" s="19">
        <f t="shared" si="3"/>
        <v>0</v>
      </c>
      <c r="Q20" s="12">
        <f t="shared" si="4"/>
        <v>0</v>
      </c>
      <c r="R20" s="12">
        <f t="shared" si="5"/>
        <v>4.7552369876528573</v>
      </c>
      <c r="S20" s="1">
        <v>5</v>
      </c>
      <c r="T20" s="14">
        <v>46235</v>
      </c>
    </row>
    <row r="21" spans="1:20" ht="21" customHeight="1" x14ac:dyDescent="0.45">
      <c r="A21" s="31">
        <v>46235.052083333336</v>
      </c>
      <c r="B21" s="31">
        <v>46235.053427857143</v>
      </c>
      <c r="C21" s="31">
        <v>46235.052083333336</v>
      </c>
      <c r="D21" s="1" t="s">
        <v>101</v>
      </c>
      <c r="E21" s="12">
        <v>3.2268571428571431E-2</v>
      </c>
      <c r="F21" s="12">
        <f>IF(D21="d",两日求解价格与决策!K14-两日求解价格与决策!N14,IF(D21="u",两日求解价格与决策!K14+两日求解价格与决策!M14,两日求解价格与决策!K14))</f>
        <v>24</v>
      </c>
      <c r="G21" s="12">
        <f t="shared" si="0"/>
        <v>0</v>
      </c>
      <c r="H21" s="12">
        <f t="shared" si="1"/>
        <v>24</v>
      </c>
      <c r="I21" s="12">
        <f t="shared" si="6"/>
        <v>33.561199249274047</v>
      </c>
      <c r="J21" s="12">
        <f>I21+E21*(G21*原始输入与口径!$B$5-H21/原始输入与口径!$B$5)</f>
        <v>32.719410429398273</v>
      </c>
      <c r="K21" s="12">
        <v>33.561199249274047</v>
      </c>
      <c r="L21" s="12">
        <v>32.719410429398273</v>
      </c>
      <c r="M21" s="19">
        <f t="shared" si="2"/>
        <v>0</v>
      </c>
      <c r="N21" s="12">
        <f>E21*(G21*原始输入与口径!$B$5+H21/原始输入与口径!$B$5)/原始输入与口径!$H$5</f>
        <v>2.3383022774327122E-3</v>
      </c>
      <c r="O21" s="12">
        <v>2.3383022774327122E-3</v>
      </c>
      <c r="P21" s="19">
        <f t="shared" si="3"/>
        <v>0</v>
      </c>
      <c r="Q21" s="12">
        <f t="shared" si="4"/>
        <v>0</v>
      </c>
      <c r="R21" s="12">
        <f t="shared" si="5"/>
        <v>0.7744457142857144</v>
      </c>
      <c r="S21" s="1">
        <v>6</v>
      </c>
      <c r="T21" s="14">
        <v>46235</v>
      </c>
    </row>
    <row r="22" spans="1:20" ht="21" customHeight="1" x14ac:dyDescent="0.45">
      <c r="A22" s="31">
        <v>46235.053427857143</v>
      </c>
      <c r="B22" s="31">
        <v>46235.0625</v>
      </c>
      <c r="C22" s="31">
        <v>46235.052083333336</v>
      </c>
      <c r="D22" s="1" t="s">
        <v>102</v>
      </c>
      <c r="E22" s="12">
        <v>0.21773142857142858</v>
      </c>
      <c r="F22" s="12">
        <f>IF(D22="d",两日求解价格与决策!K14-两日求解价格与决策!N14,IF(D22="u",两日求解价格与决策!K14+两日求解价格与决策!M14,两日求解价格与决策!K14))</f>
        <v>0</v>
      </c>
      <c r="G22" s="12">
        <f t="shared" si="0"/>
        <v>0</v>
      </c>
      <c r="H22" s="12">
        <f t="shared" si="1"/>
        <v>0</v>
      </c>
      <c r="I22" s="12">
        <f t="shared" si="6"/>
        <v>32.719410429398273</v>
      </c>
      <c r="J22" s="12">
        <f>I22+E22*(G22*原始输入与口径!$B$5-H22/原始输入与口径!$B$5)</f>
        <v>32.719410429398273</v>
      </c>
      <c r="K22" s="12">
        <v>32.719410429398273</v>
      </c>
      <c r="L22" s="12">
        <v>32.719410429398273</v>
      </c>
      <c r="M22" s="19">
        <f t="shared" si="2"/>
        <v>0</v>
      </c>
      <c r="N22" s="12">
        <f>E22*(G22*原始输入与口径!$B$5+H22/原始输入与口径!$B$5)/原始输入与口径!$H$5</f>
        <v>0</v>
      </c>
      <c r="O22" s="12">
        <v>0</v>
      </c>
      <c r="P22" s="19">
        <f t="shared" si="3"/>
        <v>0</v>
      </c>
      <c r="Q22" s="12">
        <f t="shared" si="4"/>
        <v>0</v>
      </c>
      <c r="R22" s="12">
        <f t="shared" si="5"/>
        <v>0</v>
      </c>
      <c r="S22" s="1">
        <v>6</v>
      </c>
      <c r="T22" s="14">
        <v>46235</v>
      </c>
    </row>
    <row r="23" spans="1:20" ht="21" customHeight="1" x14ac:dyDescent="0.45">
      <c r="A23" s="31">
        <v>46235.0625</v>
      </c>
      <c r="B23" s="31">
        <v>46235.064014285716</v>
      </c>
      <c r="C23" s="31">
        <v>46235.0625</v>
      </c>
      <c r="D23" s="1" t="s">
        <v>101</v>
      </c>
      <c r="E23" s="12">
        <v>3.6342857142857142E-2</v>
      </c>
      <c r="F23" s="12">
        <f>IF(D23="d",两日求解价格与决策!K15-两日求解价格与决策!N15,IF(D23="u",两日求解价格与决策!K15+两日求解价格与决策!M15,两日求解价格与决策!K15))</f>
        <v>24</v>
      </c>
      <c r="G23" s="12">
        <f t="shared" si="0"/>
        <v>0</v>
      </c>
      <c r="H23" s="12">
        <f t="shared" si="1"/>
        <v>24</v>
      </c>
      <c r="I23" s="12">
        <f t="shared" si="6"/>
        <v>32.719410429398273</v>
      </c>
      <c r="J23" s="12">
        <f>I23+E23*(G23*原始输入与口径!$B$5-H23/原始输入与口径!$B$5)</f>
        <v>31.771335895236781</v>
      </c>
      <c r="K23" s="12">
        <v>32.719410429398273</v>
      </c>
      <c r="L23" s="12">
        <v>31.771335895236781</v>
      </c>
      <c r="M23" s="19">
        <f t="shared" si="2"/>
        <v>0</v>
      </c>
      <c r="N23" s="12">
        <f>E23*(G23*原始输入与口径!$B$5+H23/原始输入与口径!$B$5)/原始输入与口径!$H$5</f>
        <v>2.6335403726708072E-3</v>
      </c>
      <c r="O23" s="12">
        <v>2.6335403726708072E-3</v>
      </c>
      <c r="P23" s="19">
        <f t="shared" si="3"/>
        <v>0</v>
      </c>
      <c r="Q23" s="12">
        <f t="shared" si="4"/>
        <v>0</v>
      </c>
      <c r="R23" s="12">
        <f t="shared" si="5"/>
        <v>0.87222857142857135</v>
      </c>
      <c r="S23" s="1">
        <v>7</v>
      </c>
      <c r="T23" s="14">
        <v>46235</v>
      </c>
    </row>
    <row r="24" spans="1:20" ht="21" customHeight="1" x14ac:dyDescent="0.45">
      <c r="A24" s="31">
        <v>46235.064014285716</v>
      </c>
      <c r="B24" s="31">
        <v>46235.072916666664</v>
      </c>
      <c r="C24" s="31">
        <v>46235.0625</v>
      </c>
      <c r="D24" s="1" t="s">
        <v>102</v>
      </c>
      <c r="E24" s="12">
        <v>0.21365714285714285</v>
      </c>
      <c r="F24" s="12">
        <f>IF(D24="d",两日求解价格与决策!K15-两日求解价格与决策!N15,IF(D24="u",两日求解价格与决策!K15+两日求解价格与决策!M15,两日求解价格与决策!K15))</f>
        <v>0</v>
      </c>
      <c r="G24" s="12">
        <f t="shared" si="0"/>
        <v>0</v>
      </c>
      <c r="H24" s="12">
        <f t="shared" si="1"/>
        <v>0</v>
      </c>
      <c r="I24" s="12">
        <f t="shared" si="6"/>
        <v>31.771335895236781</v>
      </c>
      <c r="J24" s="12">
        <f>I24+E24*(G24*原始输入与口径!$B$5-H24/原始输入与口径!$B$5)</f>
        <v>31.771335895236781</v>
      </c>
      <c r="K24" s="12">
        <v>31.771335895236781</v>
      </c>
      <c r="L24" s="12">
        <v>31.771335895236781</v>
      </c>
      <c r="M24" s="19">
        <f t="shared" si="2"/>
        <v>0</v>
      </c>
      <c r="N24" s="12">
        <f>E24*(G24*原始输入与口径!$B$5+H24/原始输入与口径!$B$5)/原始输入与口径!$H$5</f>
        <v>0</v>
      </c>
      <c r="O24" s="12">
        <v>0</v>
      </c>
      <c r="P24" s="19">
        <f t="shared" si="3"/>
        <v>0</v>
      </c>
      <c r="Q24" s="12">
        <f t="shared" si="4"/>
        <v>0</v>
      </c>
      <c r="R24" s="12">
        <f t="shared" si="5"/>
        <v>0</v>
      </c>
      <c r="S24" s="1">
        <v>7</v>
      </c>
      <c r="T24" s="14">
        <v>46235</v>
      </c>
    </row>
    <row r="25" spans="1:20" ht="21" customHeight="1" x14ac:dyDescent="0.45">
      <c r="A25" s="31">
        <v>46235.072916666664</v>
      </c>
      <c r="B25" s="31">
        <v>46235.074440238095</v>
      </c>
      <c r="C25" s="31">
        <v>46235.072916666664</v>
      </c>
      <c r="D25" s="1" t="s">
        <v>101</v>
      </c>
      <c r="E25" s="12">
        <v>3.6565714285714285E-2</v>
      </c>
      <c r="F25" s="12">
        <f>IF(D25="d",两日求解价格与决策!K16-两日求解价格与决策!N16,IF(D25="u",两日求解价格与决策!K16+两日求解价格与决策!M16,两日求解价格与决策!K16))</f>
        <v>0</v>
      </c>
      <c r="G25" s="12">
        <f t="shared" si="0"/>
        <v>0</v>
      </c>
      <c r="H25" s="12">
        <f t="shared" si="1"/>
        <v>0</v>
      </c>
      <c r="I25" s="12">
        <f t="shared" si="6"/>
        <v>31.771335895236781</v>
      </c>
      <c r="J25" s="12">
        <f>I25+E25*(G25*原始输入与口径!$B$5-H25/原始输入与口径!$B$5)</f>
        <v>31.771335895236781</v>
      </c>
      <c r="K25" s="12">
        <v>31.771335895236781</v>
      </c>
      <c r="L25" s="12">
        <v>31.771335895236781</v>
      </c>
      <c r="M25" s="19">
        <f t="shared" si="2"/>
        <v>0</v>
      </c>
      <c r="N25" s="12">
        <f>E25*(G25*原始输入与口径!$B$5+H25/原始输入与口径!$B$5)/原始输入与口径!$H$5</f>
        <v>0</v>
      </c>
      <c r="O25" s="12">
        <v>0</v>
      </c>
      <c r="P25" s="19">
        <f t="shared" si="3"/>
        <v>0</v>
      </c>
      <c r="Q25" s="12">
        <f t="shared" si="4"/>
        <v>0</v>
      </c>
      <c r="R25" s="12">
        <f t="shared" si="5"/>
        <v>0</v>
      </c>
      <c r="S25" s="1">
        <v>8</v>
      </c>
      <c r="T25" s="14">
        <v>46235</v>
      </c>
    </row>
    <row r="26" spans="1:20" ht="21" customHeight="1" x14ac:dyDescent="0.45">
      <c r="A26" s="31">
        <v>46235.074440238095</v>
      </c>
      <c r="B26" s="31">
        <v>46235.083333333328</v>
      </c>
      <c r="C26" s="31">
        <v>46235.072916666664</v>
      </c>
      <c r="D26" s="1" t="s">
        <v>102</v>
      </c>
      <c r="E26" s="12">
        <v>0.21343428571428572</v>
      </c>
      <c r="F26" s="12">
        <f>IF(D26="d",两日求解价格与决策!K16-两日求解价格与决策!N16,IF(D26="u",两日求解价格与决策!K16+两日求解价格与决策!M16,两日求解价格与决策!K16))</f>
        <v>-24</v>
      </c>
      <c r="G26" s="12">
        <f t="shared" si="0"/>
        <v>24</v>
      </c>
      <c r="H26" s="12">
        <f t="shared" si="1"/>
        <v>0</v>
      </c>
      <c r="I26" s="12">
        <f t="shared" si="6"/>
        <v>31.771335895236781</v>
      </c>
      <c r="J26" s="12">
        <f>I26+E26*(G26*原始输入与口径!$B$5-H26/原始输入与口径!$B$5)</f>
        <v>36.483964923808209</v>
      </c>
      <c r="K26" s="12">
        <v>31.771335895236781</v>
      </c>
      <c r="L26" s="12">
        <v>36.483964923808209</v>
      </c>
      <c r="M26" s="19">
        <f t="shared" si="2"/>
        <v>0</v>
      </c>
      <c r="N26" s="12">
        <f>E26*(G26*原始输入与口径!$B$5+H26/原始输入与口径!$B$5)/原始输入与口径!$H$5</f>
        <v>1.3090636190476193E-2</v>
      </c>
      <c r="O26" s="12">
        <v>1.3090636190476193E-2</v>
      </c>
      <c r="P26" s="19">
        <f t="shared" si="3"/>
        <v>0</v>
      </c>
      <c r="Q26" s="12">
        <f t="shared" si="4"/>
        <v>5.1224228571428574</v>
      </c>
      <c r="R26" s="12">
        <f t="shared" si="5"/>
        <v>0</v>
      </c>
      <c r="S26" s="1">
        <v>8</v>
      </c>
      <c r="T26" s="14">
        <v>46235</v>
      </c>
    </row>
    <row r="27" spans="1:20" ht="21" customHeight="1" x14ac:dyDescent="0.45">
      <c r="A27" s="31">
        <v>46235.083333333336</v>
      </c>
      <c r="B27" s="31">
        <v>46235.086855714289</v>
      </c>
      <c r="C27" s="31">
        <v>46235.083333333336</v>
      </c>
      <c r="D27" s="1" t="s">
        <v>101</v>
      </c>
      <c r="E27" s="12">
        <v>8.4537142857142866E-2</v>
      </c>
      <c r="F27" s="12">
        <f>IF(D27="d",两日求解价格与决策!K17-两日求解价格与决策!N17,IF(D27="u",两日求解价格与决策!K17+两日求解价格与决策!M17,两日求解价格与决策!K17))</f>
        <v>24</v>
      </c>
      <c r="G27" s="12">
        <f t="shared" si="0"/>
        <v>0</v>
      </c>
      <c r="H27" s="12">
        <f t="shared" si="1"/>
        <v>24</v>
      </c>
      <c r="I27" s="12">
        <f t="shared" si="6"/>
        <v>36.483964923808209</v>
      </c>
      <c r="J27" s="12">
        <f>I27+E27*(G27*原始输入与口径!$B$5-H27/原始输入与口径!$B$5)</f>
        <v>34.278648153621873</v>
      </c>
      <c r="K27" s="12">
        <v>36.483964923808209</v>
      </c>
      <c r="L27" s="12">
        <v>34.278648153621873</v>
      </c>
      <c r="M27" s="19">
        <f t="shared" si="2"/>
        <v>0</v>
      </c>
      <c r="N27" s="12">
        <f>E27*(G27*原始输入与口径!$B$5+H27/原始输入与口径!$B$5)/原始输入与口径!$H$5</f>
        <v>6.125879917184265E-3</v>
      </c>
      <c r="O27" s="12">
        <v>6.125879917184265E-3</v>
      </c>
      <c r="P27" s="19">
        <f t="shared" si="3"/>
        <v>0</v>
      </c>
      <c r="Q27" s="12">
        <f t="shared" si="4"/>
        <v>0</v>
      </c>
      <c r="R27" s="12">
        <f t="shared" si="5"/>
        <v>2.0288914285714288</v>
      </c>
      <c r="S27" s="1">
        <v>9</v>
      </c>
      <c r="T27" s="14">
        <v>46235</v>
      </c>
    </row>
    <row r="28" spans="1:20" ht="21" customHeight="1" x14ac:dyDescent="0.45">
      <c r="A28" s="31">
        <v>46235.086855714289</v>
      </c>
      <c r="B28" s="31">
        <v>46235.09375</v>
      </c>
      <c r="C28" s="31">
        <v>46235.083333333336</v>
      </c>
      <c r="D28" s="1" t="s">
        <v>102</v>
      </c>
      <c r="E28" s="12">
        <v>0.16546285714285713</v>
      </c>
      <c r="F28" s="12">
        <f>IF(D28="d",两日求解价格与决策!K17-两日求解价格与决策!N17,IF(D28="u",两日求解价格与决策!K17+两日求解价格与决策!M17,两日求解价格与决策!K17))</f>
        <v>0</v>
      </c>
      <c r="G28" s="12">
        <f t="shared" si="0"/>
        <v>0</v>
      </c>
      <c r="H28" s="12">
        <f t="shared" si="1"/>
        <v>0</v>
      </c>
      <c r="I28" s="12">
        <f t="shared" si="6"/>
        <v>34.278648153621873</v>
      </c>
      <c r="J28" s="12">
        <f>I28+E28*(G28*原始输入与口径!$B$5-H28/原始输入与口径!$B$5)</f>
        <v>34.278648153621873</v>
      </c>
      <c r="K28" s="12">
        <v>34.278648153621873</v>
      </c>
      <c r="L28" s="12">
        <v>34.278648153621873</v>
      </c>
      <c r="M28" s="19">
        <f t="shared" si="2"/>
        <v>0</v>
      </c>
      <c r="N28" s="12">
        <f>E28*(G28*原始输入与口径!$B$5+H28/原始输入与口径!$B$5)/原始输入与口径!$H$5</f>
        <v>0</v>
      </c>
      <c r="O28" s="12">
        <v>0</v>
      </c>
      <c r="P28" s="19">
        <f t="shared" si="3"/>
        <v>0</v>
      </c>
      <c r="Q28" s="12">
        <f t="shared" si="4"/>
        <v>0</v>
      </c>
      <c r="R28" s="12">
        <f t="shared" si="5"/>
        <v>0</v>
      </c>
      <c r="S28" s="1">
        <v>9</v>
      </c>
      <c r="T28" s="14">
        <v>46235</v>
      </c>
    </row>
    <row r="29" spans="1:20" ht="21" customHeight="1" x14ac:dyDescent="0.45">
      <c r="A29" s="31">
        <v>46235.09375</v>
      </c>
      <c r="B29" s="31">
        <v>46235.097399999999</v>
      </c>
      <c r="C29" s="31">
        <v>46235.09375</v>
      </c>
      <c r="D29" s="1" t="s">
        <v>101</v>
      </c>
      <c r="E29" s="12">
        <v>8.7599999999999997E-2</v>
      </c>
      <c r="F29" s="12">
        <f>IF(D29="d",两日求解价格与决策!K18-两日求解价格与决策!N18,IF(D29="u",两日求解价格与决策!K18+两日求解价格与决策!M18,两日求解价格与决策!K18))</f>
        <v>24</v>
      </c>
      <c r="G29" s="12">
        <f t="shared" si="0"/>
        <v>0</v>
      </c>
      <c r="H29" s="12">
        <f t="shared" si="1"/>
        <v>24</v>
      </c>
      <c r="I29" s="12">
        <f t="shared" si="6"/>
        <v>34.278648153621873</v>
      </c>
      <c r="J29" s="12">
        <f>I29+E29*(G29*原始输入与口径!$B$5-H29/原始输入与口径!$B$5)</f>
        <v>31.993430762317526</v>
      </c>
      <c r="K29" s="12">
        <v>34.278648153621873</v>
      </c>
      <c r="L29" s="12">
        <v>31.993430762317526</v>
      </c>
      <c r="M29" s="19">
        <f t="shared" si="2"/>
        <v>0</v>
      </c>
      <c r="N29" s="12">
        <f>E29*(G29*原始输入与口径!$B$5+H29/原始输入与口径!$B$5)/原始输入与口径!$H$5</f>
        <v>6.347826086956521E-3</v>
      </c>
      <c r="O29" s="12">
        <v>6.347826086956521E-3</v>
      </c>
      <c r="P29" s="19">
        <f t="shared" si="3"/>
        <v>0</v>
      </c>
      <c r="Q29" s="12">
        <f t="shared" si="4"/>
        <v>0</v>
      </c>
      <c r="R29" s="12">
        <f t="shared" si="5"/>
        <v>2.1023999999999998</v>
      </c>
      <c r="S29" s="1">
        <v>10</v>
      </c>
      <c r="T29" s="14">
        <v>46235</v>
      </c>
    </row>
    <row r="30" spans="1:20" ht="21" customHeight="1" x14ac:dyDescent="0.45">
      <c r="A30" s="31">
        <v>46235.097399999999</v>
      </c>
      <c r="B30" s="31">
        <v>46235.104166666664</v>
      </c>
      <c r="C30" s="31">
        <v>46235.09375</v>
      </c>
      <c r="D30" s="1" t="s">
        <v>102</v>
      </c>
      <c r="E30" s="12">
        <v>0.16239999999999999</v>
      </c>
      <c r="F30" s="12">
        <f>IF(D30="d",两日求解价格与决策!K18-两日求解价格与决策!N18,IF(D30="u",两日求解价格与决策!K18+两日求解价格与决策!M18,两日求解价格与决策!K18))</f>
        <v>0</v>
      </c>
      <c r="G30" s="12">
        <f t="shared" si="0"/>
        <v>0</v>
      </c>
      <c r="H30" s="12">
        <f t="shared" si="1"/>
        <v>0</v>
      </c>
      <c r="I30" s="12">
        <f t="shared" si="6"/>
        <v>31.993430762317526</v>
      </c>
      <c r="J30" s="12">
        <f>I30+E30*(G30*原始输入与口径!$B$5-H30/原始输入与口径!$B$5)</f>
        <v>31.993430762317526</v>
      </c>
      <c r="K30" s="12">
        <v>31.993430762317526</v>
      </c>
      <c r="L30" s="12">
        <v>31.993430762317526</v>
      </c>
      <c r="M30" s="19">
        <f t="shared" si="2"/>
        <v>0</v>
      </c>
      <c r="N30" s="12">
        <f>E30*(G30*原始输入与口径!$B$5+H30/原始输入与口径!$B$5)/原始输入与口径!$H$5</f>
        <v>0</v>
      </c>
      <c r="O30" s="12">
        <v>0</v>
      </c>
      <c r="P30" s="19">
        <f t="shared" si="3"/>
        <v>0</v>
      </c>
      <c r="Q30" s="12">
        <f t="shared" si="4"/>
        <v>0</v>
      </c>
      <c r="R30" s="12">
        <f t="shared" si="5"/>
        <v>0</v>
      </c>
      <c r="S30" s="1">
        <v>10</v>
      </c>
      <c r="T30" s="14">
        <v>46235</v>
      </c>
    </row>
    <row r="31" spans="1:20" ht="21" customHeight="1" x14ac:dyDescent="0.45">
      <c r="A31" s="31">
        <v>46235.104166666664</v>
      </c>
      <c r="B31" s="31">
        <v>46235.104592142852</v>
      </c>
      <c r="C31" s="31">
        <v>46235.104166666664</v>
      </c>
      <c r="D31" s="1" t="s">
        <v>101</v>
      </c>
      <c r="E31" s="12">
        <v>1.0211428571428571E-2</v>
      </c>
      <c r="F31" s="12">
        <f>IF(D31="d",两日求解价格与决策!K19-两日求解价格与决策!N19,IF(D31="u",两日求解价格与决策!K19+两日求解价格与决策!M19,两日求解价格与决策!K19))</f>
        <v>22.911221451099426</v>
      </c>
      <c r="G31" s="12">
        <f t="shared" si="0"/>
        <v>0</v>
      </c>
      <c r="H31" s="12">
        <f t="shared" si="1"/>
        <v>22.911221451099426</v>
      </c>
      <c r="I31" s="12">
        <f t="shared" si="6"/>
        <v>31.993430762317526</v>
      </c>
      <c r="J31" s="12">
        <f>I31+E31*(G31*原始输入与口径!$B$5-H31/原始输入与口径!$B$5)</f>
        <v>31.739130434782652</v>
      </c>
      <c r="K31" s="12">
        <v>31.993430762317526</v>
      </c>
      <c r="L31" s="12">
        <v>31.739130434782652</v>
      </c>
      <c r="M31" s="19">
        <f t="shared" si="2"/>
        <v>0</v>
      </c>
      <c r="N31" s="12">
        <f>E31*(G31*原始输入与口径!$B$5+H31/原始输入与口径!$B$5)/原始输入与口径!$H$5</f>
        <v>7.0638979870798243E-4</v>
      </c>
      <c r="O31" s="12">
        <v>7.0638979870798265E-4</v>
      </c>
      <c r="P31" s="19">
        <f t="shared" si="3"/>
        <v>0</v>
      </c>
      <c r="Q31" s="12">
        <f t="shared" si="4"/>
        <v>0</v>
      </c>
      <c r="R31" s="12">
        <f t="shared" si="5"/>
        <v>0.23395630133208384</v>
      </c>
      <c r="S31" s="1">
        <v>11</v>
      </c>
      <c r="T31" s="14">
        <v>46235</v>
      </c>
    </row>
    <row r="32" spans="1:20" ht="21" customHeight="1" x14ac:dyDescent="0.45">
      <c r="A32" s="31">
        <v>46235.104592142852</v>
      </c>
      <c r="B32" s="31">
        <v>46235.114583333328</v>
      </c>
      <c r="C32" s="31">
        <v>46235.104166666664</v>
      </c>
      <c r="D32" s="1" t="s">
        <v>102</v>
      </c>
      <c r="E32" s="12">
        <v>0.23978857142857143</v>
      </c>
      <c r="F32" s="12">
        <f>IF(D32="d",两日求解价格与决策!K19-两日求解价格与决策!N19,IF(D32="u",两日求解价格与决策!K19+两日求解价格与决策!M19,两日求解价格与决策!K19))</f>
        <v>-1.0887785489005744</v>
      </c>
      <c r="G32" s="12">
        <f t="shared" si="0"/>
        <v>1.0887785489005744</v>
      </c>
      <c r="H32" s="12">
        <f t="shared" si="1"/>
        <v>0</v>
      </c>
      <c r="I32" s="12">
        <f t="shared" si="6"/>
        <v>31.739130434782652</v>
      </c>
      <c r="J32" s="12">
        <f>I32+E32*(G32*原始输入与口径!$B$5-H32/原始输入与口径!$B$5)</f>
        <v>31.979320955398158</v>
      </c>
      <c r="K32" s="12">
        <v>31.739130434782652</v>
      </c>
      <c r="L32" s="12">
        <v>31.979320955398158</v>
      </c>
      <c r="M32" s="19">
        <f t="shared" si="2"/>
        <v>0</v>
      </c>
      <c r="N32" s="12">
        <f>E32*(G32*原始输入与口径!$B$5+H32/原始输入与口径!$B$5)/原始输入与口径!$H$5</f>
        <v>6.671958905986289E-4</v>
      </c>
      <c r="O32" s="12">
        <v>6.671958905986289E-4</v>
      </c>
      <c r="P32" s="19">
        <f t="shared" si="3"/>
        <v>0</v>
      </c>
      <c r="Q32" s="12">
        <f t="shared" si="4"/>
        <v>0.26107665284294174</v>
      </c>
      <c r="R32" s="12">
        <f t="shared" si="5"/>
        <v>0</v>
      </c>
      <c r="S32" s="1">
        <v>11</v>
      </c>
      <c r="T32" s="14">
        <v>46235</v>
      </c>
    </row>
    <row r="33" spans="1:20" ht="21" customHeight="1" x14ac:dyDescent="0.45">
      <c r="A33" s="31">
        <v>46235.114583333336</v>
      </c>
      <c r="B33" s="31">
        <v>46235.11505</v>
      </c>
      <c r="C33" s="31">
        <v>46235.114583333336</v>
      </c>
      <c r="D33" s="1" t="s">
        <v>101</v>
      </c>
      <c r="E33" s="12">
        <v>1.12E-2</v>
      </c>
      <c r="F33" s="12">
        <f>IF(D33="d",两日求解价格与决策!K20-两日求解价格与决策!N20,IF(D33="u",两日求解价格与决策!K20+两日求解价格与决策!M20,两日求解价格与决策!K20))</f>
        <v>19.729935621988144</v>
      </c>
      <c r="G33" s="12">
        <f t="shared" si="0"/>
        <v>0</v>
      </c>
      <c r="H33" s="12">
        <f t="shared" si="1"/>
        <v>19.729935621988144</v>
      </c>
      <c r="I33" s="12">
        <f t="shared" si="6"/>
        <v>31.979320955398158</v>
      </c>
      <c r="J33" s="12">
        <f>I33+E33*(G33*原始输入与口径!$B$5-H33/原始输入与口径!$B$5)</f>
        <v>31.739130434782652</v>
      </c>
      <c r="K33" s="12">
        <v>31.979320955398158</v>
      </c>
      <c r="L33" s="12">
        <v>31.739130434782652</v>
      </c>
      <c r="M33" s="19">
        <f t="shared" si="2"/>
        <v>0</v>
      </c>
      <c r="N33" s="12">
        <f>E33*(G33*原始输入与口径!$B$5+H33/原始输入与口径!$B$5)/原始输入与口径!$H$5</f>
        <v>6.6719589059863291E-4</v>
      </c>
      <c r="O33" s="12">
        <v>6.6719589059863291E-4</v>
      </c>
      <c r="P33" s="19">
        <f t="shared" si="3"/>
        <v>0</v>
      </c>
      <c r="Q33" s="12">
        <f t="shared" si="4"/>
        <v>0</v>
      </c>
      <c r="R33" s="12">
        <f t="shared" si="5"/>
        <v>0.2209752789662672</v>
      </c>
      <c r="S33" s="1">
        <v>12</v>
      </c>
      <c r="T33" s="14">
        <v>46235</v>
      </c>
    </row>
    <row r="34" spans="1:20" ht="21" customHeight="1" x14ac:dyDescent="0.45">
      <c r="A34" s="31">
        <v>46235.11505</v>
      </c>
      <c r="B34" s="31">
        <v>46235.125</v>
      </c>
      <c r="C34" s="31">
        <v>46235.114583333336</v>
      </c>
      <c r="D34" s="1" t="s">
        <v>102</v>
      </c>
      <c r="E34" s="12">
        <v>0.23880000000000001</v>
      </c>
      <c r="F34" s="12">
        <f>IF(D34="d",两日求解价格与决策!K20-两日求解价格与决策!N20,IF(D34="u",两日求解价格与决策!K20+两日求解价格与决策!M20,两日求解价格与决策!K20))</f>
        <v>-4.2700643780118552</v>
      </c>
      <c r="G34" s="12">
        <f t="shared" si="0"/>
        <v>4.2700643780118552</v>
      </c>
      <c r="H34" s="12">
        <f t="shared" si="1"/>
        <v>0</v>
      </c>
      <c r="I34" s="12">
        <f t="shared" si="6"/>
        <v>31.739130434782652</v>
      </c>
      <c r="J34" s="12">
        <f>I34+E34*(G34*原始输入与口径!$B$5-H34/原始输入与口径!$B$5)</f>
        <v>32.677246498374345</v>
      </c>
      <c r="K34" s="12">
        <v>31.739130434782652</v>
      </c>
      <c r="L34" s="12">
        <v>32.677246498374345</v>
      </c>
      <c r="M34" s="19">
        <f t="shared" si="2"/>
        <v>0</v>
      </c>
      <c r="N34" s="12">
        <f>E34*(G34*原始输入与口径!$B$5+H34/原始输入与口径!$B$5)/原始输入与口径!$H$5</f>
        <v>2.6058779544213683E-3</v>
      </c>
      <c r="O34" s="12">
        <v>2.6058779544213683E-3</v>
      </c>
      <c r="P34" s="19">
        <f t="shared" si="3"/>
        <v>0</v>
      </c>
      <c r="Q34" s="12">
        <f t="shared" si="4"/>
        <v>1.019691373469231</v>
      </c>
      <c r="R34" s="12">
        <f t="shared" si="5"/>
        <v>0</v>
      </c>
      <c r="S34" s="1">
        <v>12</v>
      </c>
      <c r="T34" s="14">
        <v>46235</v>
      </c>
    </row>
    <row r="35" spans="1:20" ht="21" customHeight="1" x14ac:dyDescent="0.45">
      <c r="A35" s="31">
        <v>46235.125</v>
      </c>
      <c r="B35" s="31">
        <v>46235.129680238097</v>
      </c>
      <c r="C35" s="31">
        <v>46235.125</v>
      </c>
      <c r="D35" s="1" t="s">
        <v>101</v>
      </c>
      <c r="E35" s="12">
        <v>0.11232571428571429</v>
      </c>
      <c r="F35" s="12">
        <f>IF(D35="d",两日求解价格与决策!K21-两日求解价格与决策!N21,IF(D35="u",两日求解价格与决策!K21+两日求解价格与决策!M21,两日求解价格与决策!K21))</f>
        <v>7.6836081924129793</v>
      </c>
      <c r="G35" s="12">
        <f t="shared" si="0"/>
        <v>0</v>
      </c>
      <c r="H35" s="12">
        <f t="shared" si="1"/>
        <v>7.6836081924129793</v>
      </c>
      <c r="I35" s="12">
        <f t="shared" si="6"/>
        <v>32.677246498374345</v>
      </c>
      <c r="J35" s="12">
        <f>I35+E35*(G35*原始输入与口径!$B$5-H35/原始输入与口径!$B$5)</f>
        <v>31.739130434782655</v>
      </c>
      <c r="K35" s="12">
        <v>32.677246498374345</v>
      </c>
      <c r="L35" s="12">
        <v>31.739130434782655</v>
      </c>
      <c r="M35" s="19">
        <f t="shared" si="2"/>
        <v>0</v>
      </c>
      <c r="N35" s="12">
        <f>E35*(G35*原始输入与口径!$B$5+H35/原始输入与口径!$B$5)/原始输入与口径!$H$5</f>
        <v>2.6058779544213583E-3</v>
      </c>
      <c r="O35" s="12">
        <v>2.6058779544213587E-3</v>
      </c>
      <c r="P35" s="19">
        <f t="shared" si="3"/>
        <v>0</v>
      </c>
      <c r="Q35" s="12">
        <f t="shared" si="4"/>
        <v>0</v>
      </c>
      <c r="R35" s="12">
        <f t="shared" si="5"/>
        <v>0.86306677850435398</v>
      </c>
      <c r="S35" s="1">
        <v>13</v>
      </c>
      <c r="T35" s="14">
        <v>46235</v>
      </c>
    </row>
    <row r="36" spans="1:20" ht="21" customHeight="1" x14ac:dyDescent="0.45">
      <c r="A36" s="31">
        <v>46235.129680238097</v>
      </c>
      <c r="B36" s="31">
        <v>46235.135416666664</v>
      </c>
      <c r="C36" s="31">
        <v>46235.125</v>
      </c>
      <c r="D36" s="1" t="s">
        <v>102</v>
      </c>
      <c r="E36" s="12">
        <v>0.13767428571428569</v>
      </c>
      <c r="F36" s="12">
        <f>IF(D36="d",两日求解价格与决策!K21-两日求解价格与决策!N21,IF(D36="u",两日求解价格与决策!K21+两日求解价格与决策!M21,两日求解价格与决策!K21))</f>
        <v>-16.316391807587021</v>
      </c>
      <c r="G36" s="12">
        <f t="shared" si="0"/>
        <v>16.316391807587021</v>
      </c>
      <c r="H36" s="12">
        <f t="shared" si="1"/>
        <v>0</v>
      </c>
      <c r="I36" s="12">
        <f t="shared" si="6"/>
        <v>31.739130434782655</v>
      </c>
      <c r="J36" s="12">
        <f>I36+E36*(G36*原始输入与口径!$B$5-H36/原始输入与口径!$B$5)</f>
        <v>33.805770215323108</v>
      </c>
      <c r="K36" s="12">
        <v>31.739130434782655</v>
      </c>
      <c r="L36" s="12">
        <v>33.805770215323108</v>
      </c>
      <c r="M36" s="19">
        <f t="shared" si="2"/>
        <v>0</v>
      </c>
      <c r="N36" s="12">
        <f>E36*(G36*原始输入与口径!$B$5+H36/原始输入与口径!$B$5)/原始输入与口径!$H$5</f>
        <v>5.7406660570568013E-3</v>
      </c>
      <c r="O36" s="12">
        <v>5.7406660570568013E-3</v>
      </c>
      <c r="P36" s="19">
        <f t="shared" si="3"/>
        <v>0</v>
      </c>
      <c r="Q36" s="12">
        <f t="shared" si="4"/>
        <v>2.246347587543966</v>
      </c>
      <c r="R36" s="12">
        <f t="shared" si="5"/>
        <v>0</v>
      </c>
      <c r="S36" s="1">
        <v>13</v>
      </c>
      <c r="T36" s="14">
        <v>46235</v>
      </c>
    </row>
    <row r="37" spans="1:20" ht="21" customHeight="1" x14ac:dyDescent="0.45">
      <c r="A37" s="31">
        <v>46235.135416666664</v>
      </c>
      <c r="B37" s="31">
        <v>46235.14306238095</v>
      </c>
      <c r="C37" s="31">
        <v>46235.135416666664</v>
      </c>
      <c r="D37" s="1" t="s">
        <v>101</v>
      </c>
      <c r="E37" s="12">
        <v>0.18349714285714286</v>
      </c>
      <c r="F37" s="12">
        <f>IF(D37="d",两日求解价格与决策!K22-两日求解价格与决策!N22,IF(D37="u",两日求解价格与决策!K22+两日求解价格与决策!M22,两日求解价格与决策!K22))</f>
        <v>0</v>
      </c>
      <c r="G37" s="12">
        <f t="shared" si="0"/>
        <v>0</v>
      </c>
      <c r="H37" s="12">
        <f t="shared" si="1"/>
        <v>0</v>
      </c>
      <c r="I37" s="12">
        <f t="shared" si="6"/>
        <v>33.805770215323108</v>
      </c>
      <c r="J37" s="12">
        <f>I37+E37*(G37*原始输入与口径!$B$5-H37/原始输入与口径!$B$5)</f>
        <v>33.805770215323108</v>
      </c>
      <c r="K37" s="12">
        <v>33.805770215323108</v>
      </c>
      <c r="L37" s="12">
        <v>33.805770215323108</v>
      </c>
      <c r="M37" s="19">
        <f t="shared" si="2"/>
        <v>0</v>
      </c>
      <c r="N37" s="12">
        <f>E37*(G37*原始输入与口径!$B$5+H37/原始输入与口径!$B$5)/原始输入与口径!$H$5</f>
        <v>0</v>
      </c>
      <c r="O37" s="12">
        <v>0</v>
      </c>
      <c r="P37" s="19">
        <f t="shared" si="3"/>
        <v>0</v>
      </c>
      <c r="Q37" s="12">
        <f t="shared" si="4"/>
        <v>0</v>
      </c>
      <c r="R37" s="12">
        <f t="shared" si="5"/>
        <v>0</v>
      </c>
      <c r="S37" s="1">
        <v>14</v>
      </c>
      <c r="T37" s="14">
        <v>46235</v>
      </c>
    </row>
    <row r="38" spans="1:20" ht="21" customHeight="1" x14ac:dyDescent="0.45">
      <c r="A38" s="31">
        <v>46235.14306238095</v>
      </c>
      <c r="B38" s="31">
        <v>46235.145833333328</v>
      </c>
      <c r="C38" s="31">
        <v>46235.135416666664</v>
      </c>
      <c r="D38" s="1" t="s">
        <v>102</v>
      </c>
      <c r="E38" s="12">
        <v>6.6502857142857141E-2</v>
      </c>
      <c r="F38" s="12">
        <f>IF(D38="d",两日求解价格与决策!K22-两日求解价格与决策!N22,IF(D38="u",两日求解价格与决策!K22+两日求解价格与决策!M22,两日求解价格与决策!K22))</f>
        <v>-24</v>
      </c>
      <c r="G38" s="12">
        <f t="shared" si="0"/>
        <v>24</v>
      </c>
      <c r="H38" s="12">
        <f t="shared" si="1"/>
        <v>0</v>
      </c>
      <c r="I38" s="12">
        <f t="shared" si="6"/>
        <v>33.805770215323108</v>
      </c>
      <c r="J38" s="12">
        <f>I38+E38*(G38*原始输入与口径!$B$5-H38/原始输入与口径!$B$5)</f>
        <v>35.274153301037394</v>
      </c>
      <c r="K38" s="12">
        <v>33.805770215323108</v>
      </c>
      <c r="L38" s="12">
        <v>35.274153301037394</v>
      </c>
      <c r="M38" s="19">
        <f t="shared" si="2"/>
        <v>0</v>
      </c>
      <c r="N38" s="12">
        <f>E38*(G38*原始输入与口径!$B$5+H38/原始输入与口径!$B$5)/原始输入与口径!$H$5</f>
        <v>4.0788419047619049E-3</v>
      </c>
      <c r="O38" s="12">
        <v>4.0788419047619049E-3</v>
      </c>
      <c r="P38" s="19">
        <f t="shared" si="3"/>
        <v>0</v>
      </c>
      <c r="Q38" s="12">
        <f t="shared" si="4"/>
        <v>1.5960685714285714</v>
      </c>
      <c r="R38" s="12">
        <f t="shared" si="5"/>
        <v>0</v>
      </c>
      <c r="S38" s="1">
        <v>14</v>
      </c>
      <c r="T38" s="14">
        <v>46235</v>
      </c>
    </row>
    <row r="39" spans="1:20" ht="21" customHeight="1" x14ac:dyDescent="0.45">
      <c r="A39" s="31">
        <v>46235.145833333336</v>
      </c>
      <c r="B39" s="31">
        <v>46235.152545714285</v>
      </c>
      <c r="C39" s="31">
        <v>46235.145833333336</v>
      </c>
      <c r="D39" s="1" t="s">
        <v>101</v>
      </c>
      <c r="E39" s="12">
        <v>0.16109714285714286</v>
      </c>
      <c r="F39" s="12">
        <f>IF(D39="d",两日求解价格与决策!K23-两日求解价格与决策!N23,IF(D39="u",两日求解价格与决策!K23+两日求解价格与决策!M23,两日求解价格与决策!K23))</f>
        <v>0</v>
      </c>
      <c r="G39" s="12">
        <f t="shared" si="0"/>
        <v>0</v>
      </c>
      <c r="H39" s="12">
        <f t="shared" si="1"/>
        <v>0</v>
      </c>
      <c r="I39" s="12">
        <f t="shared" si="6"/>
        <v>35.274153301037394</v>
      </c>
      <c r="J39" s="12">
        <f>I39+E39*(G39*原始输入与口径!$B$5-H39/原始输入与口径!$B$5)</f>
        <v>35.274153301037394</v>
      </c>
      <c r="K39" s="12">
        <v>35.274153301037394</v>
      </c>
      <c r="L39" s="12">
        <v>35.274153301037394</v>
      </c>
      <c r="M39" s="19">
        <f t="shared" si="2"/>
        <v>0</v>
      </c>
      <c r="N39" s="12">
        <f>E39*(G39*原始输入与口径!$B$5+H39/原始输入与口径!$B$5)/原始输入与口径!$H$5</f>
        <v>0</v>
      </c>
      <c r="O39" s="12">
        <v>0</v>
      </c>
      <c r="P39" s="19">
        <f t="shared" si="3"/>
        <v>0</v>
      </c>
      <c r="Q39" s="12">
        <f t="shared" si="4"/>
        <v>0</v>
      </c>
      <c r="R39" s="12">
        <f t="shared" si="5"/>
        <v>0</v>
      </c>
      <c r="S39" s="1">
        <v>15</v>
      </c>
      <c r="T39" s="14">
        <v>46235</v>
      </c>
    </row>
    <row r="40" spans="1:20" ht="21" customHeight="1" x14ac:dyDescent="0.45">
      <c r="A40" s="31">
        <v>46235.152545714285</v>
      </c>
      <c r="B40" s="31">
        <v>46235.15625</v>
      </c>
      <c r="C40" s="31">
        <v>46235.145833333336</v>
      </c>
      <c r="D40" s="1" t="s">
        <v>102</v>
      </c>
      <c r="E40" s="12">
        <v>8.8902857142857145E-2</v>
      </c>
      <c r="F40" s="12">
        <f>IF(D40="d",两日求解价格与决策!K23-两日求解价格与决策!N23,IF(D40="u",两日求解价格与决策!K23+两日求解价格与决策!M23,两日求解价格与决策!K23))</f>
        <v>-24</v>
      </c>
      <c r="G40" s="12">
        <f t="shared" si="0"/>
        <v>24</v>
      </c>
      <c r="H40" s="12">
        <f t="shared" si="1"/>
        <v>0</v>
      </c>
      <c r="I40" s="12">
        <f t="shared" si="6"/>
        <v>35.274153301037394</v>
      </c>
      <c r="J40" s="12">
        <f>I40+E40*(G40*原始输入与口径!$B$5-H40/原始输入与口径!$B$5)</f>
        <v>37.237128386751678</v>
      </c>
      <c r="K40" s="12">
        <v>35.274153301037394</v>
      </c>
      <c r="L40" s="12">
        <v>37.237128386751678</v>
      </c>
      <c r="M40" s="19">
        <f t="shared" si="2"/>
        <v>0</v>
      </c>
      <c r="N40" s="12">
        <f>E40*(G40*原始输入与口径!$B$5+H40/原始输入与口径!$B$5)/原始输入与口径!$H$5</f>
        <v>5.4527085714285717E-3</v>
      </c>
      <c r="O40" s="12">
        <v>5.4527085714285708E-3</v>
      </c>
      <c r="P40" s="19">
        <f t="shared" si="3"/>
        <v>0</v>
      </c>
      <c r="Q40" s="12">
        <f t="shared" si="4"/>
        <v>2.1336685714285712</v>
      </c>
      <c r="R40" s="12">
        <f t="shared" si="5"/>
        <v>0</v>
      </c>
      <c r="S40" s="1">
        <v>15</v>
      </c>
      <c r="T40" s="14">
        <v>46235</v>
      </c>
    </row>
    <row r="41" spans="1:20" ht="21" customHeight="1" x14ac:dyDescent="0.45">
      <c r="A41" s="31">
        <v>46235.15625</v>
      </c>
      <c r="B41" s="31">
        <v>46235.162438333333</v>
      </c>
      <c r="C41" s="31">
        <v>46235.15625</v>
      </c>
      <c r="D41" s="1" t="s">
        <v>101</v>
      </c>
      <c r="E41" s="12">
        <v>0.14851999999999999</v>
      </c>
      <c r="F41" s="12">
        <f>IF(D41="d",两日求解价格与决策!K24-两日求解价格与决策!N24,IF(D41="u",两日求解价格与决策!K24+两日求解价格与决策!M24,两日求解价格与决策!K24))</f>
        <v>0</v>
      </c>
      <c r="G41" s="12">
        <f t="shared" si="0"/>
        <v>0</v>
      </c>
      <c r="H41" s="12">
        <f t="shared" si="1"/>
        <v>0</v>
      </c>
      <c r="I41" s="12">
        <f t="shared" si="6"/>
        <v>37.237128386751678</v>
      </c>
      <c r="J41" s="12">
        <f>I41+E41*(G41*原始输入与口径!$B$5-H41/原始输入与口径!$B$5)</f>
        <v>37.237128386751678</v>
      </c>
      <c r="K41" s="12">
        <v>37.237128386751678</v>
      </c>
      <c r="L41" s="12">
        <v>37.237128386751678</v>
      </c>
      <c r="M41" s="19">
        <f t="shared" si="2"/>
        <v>0</v>
      </c>
      <c r="N41" s="12">
        <f>E41*(G41*原始输入与口径!$B$5+H41/原始输入与口径!$B$5)/原始输入与口径!$H$5</f>
        <v>0</v>
      </c>
      <c r="O41" s="12">
        <v>0</v>
      </c>
      <c r="P41" s="19">
        <f t="shared" si="3"/>
        <v>0</v>
      </c>
      <c r="Q41" s="12">
        <f t="shared" si="4"/>
        <v>0</v>
      </c>
      <c r="R41" s="12">
        <f t="shared" si="5"/>
        <v>0</v>
      </c>
      <c r="S41" s="1">
        <v>16</v>
      </c>
      <c r="T41" s="14">
        <v>46235</v>
      </c>
    </row>
    <row r="42" spans="1:20" ht="21" customHeight="1" x14ac:dyDescent="0.45">
      <c r="A42" s="31">
        <v>46235.162438333333</v>
      </c>
      <c r="B42" s="31">
        <v>46235.166666666664</v>
      </c>
      <c r="C42" s="31">
        <v>46235.15625</v>
      </c>
      <c r="D42" s="1" t="s">
        <v>102</v>
      </c>
      <c r="E42" s="12">
        <v>0.10148000000000001</v>
      </c>
      <c r="F42" s="12">
        <f>IF(D42="d",两日求解价格与决策!K24-两日求解价格与决策!N24,IF(D42="u",两日求解价格与决策!K24+两日求解价格与决策!M24,两日求解价格与决策!K24))</f>
        <v>-24</v>
      </c>
      <c r="G42" s="12">
        <f t="shared" si="0"/>
        <v>24</v>
      </c>
      <c r="H42" s="12">
        <f t="shared" si="1"/>
        <v>0</v>
      </c>
      <c r="I42" s="12">
        <f t="shared" si="6"/>
        <v>37.237128386751678</v>
      </c>
      <c r="J42" s="12">
        <f>I42+E42*(G42*原始输入与口径!$B$5-H42/原始输入与口径!$B$5)</f>
        <v>39.477806786751678</v>
      </c>
      <c r="K42" s="12">
        <v>37.237128386751678</v>
      </c>
      <c r="L42" s="12">
        <v>39.477806786751678</v>
      </c>
      <c r="M42" s="19">
        <f t="shared" si="2"/>
        <v>0</v>
      </c>
      <c r="N42" s="12">
        <f>E42*(G42*原始输入与口径!$B$5+H42/原始输入与口径!$B$5)/原始输入与口径!$H$5</f>
        <v>6.2241066666666681E-3</v>
      </c>
      <c r="O42" s="12">
        <v>6.2241066666666681E-3</v>
      </c>
      <c r="P42" s="19">
        <f t="shared" si="3"/>
        <v>0</v>
      </c>
      <c r="Q42" s="12">
        <f t="shared" si="4"/>
        <v>2.4355200000000004</v>
      </c>
      <c r="R42" s="12">
        <f t="shared" si="5"/>
        <v>0</v>
      </c>
      <c r="S42" s="1">
        <v>16</v>
      </c>
      <c r="T42" s="14">
        <v>46235</v>
      </c>
    </row>
    <row r="43" spans="1:20" ht="21" customHeight="1" x14ac:dyDescent="0.45">
      <c r="A43" s="31">
        <v>46235.166666666664</v>
      </c>
      <c r="B43" s="31">
        <v>46235.170789047617</v>
      </c>
      <c r="C43" s="31">
        <v>46235.166666666664</v>
      </c>
      <c r="D43" s="1" t="s">
        <v>101</v>
      </c>
      <c r="E43" s="12">
        <v>9.8937142857142862E-2</v>
      </c>
      <c r="F43" s="12">
        <f>IF(D43="d",两日求解价格与决策!K25-两日求解价格与决策!N25,IF(D43="u",两日求解价格与决策!K25+两日求解价格与决策!M25,两日求解价格与决策!K25))</f>
        <v>24</v>
      </c>
      <c r="G43" s="12">
        <f t="shared" si="0"/>
        <v>0</v>
      </c>
      <c r="H43" s="12">
        <f t="shared" si="1"/>
        <v>24</v>
      </c>
      <c r="I43" s="12">
        <f t="shared" si="6"/>
        <v>39.477806786751678</v>
      </c>
      <c r="J43" s="12">
        <f>I43+E43*(G43*原始输入与口径!$B$5-H43/原始输入与口径!$B$5)</f>
        <v>36.896837842652296</v>
      </c>
      <c r="K43" s="12">
        <v>39.477806786751678</v>
      </c>
      <c r="L43" s="12">
        <v>36.896837842652296</v>
      </c>
      <c r="M43" s="19">
        <f t="shared" si="2"/>
        <v>0</v>
      </c>
      <c r="N43" s="12">
        <f>E43*(G43*原始输入与口径!$B$5+H43/原始输入与口径!$B$5)/原始输入与口径!$H$5</f>
        <v>7.169358178053831E-3</v>
      </c>
      <c r="O43" s="12">
        <v>7.169358178053831E-3</v>
      </c>
      <c r="P43" s="19">
        <f t="shared" si="3"/>
        <v>0</v>
      </c>
      <c r="Q43" s="12">
        <f t="shared" si="4"/>
        <v>0</v>
      </c>
      <c r="R43" s="12">
        <f t="shared" si="5"/>
        <v>2.3744914285714289</v>
      </c>
      <c r="S43" s="1">
        <v>17</v>
      </c>
      <c r="T43" s="14">
        <v>46235</v>
      </c>
    </row>
    <row r="44" spans="1:20" ht="21" customHeight="1" x14ac:dyDescent="0.45">
      <c r="A44" s="31">
        <v>46235.170789047617</v>
      </c>
      <c r="B44" s="31">
        <v>46235.177083333328</v>
      </c>
      <c r="C44" s="31">
        <v>46235.166666666664</v>
      </c>
      <c r="D44" s="1" t="s">
        <v>102</v>
      </c>
      <c r="E44" s="12">
        <v>0.15106285714285714</v>
      </c>
      <c r="F44" s="12">
        <f>IF(D44="d",两日求解价格与决策!K25-两日求解价格与决策!N25,IF(D44="u",两日求解价格与决策!K25+两日求解价格与决策!M25,两日求解价格与决策!K25))</f>
        <v>0</v>
      </c>
      <c r="G44" s="12">
        <f t="shared" si="0"/>
        <v>0</v>
      </c>
      <c r="H44" s="12">
        <f t="shared" si="1"/>
        <v>0</v>
      </c>
      <c r="I44" s="12">
        <f t="shared" si="6"/>
        <v>36.896837842652296</v>
      </c>
      <c r="J44" s="12">
        <f>I44+E44*(G44*原始输入与口径!$B$5-H44/原始输入与口径!$B$5)</f>
        <v>36.896837842652296</v>
      </c>
      <c r="K44" s="12">
        <v>36.896837842652296</v>
      </c>
      <c r="L44" s="12">
        <v>36.896837842652296</v>
      </c>
      <c r="M44" s="19">
        <f t="shared" si="2"/>
        <v>0</v>
      </c>
      <c r="N44" s="12">
        <f>E44*(G44*原始输入与口径!$B$5+H44/原始输入与口径!$B$5)/原始输入与口径!$H$5</f>
        <v>0</v>
      </c>
      <c r="O44" s="12">
        <v>0</v>
      </c>
      <c r="P44" s="19">
        <f t="shared" si="3"/>
        <v>0</v>
      </c>
      <c r="Q44" s="12">
        <f t="shared" si="4"/>
        <v>0</v>
      </c>
      <c r="R44" s="12">
        <f t="shared" si="5"/>
        <v>0</v>
      </c>
      <c r="S44" s="1">
        <v>17</v>
      </c>
      <c r="T44" s="14">
        <v>46235</v>
      </c>
    </row>
    <row r="45" spans="1:20" ht="21" customHeight="1" x14ac:dyDescent="0.45">
      <c r="A45" s="31">
        <v>46235.177083333336</v>
      </c>
      <c r="B45" s="31">
        <v>46235.181409761906</v>
      </c>
      <c r="C45" s="31">
        <v>46235.177083333336</v>
      </c>
      <c r="D45" s="1" t="s">
        <v>101</v>
      </c>
      <c r="E45" s="12">
        <v>0.10383428571428571</v>
      </c>
      <c r="F45" s="12">
        <f>IF(D45="d",两日求解价格与决策!K26-两日求解价格与决策!N26,IF(D45="u",两日求解价格与决策!K26+两日求解价格与决策!M26,两日求解价格与决策!K26))</f>
        <v>0</v>
      </c>
      <c r="G45" s="12">
        <f t="shared" si="0"/>
        <v>0</v>
      </c>
      <c r="H45" s="12">
        <f t="shared" si="1"/>
        <v>0</v>
      </c>
      <c r="I45" s="12">
        <f t="shared" si="6"/>
        <v>36.896837842652296</v>
      </c>
      <c r="J45" s="12">
        <f>I45+E45*(G45*原始输入与口径!$B$5-H45/原始输入与口径!$B$5)</f>
        <v>36.896837842652296</v>
      </c>
      <c r="K45" s="12">
        <v>36.896837842652296</v>
      </c>
      <c r="L45" s="12">
        <v>36.896837842652296</v>
      </c>
      <c r="M45" s="19">
        <f t="shared" si="2"/>
        <v>0</v>
      </c>
      <c r="N45" s="12">
        <f>E45*(G45*原始输入与口径!$B$5+H45/原始输入与口径!$B$5)/原始输入与口径!$H$5</f>
        <v>0</v>
      </c>
      <c r="O45" s="12">
        <v>0</v>
      </c>
      <c r="P45" s="19">
        <f t="shared" si="3"/>
        <v>0</v>
      </c>
      <c r="Q45" s="12">
        <f t="shared" si="4"/>
        <v>0</v>
      </c>
      <c r="R45" s="12">
        <f t="shared" si="5"/>
        <v>0</v>
      </c>
      <c r="S45" s="1">
        <v>18</v>
      </c>
      <c r="T45" s="14">
        <v>46235</v>
      </c>
    </row>
    <row r="46" spans="1:20" ht="21" customHeight="1" x14ac:dyDescent="0.45">
      <c r="A46" s="31">
        <v>46235.181409761906</v>
      </c>
      <c r="B46" s="31">
        <v>46235.1875</v>
      </c>
      <c r="C46" s="31">
        <v>46235.177083333336</v>
      </c>
      <c r="D46" s="1" t="s">
        <v>102</v>
      </c>
      <c r="E46" s="12">
        <v>0.14616571428571429</v>
      </c>
      <c r="F46" s="12">
        <f>IF(D46="d",两日求解价格与决策!K26-两日求解价格与决策!N26,IF(D46="u",两日求解价格与决策!K26+两日求解价格与决策!M26,两日求解价格与决策!K26))</f>
        <v>-24</v>
      </c>
      <c r="G46" s="12">
        <f t="shared" si="0"/>
        <v>24</v>
      </c>
      <c r="H46" s="12">
        <f t="shared" si="1"/>
        <v>0</v>
      </c>
      <c r="I46" s="12">
        <f t="shared" si="6"/>
        <v>36.896837842652296</v>
      </c>
      <c r="J46" s="12">
        <f>I46+E46*(G46*原始输入与口径!$B$5-H46/原始输入与口径!$B$5)</f>
        <v>40.124176814080869</v>
      </c>
      <c r="K46" s="12">
        <v>36.896837842652296</v>
      </c>
      <c r="L46" s="12">
        <v>40.124176814080869</v>
      </c>
      <c r="M46" s="19">
        <f t="shared" si="2"/>
        <v>0</v>
      </c>
      <c r="N46" s="12">
        <f>E46*(G46*原始输入与口径!$B$5+H46/原始输入与口径!$B$5)/原始输入与口径!$H$5</f>
        <v>8.9648304761904777E-3</v>
      </c>
      <c r="O46" s="12">
        <v>8.964830476190476E-3</v>
      </c>
      <c r="P46" s="19">
        <f t="shared" si="3"/>
        <v>0</v>
      </c>
      <c r="Q46" s="12">
        <f t="shared" si="4"/>
        <v>3.5079771428571429</v>
      </c>
      <c r="R46" s="12">
        <f t="shared" si="5"/>
        <v>0</v>
      </c>
      <c r="S46" s="1">
        <v>18</v>
      </c>
      <c r="T46" s="14">
        <v>46235</v>
      </c>
    </row>
    <row r="47" spans="1:20" ht="21" customHeight="1" x14ac:dyDescent="0.45">
      <c r="A47" s="31">
        <v>46235.1875</v>
      </c>
      <c r="B47" s="31">
        <v>46235.192294523811</v>
      </c>
      <c r="C47" s="31">
        <v>46235.1875</v>
      </c>
      <c r="D47" s="1" t="s">
        <v>101</v>
      </c>
      <c r="E47" s="12">
        <v>0.11506857142857144</v>
      </c>
      <c r="F47" s="12">
        <f>IF(D47="d",两日求解价格与决策!K27-两日求解价格与决策!N27,IF(D47="u",两日求解价格与决策!K27+两日求解价格与决策!M27,两日求解价格与决策!K27))</f>
        <v>24</v>
      </c>
      <c r="G47" s="12">
        <f t="shared" si="0"/>
        <v>0</v>
      </c>
      <c r="H47" s="12">
        <f t="shared" si="1"/>
        <v>24</v>
      </c>
      <c r="I47" s="12">
        <f t="shared" si="6"/>
        <v>40.124176814080869</v>
      </c>
      <c r="J47" s="12">
        <f>I47+E47*(G47*原始输入与口径!$B$5-H47/原始输入与口径!$B$5)</f>
        <v>37.122387994205091</v>
      </c>
      <c r="K47" s="12">
        <v>40.124176814080869</v>
      </c>
      <c r="L47" s="12">
        <v>37.122387994205091</v>
      </c>
      <c r="M47" s="19">
        <f t="shared" si="2"/>
        <v>0</v>
      </c>
      <c r="N47" s="12">
        <f>E47*(G47*原始输入与口径!$B$5+H47/原始输入与口径!$B$5)/原始输入与口径!$H$5</f>
        <v>8.3383022774327128E-3</v>
      </c>
      <c r="O47" s="12">
        <v>8.3383022774327128E-3</v>
      </c>
      <c r="P47" s="19">
        <f t="shared" si="3"/>
        <v>0</v>
      </c>
      <c r="Q47" s="12">
        <f t="shared" si="4"/>
        <v>0</v>
      </c>
      <c r="R47" s="12">
        <f t="shared" si="5"/>
        <v>2.7616457142857147</v>
      </c>
      <c r="S47" s="1">
        <v>19</v>
      </c>
      <c r="T47" s="14">
        <v>46235</v>
      </c>
    </row>
    <row r="48" spans="1:20" ht="21" customHeight="1" x14ac:dyDescent="0.45">
      <c r="A48" s="31">
        <v>46235.192294523811</v>
      </c>
      <c r="B48" s="31">
        <v>46235.197916666664</v>
      </c>
      <c r="C48" s="31">
        <v>46235.1875</v>
      </c>
      <c r="D48" s="1" t="s">
        <v>102</v>
      </c>
      <c r="E48" s="12">
        <v>0.13493142857142856</v>
      </c>
      <c r="F48" s="12">
        <f>IF(D48="d",两日求解价格与决策!K27-两日求解价格与决策!N27,IF(D48="u",两日求解价格与决策!K27+两日求解价格与决策!M27,两日求解价格与决策!K27))</f>
        <v>0</v>
      </c>
      <c r="G48" s="12">
        <f t="shared" si="0"/>
        <v>0</v>
      </c>
      <c r="H48" s="12">
        <f t="shared" si="1"/>
        <v>0</v>
      </c>
      <c r="I48" s="12">
        <f t="shared" si="6"/>
        <v>37.122387994205091</v>
      </c>
      <c r="J48" s="12">
        <f>I48+E48*(G48*原始输入与口径!$B$5-H48/原始输入与口径!$B$5)</f>
        <v>37.122387994205091</v>
      </c>
      <c r="K48" s="12">
        <v>37.122387994205091</v>
      </c>
      <c r="L48" s="12">
        <v>37.122387994205091</v>
      </c>
      <c r="M48" s="19">
        <f t="shared" si="2"/>
        <v>0</v>
      </c>
      <c r="N48" s="12">
        <f>E48*(G48*原始输入与口径!$B$5+H48/原始输入与口径!$B$5)/原始输入与口径!$H$5</f>
        <v>0</v>
      </c>
      <c r="O48" s="12">
        <v>0</v>
      </c>
      <c r="P48" s="19">
        <f t="shared" si="3"/>
        <v>0</v>
      </c>
      <c r="Q48" s="12">
        <f t="shared" si="4"/>
        <v>0</v>
      </c>
      <c r="R48" s="12">
        <f t="shared" si="5"/>
        <v>0</v>
      </c>
      <c r="S48" s="1">
        <v>19</v>
      </c>
      <c r="T48" s="14">
        <v>46235</v>
      </c>
    </row>
    <row r="49" spans="1:20" ht="21" customHeight="1" x14ac:dyDescent="0.45">
      <c r="A49" s="31">
        <v>46235.197916666664</v>
      </c>
      <c r="B49" s="31">
        <v>46235.199928333328</v>
      </c>
      <c r="C49" s="31">
        <v>46235.197916666664</v>
      </c>
      <c r="D49" s="1" t="s">
        <v>101</v>
      </c>
      <c r="E49" s="12">
        <v>4.8279999999999997E-2</v>
      </c>
      <c r="F49" s="12">
        <f>IF(D49="d",两日求解价格与决策!K28-两日求解价格与决策!N28,IF(D49="u",两日求解价格与决策!K28+两日求解价格与决策!M28,两日求解价格与决策!K28))</f>
        <v>24</v>
      </c>
      <c r="G49" s="12">
        <f t="shared" si="0"/>
        <v>0</v>
      </c>
      <c r="H49" s="12">
        <f t="shared" si="1"/>
        <v>24</v>
      </c>
      <c r="I49" s="12">
        <f t="shared" si="6"/>
        <v>37.122387994205091</v>
      </c>
      <c r="J49" s="12">
        <f>I49+E49*(G49*原始输入与口径!$B$5-H49/原始输入与口径!$B$5)</f>
        <v>35.862909733335528</v>
      </c>
      <c r="K49" s="12">
        <v>37.122387994205091</v>
      </c>
      <c r="L49" s="12">
        <v>35.862909733335528</v>
      </c>
      <c r="M49" s="19">
        <f t="shared" si="2"/>
        <v>0</v>
      </c>
      <c r="N49" s="12">
        <f>E49*(G49*原始输入与口径!$B$5+H49/原始输入与口径!$B$5)/原始输入与口径!$H$5</f>
        <v>3.498550724637681E-3</v>
      </c>
      <c r="O49" s="12">
        <v>3.498550724637681E-3</v>
      </c>
      <c r="P49" s="19">
        <f t="shared" si="3"/>
        <v>0</v>
      </c>
      <c r="Q49" s="12">
        <f t="shared" si="4"/>
        <v>0</v>
      </c>
      <c r="R49" s="12">
        <f t="shared" si="5"/>
        <v>1.15872</v>
      </c>
      <c r="S49" s="1">
        <v>20</v>
      </c>
      <c r="T49" s="14">
        <v>46235</v>
      </c>
    </row>
    <row r="50" spans="1:20" ht="21" customHeight="1" x14ac:dyDescent="0.45">
      <c r="A50" s="31">
        <v>46235.199928333328</v>
      </c>
      <c r="B50" s="31">
        <v>46235.208333333328</v>
      </c>
      <c r="C50" s="31">
        <v>46235.197916666664</v>
      </c>
      <c r="D50" s="1" t="s">
        <v>102</v>
      </c>
      <c r="E50" s="12">
        <v>0.20172000000000001</v>
      </c>
      <c r="F50" s="12">
        <f>IF(D50="d",两日求解价格与决策!K28-两日求解价格与决策!N28,IF(D50="u",两日求解价格与决策!K28+两日求解价格与决策!M28,两日求解价格与决策!K28))</f>
        <v>0</v>
      </c>
      <c r="G50" s="12">
        <f t="shared" si="0"/>
        <v>0</v>
      </c>
      <c r="H50" s="12">
        <f t="shared" si="1"/>
        <v>0</v>
      </c>
      <c r="I50" s="12">
        <f t="shared" si="6"/>
        <v>35.862909733335528</v>
      </c>
      <c r="J50" s="12">
        <f>I50+E50*(G50*原始输入与口径!$B$5-H50/原始输入与口径!$B$5)</f>
        <v>35.862909733335528</v>
      </c>
      <c r="K50" s="12">
        <v>35.862909733335528</v>
      </c>
      <c r="L50" s="12">
        <v>35.862909733335528</v>
      </c>
      <c r="M50" s="19">
        <f t="shared" si="2"/>
        <v>0</v>
      </c>
      <c r="N50" s="12">
        <f>E50*(G50*原始输入与口径!$B$5+H50/原始输入与口径!$B$5)/原始输入与口径!$H$5</f>
        <v>0</v>
      </c>
      <c r="O50" s="12">
        <v>0</v>
      </c>
      <c r="P50" s="19">
        <f t="shared" si="3"/>
        <v>0</v>
      </c>
      <c r="Q50" s="12">
        <f t="shared" si="4"/>
        <v>0</v>
      </c>
      <c r="R50" s="12">
        <f t="shared" si="5"/>
        <v>0</v>
      </c>
      <c r="S50" s="1">
        <v>20</v>
      </c>
      <c r="T50" s="14">
        <v>46235</v>
      </c>
    </row>
    <row r="51" spans="1:20" ht="21" customHeight="1" x14ac:dyDescent="0.45">
      <c r="A51" s="31">
        <v>46235.208333333336</v>
      </c>
      <c r="B51" s="31">
        <v>46235.209589523809</v>
      </c>
      <c r="C51" s="31">
        <v>46235.208333333336</v>
      </c>
      <c r="D51" s="1" t="s">
        <v>101</v>
      </c>
      <c r="E51" s="12">
        <v>3.0148571428571427E-2</v>
      </c>
      <c r="F51" s="12">
        <f>IF(D51="d",两日求解价格与决策!K29-两日求解价格与决策!N29,IF(D51="u",两日求解价格与决策!K29+两日求解价格与决策!M29,两日求解价格与决策!K29))</f>
        <v>24</v>
      </c>
      <c r="G51" s="12">
        <f t="shared" si="0"/>
        <v>0</v>
      </c>
      <c r="H51" s="12">
        <f t="shared" si="1"/>
        <v>24</v>
      </c>
      <c r="I51" s="12">
        <f t="shared" si="6"/>
        <v>35.862909733335528</v>
      </c>
      <c r="J51" s="12">
        <f>I51+E51*(G51*原始输入与口径!$B$5-H51/原始输入与口径!$B$5)</f>
        <v>35.076425261285841</v>
      </c>
      <c r="K51" s="12">
        <v>35.862909733335528</v>
      </c>
      <c r="L51" s="12">
        <v>35.076425261285841</v>
      </c>
      <c r="M51" s="19">
        <f t="shared" si="2"/>
        <v>0</v>
      </c>
      <c r="N51" s="12">
        <f>E51*(G51*原始输入与口径!$B$5+H51/原始输入与口径!$B$5)/原始输入与口径!$H$5</f>
        <v>2.1846790890269149E-3</v>
      </c>
      <c r="O51" s="12">
        <v>2.1846790890269149E-3</v>
      </c>
      <c r="P51" s="19">
        <f t="shared" si="3"/>
        <v>0</v>
      </c>
      <c r="Q51" s="12">
        <f t="shared" si="4"/>
        <v>0</v>
      </c>
      <c r="R51" s="12">
        <f t="shared" si="5"/>
        <v>0.72356571428571426</v>
      </c>
      <c r="S51" s="1">
        <v>21</v>
      </c>
      <c r="T51" s="14">
        <v>46235</v>
      </c>
    </row>
    <row r="52" spans="1:20" ht="21" customHeight="1" x14ac:dyDescent="0.45">
      <c r="A52" s="31">
        <v>46235.209589523809</v>
      </c>
      <c r="B52" s="31">
        <v>46235.21875</v>
      </c>
      <c r="C52" s="31">
        <v>46235.208333333336</v>
      </c>
      <c r="D52" s="1" t="s">
        <v>102</v>
      </c>
      <c r="E52" s="12">
        <v>0.21985142857142859</v>
      </c>
      <c r="F52" s="12">
        <f>IF(D52="d",两日求解价格与决策!K29-两日求解价格与决策!N29,IF(D52="u",两日求解价格与决策!K29+两日求解价格与决策!M29,两日求解价格与决策!K29))</f>
        <v>0</v>
      </c>
      <c r="G52" s="12">
        <f t="shared" si="0"/>
        <v>0</v>
      </c>
      <c r="H52" s="12">
        <f t="shared" si="1"/>
        <v>0</v>
      </c>
      <c r="I52" s="12">
        <f t="shared" si="6"/>
        <v>35.076425261285841</v>
      </c>
      <c r="J52" s="12">
        <f>I52+E52*(G52*原始输入与口径!$B$5-H52/原始输入与口径!$B$5)</f>
        <v>35.076425261285841</v>
      </c>
      <c r="K52" s="12">
        <v>35.076425261285841</v>
      </c>
      <c r="L52" s="12">
        <v>35.076425261285841</v>
      </c>
      <c r="M52" s="19">
        <f t="shared" si="2"/>
        <v>0</v>
      </c>
      <c r="N52" s="12">
        <f>E52*(G52*原始输入与口径!$B$5+H52/原始输入与口径!$B$5)/原始输入与口径!$H$5</f>
        <v>0</v>
      </c>
      <c r="O52" s="12">
        <v>0</v>
      </c>
      <c r="P52" s="19">
        <f t="shared" si="3"/>
        <v>0</v>
      </c>
      <c r="Q52" s="12">
        <f t="shared" si="4"/>
        <v>0</v>
      </c>
      <c r="R52" s="12">
        <f t="shared" si="5"/>
        <v>0</v>
      </c>
      <c r="S52" s="1">
        <v>21</v>
      </c>
      <c r="T52" s="14">
        <v>46235</v>
      </c>
    </row>
    <row r="53" spans="1:20" ht="21" customHeight="1" x14ac:dyDescent="0.45">
      <c r="A53" s="31">
        <v>46235.21875</v>
      </c>
      <c r="B53" s="31">
        <v>46235.221846190478</v>
      </c>
      <c r="C53" s="31">
        <v>46235.21875</v>
      </c>
      <c r="D53" s="1" t="s">
        <v>101</v>
      </c>
      <c r="E53" s="12">
        <v>7.4308571428571432E-2</v>
      </c>
      <c r="F53" s="12">
        <f>IF(D53="d",两日求解价格与决策!K30-两日求解价格与决策!N30,IF(D53="u",两日求解价格与决策!K30+两日求解价格与决策!M30,两日求解价格与决策!K30))</f>
        <v>24</v>
      </c>
      <c r="G53" s="12">
        <f t="shared" si="0"/>
        <v>0</v>
      </c>
      <c r="H53" s="12">
        <f t="shared" si="1"/>
        <v>24</v>
      </c>
      <c r="I53" s="12">
        <f t="shared" si="6"/>
        <v>35.076425261285841</v>
      </c>
      <c r="J53" s="12">
        <f>I53+E53*(G53*原始输入与口径!$B$5-H53/原始输入与口径!$B$5)</f>
        <v>33.137940789236154</v>
      </c>
      <c r="K53" s="12">
        <v>35.076425261285841</v>
      </c>
      <c r="L53" s="12">
        <v>33.137940789236154</v>
      </c>
      <c r="M53" s="19">
        <f t="shared" si="2"/>
        <v>0</v>
      </c>
      <c r="N53" s="12">
        <f>E53*(G53*原始输入与口径!$B$5+H53/原始输入与口径!$B$5)/原始输入与口径!$H$5</f>
        <v>5.384679089026915E-3</v>
      </c>
      <c r="O53" s="12">
        <v>5.384679089026915E-3</v>
      </c>
      <c r="P53" s="19">
        <f t="shared" si="3"/>
        <v>0</v>
      </c>
      <c r="Q53" s="12">
        <f t="shared" si="4"/>
        <v>0</v>
      </c>
      <c r="R53" s="12">
        <f t="shared" si="5"/>
        <v>1.7834057142857143</v>
      </c>
      <c r="S53" s="1">
        <v>22</v>
      </c>
      <c r="T53" s="14">
        <v>46235</v>
      </c>
    </row>
    <row r="54" spans="1:20" ht="21" customHeight="1" x14ac:dyDescent="0.45">
      <c r="A54" s="31">
        <v>46235.221846190478</v>
      </c>
      <c r="B54" s="31">
        <v>46235.229166666664</v>
      </c>
      <c r="C54" s="31">
        <v>46235.21875</v>
      </c>
      <c r="D54" s="1" t="s">
        <v>102</v>
      </c>
      <c r="E54" s="12">
        <v>0.17569142857142855</v>
      </c>
      <c r="F54" s="12">
        <f>IF(D54="d",两日求解价格与决策!K30-两日求解价格与决策!N30,IF(D54="u",两日求解价格与决策!K30+两日求解价格与决策!M30,两日求解价格与决策!K30))</f>
        <v>0</v>
      </c>
      <c r="G54" s="12">
        <f t="shared" si="0"/>
        <v>0</v>
      </c>
      <c r="H54" s="12">
        <f t="shared" si="1"/>
        <v>0</v>
      </c>
      <c r="I54" s="12">
        <f t="shared" si="6"/>
        <v>33.137940789236154</v>
      </c>
      <c r="J54" s="12">
        <f>I54+E54*(G54*原始输入与口径!$B$5-H54/原始输入与口径!$B$5)</f>
        <v>33.137940789236154</v>
      </c>
      <c r="K54" s="12">
        <v>33.137940789236154</v>
      </c>
      <c r="L54" s="12">
        <v>33.137940789236154</v>
      </c>
      <c r="M54" s="19">
        <f t="shared" si="2"/>
        <v>0</v>
      </c>
      <c r="N54" s="12">
        <f>E54*(G54*原始输入与口径!$B$5+H54/原始输入与口径!$B$5)/原始输入与口径!$H$5</f>
        <v>0</v>
      </c>
      <c r="O54" s="12">
        <v>0</v>
      </c>
      <c r="P54" s="19">
        <f t="shared" si="3"/>
        <v>0</v>
      </c>
      <c r="Q54" s="12">
        <f t="shared" si="4"/>
        <v>0</v>
      </c>
      <c r="R54" s="12">
        <f t="shared" si="5"/>
        <v>0</v>
      </c>
      <c r="S54" s="1">
        <v>22</v>
      </c>
      <c r="T54" s="14">
        <v>46235</v>
      </c>
    </row>
    <row r="55" spans="1:20" ht="21" customHeight="1" x14ac:dyDescent="0.45">
      <c r="A55" s="31">
        <v>46235.229166666664</v>
      </c>
      <c r="B55" s="31">
        <v>46235.234559047618</v>
      </c>
      <c r="C55" s="31">
        <v>46235.229166666664</v>
      </c>
      <c r="D55" s="1" t="s">
        <v>101</v>
      </c>
      <c r="E55" s="12">
        <v>0.12941714285714284</v>
      </c>
      <c r="F55" s="12">
        <f>IF(D55="d",两日求解价格与决策!K31-两日求解价格与决策!N31,IF(D55="u",两日求解价格与决策!K31+两日求解价格与决策!M31,两日求解价格与决策!K31))</f>
        <v>0</v>
      </c>
      <c r="G55" s="12">
        <f t="shared" si="0"/>
        <v>0</v>
      </c>
      <c r="H55" s="12">
        <f t="shared" si="1"/>
        <v>0</v>
      </c>
      <c r="I55" s="12">
        <f t="shared" si="6"/>
        <v>33.137940789236154</v>
      </c>
      <c r="J55" s="12">
        <f>I55+E55*(G55*原始输入与口径!$B$5-H55/原始输入与口径!$B$5)</f>
        <v>33.137940789236154</v>
      </c>
      <c r="K55" s="12">
        <v>33.137940789236154</v>
      </c>
      <c r="L55" s="12">
        <v>33.137940789236154</v>
      </c>
      <c r="M55" s="19">
        <f t="shared" si="2"/>
        <v>0</v>
      </c>
      <c r="N55" s="12">
        <f>E55*(G55*原始输入与口径!$B$5+H55/原始输入与口径!$B$5)/原始输入与口径!$H$5</f>
        <v>0</v>
      </c>
      <c r="O55" s="12">
        <v>0</v>
      </c>
      <c r="P55" s="19">
        <f t="shared" si="3"/>
        <v>0</v>
      </c>
      <c r="Q55" s="12">
        <f t="shared" si="4"/>
        <v>0</v>
      </c>
      <c r="R55" s="12">
        <f t="shared" si="5"/>
        <v>0</v>
      </c>
      <c r="S55" s="1">
        <v>23</v>
      </c>
      <c r="T55" s="14">
        <v>46235</v>
      </c>
    </row>
    <row r="56" spans="1:20" ht="21" customHeight="1" x14ac:dyDescent="0.45">
      <c r="A56" s="31">
        <v>46235.234559047618</v>
      </c>
      <c r="B56" s="31">
        <v>46235.239583333328</v>
      </c>
      <c r="C56" s="31">
        <v>46235.229166666664</v>
      </c>
      <c r="D56" s="1" t="s">
        <v>102</v>
      </c>
      <c r="E56" s="12">
        <v>0.12058285714285716</v>
      </c>
      <c r="F56" s="12">
        <f>IF(D56="d",两日求解价格与决策!K31-两日求解价格与决策!N31,IF(D56="u",两日求解价格与决策!K31+两日求解价格与决策!M31,两日求解价格与决策!K31))</f>
        <v>-24</v>
      </c>
      <c r="G56" s="12">
        <f t="shared" si="0"/>
        <v>24</v>
      </c>
      <c r="H56" s="12">
        <f t="shared" si="1"/>
        <v>0</v>
      </c>
      <c r="I56" s="12">
        <f t="shared" si="6"/>
        <v>33.137940789236154</v>
      </c>
      <c r="J56" s="12">
        <f>I56+E56*(G56*原始输入与口径!$B$5-H56/原始输入与口径!$B$5)</f>
        <v>35.800410274950437</v>
      </c>
      <c r="K56" s="12">
        <v>33.137940789236154</v>
      </c>
      <c r="L56" s="12">
        <v>35.800410274950437</v>
      </c>
      <c r="M56" s="19">
        <f t="shared" si="2"/>
        <v>0</v>
      </c>
      <c r="N56" s="12">
        <f>E56*(G56*原始输入与口径!$B$5+H56/原始输入与口径!$B$5)/原始输入与口径!$H$5</f>
        <v>7.3957485714285735E-3</v>
      </c>
      <c r="O56" s="12">
        <v>7.3957485714285735E-3</v>
      </c>
      <c r="P56" s="19">
        <f t="shared" si="3"/>
        <v>0</v>
      </c>
      <c r="Q56" s="12">
        <f t="shared" si="4"/>
        <v>2.8939885714285718</v>
      </c>
      <c r="R56" s="12">
        <f t="shared" si="5"/>
        <v>0</v>
      </c>
      <c r="S56" s="1">
        <v>23</v>
      </c>
      <c r="T56" s="14">
        <v>46235</v>
      </c>
    </row>
    <row r="57" spans="1:20" ht="21" customHeight="1" x14ac:dyDescent="0.45">
      <c r="A57" s="31">
        <v>46235.239583333336</v>
      </c>
      <c r="B57" s="31">
        <v>46235.245558095237</v>
      </c>
      <c r="C57" s="31">
        <v>46235.239583333336</v>
      </c>
      <c r="D57" s="1" t="s">
        <v>101</v>
      </c>
      <c r="E57" s="12">
        <v>0.14339428571428572</v>
      </c>
      <c r="F57" s="12">
        <f>IF(D57="d",两日求解价格与决策!K32-两日求解价格与决策!N32,IF(D57="u",两日求解价格与决策!K32+两日求解价格与决策!M32,两日求解价格与决策!K32))</f>
        <v>0</v>
      </c>
      <c r="G57" s="12">
        <f t="shared" si="0"/>
        <v>0</v>
      </c>
      <c r="H57" s="12">
        <f t="shared" si="1"/>
        <v>0</v>
      </c>
      <c r="I57" s="12">
        <f t="shared" si="6"/>
        <v>35.800410274950437</v>
      </c>
      <c r="J57" s="12">
        <f>I57+E57*(G57*原始输入与口径!$B$5-H57/原始输入与口径!$B$5)</f>
        <v>35.800410274950437</v>
      </c>
      <c r="K57" s="12">
        <v>35.800410274950437</v>
      </c>
      <c r="L57" s="12">
        <v>35.800410274950437</v>
      </c>
      <c r="M57" s="19">
        <f t="shared" si="2"/>
        <v>0</v>
      </c>
      <c r="N57" s="12">
        <f>E57*(G57*原始输入与口径!$B$5+H57/原始输入与口径!$B$5)/原始输入与口径!$H$5</f>
        <v>0</v>
      </c>
      <c r="O57" s="12">
        <v>0</v>
      </c>
      <c r="P57" s="19">
        <f t="shared" si="3"/>
        <v>0</v>
      </c>
      <c r="Q57" s="12">
        <f t="shared" si="4"/>
        <v>0</v>
      </c>
      <c r="R57" s="12">
        <f t="shared" si="5"/>
        <v>0</v>
      </c>
      <c r="S57" s="1">
        <v>24</v>
      </c>
      <c r="T57" s="14">
        <v>46235</v>
      </c>
    </row>
    <row r="58" spans="1:20" ht="21" customHeight="1" x14ac:dyDescent="0.45">
      <c r="A58" s="31">
        <v>46235.245558095237</v>
      </c>
      <c r="B58" s="31">
        <v>46235.25</v>
      </c>
      <c r="C58" s="31">
        <v>46235.239583333336</v>
      </c>
      <c r="D58" s="1" t="s">
        <v>102</v>
      </c>
      <c r="E58" s="12">
        <v>0.10660571428571428</v>
      </c>
      <c r="F58" s="12">
        <f>IF(D58="d",两日求解价格与决策!K32-两日求解价格与决策!N32,IF(D58="u",两日求解价格与决策!K32+两日求解价格与决策!M32,两日求解价格与决策!K32))</f>
        <v>-24</v>
      </c>
      <c r="G58" s="12">
        <f t="shared" si="0"/>
        <v>24</v>
      </c>
      <c r="H58" s="12">
        <f t="shared" si="1"/>
        <v>0</v>
      </c>
      <c r="I58" s="12">
        <f t="shared" si="6"/>
        <v>35.800410274950437</v>
      </c>
      <c r="J58" s="12">
        <f>I58+E58*(G58*原始输入与口径!$B$5-H58/原始输入与口径!$B$5)</f>
        <v>38.15426444637901</v>
      </c>
      <c r="K58" s="12">
        <v>35.800410274950437</v>
      </c>
      <c r="L58" s="12">
        <v>38.15426444637901</v>
      </c>
      <c r="M58" s="19">
        <f t="shared" si="2"/>
        <v>0</v>
      </c>
      <c r="N58" s="12">
        <f>E58*(G58*原始输入与口径!$B$5+H58/原始输入与口径!$B$5)/原始输入与口径!$H$5</f>
        <v>6.5384838095238094E-3</v>
      </c>
      <c r="O58" s="12">
        <v>6.5384838095238085E-3</v>
      </c>
      <c r="P58" s="19">
        <f t="shared" si="3"/>
        <v>0</v>
      </c>
      <c r="Q58" s="12">
        <f t="shared" si="4"/>
        <v>2.5585371428571424</v>
      </c>
      <c r="R58" s="12">
        <f t="shared" si="5"/>
        <v>0</v>
      </c>
      <c r="S58" s="1">
        <v>24</v>
      </c>
      <c r="T58" s="14">
        <v>46235</v>
      </c>
    </row>
    <row r="59" spans="1:20" ht="21" customHeight="1" x14ac:dyDescent="0.45">
      <c r="A59" s="31">
        <v>46235.25</v>
      </c>
      <c r="B59" s="31">
        <v>46235.255373333333</v>
      </c>
      <c r="C59" s="31">
        <v>46235.25</v>
      </c>
      <c r="D59" s="1" t="s">
        <v>101</v>
      </c>
      <c r="E59" s="12">
        <v>0.12896000000000002</v>
      </c>
      <c r="F59" s="12">
        <f>IF(D59="d",两日求解价格与决策!K33-两日求解价格与决策!N33,IF(D59="u",两日求解价格与决策!K33+两日求解价格与决策!M33,两日求解价格与决策!K33))</f>
        <v>0</v>
      </c>
      <c r="G59" s="12">
        <f t="shared" si="0"/>
        <v>0</v>
      </c>
      <c r="H59" s="12">
        <f t="shared" si="1"/>
        <v>0</v>
      </c>
      <c r="I59" s="12">
        <f t="shared" si="6"/>
        <v>38.15426444637901</v>
      </c>
      <c r="J59" s="12">
        <f>I59+E59*(G59*原始输入与口径!$B$5-H59/原始输入与口径!$B$5)</f>
        <v>38.15426444637901</v>
      </c>
      <c r="K59" s="12">
        <v>38.15426444637901</v>
      </c>
      <c r="L59" s="12">
        <v>38.15426444637901</v>
      </c>
      <c r="M59" s="19">
        <f t="shared" si="2"/>
        <v>0</v>
      </c>
      <c r="N59" s="12">
        <f>E59*(G59*原始输入与口径!$B$5+H59/原始输入与口径!$B$5)/原始输入与口径!$H$5</f>
        <v>0</v>
      </c>
      <c r="O59" s="12">
        <v>0</v>
      </c>
      <c r="P59" s="19">
        <f t="shared" si="3"/>
        <v>0</v>
      </c>
      <c r="Q59" s="12">
        <f t="shared" si="4"/>
        <v>0</v>
      </c>
      <c r="R59" s="12">
        <f t="shared" si="5"/>
        <v>0</v>
      </c>
      <c r="S59" s="1">
        <v>25</v>
      </c>
      <c r="T59" s="14">
        <v>46235</v>
      </c>
    </row>
    <row r="60" spans="1:20" ht="21" customHeight="1" x14ac:dyDescent="0.45">
      <c r="A60" s="31">
        <v>46235.255373333333</v>
      </c>
      <c r="B60" s="31">
        <v>46235.260416666664</v>
      </c>
      <c r="C60" s="31">
        <v>46235.25</v>
      </c>
      <c r="D60" s="1" t="s">
        <v>102</v>
      </c>
      <c r="E60" s="12">
        <v>0.12103999999999998</v>
      </c>
      <c r="F60" s="12">
        <f>IF(D60="d",两日求解价格与决策!K33-两日求解价格与决策!N33,IF(D60="u",两日求解价格与决策!K33+两日求解价格与决策!M33,两日求解价格与决策!K33))</f>
        <v>-24</v>
      </c>
      <c r="G60" s="12">
        <f t="shared" si="0"/>
        <v>24</v>
      </c>
      <c r="H60" s="12">
        <f t="shared" si="1"/>
        <v>0</v>
      </c>
      <c r="I60" s="12">
        <f t="shared" si="6"/>
        <v>38.15426444637901</v>
      </c>
      <c r="J60" s="12">
        <f>I60+E60*(G60*原始输入与口径!$B$5-H60/原始输入与口径!$B$5)</f>
        <v>40.826827646379009</v>
      </c>
      <c r="K60" s="12">
        <v>38.15426444637901</v>
      </c>
      <c r="L60" s="12">
        <v>40.826827646379009</v>
      </c>
      <c r="M60" s="19">
        <f t="shared" si="2"/>
        <v>0</v>
      </c>
      <c r="N60" s="12">
        <f>E60*(G60*原始输入与口径!$B$5+H60/原始输入与口径!$B$5)/原始输入与口径!$H$5</f>
        <v>7.4237866666666662E-3</v>
      </c>
      <c r="O60" s="12">
        <v>7.4237866666666662E-3</v>
      </c>
      <c r="P60" s="19">
        <f t="shared" si="3"/>
        <v>0</v>
      </c>
      <c r="Q60" s="12">
        <f t="shared" si="4"/>
        <v>2.9049599999999995</v>
      </c>
      <c r="R60" s="12">
        <f t="shared" si="5"/>
        <v>0</v>
      </c>
      <c r="S60" s="1">
        <v>25</v>
      </c>
      <c r="T60" s="14">
        <v>46235</v>
      </c>
    </row>
    <row r="61" spans="1:20" ht="21" customHeight="1" x14ac:dyDescent="0.45">
      <c r="A61" s="31">
        <v>46235.260416666664</v>
      </c>
      <c r="B61" s="31">
        <v>46235.261156428569</v>
      </c>
      <c r="C61" s="31">
        <v>46235.260416666664</v>
      </c>
      <c r="D61" s="1" t="s">
        <v>101</v>
      </c>
      <c r="E61" s="12">
        <v>1.7754285714285716E-2</v>
      </c>
      <c r="F61" s="12">
        <f>IF(D61="d",两日求解价格与决策!K34-两日求解价格与决策!N34,IF(D61="u",两日求解价格与决策!K34+两日求解价格与决策!M34,两日求解价格与决策!K34))</f>
        <v>24</v>
      </c>
      <c r="G61" s="12">
        <f t="shared" si="0"/>
        <v>0</v>
      </c>
      <c r="H61" s="12">
        <f t="shared" si="1"/>
        <v>24</v>
      </c>
      <c r="I61" s="12">
        <f t="shared" si="6"/>
        <v>40.826827646379009</v>
      </c>
      <c r="J61" s="12">
        <f>I61+E61*(G61*原始输入与口径!$B$5-H61/原始输入与口径!$B$5)</f>
        <v>40.363672366875903</v>
      </c>
      <c r="K61" s="12">
        <v>40.826827646379009</v>
      </c>
      <c r="L61" s="12">
        <v>40.363672366875903</v>
      </c>
      <c r="M61" s="19">
        <f t="shared" si="2"/>
        <v>0</v>
      </c>
      <c r="N61" s="12">
        <f>E61*(G61*原始输入与口径!$B$5+H61/原始输入与口径!$B$5)/原始输入与口径!$H$5</f>
        <v>1.2865424430641822E-3</v>
      </c>
      <c r="O61" s="12">
        <v>1.2865424430641822E-3</v>
      </c>
      <c r="P61" s="19">
        <f t="shared" si="3"/>
        <v>0</v>
      </c>
      <c r="Q61" s="12">
        <f t="shared" si="4"/>
        <v>0</v>
      </c>
      <c r="R61" s="12">
        <f t="shared" si="5"/>
        <v>0.42610285714285717</v>
      </c>
      <c r="S61" s="1">
        <v>26</v>
      </c>
      <c r="T61" s="14">
        <v>46235</v>
      </c>
    </row>
    <row r="62" spans="1:20" ht="21" customHeight="1" x14ac:dyDescent="0.45">
      <c r="A62" s="31">
        <v>46235.261156428569</v>
      </c>
      <c r="B62" s="31">
        <v>46235.270833333328</v>
      </c>
      <c r="C62" s="31">
        <v>46235.260416666664</v>
      </c>
      <c r="D62" s="1" t="s">
        <v>102</v>
      </c>
      <c r="E62" s="12">
        <v>0.23224571428571428</v>
      </c>
      <c r="F62" s="12">
        <f>IF(D62="d",两日求解价格与决策!K34-两日求解价格与决策!N34,IF(D62="u",两日求解价格与决策!K34+两日求解价格与决策!M34,两日求解价格与决策!K34))</f>
        <v>0</v>
      </c>
      <c r="G62" s="12">
        <f t="shared" si="0"/>
        <v>0</v>
      </c>
      <c r="H62" s="12">
        <f t="shared" si="1"/>
        <v>0</v>
      </c>
      <c r="I62" s="12">
        <f t="shared" si="6"/>
        <v>40.363672366875903</v>
      </c>
      <c r="J62" s="12">
        <f>I62+E62*(G62*原始输入与口径!$B$5-H62/原始输入与口径!$B$5)</f>
        <v>40.363672366875903</v>
      </c>
      <c r="K62" s="12">
        <v>40.363672366875903</v>
      </c>
      <c r="L62" s="12">
        <v>40.363672366875903</v>
      </c>
      <c r="M62" s="19">
        <f t="shared" si="2"/>
        <v>0</v>
      </c>
      <c r="N62" s="12">
        <f>E62*(G62*原始输入与口径!$B$5+H62/原始输入与口径!$B$5)/原始输入与口径!$H$5</f>
        <v>0</v>
      </c>
      <c r="O62" s="12">
        <v>0</v>
      </c>
      <c r="P62" s="19">
        <f t="shared" si="3"/>
        <v>0</v>
      </c>
      <c r="Q62" s="12">
        <f t="shared" si="4"/>
        <v>0</v>
      </c>
      <c r="R62" s="12">
        <f t="shared" si="5"/>
        <v>0</v>
      </c>
      <c r="S62" s="1">
        <v>26</v>
      </c>
      <c r="T62" s="14">
        <v>46235</v>
      </c>
    </row>
    <row r="63" spans="1:20" ht="21" customHeight="1" x14ac:dyDescent="0.45">
      <c r="A63" s="31">
        <v>46235.270833333336</v>
      </c>
      <c r="B63" s="31">
        <v>46235.271887380957</v>
      </c>
      <c r="C63" s="31">
        <v>46235.270833333336</v>
      </c>
      <c r="D63" s="1" t="s">
        <v>101</v>
      </c>
      <c r="E63" s="12">
        <v>2.5297142857142855E-2</v>
      </c>
      <c r="F63" s="12">
        <f>IF(D63="d",两日求解价格与决策!K35-两日求解价格与决策!N35,IF(D63="u",两日求解价格与决策!K35+两日求解价格与决策!M35,两日求解价格与决策!K35))</f>
        <v>24</v>
      </c>
      <c r="G63" s="12">
        <f t="shared" si="0"/>
        <v>0</v>
      </c>
      <c r="H63" s="12">
        <f t="shared" si="1"/>
        <v>24</v>
      </c>
      <c r="I63" s="12">
        <f t="shared" si="6"/>
        <v>40.363672366875903</v>
      </c>
      <c r="J63" s="12">
        <f>I63+E63*(G63*原始输入与口径!$B$5-H63/原始输入与口径!$B$5)</f>
        <v>39.703746901037391</v>
      </c>
      <c r="K63" s="12">
        <v>40.363672366875903</v>
      </c>
      <c r="L63" s="12">
        <v>39.703746901037391</v>
      </c>
      <c r="M63" s="19">
        <f t="shared" si="2"/>
        <v>0</v>
      </c>
      <c r="N63" s="12">
        <f>E63*(G63*原始输入与口径!$B$5+H63/原始输入与口径!$B$5)/原始输入与口径!$H$5</f>
        <v>1.8331262939958589E-3</v>
      </c>
      <c r="O63" s="12">
        <v>1.8331262939958592E-3</v>
      </c>
      <c r="P63" s="19">
        <f t="shared" si="3"/>
        <v>0</v>
      </c>
      <c r="Q63" s="12">
        <f t="shared" si="4"/>
        <v>0</v>
      </c>
      <c r="R63" s="12">
        <f t="shared" si="5"/>
        <v>0.60713142857142854</v>
      </c>
      <c r="S63" s="1">
        <v>27</v>
      </c>
      <c r="T63" s="14">
        <v>46235</v>
      </c>
    </row>
    <row r="64" spans="1:20" ht="21" customHeight="1" x14ac:dyDescent="0.45">
      <c r="A64" s="31">
        <v>46235.271887380957</v>
      </c>
      <c r="B64" s="31">
        <v>46235.28125</v>
      </c>
      <c r="C64" s="31">
        <v>46235.270833333336</v>
      </c>
      <c r="D64" s="1" t="s">
        <v>102</v>
      </c>
      <c r="E64" s="12">
        <v>0.22470285714285715</v>
      </c>
      <c r="F64" s="12">
        <f>IF(D64="d",两日求解价格与决策!K35-两日求解价格与决策!N35,IF(D64="u",两日求解价格与决策!K35+两日求解价格与决策!M35,两日求解价格与决策!K35))</f>
        <v>0</v>
      </c>
      <c r="G64" s="12">
        <f t="shared" si="0"/>
        <v>0</v>
      </c>
      <c r="H64" s="12">
        <f t="shared" si="1"/>
        <v>0</v>
      </c>
      <c r="I64" s="12">
        <f t="shared" si="6"/>
        <v>39.703746901037391</v>
      </c>
      <c r="J64" s="12">
        <f>I64+E64*(G64*原始输入与口径!$B$5-H64/原始输入与口径!$B$5)</f>
        <v>39.703746901037391</v>
      </c>
      <c r="K64" s="12">
        <v>39.703746901037391</v>
      </c>
      <c r="L64" s="12">
        <v>39.703746901037391</v>
      </c>
      <c r="M64" s="19">
        <f t="shared" si="2"/>
        <v>0</v>
      </c>
      <c r="N64" s="12">
        <f>E64*(G64*原始输入与口径!$B$5+H64/原始输入与口径!$B$5)/原始输入与口径!$H$5</f>
        <v>0</v>
      </c>
      <c r="O64" s="12">
        <v>0</v>
      </c>
      <c r="P64" s="19">
        <f t="shared" si="3"/>
        <v>0</v>
      </c>
      <c r="Q64" s="12">
        <f t="shared" si="4"/>
        <v>0</v>
      </c>
      <c r="R64" s="12">
        <f t="shared" si="5"/>
        <v>0</v>
      </c>
      <c r="S64" s="1">
        <v>27</v>
      </c>
      <c r="T64" s="14">
        <v>46235</v>
      </c>
    </row>
    <row r="65" spans="1:20" ht="21" customHeight="1" x14ac:dyDescent="0.45">
      <c r="A65" s="31">
        <v>46235.28125</v>
      </c>
      <c r="B65" s="31">
        <v>46235.281253809524</v>
      </c>
      <c r="C65" s="31">
        <v>46235.28125</v>
      </c>
      <c r="D65" s="1" t="s">
        <v>103</v>
      </c>
      <c r="E65" s="12">
        <v>9.1428571428571432E-5</v>
      </c>
      <c r="F65" s="12">
        <f>IF(D65="d",两日求解价格与决策!K36-两日求解价格与决策!N36,IF(D65="u",两日求解价格与决策!K36+两日求解价格与决策!M36,两日求解价格与决策!K36))</f>
        <v>-24</v>
      </c>
      <c r="G65" s="12">
        <f t="shared" si="0"/>
        <v>24</v>
      </c>
      <c r="H65" s="12">
        <f t="shared" si="1"/>
        <v>0</v>
      </c>
      <c r="I65" s="12">
        <f t="shared" si="6"/>
        <v>39.703746901037391</v>
      </c>
      <c r="J65" s="12">
        <f>I65+E65*(G65*原始输入与口径!$B$5-H65/原始输入与口径!$B$5)</f>
        <v>39.705765643894537</v>
      </c>
      <c r="K65" s="12">
        <v>39.703746901037391</v>
      </c>
      <c r="L65" s="12">
        <v>39.705765643894537</v>
      </c>
      <c r="M65" s="19">
        <f t="shared" si="2"/>
        <v>0</v>
      </c>
      <c r="N65" s="12">
        <f>E65*(G65*原始输入与口径!$B$5+H65/原始输入与口径!$B$5)/原始输入与口径!$H$5</f>
        <v>5.6076190476190486E-6</v>
      </c>
      <c r="O65" s="12">
        <v>5.6076190476190486E-6</v>
      </c>
      <c r="P65" s="19">
        <f t="shared" si="3"/>
        <v>0</v>
      </c>
      <c r="Q65" s="12">
        <f t="shared" si="4"/>
        <v>2.1942857142857146E-3</v>
      </c>
      <c r="R65" s="12">
        <f t="shared" si="5"/>
        <v>0</v>
      </c>
      <c r="S65" s="1">
        <v>28</v>
      </c>
      <c r="T65" s="14">
        <v>46235</v>
      </c>
    </row>
    <row r="66" spans="1:20" ht="21" customHeight="1" x14ac:dyDescent="0.45">
      <c r="A66" s="31">
        <v>46235.281253809524</v>
      </c>
      <c r="B66" s="31">
        <v>46235.281523809521</v>
      </c>
      <c r="C66" s="31">
        <v>46235.28125</v>
      </c>
      <c r="D66" s="1" t="s">
        <v>101</v>
      </c>
      <c r="E66" s="12">
        <v>6.4799999999999996E-3</v>
      </c>
      <c r="F66" s="12">
        <f>IF(D66="d",两日求解价格与决策!K36-两日求解价格与决策!N36,IF(D66="u",两日求解价格与决策!K36+两日求解价格与决策!M36,两日求解价格与决策!K36))</f>
        <v>24</v>
      </c>
      <c r="G66" s="12">
        <f t="shared" si="0"/>
        <v>0</v>
      </c>
      <c r="H66" s="12">
        <f t="shared" si="1"/>
        <v>24</v>
      </c>
      <c r="I66" s="12">
        <f t="shared" si="6"/>
        <v>39.705765643894537</v>
      </c>
      <c r="J66" s="12">
        <f>I66+E66*(G66*原始输入与口径!$B$5-H66/原始输入与口径!$B$5)</f>
        <v>39.53672216563367</v>
      </c>
      <c r="K66" s="12">
        <v>39.705765643894537</v>
      </c>
      <c r="L66" s="12">
        <v>39.53672216563367</v>
      </c>
      <c r="M66" s="19">
        <f t="shared" si="2"/>
        <v>0</v>
      </c>
      <c r="N66" s="12">
        <f>E66*(G66*原始输入与口径!$B$5+H66/原始输入与口径!$B$5)/原始输入与口径!$H$5</f>
        <v>4.6956521739130431E-4</v>
      </c>
      <c r="O66" s="12">
        <v>4.6956521739130431E-4</v>
      </c>
      <c r="P66" s="19">
        <f t="shared" si="3"/>
        <v>0</v>
      </c>
      <c r="Q66" s="12">
        <f t="shared" si="4"/>
        <v>0</v>
      </c>
      <c r="R66" s="12">
        <f t="shared" si="5"/>
        <v>0.15551999999999999</v>
      </c>
      <c r="S66" s="1">
        <v>28</v>
      </c>
      <c r="T66" s="14">
        <v>46235</v>
      </c>
    </row>
    <row r="67" spans="1:20" ht="21" customHeight="1" x14ac:dyDescent="0.45">
      <c r="A67" s="31">
        <v>46235.281523809521</v>
      </c>
      <c r="B67" s="31">
        <v>46235.291666666664</v>
      </c>
      <c r="C67" s="31">
        <v>46235.28125</v>
      </c>
      <c r="D67" s="1" t="s">
        <v>102</v>
      </c>
      <c r="E67" s="12">
        <v>0.24342857142857144</v>
      </c>
      <c r="F67" s="12">
        <f>IF(D67="d",两日求解价格与决策!K36-两日求解价格与决策!N36,IF(D67="u",两日求解价格与决策!K36+两日求解价格与决策!M36,两日求解价格与决策!K36))</f>
        <v>0</v>
      </c>
      <c r="G67" s="12">
        <f t="shared" si="0"/>
        <v>0</v>
      </c>
      <c r="H67" s="12">
        <f t="shared" si="1"/>
        <v>0</v>
      </c>
      <c r="I67" s="12">
        <f t="shared" si="6"/>
        <v>39.53672216563367</v>
      </c>
      <c r="J67" s="12">
        <f>I67+E67*(G67*原始输入与口径!$B$5-H67/原始输入与口径!$B$5)</f>
        <v>39.53672216563367</v>
      </c>
      <c r="K67" s="12">
        <v>39.53672216563367</v>
      </c>
      <c r="L67" s="12">
        <v>39.53672216563367</v>
      </c>
      <c r="M67" s="19">
        <f t="shared" si="2"/>
        <v>0</v>
      </c>
      <c r="N67" s="12">
        <f>E67*(G67*原始输入与口径!$B$5+H67/原始输入与口径!$B$5)/原始输入与口径!$H$5</f>
        <v>0</v>
      </c>
      <c r="O67" s="12">
        <v>0</v>
      </c>
      <c r="P67" s="19">
        <f t="shared" si="3"/>
        <v>0</v>
      </c>
      <c r="Q67" s="12">
        <f t="shared" si="4"/>
        <v>0</v>
      </c>
      <c r="R67" s="12">
        <f t="shared" si="5"/>
        <v>0</v>
      </c>
      <c r="S67" s="1">
        <v>28</v>
      </c>
      <c r="T67" s="14">
        <v>46235</v>
      </c>
    </row>
    <row r="68" spans="1:20" ht="21" customHeight="1" x14ac:dyDescent="0.45">
      <c r="A68" s="31">
        <v>46235.291666666664</v>
      </c>
      <c r="B68" s="31">
        <v>46235.295717619047</v>
      </c>
      <c r="C68" s="31">
        <v>46235.291666666664</v>
      </c>
      <c r="D68" s="1" t="s">
        <v>101</v>
      </c>
      <c r="E68" s="12">
        <v>9.7222857142857139E-2</v>
      </c>
      <c r="F68" s="12">
        <f>IF(D68="d",两日求解价格与决策!K37-两日求解价格与决策!N37,IF(D68="u",两日求解价格与决策!K37+两日求解价格与决策!M37,两日求解价格与决策!K37))</f>
        <v>24</v>
      </c>
      <c r="G68" s="12">
        <f t="shared" si="0"/>
        <v>0</v>
      </c>
      <c r="H68" s="12">
        <f t="shared" si="1"/>
        <v>24</v>
      </c>
      <c r="I68" s="12">
        <f t="shared" si="6"/>
        <v>39.53672216563367</v>
      </c>
      <c r="J68" s="12">
        <f>I68+E68*(G68*原始输入与口径!$B$5-H68/原始输入与口径!$B$5)</f>
        <v>37.000473718428701</v>
      </c>
      <c r="K68" s="12">
        <v>39.53672216563367</v>
      </c>
      <c r="L68" s="12">
        <v>37.000473718428701</v>
      </c>
      <c r="M68" s="19">
        <f t="shared" si="2"/>
        <v>0</v>
      </c>
      <c r="N68" s="12">
        <f>E68*(G68*原始输入与口径!$B$5+H68/原始输入与口径!$B$5)/原始输入与口径!$H$5</f>
        <v>7.0451345755693576E-3</v>
      </c>
      <c r="O68" s="12">
        <v>7.0451345755693576E-3</v>
      </c>
      <c r="P68" s="19">
        <f t="shared" si="3"/>
        <v>0</v>
      </c>
      <c r="Q68" s="12">
        <f t="shared" si="4"/>
        <v>0</v>
      </c>
      <c r="R68" s="12">
        <f t="shared" si="5"/>
        <v>2.3333485714285711</v>
      </c>
      <c r="S68" s="1">
        <v>29</v>
      </c>
      <c r="T68" s="14">
        <v>46235</v>
      </c>
    </row>
    <row r="69" spans="1:20" ht="21" customHeight="1" x14ac:dyDescent="0.45">
      <c r="A69" s="31">
        <v>46235.295717619047</v>
      </c>
      <c r="B69" s="31">
        <v>46235.302083333328</v>
      </c>
      <c r="C69" s="31">
        <v>46235.291666666664</v>
      </c>
      <c r="D69" s="1" t="s">
        <v>102</v>
      </c>
      <c r="E69" s="12">
        <v>0.15277714285714286</v>
      </c>
      <c r="F69" s="12">
        <f>IF(D69="d",两日求解价格与决策!K37-两日求解价格与决策!N37,IF(D69="u",两日求解价格与决策!K37+两日求解价格与决策!M37,两日求解价格与决策!K37))</f>
        <v>0</v>
      </c>
      <c r="G69" s="12">
        <f t="shared" si="0"/>
        <v>0</v>
      </c>
      <c r="H69" s="12">
        <f t="shared" si="1"/>
        <v>0</v>
      </c>
      <c r="I69" s="12">
        <f t="shared" si="6"/>
        <v>37.000473718428701</v>
      </c>
      <c r="J69" s="12">
        <f>I69+E69*(G69*原始输入与口径!$B$5-H69/原始输入与口径!$B$5)</f>
        <v>37.000473718428701</v>
      </c>
      <c r="K69" s="12">
        <v>37.000473718428701</v>
      </c>
      <c r="L69" s="12">
        <v>37.000473718428701</v>
      </c>
      <c r="M69" s="19">
        <f t="shared" si="2"/>
        <v>0</v>
      </c>
      <c r="N69" s="12">
        <f>E69*(G69*原始输入与口径!$B$5+H69/原始输入与口径!$B$5)/原始输入与口径!$H$5</f>
        <v>0</v>
      </c>
      <c r="O69" s="12">
        <v>0</v>
      </c>
      <c r="P69" s="19">
        <f t="shared" si="3"/>
        <v>0</v>
      </c>
      <c r="Q69" s="12">
        <f t="shared" si="4"/>
        <v>0</v>
      </c>
      <c r="R69" s="12">
        <f t="shared" si="5"/>
        <v>0</v>
      </c>
      <c r="S69" s="1">
        <v>29</v>
      </c>
      <c r="T69" s="14">
        <v>46235</v>
      </c>
    </row>
    <row r="70" spans="1:20" ht="21" customHeight="1" x14ac:dyDescent="0.45">
      <c r="A70" s="31">
        <v>46235.302083333336</v>
      </c>
      <c r="B70" s="31">
        <v>46235.304046904763</v>
      </c>
      <c r="C70" s="31">
        <v>46235.302083333336</v>
      </c>
      <c r="D70" s="1" t="s">
        <v>101</v>
      </c>
      <c r="E70" s="12">
        <v>4.7125714285714285E-2</v>
      </c>
      <c r="F70" s="12">
        <f>IF(D70="d",两日求解价格与决策!K38-两日求解价格与决策!N38,IF(D70="u",两日求解价格与决策!K38+两日求解价格与决策!M38,两日求解价格与决策!K38))</f>
        <v>24</v>
      </c>
      <c r="G70" s="12">
        <f t="shared" si="0"/>
        <v>0</v>
      </c>
      <c r="H70" s="12">
        <f t="shared" si="1"/>
        <v>24</v>
      </c>
      <c r="I70" s="12">
        <f t="shared" si="6"/>
        <v>37.000473718428701</v>
      </c>
      <c r="J70" s="12">
        <f>I70+E70*(G70*原始输入与口径!$B$5-H70/原始输入与口径!$B$5)</f>
        <v>35.771107258801372</v>
      </c>
      <c r="K70" s="12">
        <v>37.000473718428701</v>
      </c>
      <c r="L70" s="12">
        <v>35.771107258801372</v>
      </c>
      <c r="M70" s="19">
        <f t="shared" si="2"/>
        <v>0</v>
      </c>
      <c r="N70" s="12">
        <f>E70*(G70*原始输入与口径!$B$5+H70/原始输入与口径!$B$5)/原始输入与口径!$H$5</f>
        <v>3.4149068322981363E-3</v>
      </c>
      <c r="O70" s="12">
        <v>3.4149068322981368E-3</v>
      </c>
      <c r="P70" s="19">
        <f t="shared" si="3"/>
        <v>0</v>
      </c>
      <c r="Q70" s="12">
        <f t="shared" si="4"/>
        <v>0</v>
      </c>
      <c r="R70" s="12">
        <f t="shared" si="5"/>
        <v>1.1310171428571429</v>
      </c>
      <c r="S70" s="1">
        <v>30</v>
      </c>
      <c r="T70" s="14">
        <v>46235</v>
      </c>
    </row>
    <row r="71" spans="1:20" ht="21" customHeight="1" x14ac:dyDescent="0.45">
      <c r="A71" s="31">
        <v>46235.304046904763</v>
      </c>
      <c r="B71" s="31">
        <v>46235.3125</v>
      </c>
      <c r="C71" s="31">
        <v>46235.302083333336</v>
      </c>
      <c r="D71" s="1" t="s">
        <v>102</v>
      </c>
      <c r="E71" s="12">
        <v>0.20287428571428573</v>
      </c>
      <c r="F71" s="12">
        <f>IF(D71="d",两日求解价格与决策!K38-两日求解价格与决策!N38,IF(D71="u",两日求解价格与决策!K38+两日求解价格与决策!M38,两日求解价格与决策!K38))</f>
        <v>0</v>
      </c>
      <c r="G71" s="12">
        <f t="shared" si="0"/>
        <v>0</v>
      </c>
      <c r="H71" s="12">
        <f t="shared" si="1"/>
        <v>0</v>
      </c>
      <c r="I71" s="12">
        <f t="shared" si="6"/>
        <v>35.771107258801372</v>
      </c>
      <c r="J71" s="12">
        <f>I71+E71*(G71*原始输入与口径!$B$5-H71/原始输入与口径!$B$5)</f>
        <v>35.771107258801372</v>
      </c>
      <c r="K71" s="12">
        <v>35.771107258801372</v>
      </c>
      <c r="L71" s="12">
        <v>35.771107258801372</v>
      </c>
      <c r="M71" s="19">
        <f t="shared" si="2"/>
        <v>0</v>
      </c>
      <c r="N71" s="12">
        <f>E71*(G71*原始输入与口径!$B$5+H71/原始输入与口径!$B$5)/原始输入与口径!$H$5</f>
        <v>0</v>
      </c>
      <c r="O71" s="12">
        <v>0</v>
      </c>
      <c r="P71" s="19">
        <f t="shared" si="3"/>
        <v>0</v>
      </c>
      <c r="Q71" s="12">
        <f t="shared" si="4"/>
        <v>0</v>
      </c>
      <c r="R71" s="12">
        <f t="shared" si="5"/>
        <v>0</v>
      </c>
      <c r="S71" s="1">
        <v>30</v>
      </c>
      <c r="T71" s="14">
        <v>46235</v>
      </c>
    </row>
    <row r="72" spans="1:20" ht="21" customHeight="1" x14ac:dyDescent="0.45">
      <c r="A72" s="31">
        <v>46235.3125</v>
      </c>
      <c r="B72" s="31">
        <v>46235.313175952382</v>
      </c>
      <c r="C72" s="31">
        <v>46235.3125</v>
      </c>
      <c r="D72" s="1" t="s">
        <v>101</v>
      </c>
      <c r="E72" s="12">
        <v>1.6222857142857143E-2</v>
      </c>
      <c r="F72" s="12">
        <f>IF(D72="d",两日求解价格与决策!K39-两日求解价格与决策!N39,IF(D72="u",两日求解价格与决策!K39+两日求解价格与决策!M39,两日求解价格与决策!K39))</f>
        <v>24</v>
      </c>
      <c r="G72" s="12">
        <f t="shared" si="0"/>
        <v>0</v>
      </c>
      <c r="H72" s="12">
        <f t="shared" si="1"/>
        <v>24</v>
      </c>
      <c r="I72" s="12">
        <f t="shared" si="6"/>
        <v>35.771107258801372</v>
      </c>
      <c r="J72" s="12">
        <f>I72+E72*(G72*原始输入与口径!$B$5-H72/原始输入与口径!$B$5)</f>
        <v>35.347902289857274</v>
      </c>
      <c r="K72" s="12">
        <v>35.771107258801372</v>
      </c>
      <c r="L72" s="12">
        <v>35.347902289857274</v>
      </c>
      <c r="M72" s="19">
        <f t="shared" si="2"/>
        <v>0</v>
      </c>
      <c r="N72" s="12">
        <f>E72*(G72*原始输入与口径!$B$5+H72/原始输入与口径!$B$5)/原始输入与口径!$H$5</f>
        <v>1.1755693581780538E-3</v>
      </c>
      <c r="O72" s="12">
        <v>1.1755693581780538E-3</v>
      </c>
      <c r="P72" s="19">
        <f t="shared" si="3"/>
        <v>0</v>
      </c>
      <c r="Q72" s="12">
        <f t="shared" si="4"/>
        <v>0</v>
      </c>
      <c r="R72" s="12">
        <f t="shared" si="5"/>
        <v>0.38934857142857143</v>
      </c>
      <c r="S72" s="1">
        <v>31</v>
      </c>
      <c r="T72" s="14">
        <v>46235</v>
      </c>
    </row>
    <row r="73" spans="1:20" ht="21" customHeight="1" x14ac:dyDescent="0.45">
      <c r="A73" s="31">
        <v>46235.313175952382</v>
      </c>
      <c r="B73" s="31">
        <v>46235.322916666664</v>
      </c>
      <c r="C73" s="31">
        <v>46235.3125</v>
      </c>
      <c r="D73" s="1" t="s">
        <v>102</v>
      </c>
      <c r="E73" s="12">
        <v>0.23377714285714285</v>
      </c>
      <c r="F73" s="12">
        <f>IF(D73="d",两日求解价格与决策!K39-两日求解价格与决策!N39,IF(D73="u",两日求解价格与决策!K39+两日求解价格与决策!M39,两日求解价格与决策!K39))</f>
        <v>0</v>
      </c>
      <c r="G73" s="12">
        <f t="shared" ref="G73:G136" si="7">MAX(-F73,0)</f>
        <v>0</v>
      </c>
      <c r="H73" s="12">
        <f t="shared" ref="H73:H136" si="8">MAX(F73,0)</f>
        <v>0</v>
      </c>
      <c r="I73" s="12">
        <f t="shared" si="6"/>
        <v>35.347902289857274</v>
      </c>
      <c r="J73" s="12">
        <f>I73+E73*(G73*原始输入与口径!$B$5-H73/原始输入与口径!$B$5)</f>
        <v>35.347902289857274</v>
      </c>
      <c r="K73" s="12">
        <v>35.347902289857274</v>
      </c>
      <c r="L73" s="12">
        <v>35.347902289857274</v>
      </c>
      <c r="M73" s="19">
        <f t="shared" ref="M73:M136" si="9">J73-L73</f>
        <v>0</v>
      </c>
      <c r="N73" s="12">
        <f>E73*(G73*原始输入与口径!$B$5+H73/原始输入与口径!$B$5)/原始输入与口径!$H$5</f>
        <v>0</v>
      </c>
      <c r="O73" s="12">
        <v>0</v>
      </c>
      <c r="P73" s="19">
        <f t="shared" ref="P73:P136" si="10">N73-O73</f>
        <v>0</v>
      </c>
      <c r="Q73" s="12">
        <f t="shared" ref="Q73:Q136" si="11">E73*G73</f>
        <v>0</v>
      </c>
      <c r="R73" s="12">
        <f t="shared" ref="R73:R136" si="12">E73*H73</f>
        <v>0</v>
      </c>
      <c r="S73" s="1">
        <v>31</v>
      </c>
      <c r="T73" s="14">
        <v>46235</v>
      </c>
    </row>
    <row r="74" spans="1:20" ht="21" customHeight="1" x14ac:dyDescent="0.45">
      <c r="A74" s="31">
        <v>46235.322916666664</v>
      </c>
      <c r="B74" s="31">
        <v>46235.323022142853</v>
      </c>
      <c r="C74" s="31">
        <v>46235.322916666664</v>
      </c>
      <c r="D74" s="1" t="s">
        <v>103</v>
      </c>
      <c r="E74" s="12">
        <v>2.5314285714285716E-3</v>
      </c>
      <c r="F74" s="12">
        <f>IF(D74="d",两日求解价格与决策!K40-两日求解价格与决策!N40,IF(D74="u",两日求解价格与决策!K40+两日求解价格与决策!M40,两日求解价格与决策!K40))</f>
        <v>-24</v>
      </c>
      <c r="G74" s="12">
        <f t="shared" si="7"/>
        <v>24</v>
      </c>
      <c r="H74" s="12">
        <f t="shared" si="8"/>
        <v>0</v>
      </c>
      <c r="I74" s="12">
        <f t="shared" ref="I74:I137" si="13">J73</f>
        <v>35.347902289857274</v>
      </c>
      <c r="J74" s="12">
        <f>I74+E74*(G74*原始输入与口径!$B$5-H74/原始输入与口径!$B$5)</f>
        <v>35.40379623271442</v>
      </c>
      <c r="K74" s="12">
        <v>35.347902289857274</v>
      </c>
      <c r="L74" s="12">
        <v>35.40379623271442</v>
      </c>
      <c r="M74" s="19">
        <f t="shared" si="9"/>
        <v>0</v>
      </c>
      <c r="N74" s="12">
        <f>E74*(G74*原始输入与口径!$B$5+H74/原始输入与口径!$B$5)/原始输入与口径!$H$5</f>
        <v>1.552609523809524E-4</v>
      </c>
      <c r="O74" s="12">
        <v>1.552609523809524E-4</v>
      </c>
      <c r="P74" s="19">
        <f t="shared" si="10"/>
        <v>0</v>
      </c>
      <c r="Q74" s="12">
        <f t="shared" si="11"/>
        <v>6.0754285714285719E-2</v>
      </c>
      <c r="R74" s="12">
        <f t="shared" si="12"/>
        <v>0</v>
      </c>
      <c r="S74" s="1">
        <v>32</v>
      </c>
      <c r="T74" s="14">
        <v>46235</v>
      </c>
    </row>
    <row r="75" spans="1:20" ht="21" customHeight="1" x14ac:dyDescent="0.45">
      <c r="A75" s="31">
        <v>46235.323022142853</v>
      </c>
      <c r="B75" s="31">
        <v>46235.323592619046</v>
      </c>
      <c r="C75" s="31">
        <v>46235.322916666664</v>
      </c>
      <c r="D75" s="1" t="s">
        <v>101</v>
      </c>
      <c r="E75" s="12">
        <v>1.3691428571428571E-2</v>
      </c>
      <c r="F75" s="12">
        <f>IF(D75="d",两日求解价格与决策!K40-两日求解价格与决策!N40,IF(D75="u",两日求解价格与决策!K40+两日求解价格与决策!M40,两日求解价格与决策!K40))</f>
        <v>24</v>
      </c>
      <c r="G75" s="12">
        <f t="shared" si="7"/>
        <v>0</v>
      </c>
      <c r="H75" s="12">
        <f t="shared" si="8"/>
        <v>24</v>
      </c>
      <c r="I75" s="12">
        <f t="shared" si="13"/>
        <v>35.40379623271442</v>
      </c>
      <c r="J75" s="12">
        <f>I75+E75*(G75*原始输入与口径!$B$5-H75/原始输入与口径!$B$5)</f>
        <v>35.046628530851066</v>
      </c>
      <c r="K75" s="12">
        <v>35.40379623271442</v>
      </c>
      <c r="L75" s="12">
        <v>35.046628530851066</v>
      </c>
      <c r="M75" s="19">
        <f t="shared" si="9"/>
        <v>0</v>
      </c>
      <c r="N75" s="12">
        <f>E75*(G75*原始输入与口径!$B$5+H75/原始输入与口径!$B$5)/原始输入与口径!$H$5</f>
        <v>9.9213250517598325E-4</v>
      </c>
      <c r="O75" s="12">
        <v>9.9213250517598346E-4</v>
      </c>
      <c r="P75" s="19">
        <f t="shared" si="10"/>
        <v>0</v>
      </c>
      <c r="Q75" s="12">
        <f t="shared" si="11"/>
        <v>0</v>
      </c>
      <c r="R75" s="12">
        <f t="shared" si="12"/>
        <v>0.32859428571428573</v>
      </c>
      <c r="S75" s="1">
        <v>32</v>
      </c>
      <c r="T75" s="14">
        <v>46235</v>
      </c>
    </row>
    <row r="76" spans="1:20" ht="21" customHeight="1" x14ac:dyDescent="0.45">
      <c r="A76" s="31">
        <v>46235.323592619046</v>
      </c>
      <c r="B76" s="31">
        <v>46235.333333333328</v>
      </c>
      <c r="C76" s="31">
        <v>46235.322916666664</v>
      </c>
      <c r="D76" s="1" t="s">
        <v>102</v>
      </c>
      <c r="E76" s="12">
        <v>0.23377714285714285</v>
      </c>
      <c r="F76" s="12">
        <f>IF(D76="d",两日求解价格与决策!K40-两日求解价格与决策!N40,IF(D76="u",两日求解价格与决策!K40+两日求解价格与决策!M40,两日求解价格与决策!K40))</f>
        <v>0</v>
      </c>
      <c r="G76" s="12">
        <f t="shared" si="7"/>
        <v>0</v>
      </c>
      <c r="H76" s="12">
        <f t="shared" si="8"/>
        <v>0</v>
      </c>
      <c r="I76" s="12">
        <f t="shared" si="13"/>
        <v>35.046628530851066</v>
      </c>
      <c r="J76" s="12">
        <f>I76+E76*(G76*原始输入与口径!$B$5-H76/原始输入与口径!$B$5)</f>
        <v>35.046628530851066</v>
      </c>
      <c r="K76" s="12">
        <v>35.046628530851066</v>
      </c>
      <c r="L76" s="12">
        <v>35.046628530851066</v>
      </c>
      <c r="M76" s="19">
        <f t="shared" si="9"/>
        <v>0</v>
      </c>
      <c r="N76" s="12">
        <f>E76*(G76*原始输入与口径!$B$5+H76/原始输入与口径!$B$5)/原始输入与口径!$H$5</f>
        <v>0</v>
      </c>
      <c r="O76" s="12">
        <v>0</v>
      </c>
      <c r="P76" s="19">
        <f t="shared" si="10"/>
        <v>0</v>
      </c>
      <c r="Q76" s="12">
        <f t="shared" si="11"/>
        <v>0</v>
      </c>
      <c r="R76" s="12">
        <f t="shared" si="12"/>
        <v>0</v>
      </c>
      <c r="S76" s="1">
        <v>32</v>
      </c>
      <c r="T76" s="14">
        <v>46235</v>
      </c>
    </row>
    <row r="77" spans="1:20" ht="21" customHeight="1" x14ac:dyDescent="0.45">
      <c r="A77" s="31">
        <v>46235.333333333336</v>
      </c>
      <c r="B77" s="31">
        <v>46235.336401904766</v>
      </c>
      <c r="C77" s="31">
        <v>46235.333333333336</v>
      </c>
      <c r="D77" s="1" t="s">
        <v>101</v>
      </c>
      <c r="E77" s="12">
        <v>7.3645714285714287E-2</v>
      </c>
      <c r="F77" s="12">
        <f>IF(D77="d",两日求解价格与决策!K41-两日求解价格与决策!N41,IF(D77="u",两日求解价格与决策!K41+两日求解价格与决策!M41,两日求解价格与决策!K41))</f>
        <v>24</v>
      </c>
      <c r="G77" s="12">
        <f t="shared" si="7"/>
        <v>0</v>
      </c>
      <c r="H77" s="12">
        <f t="shared" si="8"/>
        <v>24</v>
      </c>
      <c r="I77" s="12">
        <f t="shared" si="13"/>
        <v>35.046628530851066</v>
      </c>
      <c r="J77" s="12">
        <f>I77+E77*(G77*原始输入与口径!$B$5-H77/原始输入与口径!$B$5)</f>
        <v>33.125435984267213</v>
      </c>
      <c r="K77" s="12">
        <v>35.046628530851066</v>
      </c>
      <c r="L77" s="12">
        <v>33.125435984267213</v>
      </c>
      <c r="M77" s="19">
        <f t="shared" si="9"/>
        <v>0</v>
      </c>
      <c r="N77" s="12">
        <f>E77*(G77*原始输入与口径!$B$5+H77/原始输入与口径!$B$5)/原始输入与口径!$H$5</f>
        <v>5.3366459627329187E-3</v>
      </c>
      <c r="O77" s="12">
        <v>5.3366459627329187E-3</v>
      </c>
      <c r="P77" s="19">
        <f t="shared" si="10"/>
        <v>0</v>
      </c>
      <c r="Q77" s="12">
        <f t="shared" si="11"/>
        <v>0</v>
      </c>
      <c r="R77" s="12">
        <f t="shared" si="12"/>
        <v>1.7674971428571429</v>
      </c>
      <c r="S77" s="1">
        <v>33</v>
      </c>
      <c r="T77" s="14">
        <v>46235</v>
      </c>
    </row>
    <row r="78" spans="1:20" ht="21" customHeight="1" x14ac:dyDescent="0.45">
      <c r="A78" s="31">
        <v>46235.336401904766</v>
      </c>
      <c r="B78" s="31">
        <v>46235.34375</v>
      </c>
      <c r="C78" s="31">
        <v>46235.333333333336</v>
      </c>
      <c r="D78" s="1" t="s">
        <v>102</v>
      </c>
      <c r="E78" s="12">
        <v>0.17635428571428571</v>
      </c>
      <c r="F78" s="12">
        <f>IF(D78="d",两日求解价格与决策!K41-两日求解价格与决策!N41,IF(D78="u",两日求解价格与决策!K41+两日求解价格与决策!M41,两日求解价格与决策!K41))</f>
        <v>0</v>
      </c>
      <c r="G78" s="12">
        <f t="shared" si="7"/>
        <v>0</v>
      </c>
      <c r="H78" s="12">
        <f t="shared" si="8"/>
        <v>0</v>
      </c>
      <c r="I78" s="12">
        <f t="shared" si="13"/>
        <v>33.125435984267213</v>
      </c>
      <c r="J78" s="12">
        <f>I78+E78*(G78*原始输入与口径!$B$5-H78/原始输入与口径!$B$5)</f>
        <v>33.125435984267213</v>
      </c>
      <c r="K78" s="12">
        <v>33.125435984267213</v>
      </c>
      <c r="L78" s="12">
        <v>33.125435984267213</v>
      </c>
      <c r="M78" s="19">
        <f t="shared" si="9"/>
        <v>0</v>
      </c>
      <c r="N78" s="12">
        <f>E78*(G78*原始输入与口径!$B$5+H78/原始输入与口径!$B$5)/原始输入与口径!$H$5</f>
        <v>0</v>
      </c>
      <c r="O78" s="12">
        <v>0</v>
      </c>
      <c r="P78" s="19">
        <f t="shared" si="10"/>
        <v>0</v>
      </c>
      <c r="Q78" s="12">
        <f t="shared" si="11"/>
        <v>0</v>
      </c>
      <c r="R78" s="12">
        <f t="shared" si="12"/>
        <v>0</v>
      </c>
      <c r="S78" s="1">
        <v>33</v>
      </c>
      <c r="T78" s="14">
        <v>46235</v>
      </c>
    </row>
    <row r="79" spans="1:20" ht="21" customHeight="1" x14ac:dyDescent="0.45">
      <c r="A79" s="31">
        <v>46235.34375</v>
      </c>
      <c r="B79" s="31">
        <v>46235.346080238094</v>
      </c>
      <c r="C79" s="31">
        <v>46235.34375</v>
      </c>
      <c r="D79" s="1" t="s">
        <v>101</v>
      </c>
      <c r="E79" s="12">
        <v>5.5925714285714287E-2</v>
      </c>
      <c r="F79" s="12">
        <f>IF(D79="d",两日求解价格与决策!K42-两日求解价格与决策!N42,IF(D79="u",两日求解价格与决策!K42+两日求解价格与决策!M42,两日求解价格与决策!K42))</f>
        <v>22.805271632473172</v>
      </c>
      <c r="G79" s="12">
        <f t="shared" si="7"/>
        <v>0</v>
      </c>
      <c r="H79" s="12">
        <f t="shared" si="8"/>
        <v>22.805271632473172</v>
      </c>
      <c r="I79" s="12">
        <f t="shared" si="13"/>
        <v>33.125435984267213</v>
      </c>
      <c r="J79" s="12">
        <f>I79+E79*(G79*原始输入与口径!$B$5-H79/原始输入与口径!$B$5)</f>
        <v>31.739130434782648</v>
      </c>
      <c r="K79" s="12">
        <v>33.125435984267213</v>
      </c>
      <c r="L79" s="12">
        <v>31.739130434782648</v>
      </c>
      <c r="M79" s="19">
        <f t="shared" si="9"/>
        <v>0</v>
      </c>
      <c r="N79" s="12">
        <f>E79*(G79*原始输入与口径!$B$5+H79/原始输入与口径!$B$5)/原始输入与口径!$H$5</f>
        <v>3.8508487485682356E-3</v>
      </c>
      <c r="O79" s="12">
        <v>3.8508487485682356E-3</v>
      </c>
      <c r="P79" s="19">
        <f t="shared" si="10"/>
        <v>0</v>
      </c>
      <c r="Q79" s="12">
        <f t="shared" si="11"/>
        <v>0</v>
      </c>
      <c r="R79" s="12">
        <f t="shared" si="12"/>
        <v>1.2754011055257997</v>
      </c>
      <c r="S79" s="1">
        <v>34</v>
      </c>
      <c r="T79" s="14">
        <v>46235</v>
      </c>
    </row>
    <row r="80" spans="1:20" ht="21" customHeight="1" x14ac:dyDescent="0.45">
      <c r="A80" s="31">
        <v>46235.346080238094</v>
      </c>
      <c r="B80" s="31">
        <v>46235.354166666664</v>
      </c>
      <c r="C80" s="31">
        <v>46235.34375</v>
      </c>
      <c r="D80" s="1" t="s">
        <v>102</v>
      </c>
      <c r="E80" s="12">
        <v>0.1940742857142857</v>
      </c>
      <c r="F80" s="12">
        <f>IF(D80="d",两日求解价格与决策!K42-两日求解价格与决策!N42,IF(D80="u",两日求解价格与决策!K42+两日求解价格与决策!M42,两日求解价格与决策!K42))</f>
        <v>-1.1947283675268299</v>
      </c>
      <c r="G80" s="12">
        <f t="shared" si="7"/>
        <v>1.1947283675268299</v>
      </c>
      <c r="H80" s="12">
        <f t="shared" si="8"/>
        <v>0</v>
      </c>
      <c r="I80" s="12">
        <f t="shared" si="13"/>
        <v>31.739130434782648</v>
      </c>
      <c r="J80" s="12">
        <f>I80+E80*(G80*原始输入与口径!$B$5-H80/原始输入与口径!$B$5)</f>
        <v>31.952447204968983</v>
      </c>
      <c r="K80" s="12">
        <v>31.739130434782648</v>
      </c>
      <c r="L80" s="12">
        <v>31.952447204968983</v>
      </c>
      <c r="M80" s="19">
        <f t="shared" si="9"/>
        <v>0</v>
      </c>
      <c r="N80" s="12">
        <f>E80*(G80*原始输入与口径!$B$5+H80/原始输入与口径!$B$5)/原始输入与口径!$H$5</f>
        <v>5.9254658385093049E-4</v>
      </c>
      <c r="O80" s="12">
        <v>5.9254658385093049E-4</v>
      </c>
      <c r="P80" s="19">
        <f t="shared" si="10"/>
        <v>0</v>
      </c>
      <c r="Q80" s="12">
        <f t="shared" si="11"/>
        <v>0.2318660545503641</v>
      </c>
      <c r="R80" s="12">
        <f t="shared" si="12"/>
        <v>0</v>
      </c>
      <c r="S80" s="1">
        <v>34</v>
      </c>
      <c r="T80" s="14">
        <v>46235</v>
      </c>
    </row>
    <row r="81" spans="1:20" ht="21" customHeight="1" x14ac:dyDescent="0.45">
      <c r="A81" s="31">
        <v>46235.354166666664</v>
      </c>
      <c r="B81" s="31">
        <v>46235.354507380951</v>
      </c>
      <c r="C81" s="31">
        <v>46235.354166666664</v>
      </c>
      <c r="D81" s="1" t="s">
        <v>101</v>
      </c>
      <c r="E81" s="12">
        <v>8.1771428571428568E-3</v>
      </c>
      <c r="F81" s="12">
        <f>IF(D81="d",两日求解价格与决策!K43-两日求解价格与决策!N43,IF(D81="u",两日求解价格与决策!K43+两日求解价格与决策!M43,两日求解价格与决策!K43))</f>
        <v>24</v>
      </c>
      <c r="G81" s="12">
        <f t="shared" si="7"/>
        <v>0</v>
      </c>
      <c r="H81" s="12">
        <f t="shared" si="8"/>
        <v>24</v>
      </c>
      <c r="I81" s="12">
        <f t="shared" si="13"/>
        <v>31.952447204968983</v>
      </c>
      <c r="J81" s="12">
        <f>I81+E81*(G81*原始输入与口径!$B$5-H81/原始输入与口径!$B$5)</f>
        <v>31.739130434782648</v>
      </c>
      <c r="K81" s="12">
        <v>31.952447204968983</v>
      </c>
      <c r="L81" s="12">
        <v>31.739130434782648</v>
      </c>
      <c r="M81" s="19">
        <f t="shared" si="9"/>
        <v>0</v>
      </c>
      <c r="N81" s="12">
        <f>E81*(G81*原始输入与口径!$B$5+H81/原始输入与口径!$B$5)/原始输入与口径!$H$5</f>
        <v>5.9254658385093158E-4</v>
      </c>
      <c r="O81" s="12">
        <v>5.9254658385093169E-4</v>
      </c>
      <c r="P81" s="19">
        <f t="shared" si="10"/>
        <v>0</v>
      </c>
      <c r="Q81" s="12">
        <f t="shared" si="11"/>
        <v>0</v>
      </c>
      <c r="R81" s="12">
        <f t="shared" si="12"/>
        <v>0.19625142857142858</v>
      </c>
      <c r="S81" s="1">
        <v>35</v>
      </c>
      <c r="T81" s="14">
        <v>46235</v>
      </c>
    </row>
    <row r="82" spans="1:20" ht="21" customHeight="1" x14ac:dyDescent="0.45">
      <c r="A82" s="31">
        <v>46235.354507380951</v>
      </c>
      <c r="B82" s="31">
        <v>46235.364583333328</v>
      </c>
      <c r="C82" s="31">
        <v>46235.354166666664</v>
      </c>
      <c r="D82" s="1" t="s">
        <v>102</v>
      </c>
      <c r="E82" s="12">
        <v>0.24182285714285714</v>
      </c>
      <c r="F82" s="12">
        <f>IF(D82="d",两日求解价格与决策!K43-两日求解价格与决策!N43,IF(D82="u",两日求解价格与决策!K43+两日求解价格与决策!M43,两日求解价格与决策!K43))</f>
        <v>0</v>
      </c>
      <c r="G82" s="12">
        <f t="shared" si="7"/>
        <v>0</v>
      </c>
      <c r="H82" s="12">
        <f t="shared" si="8"/>
        <v>0</v>
      </c>
      <c r="I82" s="12">
        <f t="shared" si="13"/>
        <v>31.739130434782648</v>
      </c>
      <c r="J82" s="12">
        <f>I82+E82*(G82*原始输入与口径!$B$5-H82/原始输入与口径!$B$5)</f>
        <v>31.739130434782648</v>
      </c>
      <c r="K82" s="12">
        <v>31.739130434782648</v>
      </c>
      <c r="L82" s="12">
        <v>31.739130434782648</v>
      </c>
      <c r="M82" s="19">
        <f t="shared" si="9"/>
        <v>0</v>
      </c>
      <c r="N82" s="12">
        <f>E82*(G82*原始输入与口径!$B$5+H82/原始输入与口径!$B$5)/原始输入与口径!$H$5</f>
        <v>0</v>
      </c>
      <c r="O82" s="12">
        <v>0</v>
      </c>
      <c r="P82" s="19">
        <f t="shared" si="10"/>
        <v>0</v>
      </c>
      <c r="Q82" s="12">
        <f t="shared" si="11"/>
        <v>0</v>
      </c>
      <c r="R82" s="12">
        <f t="shared" si="12"/>
        <v>0</v>
      </c>
      <c r="S82" s="1">
        <v>35</v>
      </c>
      <c r="T82" s="14">
        <v>46235</v>
      </c>
    </row>
    <row r="83" spans="1:20" ht="21" customHeight="1" x14ac:dyDescent="0.45">
      <c r="A83" s="31">
        <v>46235.364583333336</v>
      </c>
      <c r="B83" s="31">
        <v>46235.365019285717</v>
      </c>
      <c r="C83" s="31">
        <v>46235.364583333336</v>
      </c>
      <c r="D83" s="1" t="s">
        <v>103</v>
      </c>
      <c r="E83" s="12">
        <v>1.0462857142857142E-2</v>
      </c>
      <c r="F83" s="12">
        <f>IF(D83="d",两日求解价格与决策!K44-两日求解价格与决策!N44,IF(D83="u",两日求解价格与决策!K44+两日求解价格与决策!M44,两日求解价格与决策!K44))</f>
        <v>-60</v>
      </c>
      <c r="G83" s="12">
        <f t="shared" si="7"/>
        <v>60</v>
      </c>
      <c r="H83" s="12">
        <f t="shared" si="8"/>
        <v>0</v>
      </c>
      <c r="I83" s="12">
        <f t="shared" si="13"/>
        <v>31.739130434782648</v>
      </c>
      <c r="J83" s="12">
        <f>I83+E83*(G83*原始输入与口径!$B$5-H83/原始输入与口径!$B$5)</f>
        <v>32.316680149068361</v>
      </c>
      <c r="K83" s="12">
        <v>31.739130434782648</v>
      </c>
      <c r="L83" s="12">
        <v>32.316680149068361</v>
      </c>
      <c r="M83" s="19">
        <f t="shared" si="9"/>
        <v>0</v>
      </c>
      <c r="N83" s="12">
        <f>E83*(G83*原始输入与口径!$B$5+H83/原始输入与口径!$B$5)/原始输入与口径!$H$5</f>
        <v>1.6043047619047617E-3</v>
      </c>
      <c r="O83" s="12">
        <v>1.6043047619047621E-3</v>
      </c>
      <c r="P83" s="19">
        <f t="shared" si="10"/>
        <v>0</v>
      </c>
      <c r="Q83" s="12">
        <f t="shared" si="11"/>
        <v>0.62777142857142854</v>
      </c>
      <c r="R83" s="12">
        <f t="shared" si="12"/>
        <v>0</v>
      </c>
      <c r="S83" s="1">
        <v>36</v>
      </c>
      <c r="T83" s="14">
        <v>46235</v>
      </c>
    </row>
    <row r="84" spans="1:20" ht="21" customHeight="1" x14ac:dyDescent="0.45">
      <c r="A84" s="31">
        <v>46235.365019285717</v>
      </c>
      <c r="B84" s="31">
        <v>46235.365040238095</v>
      </c>
      <c r="C84" s="31">
        <v>46235.364583333336</v>
      </c>
      <c r="D84" s="1" t="s">
        <v>101</v>
      </c>
      <c r="E84" s="12">
        <v>5.0285714285714278E-4</v>
      </c>
      <c r="F84" s="12">
        <f>IF(D84="d",两日求解价格与决策!K44-两日求解价格与决策!N44,IF(D84="u",两日求解价格与决策!K44+两日求解价格与决策!M44,两日求解价格与决策!K44))</f>
        <v>-12</v>
      </c>
      <c r="G84" s="12">
        <f t="shared" si="7"/>
        <v>12</v>
      </c>
      <c r="H84" s="12">
        <f t="shared" si="8"/>
        <v>0</v>
      </c>
      <c r="I84" s="12">
        <f t="shared" si="13"/>
        <v>32.316680149068361</v>
      </c>
      <c r="J84" s="12">
        <f>I84+E84*(G84*原始输入与口径!$B$5-H84/原始输入与口径!$B$5)</f>
        <v>32.322231691925502</v>
      </c>
      <c r="K84" s="12">
        <v>32.316680149068361</v>
      </c>
      <c r="L84" s="12">
        <v>32.322231691925502</v>
      </c>
      <c r="M84" s="19">
        <f t="shared" si="9"/>
        <v>0</v>
      </c>
      <c r="N84" s="12">
        <f>E84*(G84*原始输入与口径!$B$5+H84/原始输入与口径!$B$5)/原始输入与口径!$H$5</f>
        <v>1.5420952380952383E-5</v>
      </c>
      <c r="O84" s="12">
        <v>1.5420952380952379E-5</v>
      </c>
      <c r="P84" s="19">
        <f t="shared" si="10"/>
        <v>0</v>
      </c>
      <c r="Q84" s="12">
        <f t="shared" si="11"/>
        <v>6.0342857142857134E-3</v>
      </c>
      <c r="R84" s="12">
        <f t="shared" si="12"/>
        <v>0</v>
      </c>
      <c r="S84" s="1">
        <v>36</v>
      </c>
      <c r="T84" s="14">
        <v>46235</v>
      </c>
    </row>
    <row r="85" spans="1:20" ht="21" customHeight="1" x14ac:dyDescent="0.45">
      <c r="A85" s="31">
        <v>46235.365040238095</v>
      </c>
      <c r="B85" s="31">
        <v>46235.375</v>
      </c>
      <c r="C85" s="31">
        <v>46235.364583333336</v>
      </c>
      <c r="D85" s="1" t="s">
        <v>102</v>
      </c>
      <c r="E85" s="12">
        <v>0.23903428571428573</v>
      </c>
      <c r="F85" s="12">
        <f>IF(D85="d",两日求解价格与决策!K44-两日求解价格与决策!N44,IF(D85="u",两日求解价格与决策!K44+两日求解价格与决策!M44,两日求解价格与决策!K44))</f>
        <v>-36</v>
      </c>
      <c r="G85" s="12">
        <f t="shared" si="7"/>
        <v>36</v>
      </c>
      <c r="H85" s="12">
        <f t="shared" si="8"/>
        <v>0</v>
      </c>
      <c r="I85" s="12">
        <f t="shared" si="13"/>
        <v>32.322231691925502</v>
      </c>
      <c r="J85" s="12">
        <f>I85+E85*(G85*原始输入与口径!$B$5-H85/原始输入与口径!$B$5)</f>
        <v>40.239047234782646</v>
      </c>
      <c r="K85" s="12">
        <v>32.322231691925502</v>
      </c>
      <c r="L85" s="12">
        <v>40.239047234782646</v>
      </c>
      <c r="M85" s="19">
        <f t="shared" si="9"/>
        <v>0</v>
      </c>
      <c r="N85" s="12">
        <f>E85*(G85*原始输入与口径!$B$5+H85/原始输入与口径!$B$5)/原始输入与口径!$H$5</f>
        <v>2.1991154285714291E-2</v>
      </c>
      <c r="O85" s="12">
        <v>2.1991154285714284E-2</v>
      </c>
      <c r="P85" s="19">
        <f t="shared" si="10"/>
        <v>0</v>
      </c>
      <c r="Q85" s="12">
        <f t="shared" si="11"/>
        <v>8.6052342857142854</v>
      </c>
      <c r="R85" s="12">
        <f t="shared" si="12"/>
        <v>0</v>
      </c>
      <c r="S85" s="1">
        <v>36</v>
      </c>
      <c r="T85" s="14">
        <v>46235</v>
      </c>
    </row>
    <row r="86" spans="1:20" ht="21" customHeight="1" x14ac:dyDescent="0.45">
      <c r="A86" s="31">
        <v>46235.375</v>
      </c>
      <c r="B86" s="31">
        <v>46235.375062380954</v>
      </c>
      <c r="C86" s="31">
        <v>46235.375</v>
      </c>
      <c r="D86" s="1" t="s">
        <v>103</v>
      </c>
      <c r="E86" s="12">
        <v>1.4971428571428573E-3</v>
      </c>
      <c r="F86" s="12">
        <f>IF(D86="d",两日求解价格与决策!K45-两日求解价格与决策!N45,IF(D86="u",两日求解价格与决策!K45+两日求解价格与决策!M45,两日求解价格与决策!K45))</f>
        <v>29.164950966857145</v>
      </c>
      <c r="G86" s="12">
        <f t="shared" si="7"/>
        <v>0</v>
      </c>
      <c r="H86" s="12">
        <f t="shared" si="8"/>
        <v>29.164950966857145</v>
      </c>
      <c r="I86" s="12">
        <f t="shared" si="13"/>
        <v>40.239047234782646</v>
      </c>
      <c r="J86" s="12">
        <f>I86+E86*(G86*原始输入与口径!$B$5-H86/原始输入与口径!$B$5)</f>
        <v>40.191586258675088</v>
      </c>
      <c r="K86" s="12">
        <v>40.239047234782646</v>
      </c>
      <c r="L86" s="12">
        <v>40.191586258675088</v>
      </c>
      <c r="M86" s="19">
        <f t="shared" si="9"/>
        <v>0</v>
      </c>
      <c r="N86" s="12">
        <f>E86*(G86*原始输入与口径!$B$5+H86/原始输入与口径!$B$5)/原始输入与口径!$H$5</f>
        <v>1.3183604474321207E-4</v>
      </c>
      <c r="O86" s="12">
        <v>1.318360447432121E-4</v>
      </c>
      <c r="P86" s="19">
        <f t="shared" si="10"/>
        <v>0</v>
      </c>
      <c r="Q86" s="12">
        <f t="shared" si="11"/>
        <v>0</v>
      </c>
      <c r="R86" s="12">
        <f t="shared" si="12"/>
        <v>4.3664098018951845E-2</v>
      </c>
      <c r="S86" s="1">
        <v>37</v>
      </c>
      <c r="T86" s="14">
        <v>46235</v>
      </c>
    </row>
    <row r="87" spans="1:20" ht="21" customHeight="1" x14ac:dyDescent="0.45">
      <c r="A87" s="31">
        <v>46235.375062380954</v>
      </c>
      <c r="B87" s="31">
        <v>46235.375806190474</v>
      </c>
      <c r="C87" s="31">
        <v>46235.375</v>
      </c>
      <c r="D87" s="1" t="s">
        <v>101</v>
      </c>
      <c r="E87" s="12">
        <v>1.7851428571428574E-2</v>
      </c>
      <c r="F87" s="12">
        <f>IF(D87="d",两日求解价格与决策!K45-两日求解价格与决策!N45,IF(D87="u",两日求解价格与决策!K45+两日求解价格与决策!M45,两日求解价格与决策!K45))</f>
        <v>53.164950966857148</v>
      </c>
      <c r="G87" s="12">
        <f t="shared" si="7"/>
        <v>0</v>
      </c>
      <c r="H87" s="12">
        <f t="shared" si="8"/>
        <v>53.164950966857148</v>
      </c>
      <c r="I87" s="12">
        <f t="shared" si="13"/>
        <v>40.191586258675088</v>
      </c>
      <c r="J87" s="12">
        <f>I87+E87*(G87*原始输入与口径!$B$5-H87/原始输入与口径!$B$5)</f>
        <v>39.159988079666007</v>
      </c>
      <c r="K87" s="12">
        <v>40.191586258675088</v>
      </c>
      <c r="L87" s="12">
        <v>39.159988079666007</v>
      </c>
      <c r="M87" s="19">
        <f t="shared" si="9"/>
        <v>0</v>
      </c>
      <c r="N87" s="12">
        <f>E87*(G87*原始输入与口径!$B$5+H87/原始输入与口径!$B$5)/原始输入与口径!$H$5</f>
        <v>2.8655504972474421E-3</v>
      </c>
      <c r="O87" s="12">
        <v>2.8655504972474421E-3</v>
      </c>
      <c r="P87" s="19">
        <f t="shared" si="10"/>
        <v>0</v>
      </c>
      <c r="Q87" s="12">
        <f t="shared" si="11"/>
        <v>0</v>
      </c>
      <c r="R87" s="12">
        <f t="shared" si="12"/>
        <v>0.94907032468835284</v>
      </c>
      <c r="S87" s="1">
        <v>37</v>
      </c>
      <c r="T87" s="14">
        <v>46235</v>
      </c>
    </row>
    <row r="88" spans="1:20" ht="21" customHeight="1" x14ac:dyDescent="0.45">
      <c r="A88" s="31">
        <v>46235.375806190474</v>
      </c>
      <c r="B88" s="31">
        <v>46235.385416666664</v>
      </c>
      <c r="C88" s="31">
        <v>46235.375</v>
      </c>
      <c r="D88" s="1" t="s">
        <v>102</v>
      </c>
      <c r="E88" s="12">
        <v>0.23065142857142856</v>
      </c>
      <c r="F88" s="12">
        <f>IF(D88="d",两日求解价格与决策!K45-两日求解价格与决策!N45,IF(D88="u",两日求解价格与决策!K45+两日求解价格与决策!M45,两日求解价格与决策!K45))</f>
        <v>29.164950966857145</v>
      </c>
      <c r="G88" s="12">
        <f t="shared" si="7"/>
        <v>0</v>
      </c>
      <c r="H88" s="12">
        <f t="shared" si="8"/>
        <v>29.164950966857145</v>
      </c>
      <c r="I88" s="12">
        <f t="shared" si="13"/>
        <v>39.159988079666007</v>
      </c>
      <c r="J88" s="12">
        <f>I88+E88*(G88*原始输入与口径!$B$5-H88/原始输入与口径!$B$5)</f>
        <v>31.848099378882022</v>
      </c>
      <c r="K88" s="12">
        <v>39.159988079666007</v>
      </c>
      <c r="L88" s="12">
        <v>31.848099378882022</v>
      </c>
      <c r="M88" s="19">
        <f t="shared" si="9"/>
        <v>0</v>
      </c>
      <c r="N88" s="12">
        <f>E88*(G88*原始输入与口径!$B$5+H88/原始输入与口径!$B$5)/原始输入与口径!$H$5</f>
        <v>2.0310801946622183E-2</v>
      </c>
      <c r="O88" s="12">
        <v>2.0310801946622183E-2</v>
      </c>
      <c r="P88" s="19">
        <f t="shared" si="10"/>
        <v>0</v>
      </c>
      <c r="Q88" s="12">
        <f t="shared" si="11"/>
        <v>0</v>
      </c>
      <c r="R88" s="12">
        <f t="shared" si="12"/>
        <v>6.7269376047212672</v>
      </c>
      <c r="S88" s="1">
        <v>37</v>
      </c>
      <c r="T88" s="14">
        <v>46235</v>
      </c>
    </row>
    <row r="89" spans="1:20" ht="21" customHeight="1" x14ac:dyDescent="0.45">
      <c r="A89" s="31">
        <v>46235.385416666664</v>
      </c>
      <c r="B89" s="31">
        <v>46235.385442142855</v>
      </c>
      <c r="C89" s="31">
        <v>46235.385416666664</v>
      </c>
      <c r="D89" s="1" t="s">
        <v>103</v>
      </c>
      <c r="E89" s="12">
        <v>6.1142857142857147E-4</v>
      </c>
      <c r="F89" s="12">
        <f>IF(D89="d",两日求解价格与决策!K46-两日求解价格与决策!N46,IF(D89="u",两日求解价格与决策!K46+两日求解价格与决策!M46,两日求解价格与决策!K46))</f>
        <v>0</v>
      </c>
      <c r="G89" s="12">
        <f t="shared" si="7"/>
        <v>0</v>
      </c>
      <c r="H89" s="12">
        <f t="shared" si="8"/>
        <v>0</v>
      </c>
      <c r="I89" s="12">
        <f t="shared" si="13"/>
        <v>31.848099378882022</v>
      </c>
      <c r="J89" s="12">
        <f>I89+E89*(G89*原始输入与口径!$B$5-H89/原始输入与口径!$B$5)</f>
        <v>31.848099378882022</v>
      </c>
      <c r="K89" s="12">
        <v>31.848099378882022</v>
      </c>
      <c r="L89" s="12">
        <v>31.848099378882022</v>
      </c>
      <c r="M89" s="19">
        <f t="shared" si="9"/>
        <v>0</v>
      </c>
      <c r="N89" s="12">
        <f>E89*(G89*原始输入与口径!$B$5+H89/原始输入与口径!$B$5)/原始输入与口径!$H$5</f>
        <v>0</v>
      </c>
      <c r="O89" s="12">
        <v>0</v>
      </c>
      <c r="P89" s="19">
        <f t="shared" si="10"/>
        <v>0</v>
      </c>
      <c r="Q89" s="12">
        <f t="shared" si="11"/>
        <v>0</v>
      </c>
      <c r="R89" s="12">
        <f t="shared" si="12"/>
        <v>0</v>
      </c>
      <c r="S89" s="1">
        <v>38</v>
      </c>
      <c r="T89" s="14">
        <v>46235</v>
      </c>
    </row>
    <row r="90" spans="1:20" ht="21" customHeight="1" x14ac:dyDescent="0.45">
      <c r="A90" s="31">
        <v>46235.385442142855</v>
      </c>
      <c r="B90" s="31">
        <v>46235.385463809522</v>
      </c>
      <c r="C90" s="31">
        <v>46235.385416666664</v>
      </c>
      <c r="D90" s="1" t="s">
        <v>101</v>
      </c>
      <c r="E90" s="12">
        <v>5.1999999999999995E-4</v>
      </c>
      <c r="F90" s="12">
        <f>IF(D90="d",两日求解价格与决策!K46-两日求解价格与决策!N46,IF(D90="u",两日求解价格与决策!K46+两日求解价格与决策!M46,两日求解价格与决策!K46))</f>
        <v>24</v>
      </c>
      <c r="G90" s="12">
        <f t="shared" si="7"/>
        <v>0</v>
      </c>
      <c r="H90" s="12">
        <f t="shared" si="8"/>
        <v>24</v>
      </c>
      <c r="I90" s="12">
        <f t="shared" si="13"/>
        <v>31.848099378882022</v>
      </c>
      <c r="J90" s="12">
        <f>I90+E90*(G90*原始输入与口径!$B$5-H90/原始输入与口径!$B$5)</f>
        <v>31.834534161490719</v>
      </c>
      <c r="K90" s="12">
        <v>31.848099378882022</v>
      </c>
      <c r="L90" s="12">
        <v>31.834534161490719</v>
      </c>
      <c r="M90" s="19">
        <f t="shared" si="9"/>
        <v>0</v>
      </c>
      <c r="N90" s="12">
        <f>E90*(G90*原始输入与口径!$B$5+H90/原始输入与口径!$B$5)/原始输入与口径!$H$5</f>
        <v>3.768115942028985E-5</v>
      </c>
      <c r="O90" s="12">
        <v>3.768115942028985E-5</v>
      </c>
      <c r="P90" s="19">
        <f t="shared" si="10"/>
        <v>0</v>
      </c>
      <c r="Q90" s="12">
        <f t="shared" si="11"/>
        <v>0</v>
      </c>
      <c r="R90" s="12">
        <f t="shared" si="12"/>
        <v>1.2479999999999998E-2</v>
      </c>
      <c r="S90" s="1">
        <v>38</v>
      </c>
      <c r="T90" s="14">
        <v>46235</v>
      </c>
    </row>
    <row r="91" spans="1:20" ht="21" customHeight="1" x14ac:dyDescent="0.45">
      <c r="A91" s="31">
        <v>46235.385463809522</v>
      </c>
      <c r="B91" s="31">
        <v>46235.395833333328</v>
      </c>
      <c r="C91" s="31">
        <v>46235.385416666664</v>
      </c>
      <c r="D91" s="1" t="s">
        <v>102</v>
      </c>
      <c r="E91" s="12">
        <v>0.24886857142857144</v>
      </c>
      <c r="F91" s="12">
        <f>IF(D91="d",两日求解价格与决策!K46-两日求解价格与决策!N46,IF(D91="u",两日求解价格与决策!K46+两日求解价格与决策!M46,两日求解价格与决策!K46))</f>
        <v>0</v>
      </c>
      <c r="G91" s="12">
        <f t="shared" si="7"/>
        <v>0</v>
      </c>
      <c r="H91" s="12">
        <f t="shared" si="8"/>
        <v>0</v>
      </c>
      <c r="I91" s="12">
        <f t="shared" si="13"/>
        <v>31.834534161490719</v>
      </c>
      <c r="J91" s="12">
        <f>I91+E91*(G91*原始输入与口径!$B$5-H91/原始输入与口径!$B$5)</f>
        <v>31.834534161490719</v>
      </c>
      <c r="K91" s="12">
        <v>31.834534161490719</v>
      </c>
      <c r="L91" s="12">
        <v>31.834534161490719</v>
      </c>
      <c r="M91" s="19">
        <f t="shared" si="9"/>
        <v>0</v>
      </c>
      <c r="N91" s="12">
        <f>E91*(G91*原始输入与口径!$B$5+H91/原始输入与口径!$B$5)/原始输入与口径!$H$5</f>
        <v>0</v>
      </c>
      <c r="O91" s="12">
        <v>0</v>
      </c>
      <c r="P91" s="19">
        <f t="shared" si="10"/>
        <v>0</v>
      </c>
      <c r="Q91" s="12">
        <f t="shared" si="11"/>
        <v>0</v>
      </c>
      <c r="R91" s="12">
        <f t="shared" si="12"/>
        <v>0</v>
      </c>
      <c r="S91" s="1">
        <v>38</v>
      </c>
      <c r="T91" s="14">
        <v>46235</v>
      </c>
    </row>
    <row r="92" spans="1:20" ht="21" customHeight="1" x14ac:dyDescent="0.45">
      <c r="A92" s="31">
        <v>46235.395833333336</v>
      </c>
      <c r="B92" s="31">
        <v>46235.395834047624</v>
      </c>
      <c r="C92" s="31">
        <v>46235.395833333336</v>
      </c>
      <c r="D92" s="1" t="s">
        <v>103</v>
      </c>
      <c r="E92" s="12">
        <v>1.7142857142857142E-5</v>
      </c>
      <c r="F92" s="12">
        <f>IF(D92="d",两日求解价格与决策!K47-两日求解价格与决策!N47,IF(D92="u",两日求解价格与决策!K47+两日求解价格与决策!M47,两日求解价格与决策!K47))</f>
        <v>0</v>
      </c>
      <c r="G92" s="12">
        <f t="shared" si="7"/>
        <v>0</v>
      </c>
      <c r="H92" s="12">
        <f t="shared" si="8"/>
        <v>0</v>
      </c>
      <c r="I92" s="12">
        <f t="shared" si="13"/>
        <v>31.834534161490719</v>
      </c>
      <c r="J92" s="12">
        <f>I92+E92*(G92*原始输入与口径!$B$5-H92/原始输入与口径!$B$5)</f>
        <v>31.834534161490719</v>
      </c>
      <c r="K92" s="12">
        <v>31.834534161490719</v>
      </c>
      <c r="L92" s="12">
        <v>31.834534161490719</v>
      </c>
      <c r="M92" s="19">
        <f t="shared" si="9"/>
        <v>0</v>
      </c>
      <c r="N92" s="12">
        <f>E92*(G92*原始输入与口径!$B$5+H92/原始输入与口径!$B$5)/原始输入与口径!$H$5</f>
        <v>0</v>
      </c>
      <c r="O92" s="12">
        <v>0</v>
      </c>
      <c r="P92" s="19">
        <f t="shared" si="10"/>
        <v>0</v>
      </c>
      <c r="Q92" s="12">
        <f t="shared" si="11"/>
        <v>0</v>
      </c>
      <c r="R92" s="12">
        <f t="shared" si="12"/>
        <v>0</v>
      </c>
      <c r="S92" s="1">
        <v>39</v>
      </c>
      <c r="T92" s="14">
        <v>46235</v>
      </c>
    </row>
    <row r="93" spans="1:20" ht="21" customHeight="1" x14ac:dyDescent="0.45">
      <c r="A93" s="31">
        <v>46235.395834047624</v>
      </c>
      <c r="B93" s="31">
        <v>46235.395986428572</v>
      </c>
      <c r="C93" s="31">
        <v>46235.395833333336</v>
      </c>
      <c r="D93" s="1" t="s">
        <v>101</v>
      </c>
      <c r="E93" s="12">
        <v>3.6571428571428571E-3</v>
      </c>
      <c r="F93" s="12">
        <f>IF(D93="d",两日求解价格与决策!K47-两日求解价格与决策!N47,IF(D93="u",两日求解价格与决策!K47+两日求解价格与决策!M47,两日求解价格与决策!K47))</f>
        <v>24</v>
      </c>
      <c r="G93" s="12">
        <f t="shared" si="7"/>
        <v>0</v>
      </c>
      <c r="H93" s="12">
        <f t="shared" si="8"/>
        <v>24</v>
      </c>
      <c r="I93" s="12">
        <f t="shared" si="13"/>
        <v>31.834534161490719</v>
      </c>
      <c r="J93" s="12">
        <f>I93+E93*(G93*原始输入与口径!$B$5-H93/原始输入与口径!$B$5)</f>
        <v>31.739130434782645</v>
      </c>
      <c r="K93" s="12">
        <v>31.834534161490719</v>
      </c>
      <c r="L93" s="12">
        <v>31.739130434782645</v>
      </c>
      <c r="M93" s="19">
        <f t="shared" si="9"/>
        <v>0</v>
      </c>
      <c r="N93" s="12">
        <f>E93*(G93*原始输入与口径!$B$5+H93/原始输入与口径!$B$5)/原始输入与口径!$H$5</f>
        <v>2.6501035196687365E-4</v>
      </c>
      <c r="O93" s="12">
        <v>2.6501035196687365E-4</v>
      </c>
      <c r="P93" s="19">
        <f t="shared" si="10"/>
        <v>0</v>
      </c>
      <c r="Q93" s="12">
        <f t="shared" si="11"/>
        <v>0</v>
      </c>
      <c r="R93" s="12">
        <f t="shared" si="12"/>
        <v>8.777142857142857E-2</v>
      </c>
      <c r="S93" s="1">
        <v>39</v>
      </c>
      <c r="T93" s="14">
        <v>46235</v>
      </c>
    </row>
    <row r="94" spans="1:20" ht="21" customHeight="1" x14ac:dyDescent="0.45">
      <c r="A94" s="31">
        <v>46235.395986428572</v>
      </c>
      <c r="B94" s="31">
        <v>46235.40625</v>
      </c>
      <c r="C94" s="31">
        <v>46235.395833333336</v>
      </c>
      <c r="D94" s="1" t="s">
        <v>102</v>
      </c>
      <c r="E94" s="12">
        <v>0.24632571428571429</v>
      </c>
      <c r="F94" s="12">
        <f>IF(D94="d",两日求解价格与决策!K47-两日求解价格与决策!N47,IF(D94="u",两日求解价格与决策!K47+两日求解价格与决策!M47,两日求解价格与决策!K47))</f>
        <v>0</v>
      </c>
      <c r="G94" s="12">
        <f t="shared" si="7"/>
        <v>0</v>
      </c>
      <c r="H94" s="12">
        <f t="shared" si="8"/>
        <v>0</v>
      </c>
      <c r="I94" s="12">
        <f t="shared" si="13"/>
        <v>31.739130434782645</v>
      </c>
      <c r="J94" s="12">
        <f>I94+E94*(G94*原始输入与口径!$B$5-H94/原始输入与口径!$B$5)</f>
        <v>31.739130434782645</v>
      </c>
      <c r="K94" s="12">
        <v>31.739130434782645</v>
      </c>
      <c r="L94" s="12">
        <v>31.739130434782645</v>
      </c>
      <c r="M94" s="19">
        <f t="shared" si="9"/>
        <v>0</v>
      </c>
      <c r="N94" s="12">
        <f>E94*(G94*原始输入与口径!$B$5+H94/原始输入与口径!$B$5)/原始输入与口径!$H$5</f>
        <v>0</v>
      </c>
      <c r="O94" s="12">
        <v>0</v>
      </c>
      <c r="P94" s="19">
        <f t="shared" si="10"/>
        <v>0</v>
      </c>
      <c r="Q94" s="12">
        <f t="shared" si="11"/>
        <v>0</v>
      </c>
      <c r="R94" s="12">
        <f t="shared" si="12"/>
        <v>0</v>
      </c>
      <c r="S94" s="1">
        <v>39</v>
      </c>
      <c r="T94" s="14">
        <v>46235</v>
      </c>
    </row>
    <row r="95" spans="1:20" ht="21" customHeight="1" x14ac:dyDescent="0.45">
      <c r="A95" s="31">
        <v>46235.40625</v>
      </c>
      <c r="B95" s="31">
        <v>46235.406614285712</v>
      </c>
      <c r="C95" s="31">
        <v>46235.40625</v>
      </c>
      <c r="D95" s="1" t="s">
        <v>103</v>
      </c>
      <c r="E95" s="12">
        <v>8.7428571428571425E-3</v>
      </c>
      <c r="F95" s="12">
        <f>IF(D95="d",两日求解价格与决策!K48-两日求解价格与决策!N48,IF(D95="u",两日求解价格与决策!K48+两日求解价格与决策!M48,两日求解价格与决策!K48))</f>
        <v>-60</v>
      </c>
      <c r="G95" s="12">
        <f t="shared" si="7"/>
        <v>60</v>
      </c>
      <c r="H95" s="12">
        <f t="shared" si="8"/>
        <v>0</v>
      </c>
      <c r="I95" s="12">
        <f t="shared" si="13"/>
        <v>31.739130434782645</v>
      </c>
      <c r="J95" s="12">
        <f>I95+E95*(G95*原始输入与口径!$B$5-H95/原始输入与口径!$B$5)</f>
        <v>32.221736149068356</v>
      </c>
      <c r="K95" s="12">
        <v>31.739130434782645</v>
      </c>
      <c r="L95" s="12">
        <v>32.221736149068356</v>
      </c>
      <c r="M95" s="19">
        <f t="shared" si="9"/>
        <v>0</v>
      </c>
      <c r="N95" s="12">
        <f>E95*(G95*原始输入与口径!$B$5+H95/原始输入与口径!$B$5)/原始输入与口径!$H$5</f>
        <v>1.3405714285714286E-3</v>
      </c>
      <c r="O95" s="12">
        <v>1.3405714285714286E-3</v>
      </c>
      <c r="P95" s="19">
        <f t="shared" si="10"/>
        <v>0</v>
      </c>
      <c r="Q95" s="12">
        <f t="shared" si="11"/>
        <v>0.52457142857142858</v>
      </c>
      <c r="R95" s="12">
        <f t="shared" si="12"/>
        <v>0</v>
      </c>
      <c r="S95" s="1">
        <v>40</v>
      </c>
      <c r="T95" s="14">
        <v>46235</v>
      </c>
    </row>
    <row r="96" spans="1:20" ht="21" customHeight="1" x14ac:dyDescent="0.45">
      <c r="A96" s="31">
        <v>46235.406614285712</v>
      </c>
      <c r="B96" s="31">
        <v>46235.406806190476</v>
      </c>
      <c r="C96" s="31">
        <v>46235.40625</v>
      </c>
      <c r="D96" s="1" t="s">
        <v>101</v>
      </c>
      <c r="E96" s="12">
        <v>4.6057142857142859E-3</v>
      </c>
      <c r="F96" s="12">
        <f>IF(D96="d",两日求解价格与决策!K48-两日求解价格与决策!N48,IF(D96="u",两日求解价格与决策!K48+两日求解价格与决策!M48,两日求解价格与决策!K48))</f>
        <v>-36</v>
      </c>
      <c r="G96" s="12">
        <f t="shared" si="7"/>
        <v>36</v>
      </c>
      <c r="H96" s="12">
        <f t="shared" si="8"/>
        <v>0</v>
      </c>
      <c r="I96" s="12">
        <f t="shared" si="13"/>
        <v>32.221736149068356</v>
      </c>
      <c r="J96" s="12">
        <f>I96+E96*(G96*原始输入与口径!$B$5-H96/原始输入与口径!$B$5)</f>
        <v>32.374277406211213</v>
      </c>
      <c r="K96" s="12">
        <v>32.221736149068356</v>
      </c>
      <c r="L96" s="12">
        <v>32.374277406211213</v>
      </c>
      <c r="M96" s="19">
        <f t="shared" si="9"/>
        <v>0</v>
      </c>
      <c r="N96" s="12">
        <f>E96*(G96*原始输入与口径!$B$5+H96/原始输入与口径!$B$5)/原始输入与口径!$H$5</f>
        <v>4.237257142857143E-4</v>
      </c>
      <c r="O96" s="12">
        <v>4.237257142857143E-4</v>
      </c>
      <c r="P96" s="19">
        <f t="shared" si="10"/>
        <v>0</v>
      </c>
      <c r="Q96" s="12">
        <f t="shared" si="11"/>
        <v>0.16580571428571428</v>
      </c>
      <c r="R96" s="12">
        <f t="shared" si="12"/>
        <v>0</v>
      </c>
      <c r="S96" s="1">
        <v>40</v>
      </c>
      <c r="T96" s="14">
        <v>46235</v>
      </c>
    </row>
    <row r="97" spans="1:20" ht="21" customHeight="1" x14ac:dyDescent="0.45">
      <c r="A97" s="31">
        <v>46235.406806190476</v>
      </c>
      <c r="B97" s="31">
        <v>46235.416666666664</v>
      </c>
      <c r="C97" s="31">
        <v>46235.40625</v>
      </c>
      <c r="D97" s="1" t="s">
        <v>102</v>
      </c>
      <c r="E97" s="12">
        <v>0.23665142857142857</v>
      </c>
      <c r="F97" s="12">
        <f>IF(D97="d",两日求解价格与决策!K48-两日求解价格与决策!N48,IF(D97="u",两日求解价格与决策!K48+两日求解价格与决策!M48,两日求解价格与决策!K48))</f>
        <v>-60</v>
      </c>
      <c r="G97" s="12">
        <f t="shared" si="7"/>
        <v>60</v>
      </c>
      <c r="H97" s="12">
        <f t="shared" si="8"/>
        <v>0</v>
      </c>
      <c r="I97" s="12">
        <f t="shared" si="13"/>
        <v>32.374277406211213</v>
      </c>
      <c r="J97" s="12">
        <f>I97+E97*(G97*原始输入与口径!$B$5-H97/原始输入与口径!$B$5)</f>
        <v>45.437436263354073</v>
      </c>
      <c r="K97" s="12">
        <v>32.374277406211213</v>
      </c>
      <c r="L97" s="12">
        <v>45.437436263354073</v>
      </c>
      <c r="M97" s="19">
        <f t="shared" si="9"/>
        <v>0</v>
      </c>
      <c r="N97" s="12">
        <f>E97*(G97*原始输入与口径!$B$5+H97/原始输入与口径!$B$5)/原始输入与口径!$H$5</f>
        <v>3.628655238095238E-2</v>
      </c>
      <c r="O97" s="12">
        <v>3.628655238095238E-2</v>
      </c>
      <c r="P97" s="19">
        <f t="shared" si="10"/>
        <v>0</v>
      </c>
      <c r="Q97" s="12">
        <f t="shared" si="11"/>
        <v>14.199085714285713</v>
      </c>
      <c r="R97" s="12">
        <f t="shared" si="12"/>
        <v>0</v>
      </c>
      <c r="S97" s="1">
        <v>40</v>
      </c>
      <c r="T97" s="14">
        <v>46235</v>
      </c>
    </row>
    <row r="98" spans="1:20" ht="21" customHeight="1" x14ac:dyDescent="0.45">
      <c r="A98" s="31">
        <v>46235.416666666664</v>
      </c>
      <c r="B98" s="31">
        <v>46235.416799761901</v>
      </c>
      <c r="C98" s="31">
        <v>46235.416666666664</v>
      </c>
      <c r="D98" s="1" t="s">
        <v>103</v>
      </c>
      <c r="E98" s="12">
        <v>3.1942857142857146E-3</v>
      </c>
      <c r="F98" s="12">
        <f>IF(D98="d",两日求解价格与决策!K49-两日求解价格与决策!N49,IF(D98="u",两日求解价格与决策!K49+两日求解价格与决策!M49,两日求解价格与决策!K49))</f>
        <v>46</v>
      </c>
      <c r="G98" s="12">
        <f t="shared" si="7"/>
        <v>0</v>
      </c>
      <c r="H98" s="12">
        <f t="shared" si="8"/>
        <v>46</v>
      </c>
      <c r="I98" s="12">
        <f t="shared" si="13"/>
        <v>45.437436263354073</v>
      </c>
      <c r="J98" s="12">
        <f>I98+E98*(G98*原始输入与口径!$B$5-H98/原始输入与口径!$B$5)</f>
        <v>45.277721977639786</v>
      </c>
      <c r="K98" s="12">
        <v>45.437436263354073</v>
      </c>
      <c r="L98" s="12">
        <v>45.277721977639786</v>
      </c>
      <c r="M98" s="19">
        <f t="shared" si="9"/>
        <v>0</v>
      </c>
      <c r="N98" s="12">
        <f>E98*(G98*原始输入与口径!$B$5+H98/原始输入与口径!$B$5)/原始输入与口径!$H$5</f>
        <v>4.4365079365079371E-4</v>
      </c>
      <c r="O98" s="12">
        <v>4.4365079365079371E-4</v>
      </c>
      <c r="P98" s="19">
        <f t="shared" si="10"/>
        <v>0</v>
      </c>
      <c r="Q98" s="12">
        <f t="shared" si="11"/>
        <v>0</v>
      </c>
      <c r="R98" s="12">
        <f t="shared" si="12"/>
        <v>0.14693714285714288</v>
      </c>
      <c r="S98" s="1">
        <v>41</v>
      </c>
      <c r="T98" s="14">
        <v>46235</v>
      </c>
    </row>
    <row r="99" spans="1:20" ht="21" customHeight="1" x14ac:dyDescent="0.45">
      <c r="A99" s="31">
        <v>46235.416799761901</v>
      </c>
      <c r="B99" s="31">
        <v>46235.417038095235</v>
      </c>
      <c r="C99" s="31">
        <v>46235.416666666664</v>
      </c>
      <c r="D99" s="1" t="s">
        <v>101</v>
      </c>
      <c r="E99" s="12">
        <v>5.7199999999999994E-3</v>
      </c>
      <c r="F99" s="12">
        <f>IF(D99="d",两日求解价格与决策!K49-两日求解价格与决策!N49,IF(D99="u",两日求解价格与决策!K49+两日求解价格与决策!M49,两日求解价格与决策!K49))</f>
        <v>60</v>
      </c>
      <c r="G99" s="12">
        <f t="shared" si="7"/>
        <v>0</v>
      </c>
      <c r="H99" s="12">
        <f t="shared" si="8"/>
        <v>60</v>
      </c>
      <c r="I99" s="12">
        <f t="shared" si="13"/>
        <v>45.277721977639786</v>
      </c>
      <c r="J99" s="12">
        <f>I99+E99*(G99*原始输入与口径!$B$5-H99/原始输入与口径!$B$5)</f>
        <v>44.904678499378917</v>
      </c>
      <c r="K99" s="12">
        <v>45.277721977639786</v>
      </c>
      <c r="L99" s="12">
        <v>44.904678499378917</v>
      </c>
      <c r="M99" s="19">
        <f t="shared" si="9"/>
        <v>0</v>
      </c>
      <c r="N99" s="12">
        <f>E99*(G99*原始输入与口径!$B$5+H99/原始输入与口径!$B$5)/原始输入与口径!$H$5</f>
        <v>1.036231884057971E-3</v>
      </c>
      <c r="O99" s="12">
        <v>1.0362318840579708E-3</v>
      </c>
      <c r="P99" s="19">
        <f t="shared" si="10"/>
        <v>0</v>
      </c>
      <c r="Q99" s="12">
        <f t="shared" si="11"/>
        <v>0</v>
      </c>
      <c r="R99" s="12">
        <f t="shared" si="12"/>
        <v>0.34319999999999995</v>
      </c>
      <c r="S99" s="1">
        <v>41</v>
      </c>
      <c r="T99" s="14">
        <v>46235</v>
      </c>
    </row>
    <row r="100" spans="1:20" ht="21" customHeight="1" x14ac:dyDescent="0.45">
      <c r="A100" s="31">
        <v>46235.417038095235</v>
      </c>
      <c r="B100" s="31">
        <v>46235.427083333328</v>
      </c>
      <c r="C100" s="31">
        <v>46235.416666666664</v>
      </c>
      <c r="D100" s="1" t="s">
        <v>102</v>
      </c>
      <c r="E100" s="12">
        <v>0.24108571428571429</v>
      </c>
      <c r="F100" s="12">
        <f>IF(D100="d",两日求解价格与决策!K49-两日求解价格与决策!N49,IF(D100="u",两日求解价格与决策!K49+两日求解价格与决策!M49,两日求解价格与决策!K49))</f>
        <v>46</v>
      </c>
      <c r="G100" s="12">
        <f t="shared" si="7"/>
        <v>0</v>
      </c>
      <c r="H100" s="12">
        <f t="shared" si="8"/>
        <v>46</v>
      </c>
      <c r="I100" s="12">
        <f t="shared" si="13"/>
        <v>44.904678499378917</v>
      </c>
      <c r="J100" s="12">
        <f>I100+E100*(G100*原始输入与口径!$B$5-H100/原始输入与口径!$B$5)</f>
        <v>32.850392785093206</v>
      </c>
      <c r="K100" s="12">
        <v>44.904678499378917</v>
      </c>
      <c r="L100" s="12">
        <v>32.850392785093206</v>
      </c>
      <c r="M100" s="19">
        <f t="shared" si="9"/>
        <v>0</v>
      </c>
      <c r="N100" s="12">
        <f>E100*(G100*原始输入与口径!$B$5+H100/原始输入与口径!$B$5)/原始输入与口径!$H$5</f>
        <v>3.3484126984126984E-2</v>
      </c>
      <c r="O100" s="12">
        <v>3.3484126984126984E-2</v>
      </c>
      <c r="P100" s="19">
        <f t="shared" si="10"/>
        <v>0</v>
      </c>
      <c r="Q100" s="12">
        <f t="shared" si="11"/>
        <v>0</v>
      </c>
      <c r="R100" s="12">
        <f t="shared" si="12"/>
        <v>11.089942857142857</v>
      </c>
      <c r="S100" s="1">
        <v>41</v>
      </c>
      <c r="T100" s="14">
        <v>46235</v>
      </c>
    </row>
    <row r="101" spans="1:20" ht="21" customHeight="1" x14ac:dyDescent="0.45">
      <c r="A101" s="31">
        <v>46235.427083333336</v>
      </c>
      <c r="B101" s="31">
        <v>46235.430813333332</v>
      </c>
      <c r="C101" s="31">
        <v>46235.427083333336</v>
      </c>
      <c r="D101" s="1" t="s">
        <v>101</v>
      </c>
      <c r="E101" s="12">
        <v>8.9520000000000002E-2</v>
      </c>
      <c r="F101" s="12">
        <f>IF(D101="d",两日求解价格与决策!K50-两日求解价格与决策!N50,IF(D101="u",两日求解价格与决策!K50+两日求解价格与决策!M50,两日求解价格与决策!K50))</f>
        <v>11.264010098148738</v>
      </c>
      <c r="G101" s="12">
        <f t="shared" si="7"/>
        <v>0</v>
      </c>
      <c r="H101" s="12">
        <f t="shared" si="8"/>
        <v>11.264010098148738</v>
      </c>
      <c r="I101" s="12">
        <f t="shared" si="13"/>
        <v>32.850392785093206</v>
      </c>
      <c r="J101" s="12">
        <f>I101+E101*(G101*原始输入与口径!$B$5-H101/原始输入与口径!$B$5)</f>
        <v>31.754355628586385</v>
      </c>
      <c r="K101" s="12">
        <v>32.850392785093206</v>
      </c>
      <c r="L101" s="12">
        <v>31.754355628586385</v>
      </c>
      <c r="M101" s="19">
        <f t="shared" si="9"/>
        <v>0</v>
      </c>
      <c r="N101" s="12">
        <f>E101*(G101*原始输入与口径!$B$5+H101/原始输入与口径!$B$5)/原始输入与口径!$H$5</f>
        <v>3.0445476569633903E-3</v>
      </c>
      <c r="O101" s="12">
        <v>3.0445476569633911E-3</v>
      </c>
      <c r="P101" s="19">
        <f t="shared" si="10"/>
        <v>0</v>
      </c>
      <c r="Q101" s="12">
        <f t="shared" si="11"/>
        <v>0</v>
      </c>
      <c r="R101" s="12">
        <f t="shared" si="12"/>
        <v>1.0083541839862751</v>
      </c>
      <c r="S101" s="1">
        <v>42</v>
      </c>
      <c r="T101" s="14">
        <v>46235</v>
      </c>
    </row>
    <row r="102" spans="1:20" ht="21" customHeight="1" x14ac:dyDescent="0.45">
      <c r="A102" s="31">
        <v>46235.430813333332</v>
      </c>
      <c r="B102" s="31">
        <v>46235.4375</v>
      </c>
      <c r="C102" s="31">
        <v>46235.427083333336</v>
      </c>
      <c r="D102" s="1" t="s">
        <v>102</v>
      </c>
      <c r="E102" s="12">
        <v>0.16048000000000001</v>
      </c>
      <c r="F102" s="12">
        <f>IF(D102="d",两日求解价格与决策!K50-两日求解价格与决策!N50,IF(D102="u",两日求解价格与决策!K50+两日求解价格与决策!M50,两日求解价格与决策!K50))</f>
        <v>-2.7359899018512621</v>
      </c>
      <c r="G102" s="12">
        <f t="shared" si="7"/>
        <v>2.7359899018512621</v>
      </c>
      <c r="H102" s="12">
        <f t="shared" si="8"/>
        <v>0</v>
      </c>
      <c r="I102" s="12">
        <f t="shared" si="13"/>
        <v>31.754355628586385</v>
      </c>
      <c r="J102" s="12">
        <f>I102+E102*(G102*原始输入与口径!$B$5-H102/原始输入与口径!$B$5)</f>
        <v>32.15830155527955</v>
      </c>
      <c r="K102" s="12">
        <v>31.754355628586385</v>
      </c>
      <c r="L102" s="12">
        <v>32.15830155527955</v>
      </c>
      <c r="M102" s="19">
        <f t="shared" si="9"/>
        <v>0</v>
      </c>
      <c r="N102" s="12">
        <f>E102*(G102*原始输入与口径!$B$5+H102/原始输入与口径!$B$5)/原始输入与口径!$H$5</f>
        <v>1.1220720185921205E-3</v>
      </c>
      <c r="O102" s="12">
        <v>1.1220720185921205E-3</v>
      </c>
      <c r="P102" s="19">
        <f t="shared" si="10"/>
        <v>0</v>
      </c>
      <c r="Q102" s="12">
        <f t="shared" si="11"/>
        <v>0.4390716594490906</v>
      </c>
      <c r="R102" s="12">
        <f t="shared" si="12"/>
        <v>0</v>
      </c>
      <c r="S102" s="1">
        <v>42</v>
      </c>
      <c r="T102" s="14">
        <v>46235</v>
      </c>
    </row>
    <row r="103" spans="1:20" ht="21" customHeight="1" x14ac:dyDescent="0.45">
      <c r="A103" s="31">
        <v>46235.4375</v>
      </c>
      <c r="B103" s="31">
        <v>46235.439011666669</v>
      </c>
      <c r="C103" s="31">
        <v>46235.4375</v>
      </c>
      <c r="D103" s="1" t="s">
        <v>101</v>
      </c>
      <c r="E103" s="12">
        <v>3.628E-2</v>
      </c>
      <c r="F103" s="12">
        <f>IF(D103="d",两日求解价格与决策!K51-两日求解价格与决策!N51,IF(D103="u",两日求解价格与决策!K51+两日求解价格与决策!M51,两日求解价格与决策!K51))</f>
        <v>-46</v>
      </c>
      <c r="G103" s="12">
        <f t="shared" si="7"/>
        <v>46</v>
      </c>
      <c r="H103" s="12">
        <f t="shared" si="8"/>
        <v>0</v>
      </c>
      <c r="I103" s="12">
        <f t="shared" si="13"/>
        <v>32.15830155527955</v>
      </c>
      <c r="J103" s="12">
        <f>I103+E103*(G103*原始输入与口径!$B$5-H103/原始输入与口径!$B$5)</f>
        <v>33.693671155279553</v>
      </c>
      <c r="K103" s="12">
        <v>32.15830155527955</v>
      </c>
      <c r="L103" s="12">
        <v>33.693671155279553</v>
      </c>
      <c r="M103" s="19">
        <f t="shared" si="9"/>
        <v>0</v>
      </c>
      <c r="N103" s="12">
        <f>E103*(G103*原始输入与口径!$B$5+H103/原始输入与口径!$B$5)/原始输入与口径!$H$5</f>
        <v>4.2649155555555549E-3</v>
      </c>
      <c r="O103" s="12">
        <v>4.2649155555555549E-3</v>
      </c>
      <c r="P103" s="19">
        <f t="shared" si="10"/>
        <v>0</v>
      </c>
      <c r="Q103" s="12">
        <f t="shared" si="11"/>
        <v>1.6688799999999999</v>
      </c>
      <c r="R103" s="12">
        <f t="shared" si="12"/>
        <v>0</v>
      </c>
      <c r="S103" s="1">
        <v>43</v>
      </c>
      <c r="T103" s="14">
        <v>46235</v>
      </c>
    </row>
    <row r="104" spans="1:20" ht="21" customHeight="1" x14ac:dyDescent="0.45">
      <c r="A104" s="31">
        <v>46235.439011666669</v>
      </c>
      <c r="B104" s="31">
        <v>46235.447916666664</v>
      </c>
      <c r="C104" s="31">
        <v>46235.4375</v>
      </c>
      <c r="D104" s="1" t="s">
        <v>102</v>
      </c>
      <c r="E104" s="12">
        <v>0.21371999999999999</v>
      </c>
      <c r="F104" s="12">
        <f>IF(D104="d",两日求解价格与决策!K51-两日求解价格与决策!N51,IF(D104="u",两日求解价格与决策!K51+两日求解价格与决策!M51,两日求解价格与决策!K51))</f>
        <v>-60</v>
      </c>
      <c r="G104" s="12">
        <f t="shared" si="7"/>
        <v>60</v>
      </c>
      <c r="H104" s="12">
        <f t="shared" si="8"/>
        <v>0</v>
      </c>
      <c r="I104" s="12">
        <f t="shared" si="13"/>
        <v>33.693671155279553</v>
      </c>
      <c r="J104" s="12">
        <f>I104+E104*(G104*原始输入与口径!$B$5-H104/原始输入与口径!$B$5)</f>
        <v>45.491015155279555</v>
      </c>
      <c r="K104" s="12">
        <v>33.693671155279553</v>
      </c>
      <c r="L104" s="12">
        <v>45.491015155279555</v>
      </c>
      <c r="M104" s="19">
        <f t="shared" si="9"/>
        <v>0</v>
      </c>
      <c r="N104" s="12">
        <f>E104*(G104*原始输入与口径!$B$5+H104/原始输入与口径!$B$5)/原始输入与口径!$H$5</f>
        <v>3.2770400000000005E-2</v>
      </c>
      <c r="O104" s="12">
        <v>3.2770400000000005E-2</v>
      </c>
      <c r="P104" s="19">
        <f t="shared" si="10"/>
        <v>0</v>
      </c>
      <c r="Q104" s="12">
        <f t="shared" si="11"/>
        <v>12.8232</v>
      </c>
      <c r="R104" s="12">
        <f t="shared" si="12"/>
        <v>0</v>
      </c>
      <c r="S104" s="1">
        <v>43</v>
      </c>
      <c r="T104" s="14">
        <v>46235</v>
      </c>
    </row>
    <row r="105" spans="1:20" ht="21" customHeight="1" x14ac:dyDescent="0.45">
      <c r="A105" s="31">
        <v>46235.447916666664</v>
      </c>
      <c r="B105" s="31">
        <v>46235.44794619047</v>
      </c>
      <c r="C105" s="31">
        <v>46235.447916666664</v>
      </c>
      <c r="D105" s="1" t="s">
        <v>103</v>
      </c>
      <c r="E105" s="12">
        <v>7.0857142857142852E-4</v>
      </c>
      <c r="F105" s="12">
        <f>IF(D105="d",两日求解价格与决策!K52-两日求解价格与决策!N52,IF(D105="u",两日求解价格与决策!K52+两日求解价格与决策!M52,两日求解价格与决策!K52))</f>
        <v>-60</v>
      </c>
      <c r="G105" s="12">
        <f t="shared" si="7"/>
        <v>60</v>
      </c>
      <c r="H105" s="12">
        <f t="shared" si="8"/>
        <v>0</v>
      </c>
      <c r="I105" s="12">
        <f t="shared" si="13"/>
        <v>45.491015155279555</v>
      </c>
      <c r="J105" s="12">
        <f>I105+E105*(G105*原始输入与口径!$B$5-H105/原始输入与口径!$B$5)</f>
        <v>45.530128298136695</v>
      </c>
      <c r="K105" s="12">
        <v>45.491015155279555</v>
      </c>
      <c r="L105" s="12">
        <v>45.530128298136695</v>
      </c>
      <c r="M105" s="19">
        <f t="shared" si="9"/>
        <v>0</v>
      </c>
      <c r="N105" s="12">
        <f>E105*(G105*原始输入与口径!$B$5+H105/原始输入与口径!$B$5)/原始输入与口径!$H$5</f>
        <v>1.0864761904761904E-4</v>
      </c>
      <c r="O105" s="12">
        <v>1.0864761904761905E-4</v>
      </c>
      <c r="P105" s="19">
        <f t="shared" si="10"/>
        <v>0</v>
      </c>
      <c r="Q105" s="12">
        <f t="shared" si="11"/>
        <v>4.2514285714285713E-2</v>
      </c>
      <c r="R105" s="12">
        <f t="shared" si="12"/>
        <v>0</v>
      </c>
      <c r="S105" s="1">
        <v>44</v>
      </c>
      <c r="T105" s="14">
        <v>46235</v>
      </c>
    </row>
    <row r="106" spans="1:20" ht="21" customHeight="1" x14ac:dyDescent="0.45">
      <c r="A106" s="31">
        <v>46235.44794619047</v>
      </c>
      <c r="B106" s="31">
        <v>46235.447968571425</v>
      </c>
      <c r="C106" s="31">
        <v>46235.447916666664</v>
      </c>
      <c r="D106" s="1" t="s">
        <v>101</v>
      </c>
      <c r="E106" s="12">
        <v>5.3714285714285713E-4</v>
      </c>
      <c r="F106" s="12">
        <f>IF(D106="d",两日求解价格与决策!K52-两日求解价格与决策!N52,IF(D106="u",两日求解价格与决策!K52+两日求解价格与决策!M52,两日求解价格与决策!K52))</f>
        <v>-46</v>
      </c>
      <c r="G106" s="12">
        <f t="shared" si="7"/>
        <v>46</v>
      </c>
      <c r="H106" s="12">
        <f t="shared" si="8"/>
        <v>0</v>
      </c>
      <c r="I106" s="12">
        <f t="shared" si="13"/>
        <v>45.530128298136695</v>
      </c>
      <c r="J106" s="12">
        <f>I106+E106*(G106*原始输入与口径!$B$5-H106/原始输入与口径!$B$5)</f>
        <v>45.552860183850981</v>
      </c>
      <c r="K106" s="12">
        <v>45.530128298136695</v>
      </c>
      <c r="L106" s="12">
        <v>45.552860183850981</v>
      </c>
      <c r="M106" s="19">
        <f t="shared" si="9"/>
        <v>0</v>
      </c>
      <c r="N106" s="12">
        <f>E106*(G106*原始输入与口径!$B$5+H106/原始输入与口径!$B$5)/原始输入与口径!$H$5</f>
        <v>6.314412698412698E-5</v>
      </c>
      <c r="O106" s="12">
        <v>6.314412698412698E-5</v>
      </c>
      <c r="P106" s="19">
        <f t="shared" si="10"/>
        <v>0</v>
      </c>
      <c r="Q106" s="12">
        <f t="shared" si="11"/>
        <v>2.4708571428571427E-2</v>
      </c>
      <c r="R106" s="12">
        <f t="shared" si="12"/>
        <v>0</v>
      </c>
      <c r="S106" s="1">
        <v>44</v>
      </c>
      <c r="T106" s="14">
        <v>46235</v>
      </c>
    </row>
    <row r="107" spans="1:20" ht="21" customHeight="1" x14ac:dyDescent="0.45">
      <c r="A107" s="31">
        <v>46235.447968571425</v>
      </c>
      <c r="B107" s="31">
        <v>46235.458333333328</v>
      </c>
      <c r="C107" s="31">
        <v>46235.447916666664</v>
      </c>
      <c r="D107" s="1" t="s">
        <v>102</v>
      </c>
      <c r="E107" s="12">
        <v>0.24875428571428573</v>
      </c>
      <c r="F107" s="12">
        <f>IF(D107="d",两日求解价格与决策!K52-两日求解价格与决策!N52,IF(D107="u",两日求解价格与决策!K52+两日求解价格与决策!M52,两日求解价格与决策!K52))</f>
        <v>-60</v>
      </c>
      <c r="G107" s="12">
        <f t="shared" si="7"/>
        <v>60</v>
      </c>
      <c r="H107" s="12">
        <f t="shared" si="8"/>
        <v>0</v>
      </c>
      <c r="I107" s="12">
        <f t="shared" si="13"/>
        <v>45.552860183850981</v>
      </c>
      <c r="J107" s="12">
        <f>I107+E107*(G107*原始输入与口径!$B$5-H107/原始输入与口径!$B$5)</f>
        <v>59.284096755279556</v>
      </c>
      <c r="K107" s="12">
        <v>45.552860183850981</v>
      </c>
      <c r="L107" s="12">
        <v>59.284096755279556</v>
      </c>
      <c r="M107" s="19">
        <f t="shared" si="9"/>
        <v>0</v>
      </c>
      <c r="N107" s="12">
        <f>E107*(G107*原始输入与口径!$B$5+H107/原始输入与口径!$B$5)/原始输入与口径!$H$5</f>
        <v>3.8142323809523815E-2</v>
      </c>
      <c r="O107" s="12">
        <v>3.8142323809523815E-2</v>
      </c>
      <c r="P107" s="19">
        <f t="shared" si="10"/>
        <v>0</v>
      </c>
      <c r="Q107" s="12">
        <f t="shared" si="11"/>
        <v>14.925257142857143</v>
      </c>
      <c r="R107" s="12">
        <f t="shared" si="12"/>
        <v>0</v>
      </c>
      <c r="S107" s="1">
        <v>44</v>
      </c>
      <c r="T107" s="14">
        <v>46235</v>
      </c>
    </row>
    <row r="108" spans="1:20" ht="21" customHeight="1" x14ac:dyDescent="0.45">
      <c r="A108" s="31">
        <v>46235.458333333336</v>
      </c>
      <c r="B108" s="31">
        <v>46235.458339761906</v>
      </c>
      <c r="C108" s="31">
        <v>46235.458333333336</v>
      </c>
      <c r="D108" s="1" t="s">
        <v>103</v>
      </c>
      <c r="E108" s="12">
        <v>1.5428571428571428E-4</v>
      </c>
      <c r="F108" s="12">
        <f>IF(D108="d",两日求解价格与决策!K53-两日求解价格与决策!N53,IF(D108="u",两日求解价格与决策!K53+两日求解价格与决策!M53,两日求解价格与决策!K53))</f>
        <v>36</v>
      </c>
      <c r="G108" s="12">
        <f t="shared" si="7"/>
        <v>0</v>
      </c>
      <c r="H108" s="12">
        <f t="shared" si="8"/>
        <v>36</v>
      </c>
      <c r="I108" s="12">
        <f t="shared" si="13"/>
        <v>59.284096755279556</v>
      </c>
      <c r="J108" s="12">
        <f>I108+E108*(G108*原始输入与口径!$B$5-H108/原始输入与口径!$B$5)</f>
        <v>59.278059488198814</v>
      </c>
      <c r="K108" s="12">
        <v>59.284096755279556</v>
      </c>
      <c r="L108" s="12">
        <v>59.278059488198814</v>
      </c>
      <c r="M108" s="19">
        <f t="shared" si="9"/>
        <v>0</v>
      </c>
      <c r="N108" s="12">
        <f>E108*(G108*原始输入与口径!$B$5+H108/原始输入与口径!$B$5)/原始输入与口径!$H$5</f>
        <v>1.6770186335403728E-5</v>
      </c>
      <c r="O108" s="12">
        <v>1.6770186335403725E-5</v>
      </c>
      <c r="P108" s="19">
        <f t="shared" si="10"/>
        <v>0</v>
      </c>
      <c r="Q108" s="12">
        <f t="shared" si="11"/>
        <v>0</v>
      </c>
      <c r="R108" s="12">
        <f t="shared" si="12"/>
        <v>5.5542857142857139E-3</v>
      </c>
      <c r="S108" s="1">
        <v>45</v>
      </c>
      <c r="T108" s="14">
        <v>46235</v>
      </c>
    </row>
    <row r="109" spans="1:20" ht="21" customHeight="1" x14ac:dyDescent="0.45">
      <c r="A109" s="31">
        <v>46235.458339761906</v>
      </c>
      <c r="B109" s="31">
        <v>46235.459056428575</v>
      </c>
      <c r="C109" s="31">
        <v>46235.458333333336</v>
      </c>
      <c r="D109" s="1" t="s">
        <v>101</v>
      </c>
      <c r="E109" s="12">
        <v>1.72E-2</v>
      </c>
      <c r="F109" s="12">
        <f>IF(D109="d",两日求解价格与决策!K53-两日求解价格与决策!N53,IF(D109="u",两日求解价格与决策!K53+两日求解价格与决策!M53,两日求解价格与决策!K53))</f>
        <v>60</v>
      </c>
      <c r="G109" s="12">
        <f t="shared" si="7"/>
        <v>0</v>
      </c>
      <c r="H109" s="12">
        <f t="shared" si="8"/>
        <v>60</v>
      </c>
      <c r="I109" s="12">
        <f t="shared" si="13"/>
        <v>59.278059488198814</v>
      </c>
      <c r="J109" s="12">
        <f>I109+E109*(G109*原始输入与口径!$B$5-H109/原始输入与口径!$B$5)</f>
        <v>58.156320357764031</v>
      </c>
      <c r="K109" s="12">
        <v>59.278059488198814</v>
      </c>
      <c r="L109" s="12">
        <v>58.156320357764031</v>
      </c>
      <c r="M109" s="19">
        <f t="shared" si="9"/>
        <v>0</v>
      </c>
      <c r="N109" s="12">
        <f>E109*(G109*原始输入与口径!$B$5+H109/原始输入与口径!$B$5)/原始输入与口径!$H$5</f>
        <v>3.1159420289855072E-3</v>
      </c>
      <c r="O109" s="12">
        <v>3.1159420289855072E-3</v>
      </c>
      <c r="P109" s="19">
        <f t="shared" si="10"/>
        <v>0</v>
      </c>
      <c r="Q109" s="12">
        <f t="shared" si="11"/>
        <v>0</v>
      </c>
      <c r="R109" s="12">
        <f t="shared" si="12"/>
        <v>1.032</v>
      </c>
      <c r="S109" s="1">
        <v>45</v>
      </c>
      <c r="T109" s="14">
        <v>46235</v>
      </c>
    </row>
    <row r="110" spans="1:20" ht="21" customHeight="1" x14ac:dyDescent="0.45">
      <c r="A110" s="31">
        <v>46235.459056428575</v>
      </c>
      <c r="B110" s="31">
        <v>46235.46875</v>
      </c>
      <c r="C110" s="31">
        <v>46235.458333333336</v>
      </c>
      <c r="D110" s="1" t="s">
        <v>102</v>
      </c>
      <c r="E110" s="12">
        <v>0.23264571428571429</v>
      </c>
      <c r="F110" s="12">
        <f>IF(D110="d",两日求解价格与决策!K53-两日求解价格与决策!N53,IF(D110="u",两日求解价格与决策!K53+两日求解价格与决策!M53,两日求解价格与决策!K53))</f>
        <v>60</v>
      </c>
      <c r="G110" s="12">
        <f t="shared" si="7"/>
        <v>0</v>
      </c>
      <c r="H110" s="12">
        <f t="shared" si="8"/>
        <v>60</v>
      </c>
      <c r="I110" s="12">
        <f t="shared" si="13"/>
        <v>58.156320357764031</v>
      </c>
      <c r="J110" s="12">
        <f>I110+E110*(G110*原始输入与口径!$B$5-H110/原始输入与口径!$B$5)</f>
        <v>42.9837737739131</v>
      </c>
      <c r="K110" s="12">
        <v>58.156320357764031</v>
      </c>
      <c r="L110" s="12">
        <v>42.9837737739131</v>
      </c>
      <c r="M110" s="19">
        <f t="shared" si="9"/>
        <v>0</v>
      </c>
      <c r="N110" s="12">
        <f>E110*(G110*原始输入与口径!$B$5+H110/原始输入与口径!$B$5)/原始输入与口径!$H$5</f>
        <v>4.2145962732919255E-2</v>
      </c>
      <c r="O110" s="12">
        <v>4.2145962732919255E-2</v>
      </c>
      <c r="P110" s="19">
        <f t="shared" si="10"/>
        <v>0</v>
      </c>
      <c r="Q110" s="12">
        <f t="shared" si="11"/>
        <v>0</v>
      </c>
      <c r="R110" s="12">
        <f t="shared" si="12"/>
        <v>13.958742857142857</v>
      </c>
      <c r="S110" s="1">
        <v>45</v>
      </c>
      <c r="T110" s="14">
        <v>46235</v>
      </c>
    </row>
    <row r="111" spans="1:20" ht="21" customHeight="1" x14ac:dyDescent="0.45">
      <c r="A111" s="31">
        <v>46235.46875</v>
      </c>
      <c r="B111" s="31">
        <v>46235.470150238092</v>
      </c>
      <c r="C111" s="31">
        <v>46235.46875</v>
      </c>
      <c r="D111" s="1" t="s">
        <v>101</v>
      </c>
      <c r="E111" s="12">
        <v>3.3605714285714287E-2</v>
      </c>
      <c r="F111" s="12">
        <f>IF(D111="d",两日求解价格与决策!K54-两日求解价格与决策!N54,IF(D111="u",两日求解价格与决策!K54+两日求解价格与决策!M54,两日求解价格与决策!K54))</f>
        <v>0</v>
      </c>
      <c r="G111" s="12">
        <f t="shared" si="7"/>
        <v>0</v>
      </c>
      <c r="H111" s="12">
        <f t="shared" si="8"/>
        <v>0</v>
      </c>
      <c r="I111" s="12">
        <f t="shared" si="13"/>
        <v>42.9837737739131</v>
      </c>
      <c r="J111" s="12">
        <f>I111+E111*(G111*原始输入与口径!$B$5-H111/原始输入与口径!$B$5)</f>
        <v>42.9837737739131</v>
      </c>
      <c r="K111" s="12">
        <v>42.9837737739131</v>
      </c>
      <c r="L111" s="12">
        <v>42.9837737739131</v>
      </c>
      <c r="M111" s="19">
        <f t="shared" si="9"/>
        <v>0</v>
      </c>
      <c r="N111" s="12">
        <f>E111*(G111*原始输入与口径!$B$5+H111/原始输入与口径!$B$5)/原始输入与口径!$H$5</f>
        <v>0</v>
      </c>
      <c r="O111" s="12">
        <v>0</v>
      </c>
      <c r="P111" s="19">
        <f t="shared" si="10"/>
        <v>0</v>
      </c>
      <c r="Q111" s="12">
        <f t="shared" si="11"/>
        <v>0</v>
      </c>
      <c r="R111" s="12">
        <f t="shared" si="12"/>
        <v>0</v>
      </c>
      <c r="S111" s="1">
        <v>46</v>
      </c>
      <c r="T111" s="14">
        <v>46235</v>
      </c>
    </row>
    <row r="112" spans="1:20" ht="21" customHeight="1" x14ac:dyDescent="0.45">
      <c r="A112" s="31">
        <v>46235.470150238092</v>
      </c>
      <c r="B112" s="31">
        <v>46235.479166666664</v>
      </c>
      <c r="C112" s="31">
        <v>46235.46875</v>
      </c>
      <c r="D112" s="1" t="s">
        <v>102</v>
      </c>
      <c r="E112" s="12">
        <v>0.21639428571428571</v>
      </c>
      <c r="F112" s="12">
        <f>IF(D112="d",两日求解价格与决策!K54-两日求解价格与决策!N54,IF(D112="u",两日求解价格与决策!K54+两日求解价格与决策!M54,两日求解价格与决策!K54))</f>
        <v>0</v>
      </c>
      <c r="G112" s="12">
        <f t="shared" si="7"/>
        <v>0</v>
      </c>
      <c r="H112" s="12">
        <f t="shared" si="8"/>
        <v>0</v>
      </c>
      <c r="I112" s="12">
        <f t="shared" si="13"/>
        <v>42.9837737739131</v>
      </c>
      <c r="J112" s="12">
        <f>I112+E112*(G112*原始输入与口径!$B$5-H112/原始输入与口径!$B$5)</f>
        <v>42.9837737739131</v>
      </c>
      <c r="K112" s="12">
        <v>42.9837737739131</v>
      </c>
      <c r="L112" s="12">
        <v>42.9837737739131</v>
      </c>
      <c r="M112" s="19">
        <f t="shared" si="9"/>
        <v>0</v>
      </c>
      <c r="N112" s="12">
        <f>E112*(G112*原始输入与口径!$B$5+H112/原始输入与口径!$B$5)/原始输入与口径!$H$5</f>
        <v>0</v>
      </c>
      <c r="O112" s="12">
        <v>0</v>
      </c>
      <c r="P112" s="19">
        <f t="shared" si="10"/>
        <v>0</v>
      </c>
      <c r="Q112" s="12">
        <f t="shared" si="11"/>
        <v>0</v>
      </c>
      <c r="R112" s="12">
        <f t="shared" si="12"/>
        <v>0</v>
      </c>
      <c r="S112" s="1">
        <v>46</v>
      </c>
      <c r="T112" s="14">
        <v>46235</v>
      </c>
    </row>
    <row r="113" spans="1:20" ht="21" customHeight="1" x14ac:dyDescent="0.45">
      <c r="A113" s="31">
        <v>46235.479166666664</v>
      </c>
      <c r="B113" s="31">
        <v>46235.479168333331</v>
      </c>
      <c r="C113" s="31">
        <v>46235.479166666664</v>
      </c>
      <c r="D113" s="1" t="s">
        <v>103</v>
      </c>
      <c r="E113" s="12">
        <v>4.0000000000000003E-5</v>
      </c>
      <c r="F113" s="12">
        <f>IF(D113="d",两日求解价格与决策!K55-两日求解价格与决策!N55,IF(D113="u",两日求解价格与决策!K55+两日求解价格与决策!M55,两日求解价格与决策!K55))</f>
        <v>-60</v>
      </c>
      <c r="G113" s="12">
        <f t="shared" si="7"/>
        <v>60</v>
      </c>
      <c r="H113" s="12">
        <f t="shared" si="8"/>
        <v>0</v>
      </c>
      <c r="I113" s="12">
        <f t="shared" si="13"/>
        <v>42.9837737739131</v>
      </c>
      <c r="J113" s="12">
        <f>I113+E113*(G113*原始输入与口径!$B$5-H113/原始输入与口径!$B$5)</f>
        <v>42.985981773913103</v>
      </c>
      <c r="K113" s="12">
        <v>42.9837737739131</v>
      </c>
      <c r="L113" s="12">
        <v>42.985981773913103</v>
      </c>
      <c r="M113" s="19">
        <f t="shared" si="9"/>
        <v>0</v>
      </c>
      <c r="N113" s="12">
        <f>E113*(G113*原始输入与口径!$B$5+H113/原始输入与口径!$B$5)/原始输入与口径!$H$5</f>
        <v>6.1333333333333345E-6</v>
      </c>
      <c r="O113" s="12">
        <v>6.1333333333333345E-6</v>
      </c>
      <c r="P113" s="19">
        <f t="shared" si="10"/>
        <v>0</v>
      </c>
      <c r="Q113" s="12">
        <f t="shared" si="11"/>
        <v>2.4000000000000002E-3</v>
      </c>
      <c r="R113" s="12">
        <f t="shared" si="12"/>
        <v>0</v>
      </c>
      <c r="S113" s="1">
        <v>47</v>
      </c>
      <c r="T113" s="14">
        <v>46235</v>
      </c>
    </row>
    <row r="114" spans="1:20" ht="21" customHeight="1" x14ac:dyDescent="0.45">
      <c r="A114" s="31">
        <v>46235.479168333331</v>
      </c>
      <c r="B114" s="31">
        <v>46235.479796904758</v>
      </c>
      <c r="C114" s="31">
        <v>46235.479166666664</v>
      </c>
      <c r="D114" s="1" t="s">
        <v>101</v>
      </c>
      <c r="E114" s="12">
        <v>1.5085714285714286E-2</v>
      </c>
      <c r="F114" s="12">
        <f>IF(D114="d",两日求解价格与决策!K55-两日求解价格与决策!N55,IF(D114="u",两日求解价格与决策!K55+两日求解价格与决策!M55,两日求解价格与决策!K55))</f>
        <v>-36</v>
      </c>
      <c r="G114" s="12">
        <f t="shared" si="7"/>
        <v>36</v>
      </c>
      <c r="H114" s="12">
        <f t="shared" si="8"/>
        <v>0</v>
      </c>
      <c r="I114" s="12">
        <f t="shared" si="13"/>
        <v>42.985981773913103</v>
      </c>
      <c r="J114" s="12">
        <f>I114+E114*(G114*原始输入与口径!$B$5-H114/原始输入与口径!$B$5)</f>
        <v>43.485620631055959</v>
      </c>
      <c r="K114" s="12">
        <v>42.985981773913103</v>
      </c>
      <c r="L114" s="12">
        <v>43.485620631055959</v>
      </c>
      <c r="M114" s="19">
        <f t="shared" si="9"/>
        <v>0</v>
      </c>
      <c r="N114" s="12">
        <f>E114*(G114*原始输入与口径!$B$5+H114/原始输入与口径!$B$5)/原始输入与口径!$H$5</f>
        <v>1.3878857142857145E-3</v>
      </c>
      <c r="O114" s="12">
        <v>1.3878857142857143E-3</v>
      </c>
      <c r="P114" s="19">
        <f t="shared" si="10"/>
        <v>0</v>
      </c>
      <c r="Q114" s="12">
        <f t="shared" si="11"/>
        <v>0.54308571428571428</v>
      </c>
      <c r="R114" s="12">
        <f t="shared" si="12"/>
        <v>0</v>
      </c>
      <c r="S114" s="1">
        <v>47</v>
      </c>
      <c r="T114" s="14">
        <v>46235</v>
      </c>
    </row>
    <row r="115" spans="1:20" ht="21" customHeight="1" x14ac:dyDescent="0.45">
      <c r="A115" s="31">
        <v>46235.479796904758</v>
      </c>
      <c r="B115" s="31">
        <v>46235.489583333328</v>
      </c>
      <c r="C115" s="31">
        <v>46235.479166666664</v>
      </c>
      <c r="D115" s="1" t="s">
        <v>102</v>
      </c>
      <c r="E115" s="12">
        <v>0.2348742857142857</v>
      </c>
      <c r="F115" s="12">
        <f>IF(D115="d",两日求解价格与决策!K55-两日求解价格与决策!N55,IF(D115="u",两日求解价格与决策!K55+两日求解价格与决策!M55,两日求解价格与决策!K55))</f>
        <v>-36</v>
      </c>
      <c r="G115" s="12">
        <f t="shared" si="7"/>
        <v>36</v>
      </c>
      <c r="H115" s="12">
        <f t="shared" si="8"/>
        <v>0</v>
      </c>
      <c r="I115" s="12">
        <f t="shared" si="13"/>
        <v>43.485620631055959</v>
      </c>
      <c r="J115" s="12">
        <f>I115+E115*(G115*原始输入与口径!$B$5-H115/原始输入与口径!$B$5)</f>
        <v>51.264656973913105</v>
      </c>
      <c r="K115" s="12">
        <v>43.485620631055959</v>
      </c>
      <c r="L115" s="12">
        <v>51.264656973913098</v>
      </c>
      <c r="M115" s="19">
        <f t="shared" si="9"/>
        <v>0</v>
      </c>
      <c r="N115" s="12">
        <f>E115*(G115*原始输入与口径!$B$5+H115/原始输入与口径!$B$5)/原始输入与口径!$H$5</f>
        <v>2.1608434285714288E-2</v>
      </c>
      <c r="O115" s="12">
        <v>2.1608434285714285E-2</v>
      </c>
      <c r="P115" s="19">
        <f t="shared" si="10"/>
        <v>0</v>
      </c>
      <c r="Q115" s="12">
        <f t="shared" si="11"/>
        <v>8.4554742857142848</v>
      </c>
      <c r="R115" s="12">
        <f t="shared" si="12"/>
        <v>0</v>
      </c>
      <c r="S115" s="1">
        <v>47</v>
      </c>
      <c r="T115" s="14">
        <v>46235</v>
      </c>
    </row>
    <row r="116" spans="1:20" ht="21" customHeight="1" x14ac:dyDescent="0.45">
      <c r="A116" s="31">
        <v>46235.489583333336</v>
      </c>
      <c r="B116" s="31">
        <v>46235.490268333335</v>
      </c>
      <c r="C116" s="31">
        <v>46235.489583333336</v>
      </c>
      <c r="D116" s="1" t="s">
        <v>103</v>
      </c>
      <c r="E116" s="12">
        <v>1.644E-2</v>
      </c>
      <c r="F116" s="12">
        <f>IF(D116="d",两日求解价格与决策!K56-两日求解价格与决策!N56,IF(D116="u",两日求解价格与决策!K56+两日求解价格与决策!M56,两日求解价格与决策!K56))</f>
        <v>-24</v>
      </c>
      <c r="G116" s="12">
        <f t="shared" si="7"/>
        <v>24</v>
      </c>
      <c r="H116" s="12">
        <f t="shared" si="8"/>
        <v>0</v>
      </c>
      <c r="I116" s="12">
        <f t="shared" si="13"/>
        <v>51.264656973913105</v>
      </c>
      <c r="J116" s="12">
        <f>I116+E116*(G116*原始输入与口径!$B$5-H116/原始输入与口径!$B$5)</f>
        <v>51.627652173913106</v>
      </c>
      <c r="K116" s="12">
        <v>51.264656973913098</v>
      </c>
      <c r="L116" s="12">
        <v>51.627652173913098</v>
      </c>
      <c r="M116" s="19">
        <f t="shared" si="9"/>
        <v>0</v>
      </c>
      <c r="N116" s="12">
        <f>E116*(G116*原始输入与口径!$B$5+H116/原始输入与口径!$B$5)/原始输入与口径!$H$5</f>
        <v>1.00832E-3</v>
      </c>
      <c r="O116" s="12">
        <v>1.00832E-3</v>
      </c>
      <c r="P116" s="19">
        <f t="shared" si="10"/>
        <v>0</v>
      </c>
      <c r="Q116" s="12">
        <f t="shared" si="11"/>
        <v>0.39456000000000002</v>
      </c>
      <c r="R116" s="12">
        <f t="shared" si="12"/>
        <v>0</v>
      </c>
      <c r="S116" s="1">
        <v>48</v>
      </c>
      <c r="T116" s="14">
        <v>46235</v>
      </c>
    </row>
    <row r="117" spans="1:20" ht="21" customHeight="1" x14ac:dyDescent="0.45">
      <c r="A117" s="31">
        <v>46235.490268333335</v>
      </c>
      <c r="B117" s="31">
        <v>46235.49077357143</v>
      </c>
      <c r="C117" s="31">
        <v>46235.489583333336</v>
      </c>
      <c r="D117" s="1" t="s">
        <v>101</v>
      </c>
      <c r="E117" s="12">
        <v>1.2125714285714285E-2</v>
      </c>
      <c r="F117" s="12">
        <f>IF(D117="d",两日求解价格与决策!K56-两日求解价格与决策!N56,IF(D117="u",两日求解价格与决策!K56+两日求解价格与决策!M56,两日求解价格与决策!K56))</f>
        <v>0</v>
      </c>
      <c r="G117" s="12">
        <f t="shared" si="7"/>
        <v>0</v>
      </c>
      <c r="H117" s="12">
        <f t="shared" si="8"/>
        <v>0</v>
      </c>
      <c r="I117" s="12">
        <f t="shared" si="13"/>
        <v>51.627652173913106</v>
      </c>
      <c r="J117" s="12">
        <f>I117+E117*(G117*原始输入与口径!$B$5-H117/原始输入与口径!$B$5)</f>
        <v>51.627652173913106</v>
      </c>
      <c r="K117" s="12">
        <v>51.627652173913098</v>
      </c>
      <c r="L117" s="12">
        <v>51.627652173913098</v>
      </c>
      <c r="M117" s="19">
        <f t="shared" si="9"/>
        <v>0</v>
      </c>
      <c r="N117" s="12">
        <f>E117*(G117*原始输入与口径!$B$5+H117/原始输入与口径!$B$5)/原始输入与口径!$H$5</f>
        <v>0</v>
      </c>
      <c r="O117" s="12">
        <v>0</v>
      </c>
      <c r="P117" s="19">
        <f t="shared" si="10"/>
        <v>0</v>
      </c>
      <c r="Q117" s="12">
        <f t="shared" si="11"/>
        <v>0</v>
      </c>
      <c r="R117" s="12">
        <f t="shared" si="12"/>
        <v>0</v>
      </c>
      <c r="S117" s="1">
        <v>48</v>
      </c>
      <c r="T117" s="14">
        <v>46235</v>
      </c>
    </row>
    <row r="118" spans="1:20" ht="21" customHeight="1" x14ac:dyDescent="0.45">
      <c r="A118" s="31">
        <v>46235.49077357143</v>
      </c>
      <c r="B118" s="31">
        <v>46235.5</v>
      </c>
      <c r="C118" s="31">
        <v>46235.489583333336</v>
      </c>
      <c r="D118" s="1" t="s">
        <v>102</v>
      </c>
      <c r="E118" s="12">
        <v>0.22143428571428569</v>
      </c>
      <c r="F118" s="12">
        <f>IF(D118="d",两日求解价格与决策!K56-两日求解价格与决策!N56,IF(D118="u",两日求解价格与决策!K56+两日求解价格与决策!M56,两日求解价格与决策!K56))</f>
        <v>0</v>
      </c>
      <c r="G118" s="12">
        <f t="shared" si="7"/>
        <v>0</v>
      </c>
      <c r="H118" s="12">
        <f t="shared" si="8"/>
        <v>0</v>
      </c>
      <c r="I118" s="12">
        <f t="shared" si="13"/>
        <v>51.627652173913106</v>
      </c>
      <c r="J118" s="12">
        <f>I118+E118*(G118*原始输入与口径!$B$5-H118/原始输入与口径!$B$5)</f>
        <v>51.627652173913106</v>
      </c>
      <c r="K118" s="12">
        <v>51.627652173913098</v>
      </c>
      <c r="L118" s="12">
        <v>51.627652173913098</v>
      </c>
      <c r="M118" s="19">
        <f t="shared" si="9"/>
        <v>0</v>
      </c>
      <c r="N118" s="12">
        <f>E118*(G118*原始输入与口径!$B$5+H118/原始输入与口径!$B$5)/原始输入与口径!$H$5</f>
        <v>0</v>
      </c>
      <c r="O118" s="12">
        <v>0</v>
      </c>
      <c r="P118" s="19">
        <f t="shared" si="10"/>
        <v>0</v>
      </c>
      <c r="Q118" s="12">
        <f t="shared" si="11"/>
        <v>0</v>
      </c>
      <c r="R118" s="12">
        <f t="shared" si="12"/>
        <v>0</v>
      </c>
      <c r="S118" s="1">
        <v>48</v>
      </c>
      <c r="T118" s="14">
        <v>46235</v>
      </c>
    </row>
    <row r="119" spans="1:20" ht="21" customHeight="1" x14ac:dyDescent="0.45">
      <c r="A119" s="31">
        <v>46235.5</v>
      </c>
      <c r="B119" s="31">
        <v>46235.502153809524</v>
      </c>
      <c r="C119" s="31">
        <v>46235.5</v>
      </c>
      <c r="D119" s="1" t="s">
        <v>103</v>
      </c>
      <c r="E119" s="12">
        <v>5.1691428571428569E-2</v>
      </c>
      <c r="F119" s="12">
        <f>IF(D119="d",两日求解价格与决策!K57-两日求解价格与决策!N57,IF(D119="u",两日求解价格与决策!K57+两日求解价格与决策!M57,两日求解价格与决策!K57))</f>
        <v>19</v>
      </c>
      <c r="G119" s="12">
        <f t="shared" si="7"/>
        <v>0</v>
      </c>
      <c r="H119" s="12">
        <f t="shared" si="8"/>
        <v>19</v>
      </c>
      <c r="I119" s="12">
        <f t="shared" si="13"/>
        <v>51.627652173913106</v>
      </c>
      <c r="J119" s="12">
        <f>I119+E119*(G119*原始输入与口径!$B$5-H119/原始输入与口径!$B$5)</f>
        <v>50.5601118012423</v>
      </c>
      <c r="K119" s="12">
        <v>51.627652173913098</v>
      </c>
      <c r="L119" s="12">
        <v>50.560111801242293</v>
      </c>
      <c r="M119" s="19">
        <f t="shared" si="9"/>
        <v>0</v>
      </c>
      <c r="N119" s="12">
        <f>E119*(G119*原始输入与口径!$B$5+H119/原始输入与口径!$B$5)/原始输入与口径!$H$5</f>
        <v>2.9653899240855756E-3</v>
      </c>
      <c r="O119" s="12">
        <v>2.9653899240855756E-3</v>
      </c>
      <c r="P119" s="19">
        <f t="shared" si="10"/>
        <v>0</v>
      </c>
      <c r="Q119" s="12">
        <f t="shared" si="11"/>
        <v>0</v>
      </c>
      <c r="R119" s="12">
        <f t="shared" si="12"/>
        <v>0.98213714285714282</v>
      </c>
      <c r="S119" s="1">
        <v>49</v>
      </c>
      <c r="T119" s="14">
        <v>46235</v>
      </c>
    </row>
    <row r="120" spans="1:20" ht="21" customHeight="1" x14ac:dyDescent="0.45">
      <c r="A120" s="31">
        <v>46235.502153809524</v>
      </c>
      <c r="B120" s="31">
        <v>46235.510416666664</v>
      </c>
      <c r="C120" s="31">
        <v>46235.5</v>
      </c>
      <c r="D120" s="1" t="s">
        <v>102</v>
      </c>
      <c r="E120" s="12">
        <v>0.19830857142857145</v>
      </c>
      <c r="F120" s="12">
        <f>IF(D120="d",两日求解价格与决策!K57-两日求解价格与决策!N57,IF(D120="u",两日求解价格与决策!K57+两日求解价格与决策!M57,两日求解价格与决策!K57))</f>
        <v>43</v>
      </c>
      <c r="G120" s="12">
        <f t="shared" si="7"/>
        <v>0</v>
      </c>
      <c r="H120" s="12">
        <f t="shared" si="8"/>
        <v>43</v>
      </c>
      <c r="I120" s="12">
        <f t="shared" si="13"/>
        <v>50.5601118012423</v>
      </c>
      <c r="J120" s="12">
        <f>I120+E120*(G120*原始输入与口径!$B$5-H120/原始输入与口径!$B$5)</f>
        <v>41.291341614906898</v>
      </c>
      <c r="K120" s="12">
        <v>50.560111801242293</v>
      </c>
      <c r="L120" s="12">
        <v>41.291341614906891</v>
      </c>
      <c r="M120" s="19">
        <f t="shared" si="9"/>
        <v>0</v>
      </c>
      <c r="N120" s="12">
        <f>E120*(G120*原始输入与口径!$B$5+H120/原始输入与口径!$B$5)/原始输入与口径!$H$5</f>
        <v>2.5746583850931679E-2</v>
      </c>
      <c r="O120" s="12">
        <v>2.5746583850931679E-2</v>
      </c>
      <c r="P120" s="19">
        <f t="shared" si="10"/>
        <v>0</v>
      </c>
      <c r="Q120" s="12">
        <f t="shared" si="11"/>
        <v>0</v>
      </c>
      <c r="R120" s="12">
        <f t="shared" si="12"/>
        <v>8.5272685714285714</v>
      </c>
      <c r="S120" s="1">
        <v>49</v>
      </c>
      <c r="T120" s="14">
        <v>46235</v>
      </c>
    </row>
    <row r="121" spans="1:20" ht="21" customHeight="1" x14ac:dyDescent="0.45">
      <c r="A121" s="31">
        <v>46235.510416666664</v>
      </c>
      <c r="B121" s="31">
        <v>46235.513822857138</v>
      </c>
      <c r="C121" s="31">
        <v>46235.510416666664</v>
      </c>
      <c r="D121" s="1" t="s">
        <v>103</v>
      </c>
      <c r="E121" s="12">
        <v>8.174857142857142E-2</v>
      </c>
      <c r="F121" s="12">
        <f>IF(D121="d",两日求解价格与决策!K58-两日求解价格与决策!N58,IF(D121="u",两日求解价格与决策!K58+两日求解价格与决策!M58,两日求解价格与决策!K58))</f>
        <v>19</v>
      </c>
      <c r="G121" s="12">
        <f t="shared" si="7"/>
        <v>0</v>
      </c>
      <c r="H121" s="12">
        <f t="shared" si="8"/>
        <v>19</v>
      </c>
      <c r="I121" s="12">
        <f t="shared" si="13"/>
        <v>41.291341614906898</v>
      </c>
      <c r="J121" s="12">
        <f>I121+E121*(G121*原始输入与口径!$B$5-H121/原始输入与口径!$B$5)</f>
        <v>39.603055900621186</v>
      </c>
      <c r="K121" s="12">
        <v>41.291341614906891</v>
      </c>
      <c r="L121" s="12">
        <v>39.603055900621179</v>
      </c>
      <c r="M121" s="19">
        <f t="shared" si="9"/>
        <v>0</v>
      </c>
      <c r="N121" s="12">
        <f>E121*(G121*原始输入与口径!$B$5+H121/原始输入与口径!$B$5)/原始输入与口径!$H$5</f>
        <v>4.6896825396825388E-3</v>
      </c>
      <c r="O121" s="12">
        <v>4.6896825396825397E-3</v>
      </c>
      <c r="P121" s="19">
        <f t="shared" si="10"/>
        <v>0</v>
      </c>
      <c r="Q121" s="12">
        <f t="shared" si="11"/>
        <v>0</v>
      </c>
      <c r="R121" s="12">
        <f t="shared" si="12"/>
        <v>1.553222857142857</v>
      </c>
      <c r="S121" s="1">
        <v>50</v>
      </c>
      <c r="T121" s="14">
        <v>46235</v>
      </c>
    </row>
    <row r="122" spans="1:20" ht="21" customHeight="1" x14ac:dyDescent="0.45">
      <c r="A122" s="31">
        <v>46235.513822857138</v>
      </c>
      <c r="B122" s="31">
        <v>46235.520833333328</v>
      </c>
      <c r="C122" s="31">
        <v>46235.510416666664</v>
      </c>
      <c r="D122" s="1" t="s">
        <v>102</v>
      </c>
      <c r="E122" s="12">
        <v>0.16825142857142858</v>
      </c>
      <c r="F122" s="12">
        <f>IF(D122="d",两日求解价格与决策!K58-两日求解价格与决策!N58,IF(D122="u",两日求解价格与决策!K58+两日求解价格与决策!M58,两日求解价格与决策!K58))</f>
        <v>43</v>
      </c>
      <c r="G122" s="12">
        <f t="shared" si="7"/>
        <v>0</v>
      </c>
      <c r="H122" s="12">
        <f t="shared" si="8"/>
        <v>43</v>
      </c>
      <c r="I122" s="12">
        <f t="shared" si="13"/>
        <v>39.603055900621186</v>
      </c>
      <c r="J122" s="12">
        <f>I122+E122*(G122*原始输入与口径!$B$5-H122/原始输入与口径!$B$5)</f>
        <v>31.739130434782677</v>
      </c>
      <c r="K122" s="12">
        <v>39.603055900621179</v>
      </c>
      <c r="L122" s="12">
        <v>31.73913043478267</v>
      </c>
      <c r="M122" s="19">
        <f t="shared" si="9"/>
        <v>0</v>
      </c>
      <c r="N122" s="12">
        <f>E122*(G122*原始输入与口径!$B$5+H122/原始输入与口径!$B$5)/原始输入与口径!$H$5</f>
        <v>2.1844237405106971E-2</v>
      </c>
      <c r="O122" s="12">
        <v>2.1844237405106971E-2</v>
      </c>
      <c r="P122" s="19">
        <f t="shared" si="10"/>
        <v>0</v>
      </c>
      <c r="Q122" s="12">
        <f t="shared" si="11"/>
        <v>0</v>
      </c>
      <c r="R122" s="12">
        <f t="shared" si="12"/>
        <v>7.2348114285714287</v>
      </c>
      <c r="S122" s="1">
        <v>50</v>
      </c>
      <c r="T122" s="14">
        <v>46235</v>
      </c>
    </row>
    <row r="123" spans="1:20" ht="21" customHeight="1" x14ac:dyDescent="0.45">
      <c r="A123" s="31">
        <v>46235.520833333336</v>
      </c>
      <c r="B123" s="31">
        <v>46235.525869523815</v>
      </c>
      <c r="C123" s="31">
        <v>46235.520833333336</v>
      </c>
      <c r="D123" s="1" t="s">
        <v>103</v>
      </c>
      <c r="E123" s="12">
        <v>0.12086857142857144</v>
      </c>
      <c r="F123" s="12">
        <f>IF(D123="d",两日求解价格与决策!K59-两日求解价格与决策!N59,IF(D123="u",两日求解价格与决策!K59+两日求解价格与决策!M59,两日求解价格与决策!K59))</f>
        <v>-13.391059305994137</v>
      </c>
      <c r="G123" s="12">
        <f t="shared" si="7"/>
        <v>13.391059305994137</v>
      </c>
      <c r="H123" s="12">
        <f t="shared" si="8"/>
        <v>0</v>
      </c>
      <c r="I123" s="12">
        <f t="shared" si="13"/>
        <v>31.739130434782677</v>
      </c>
      <c r="J123" s="12">
        <f>I123+E123*(G123*原始输入与口径!$B$5-H123/原始输入与口径!$B$5)</f>
        <v>33.228203986355005</v>
      </c>
      <c r="K123" s="12">
        <v>31.73913043478267</v>
      </c>
      <c r="L123" s="12">
        <v>33.228203986354998</v>
      </c>
      <c r="M123" s="19">
        <f t="shared" si="9"/>
        <v>0</v>
      </c>
      <c r="N123" s="12">
        <f>E123*(G123*原始输入与口径!$B$5+H123/原始输入与口径!$B$5)/原始输入与口径!$H$5</f>
        <v>4.1363154210342376E-3</v>
      </c>
      <c r="O123" s="12">
        <v>4.1363154210342376E-3</v>
      </c>
      <c r="P123" s="19">
        <f t="shared" si="10"/>
        <v>0</v>
      </c>
      <c r="Q123" s="12">
        <f t="shared" si="11"/>
        <v>1.6185582082307886</v>
      </c>
      <c r="R123" s="12">
        <f t="shared" si="12"/>
        <v>0</v>
      </c>
      <c r="S123" s="1">
        <v>51</v>
      </c>
      <c r="T123" s="14">
        <v>46235</v>
      </c>
    </row>
    <row r="124" spans="1:20" ht="21" customHeight="1" x14ac:dyDescent="0.45">
      <c r="A124" s="31">
        <v>46235.525869523815</v>
      </c>
      <c r="B124" s="31">
        <v>46235.53125</v>
      </c>
      <c r="C124" s="31">
        <v>46235.520833333336</v>
      </c>
      <c r="D124" s="1" t="s">
        <v>102</v>
      </c>
      <c r="E124" s="12">
        <v>0.12913142857142856</v>
      </c>
      <c r="F124" s="12">
        <f>IF(D124="d",两日求解价格与决策!K59-两日求解价格与决策!N59,IF(D124="u",两日求解价格与决策!K59+两日求解价格与决策!M59,两日求解价格与决策!K59))</f>
        <v>10.608940694005863</v>
      </c>
      <c r="G124" s="12">
        <f t="shared" si="7"/>
        <v>0</v>
      </c>
      <c r="H124" s="12">
        <f t="shared" si="8"/>
        <v>10.608940694005863</v>
      </c>
      <c r="I124" s="12">
        <f t="shared" si="13"/>
        <v>33.228203986355005</v>
      </c>
      <c r="J124" s="12">
        <f>I124+E124*(G124*原始输入与口径!$B$5-H124/原始输入与口径!$B$5)</f>
        <v>31.73913043478268</v>
      </c>
      <c r="K124" s="12">
        <v>33.228203986354998</v>
      </c>
      <c r="L124" s="12">
        <v>31.739130434782673</v>
      </c>
      <c r="M124" s="19">
        <f t="shared" si="9"/>
        <v>0</v>
      </c>
      <c r="N124" s="12">
        <f>E124*(G124*原始输入与口径!$B$5+H124/原始输入与口径!$B$5)/原始输入与口径!$H$5</f>
        <v>4.1363154210342385E-3</v>
      </c>
      <c r="O124" s="12">
        <v>4.1363154210342385E-3</v>
      </c>
      <c r="P124" s="19">
        <f t="shared" si="10"/>
        <v>0</v>
      </c>
      <c r="Q124" s="12">
        <f t="shared" si="11"/>
        <v>0</v>
      </c>
      <c r="R124" s="12">
        <f t="shared" si="12"/>
        <v>1.3699476674465398</v>
      </c>
      <c r="S124" s="1">
        <v>51</v>
      </c>
      <c r="T124" s="14">
        <v>46235</v>
      </c>
    </row>
    <row r="125" spans="1:20" ht="21" customHeight="1" x14ac:dyDescent="0.45">
      <c r="A125" s="31">
        <v>46235.53125</v>
      </c>
      <c r="B125" s="31">
        <v>46235.536697142859</v>
      </c>
      <c r="C125" s="31">
        <v>46235.53125</v>
      </c>
      <c r="D125" s="1" t="s">
        <v>103</v>
      </c>
      <c r="E125" s="12">
        <v>0.13073142857142858</v>
      </c>
      <c r="F125" s="12">
        <f>IF(D125="d",两日求解价格与决策!K60-两日求解价格与决策!N60,IF(D125="u",两日求解价格与决策!K60+两日求解价格与决策!M60,两日求解价格与决策!K60))</f>
        <v>-35.084241404266834</v>
      </c>
      <c r="G125" s="12">
        <f t="shared" si="7"/>
        <v>35.084241404266834</v>
      </c>
      <c r="H125" s="12">
        <f t="shared" si="8"/>
        <v>0</v>
      </c>
      <c r="I125" s="12">
        <f t="shared" si="13"/>
        <v>31.73913043478268</v>
      </c>
      <c r="J125" s="12">
        <f>I125+E125*(G125*原始输入与口径!$B$5-H125/原始输入与口径!$B$5)</f>
        <v>35.958814393977377</v>
      </c>
      <c r="K125" s="12">
        <v>31.739130434782673</v>
      </c>
      <c r="L125" s="12">
        <v>35.95881439397737</v>
      </c>
      <c r="M125" s="19">
        <f t="shared" si="9"/>
        <v>0</v>
      </c>
      <c r="N125" s="12">
        <f>E125*(G125*原始输入与口径!$B$5+H125/原始输入与口径!$B$5)/原始输入与口径!$H$5</f>
        <v>1.1721344331096372E-2</v>
      </c>
      <c r="O125" s="12">
        <v>1.1721344331096372E-2</v>
      </c>
      <c r="P125" s="19">
        <f t="shared" si="10"/>
        <v>0</v>
      </c>
      <c r="Q125" s="12">
        <f t="shared" si="11"/>
        <v>4.5866129991246671</v>
      </c>
      <c r="R125" s="12">
        <f t="shared" si="12"/>
        <v>0</v>
      </c>
      <c r="S125" s="1">
        <v>52</v>
      </c>
      <c r="T125" s="14">
        <v>46235</v>
      </c>
    </row>
    <row r="126" spans="1:20" ht="21" customHeight="1" x14ac:dyDescent="0.45">
      <c r="A126" s="31">
        <v>46235.536697142859</v>
      </c>
      <c r="B126" s="31">
        <v>46235.541666666664</v>
      </c>
      <c r="C126" s="31">
        <v>46235.53125</v>
      </c>
      <c r="D126" s="1" t="s">
        <v>102</v>
      </c>
      <c r="E126" s="12">
        <v>0.11926857142857142</v>
      </c>
      <c r="F126" s="12">
        <f>IF(D126="d",两日求解价格与决策!K60-两日求解价格与决策!N60,IF(D126="u",两日求解价格与决策!K60+两日求解价格与决策!M60,两日求解价格与决策!K60))</f>
        <v>-11.084241404266832</v>
      </c>
      <c r="G126" s="12">
        <f t="shared" si="7"/>
        <v>11.084241404266832</v>
      </c>
      <c r="H126" s="12">
        <f t="shared" si="8"/>
        <v>0</v>
      </c>
      <c r="I126" s="12">
        <f t="shared" si="13"/>
        <v>35.958814393977377</v>
      </c>
      <c r="J126" s="12">
        <f>I126+E126*(G126*原始输入与口径!$B$5-H126/原始输入与口径!$B$5)</f>
        <v>37.175055900621196</v>
      </c>
      <c r="K126" s="12">
        <v>35.95881439397737</v>
      </c>
      <c r="L126" s="12">
        <v>37.175055900621189</v>
      </c>
      <c r="M126" s="19">
        <f t="shared" si="9"/>
        <v>0</v>
      </c>
      <c r="N126" s="12">
        <f>E126*(G126*原始输入与口径!$B$5+H126/原始输入与口径!$B$5)/原始输入与口径!$H$5</f>
        <v>3.3784486295661701E-3</v>
      </c>
      <c r="O126" s="12">
        <v>3.3784486295661701E-3</v>
      </c>
      <c r="P126" s="19">
        <f t="shared" si="10"/>
        <v>0</v>
      </c>
      <c r="Q126" s="12">
        <f t="shared" si="11"/>
        <v>1.3220016376563275</v>
      </c>
      <c r="R126" s="12">
        <f t="shared" si="12"/>
        <v>0</v>
      </c>
      <c r="S126" s="1">
        <v>52</v>
      </c>
      <c r="T126" s="14">
        <v>46235</v>
      </c>
    </row>
    <row r="127" spans="1:20" ht="21" customHeight="1" x14ac:dyDescent="0.45">
      <c r="A127" s="31">
        <v>46235.541666666664</v>
      </c>
      <c r="B127" s="31">
        <v>46235.54860928571</v>
      </c>
      <c r="C127" s="31">
        <v>46235.541666666664</v>
      </c>
      <c r="D127" s="1" t="s">
        <v>103</v>
      </c>
      <c r="E127" s="12">
        <v>0.16662285714285713</v>
      </c>
      <c r="F127" s="12">
        <f>IF(D127="d",两日求解价格与决策!K61-两日求解价格与决策!N61,IF(D127="u",两日求解价格与决策!K61+两日求解价格与决策!M61,两日求解价格与决策!K61))</f>
        <v>12</v>
      </c>
      <c r="G127" s="12">
        <f t="shared" si="7"/>
        <v>0</v>
      </c>
      <c r="H127" s="12">
        <f t="shared" si="8"/>
        <v>12</v>
      </c>
      <c r="I127" s="12">
        <f t="shared" si="13"/>
        <v>37.175055900621196</v>
      </c>
      <c r="J127" s="12">
        <f>I127+E127*(G127*原始输入与口径!$B$5-H127/原始输入与口径!$B$5)</f>
        <v>35.001714285714364</v>
      </c>
      <c r="K127" s="12">
        <v>37.175055900621189</v>
      </c>
      <c r="L127" s="12">
        <v>35.001714285714357</v>
      </c>
      <c r="M127" s="19">
        <f t="shared" si="9"/>
        <v>0</v>
      </c>
      <c r="N127" s="12">
        <f>E127*(G127*原始输入与口径!$B$5+H127/原始输入与口径!$B$5)/原始输入与口径!$H$5</f>
        <v>6.0370600414078662E-3</v>
      </c>
      <c r="O127" s="12">
        <v>6.0370600414078662E-3</v>
      </c>
      <c r="P127" s="19">
        <f t="shared" si="10"/>
        <v>0</v>
      </c>
      <c r="Q127" s="12">
        <f t="shared" si="11"/>
        <v>0</v>
      </c>
      <c r="R127" s="12">
        <f t="shared" si="12"/>
        <v>1.9994742857142855</v>
      </c>
      <c r="S127" s="1">
        <v>53</v>
      </c>
      <c r="T127" s="14">
        <v>46235</v>
      </c>
    </row>
    <row r="128" spans="1:20" ht="21" customHeight="1" x14ac:dyDescent="0.45">
      <c r="A128" s="31">
        <v>46235.54860928571</v>
      </c>
      <c r="B128" s="31">
        <v>46235.552083333328</v>
      </c>
      <c r="C128" s="31">
        <v>46235.541666666664</v>
      </c>
      <c r="D128" s="1" t="s">
        <v>102</v>
      </c>
      <c r="E128" s="12">
        <v>8.3377142857142872E-2</v>
      </c>
      <c r="F128" s="12">
        <f>IF(D128="d",两日求解价格与决策!K61-两日求解价格与决策!N61,IF(D128="u",两日求解价格与决策!K61+两日求解价格与决策!M61,两日求解价格与决策!K61))</f>
        <v>36</v>
      </c>
      <c r="G128" s="12">
        <f t="shared" si="7"/>
        <v>0</v>
      </c>
      <c r="H128" s="12">
        <f t="shared" si="8"/>
        <v>36</v>
      </c>
      <c r="I128" s="12">
        <f t="shared" si="13"/>
        <v>35.001714285714364</v>
      </c>
      <c r="J128" s="12">
        <f>I128+E128*(G128*原始输入与口径!$B$5-H128/原始输入与口径!$B$5)</f>
        <v>31.739130434782687</v>
      </c>
      <c r="K128" s="12">
        <v>35.001714285714357</v>
      </c>
      <c r="L128" s="12">
        <v>31.73913043478268</v>
      </c>
      <c r="M128" s="19">
        <f t="shared" si="9"/>
        <v>0</v>
      </c>
      <c r="N128" s="12">
        <f>E128*(G128*原始输入与口径!$B$5+H128/原始输入与口径!$B$5)/原始输入与口径!$H$5</f>
        <v>9.0627329192546589E-3</v>
      </c>
      <c r="O128" s="12">
        <v>9.0627329192546589E-3</v>
      </c>
      <c r="P128" s="19">
        <f t="shared" si="10"/>
        <v>0</v>
      </c>
      <c r="Q128" s="12">
        <f t="shared" si="11"/>
        <v>0</v>
      </c>
      <c r="R128" s="12">
        <f t="shared" si="12"/>
        <v>3.0015771428571432</v>
      </c>
      <c r="S128" s="1">
        <v>53</v>
      </c>
      <c r="T128" s="14">
        <v>46235</v>
      </c>
    </row>
    <row r="129" spans="1:20" ht="21" customHeight="1" x14ac:dyDescent="0.45">
      <c r="A129" s="31">
        <v>46235.552083333336</v>
      </c>
      <c r="B129" s="31">
        <v>46235.559898571431</v>
      </c>
      <c r="C129" s="31">
        <v>46235.552083333336</v>
      </c>
      <c r="D129" s="1" t="s">
        <v>103</v>
      </c>
      <c r="E129" s="12">
        <v>0.18756571428571428</v>
      </c>
      <c r="F129" s="12">
        <f>IF(D129="d",两日求解价格与决策!K62-两日求解价格与决策!N62,IF(D129="u",两日求解价格与决策!K62+两日求解价格与决策!M62,两日求解价格与决策!K62))</f>
        <v>-60</v>
      </c>
      <c r="G129" s="12">
        <f t="shared" si="7"/>
        <v>60</v>
      </c>
      <c r="H129" s="12">
        <f t="shared" si="8"/>
        <v>0</v>
      </c>
      <c r="I129" s="12">
        <f t="shared" si="13"/>
        <v>31.739130434782687</v>
      </c>
      <c r="J129" s="12">
        <f>I129+E129*(G129*原始输入与口径!$B$5-H129/原始输入与口径!$B$5)</f>
        <v>42.092757863354116</v>
      </c>
      <c r="K129" s="12">
        <v>31.73913043478268</v>
      </c>
      <c r="L129" s="12">
        <v>42.092757863354109</v>
      </c>
      <c r="M129" s="19">
        <f t="shared" si="9"/>
        <v>0</v>
      </c>
      <c r="N129" s="12">
        <f>E129*(G129*原始输入与口径!$B$5+H129/原始输入与口径!$B$5)/原始输入与口径!$H$5</f>
        <v>2.8760076190476189E-2</v>
      </c>
      <c r="O129" s="12">
        <v>2.8760076190476189E-2</v>
      </c>
      <c r="P129" s="19">
        <f t="shared" si="10"/>
        <v>0</v>
      </c>
      <c r="Q129" s="12">
        <f t="shared" si="11"/>
        <v>11.253942857142857</v>
      </c>
      <c r="R129" s="12">
        <f t="shared" si="12"/>
        <v>0</v>
      </c>
      <c r="S129" s="1">
        <v>54</v>
      </c>
      <c r="T129" s="14">
        <v>46235</v>
      </c>
    </row>
    <row r="130" spans="1:20" ht="21" customHeight="1" x14ac:dyDescent="0.45">
      <c r="A130" s="31">
        <v>46235.559898571431</v>
      </c>
      <c r="B130" s="31">
        <v>46235.5625</v>
      </c>
      <c r="C130" s="31">
        <v>46235.552083333336</v>
      </c>
      <c r="D130" s="1" t="s">
        <v>102</v>
      </c>
      <c r="E130" s="12">
        <v>6.243428571428572E-2</v>
      </c>
      <c r="F130" s="12">
        <f>IF(D130="d",两日求解价格与决策!K62-两日求解价格与决策!N62,IF(D130="u",两日求解价格与决策!K62+两日求解价格与决策!M62,两日求解价格与决策!K62))</f>
        <v>-36</v>
      </c>
      <c r="G130" s="12">
        <f t="shared" si="7"/>
        <v>36</v>
      </c>
      <c r="H130" s="12">
        <f t="shared" si="8"/>
        <v>0</v>
      </c>
      <c r="I130" s="12">
        <f t="shared" si="13"/>
        <v>42.092757863354116</v>
      </c>
      <c r="J130" s="12">
        <f>I130+E130*(G130*原始输入与口径!$B$5-H130/原始输入与口径!$B$5)</f>
        <v>44.160581406211257</v>
      </c>
      <c r="K130" s="12">
        <v>42.092757863354109</v>
      </c>
      <c r="L130" s="12">
        <v>44.16058140621125</v>
      </c>
      <c r="M130" s="19">
        <f t="shared" si="9"/>
        <v>0</v>
      </c>
      <c r="N130" s="12">
        <f>E130*(G130*原始输入与口径!$B$5+H130/原始输入与口径!$B$5)/原始输入与口径!$H$5</f>
        <v>5.7439542857142872E-3</v>
      </c>
      <c r="O130" s="12">
        <v>5.7439542857142863E-3</v>
      </c>
      <c r="P130" s="19">
        <f t="shared" si="10"/>
        <v>0</v>
      </c>
      <c r="Q130" s="12">
        <f t="shared" si="11"/>
        <v>2.2476342857142857</v>
      </c>
      <c r="R130" s="12">
        <f t="shared" si="12"/>
        <v>0</v>
      </c>
      <c r="S130" s="1">
        <v>54</v>
      </c>
      <c r="T130" s="14">
        <v>46235</v>
      </c>
    </row>
    <row r="131" spans="1:20" ht="21" customHeight="1" x14ac:dyDescent="0.45">
      <c r="A131" s="31">
        <v>46235.5625</v>
      </c>
      <c r="B131" s="31">
        <v>46235.565170476191</v>
      </c>
      <c r="C131" s="31">
        <v>46235.5625</v>
      </c>
      <c r="D131" s="1" t="s">
        <v>103</v>
      </c>
      <c r="E131" s="12">
        <v>6.4091428571428563E-2</v>
      </c>
      <c r="F131" s="12">
        <f>IF(D131="d",两日求解价格与决策!K63-两日求解价格与决策!N63,IF(D131="u",两日求解价格与决策!K63+两日求解价格与决策!M63,两日求解价格与决策!K63))</f>
        <v>-60</v>
      </c>
      <c r="G131" s="12">
        <f t="shared" si="7"/>
        <v>60</v>
      </c>
      <c r="H131" s="12">
        <f t="shared" si="8"/>
        <v>0</v>
      </c>
      <c r="I131" s="12">
        <f t="shared" si="13"/>
        <v>44.160581406211257</v>
      </c>
      <c r="J131" s="12">
        <f>I131+E131*(G131*原始输入与口径!$B$5-H131/原始输入与口径!$B$5)</f>
        <v>47.698428263354117</v>
      </c>
      <c r="K131" s="12">
        <v>44.16058140621125</v>
      </c>
      <c r="L131" s="12">
        <v>47.69842826335411</v>
      </c>
      <c r="M131" s="19">
        <f t="shared" si="9"/>
        <v>0</v>
      </c>
      <c r="N131" s="12">
        <f>E131*(G131*原始输入与口径!$B$5+H131/原始输入与口径!$B$5)/原始输入与口径!$H$5</f>
        <v>9.82735238095238E-3</v>
      </c>
      <c r="O131" s="12">
        <v>9.82735238095238E-3</v>
      </c>
      <c r="P131" s="19">
        <f t="shared" si="10"/>
        <v>0</v>
      </c>
      <c r="Q131" s="12">
        <f t="shared" si="11"/>
        <v>3.8454857142857137</v>
      </c>
      <c r="R131" s="12">
        <f t="shared" si="12"/>
        <v>0</v>
      </c>
      <c r="S131" s="1">
        <v>55</v>
      </c>
      <c r="T131" s="14">
        <v>46235</v>
      </c>
    </row>
    <row r="132" spans="1:20" ht="21" customHeight="1" x14ac:dyDescent="0.45">
      <c r="A132" s="31">
        <v>46235.565170476191</v>
      </c>
      <c r="B132" s="31">
        <v>46235.572916666664</v>
      </c>
      <c r="C132" s="31">
        <v>46235.5625</v>
      </c>
      <c r="D132" s="1" t="s">
        <v>102</v>
      </c>
      <c r="E132" s="12">
        <v>0.18590857142857142</v>
      </c>
      <c r="F132" s="12">
        <f>IF(D132="d",两日求解价格与决策!K63-两日求解价格与决策!N63,IF(D132="u",两日求解价格与决策!K63+两日求解价格与决策!M63,两日求解价格与决策!K63))</f>
        <v>-36</v>
      </c>
      <c r="G132" s="12">
        <f t="shared" si="7"/>
        <v>36</v>
      </c>
      <c r="H132" s="12">
        <f t="shared" si="8"/>
        <v>0</v>
      </c>
      <c r="I132" s="12">
        <f t="shared" si="13"/>
        <v>47.698428263354117</v>
      </c>
      <c r="J132" s="12">
        <f>I132+E132*(G132*原始输入与口径!$B$5-H132/原始输入与口径!$B$5)</f>
        <v>53.855720149068404</v>
      </c>
      <c r="K132" s="12">
        <v>47.69842826335411</v>
      </c>
      <c r="L132" s="12">
        <v>53.855720149068397</v>
      </c>
      <c r="M132" s="19">
        <f t="shared" si="9"/>
        <v>0</v>
      </c>
      <c r="N132" s="12">
        <f>E132*(G132*原始输入与口径!$B$5+H132/原始输入与口径!$B$5)/原始输入与口径!$H$5</f>
        <v>1.7103588571428574E-2</v>
      </c>
      <c r="O132" s="12">
        <v>1.7103588571428574E-2</v>
      </c>
      <c r="P132" s="19">
        <f t="shared" si="10"/>
        <v>0</v>
      </c>
      <c r="Q132" s="12">
        <f t="shared" si="11"/>
        <v>6.6927085714285717</v>
      </c>
      <c r="R132" s="12">
        <f t="shared" si="12"/>
        <v>0</v>
      </c>
      <c r="S132" s="1">
        <v>55</v>
      </c>
      <c r="T132" s="14">
        <v>46235</v>
      </c>
    </row>
    <row r="133" spans="1:20" ht="21" customHeight="1" x14ac:dyDescent="0.45">
      <c r="A133" s="31">
        <v>46235.572916666664</v>
      </c>
      <c r="B133" s="31">
        <v>46235.577378809525</v>
      </c>
      <c r="C133" s="31">
        <v>46235.572916666664</v>
      </c>
      <c r="D133" s="1" t="s">
        <v>103</v>
      </c>
      <c r="E133" s="12">
        <v>0.10709142857142857</v>
      </c>
      <c r="F133" s="12">
        <f>IF(D133="d",两日求解价格与决策!K64-两日求解价格与决策!N64,IF(D133="u",两日求解价格与决策!K64+两日求解价格与决策!M64,两日求解价格与决策!K64))</f>
        <v>-60</v>
      </c>
      <c r="G133" s="12">
        <f t="shared" si="7"/>
        <v>60</v>
      </c>
      <c r="H133" s="12">
        <f t="shared" si="8"/>
        <v>0</v>
      </c>
      <c r="I133" s="12">
        <f t="shared" si="13"/>
        <v>53.855720149068404</v>
      </c>
      <c r="J133" s="12">
        <f>I133+E133*(G133*原始输入与口径!$B$5-H133/原始输入与口径!$B$5)</f>
        <v>59.76716700621126</v>
      </c>
      <c r="K133" s="12">
        <v>53.855720149068397</v>
      </c>
      <c r="L133" s="12">
        <v>59.767167006211253</v>
      </c>
      <c r="M133" s="19">
        <f t="shared" si="9"/>
        <v>0</v>
      </c>
      <c r="N133" s="12">
        <f>E133*(G133*原始输入与口径!$B$5+H133/原始输入与口径!$B$5)/原始输入与口径!$H$5</f>
        <v>1.6420685714285715E-2</v>
      </c>
      <c r="O133" s="12">
        <v>1.6420685714285715E-2</v>
      </c>
      <c r="P133" s="19">
        <f t="shared" si="10"/>
        <v>0</v>
      </c>
      <c r="Q133" s="12">
        <f t="shared" si="11"/>
        <v>6.4254857142857142</v>
      </c>
      <c r="R133" s="12">
        <f t="shared" si="12"/>
        <v>0</v>
      </c>
      <c r="S133" s="1">
        <v>56</v>
      </c>
      <c r="T133" s="14">
        <v>46235</v>
      </c>
    </row>
    <row r="134" spans="1:20" ht="21" customHeight="1" x14ac:dyDescent="0.45">
      <c r="A134" s="31">
        <v>46235.577378809525</v>
      </c>
      <c r="B134" s="31">
        <v>46235.583333333328</v>
      </c>
      <c r="C134" s="31">
        <v>46235.572916666664</v>
      </c>
      <c r="D134" s="1" t="s">
        <v>102</v>
      </c>
      <c r="E134" s="12">
        <v>0.14290857142857144</v>
      </c>
      <c r="F134" s="12">
        <f>IF(D134="d",两日求解价格与决策!K64-两日求解价格与决策!N64,IF(D134="u",两日求解价格与决策!K64+两日求解价格与决策!M64,两日求解价格与决策!K64))</f>
        <v>-36</v>
      </c>
      <c r="G134" s="12">
        <f t="shared" si="7"/>
        <v>36</v>
      </c>
      <c r="H134" s="12">
        <f t="shared" si="8"/>
        <v>0</v>
      </c>
      <c r="I134" s="12">
        <f t="shared" si="13"/>
        <v>59.76716700621126</v>
      </c>
      <c r="J134" s="12">
        <f>I134+E134*(G134*原始输入与口径!$B$5-H134/原始输入与口径!$B$5)</f>
        <v>64.500298891925553</v>
      </c>
      <c r="K134" s="12">
        <v>59.767167006211253</v>
      </c>
      <c r="L134" s="12">
        <v>64.500298891925539</v>
      </c>
      <c r="M134" s="19">
        <f t="shared" si="9"/>
        <v>0</v>
      </c>
      <c r="N134" s="12">
        <f>E134*(G134*原始输入与口径!$B$5+H134/原始输入与口径!$B$5)/原始输入与口径!$H$5</f>
        <v>1.3147588571428575E-2</v>
      </c>
      <c r="O134" s="12">
        <v>1.3147588571428573E-2</v>
      </c>
      <c r="P134" s="19">
        <f t="shared" si="10"/>
        <v>0</v>
      </c>
      <c r="Q134" s="12">
        <f t="shared" si="11"/>
        <v>5.1447085714285716</v>
      </c>
      <c r="R134" s="12">
        <f t="shared" si="12"/>
        <v>0</v>
      </c>
      <c r="S134" s="1">
        <v>56</v>
      </c>
      <c r="T134" s="14">
        <v>46235</v>
      </c>
    </row>
    <row r="135" spans="1:20" ht="21" customHeight="1" x14ac:dyDescent="0.45">
      <c r="A135" s="31">
        <v>46235.583333333336</v>
      </c>
      <c r="B135" s="31">
        <v>46235.585589285714</v>
      </c>
      <c r="C135" s="31">
        <v>46235.583333333336</v>
      </c>
      <c r="D135" s="1" t="s">
        <v>103</v>
      </c>
      <c r="E135" s="12">
        <v>5.4142857142857138E-2</v>
      </c>
      <c r="F135" s="12">
        <f>IF(D135="d",两日求解价格与决策!K65-两日求解价格与决策!N65,IF(D135="u",两日求解价格与决策!K65+两日求解价格与决策!M65,两日求解价格与决策!K65))</f>
        <v>-60</v>
      </c>
      <c r="G135" s="12">
        <f t="shared" si="7"/>
        <v>60</v>
      </c>
      <c r="H135" s="12">
        <f t="shared" si="8"/>
        <v>0</v>
      </c>
      <c r="I135" s="12">
        <f t="shared" si="13"/>
        <v>64.500298891925553</v>
      </c>
      <c r="J135" s="12">
        <f>I135+E135*(G135*原始输入与口径!$B$5-H135/原始输入与口径!$B$5)</f>
        <v>67.488984606211261</v>
      </c>
      <c r="K135" s="12">
        <v>64.500298891925539</v>
      </c>
      <c r="L135" s="12">
        <v>67.488984606211247</v>
      </c>
      <c r="M135" s="19">
        <f t="shared" si="9"/>
        <v>0</v>
      </c>
      <c r="N135" s="12">
        <f>E135*(G135*原始输入与口径!$B$5+H135/原始输入与口径!$B$5)/原始输入与口径!$H$5</f>
        <v>8.3019047619047621E-3</v>
      </c>
      <c r="O135" s="12">
        <v>8.3019047619047603E-3</v>
      </c>
      <c r="P135" s="19">
        <f t="shared" si="10"/>
        <v>0</v>
      </c>
      <c r="Q135" s="12">
        <f t="shared" si="11"/>
        <v>3.2485714285714282</v>
      </c>
      <c r="R135" s="12">
        <f t="shared" si="12"/>
        <v>0</v>
      </c>
      <c r="S135" s="1">
        <v>57</v>
      </c>
      <c r="T135" s="14">
        <v>46235</v>
      </c>
    </row>
    <row r="136" spans="1:20" ht="21" customHeight="1" x14ac:dyDescent="0.45">
      <c r="A136" s="31">
        <v>46235.585589285714</v>
      </c>
      <c r="B136" s="31">
        <v>46235.59375</v>
      </c>
      <c r="C136" s="31">
        <v>46235.583333333336</v>
      </c>
      <c r="D136" s="1" t="s">
        <v>102</v>
      </c>
      <c r="E136" s="12">
        <v>0.19585714285714287</v>
      </c>
      <c r="F136" s="12">
        <f>IF(D136="d",两日求解价格与决策!K65-两日求解价格与决策!N65,IF(D136="u",两日求解价格与决策!K65+两日求解价格与决策!M65,两日求解价格与决策!K65))</f>
        <v>-36</v>
      </c>
      <c r="G136" s="12">
        <f t="shared" si="7"/>
        <v>36</v>
      </c>
      <c r="H136" s="12">
        <f t="shared" si="8"/>
        <v>0</v>
      </c>
      <c r="I136" s="12">
        <f t="shared" si="13"/>
        <v>67.488984606211261</v>
      </c>
      <c r="J136" s="12">
        <f>I136+E136*(G136*原始输入与口径!$B$5-H136/原始输入与口径!$B$5)</f>
        <v>73.975773177639837</v>
      </c>
      <c r="K136" s="12">
        <v>67.488984606211247</v>
      </c>
      <c r="L136" s="12">
        <v>73.975773177639823</v>
      </c>
      <c r="M136" s="19">
        <f t="shared" si="9"/>
        <v>0</v>
      </c>
      <c r="N136" s="12">
        <f>E136*(G136*原始输入与口径!$B$5+H136/原始输入与口径!$B$5)/原始输入与口径!$H$5</f>
        <v>1.8018857142857145E-2</v>
      </c>
      <c r="O136" s="12">
        <v>1.8018857142857145E-2</v>
      </c>
      <c r="P136" s="19">
        <f t="shared" si="10"/>
        <v>0</v>
      </c>
      <c r="Q136" s="12">
        <f t="shared" si="11"/>
        <v>7.0508571428571436</v>
      </c>
      <c r="R136" s="12">
        <f t="shared" si="12"/>
        <v>0</v>
      </c>
      <c r="S136" s="1">
        <v>57</v>
      </c>
      <c r="T136" s="14">
        <v>46235</v>
      </c>
    </row>
    <row r="137" spans="1:20" ht="21" customHeight="1" x14ac:dyDescent="0.45">
      <c r="A137" s="31">
        <v>46235.59375</v>
      </c>
      <c r="B137" s="31">
        <v>46235.595342857145</v>
      </c>
      <c r="C137" s="31">
        <v>46235.59375</v>
      </c>
      <c r="D137" s="1" t="s">
        <v>103</v>
      </c>
      <c r="E137" s="12">
        <v>3.8228571428571431E-2</v>
      </c>
      <c r="F137" s="12">
        <f>IF(D137="d",两日求解价格与决策!K66-两日求解价格与决策!N66,IF(D137="u",两日求解价格与决策!K66+两日求解价格与决策!M66,两日求解价格与决策!K66))</f>
        <v>-60</v>
      </c>
      <c r="G137" s="12">
        <f t="shared" ref="G137:G200" si="14">MAX(-F137,0)</f>
        <v>60</v>
      </c>
      <c r="H137" s="12">
        <f t="shared" ref="H137:H200" si="15">MAX(F137,0)</f>
        <v>0</v>
      </c>
      <c r="I137" s="12">
        <f t="shared" si="13"/>
        <v>73.975773177639837</v>
      </c>
      <c r="J137" s="12">
        <f>I137+E137*(G137*原始输入与口径!$B$5-H137/原始输入与口径!$B$5)</f>
        <v>76.085990320496975</v>
      </c>
      <c r="K137" s="12">
        <v>73.975773177639823</v>
      </c>
      <c r="L137" s="12">
        <v>76.085990320496961</v>
      </c>
      <c r="M137" s="19">
        <f t="shared" ref="M137:M200" si="16">J137-L137</f>
        <v>0</v>
      </c>
      <c r="N137" s="12">
        <f>E137*(G137*原始输入与口径!$B$5+H137/原始输入与口径!$B$5)/原始输入与口径!$H$5</f>
        <v>5.8617142857142861E-3</v>
      </c>
      <c r="O137" s="12">
        <v>5.8617142857142878E-3</v>
      </c>
      <c r="P137" s="19">
        <f t="shared" ref="P137:P200" si="17">N137-O137</f>
        <v>0</v>
      </c>
      <c r="Q137" s="12">
        <f t="shared" ref="Q137:Q200" si="18">E137*G137</f>
        <v>2.293714285714286</v>
      </c>
      <c r="R137" s="12">
        <f t="shared" ref="R137:R200" si="19">E137*H137</f>
        <v>0</v>
      </c>
      <c r="S137" s="1">
        <v>58</v>
      </c>
      <c r="T137" s="14">
        <v>46235</v>
      </c>
    </row>
    <row r="138" spans="1:20" ht="21" customHeight="1" x14ac:dyDescent="0.45">
      <c r="A138" s="31">
        <v>46235.595342857145</v>
      </c>
      <c r="B138" s="31">
        <v>46235.604166666664</v>
      </c>
      <c r="C138" s="31">
        <v>46235.59375</v>
      </c>
      <c r="D138" s="1" t="s">
        <v>102</v>
      </c>
      <c r="E138" s="12">
        <v>0.21177142857142855</v>
      </c>
      <c r="F138" s="12">
        <f>IF(D138="d",两日求解价格与决策!K66-两日求解价格与决策!N66,IF(D138="u",两日求解价格与决策!K66+两日求解价格与决策!M66,两日求解价格与决策!K66))</f>
        <v>-36</v>
      </c>
      <c r="G138" s="12">
        <f t="shared" si="14"/>
        <v>36</v>
      </c>
      <c r="H138" s="12">
        <f t="shared" si="15"/>
        <v>0</v>
      </c>
      <c r="I138" s="12">
        <f t="shared" ref="I138:I201" si="20">J137</f>
        <v>76.085990320496975</v>
      </c>
      <c r="J138" s="12">
        <f>I138+E138*(G138*原始输入与口径!$B$5-H138/原始输入与口径!$B$5)</f>
        <v>83.099860034782694</v>
      </c>
      <c r="K138" s="12">
        <v>76.085990320496961</v>
      </c>
      <c r="L138" s="12">
        <v>83.099860034782679</v>
      </c>
      <c r="M138" s="19">
        <f t="shared" si="16"/>
        <v>0</v>
      </c>
      <c r="N138" s="12">
        <f>E138*(G138*原始输入与口径!$B$5+H138/原始输入与口径!$B$5)/原始输入与口径!$H$5</f>
        <v>1.948297142857143E-2</v>
      </c>
      <c r="O138" s="12">
        <v>1.9482971428571427E-2</v>
      </c>
      <c r="P138" s="19">
        <f t="shared" si="17"/>
        <v>0</v>
      </c>
      <c r="Q138" s="12">
        <f t="shared" si="18"/>
        <v>7.6237714285714278</v>
      </c>
      <c r="R138" s="12">
        <f t="shared" si="19"/>
        <v>0</v>
      </c>
      <c r="S138" s="1">
        <v>58</v>
      </c>
      <c r="T138" s="14">
        <v>46235</v>
      </c>
    </row>
    <row r="139" spans="1:20" ht="21" customHeight="1" x14ac:dyDescent="0.45">
      <c r="A139" s="31">
        <v>46235.604166666664</v>
      </c>
      <c r="B139" s="31">
        <v>46235.608465238096</v>
      </c>
      <c r="C139" s="31">
        <v>46235.604166666664</v>
      </c>
      <c r="D139" s="1" t="s">
        <v>103</v>
      </c>
      <c r="E139" s="12">
        <v>0.10316571428571428</v>
      </c>
      <c r="F139" s="12">
        <f>IF(D139="d",两日求解价格与决策!K67-两日求解价格与决策!N67,IF(D139="u",两日求解价格与决策!K67+两日求解价格与决策!M67,两日求解价格与决策!K67))</f>
        <v>-60</v>
      </c>
      <c r="G139" s="12">
        <f t="shared" si="14"/>
        <v>60</v>
      </c>
      <c r="H139" s="12">
        <f t="shared" si="15"/>
        <v>0</v>
      </c>
      <c r="I139" s="12">
        <f t="shared" si="20"/>
        <v>83.099860034782694</v>
      </c>
      <c r="J139" s="12">
        <f>I139+E139*(G139*原始输入与口径!$B$5-H139/原始输入与口径!$B$5)</f>
        <v>88.794607463354126</v>
      </c>
      <c r="K139" s="12">
        <v>83.099860034782679</v>
      </c>
      <c r="L139" s="12">
        <v>88.794607463354112</v>
      </c>
      <c r="M139" s="19">
        <f t="shared" si="16"/>
        <v>0</v>
      </c>
      <c r="N139" s="12">
        <f>E139*(G139*原始输入与口径!$B$5+H139/原始输入与口径!$B$5)/原始输入与口径!$H$5</f>
        <v>1.5818742857142857E-2</v>
      </c>
      <c r="O139" s="12">
        <v>1.5818742857142857E-2</v>
      </c>
      <c r="P139" s="19">
        <f t="shared" si="17"/>
        <v>0</v>
      </c>
      <c r="Q139" s="12">
        <f t="shared" si="18"/>
        <v>6.1899428571428565</v>
      </c>
      <c r="R139" s="12">
        <f t="shared" si="19"/>
        <v>0</v>
      </c>
      <c r="S139" s="1">
        <v>59</v>
      </c>
      <c r="T139" s="14">
        <v>46235</v>
      </c>
    </row>
    <row r="140" spans="1:20" ht="21" customHeight="1" x14ac:dyDescent="0.45">
      <c r="A140" s="31">
        <v>46235.608465238096</v>
      </c>
      <c r="B140" s="31">
        <v>46235.614583333328</v>
      </c>
      <c r="C140" s="31">
        <v>46235.604166666664</v>
      </c>
      <c r="D140" s="1" t="s">
        <v>102</v>
      </c>
      <c r="E140" s="12">
        <v>0.14683428571428572</v>
      </c>
      <c r="F140" s="12">
        <f>IF(D140="d",两日求解价格与决策!K67-两日求解价格与决策!N67,IF(D140="u",两日求解价格与决策!K67+两日求解价格与决策!M67,两日求解价格与决策!K67))</f>
        <v>-36</v>
      </c>
      <c r="G140" s="12">
        <f t="shared" si="14"/>
        <v>36</v>
      </c>
      <c r="H140" s="12">
        <f t="shared" si="15"/>
        <v>0</v>
      </c>
      <c r="I140" s="12">
        <f t="shared" si="20"/>
        <v>88.794607463354126</v>
      </c>
      <c r="J140" s="12">
        <f>I140+E140*(G140*原始输入与口径!$B$5-H140/原始输入与口径!$B$5)</f>
        <v>93.657759006211265</v>
      </c>
      <c r="K140" s="12">
        <v>88.794607463354112</v>
      </c>
      <c r="L140" s="12">
        <v>93.657759006211251</v>
      </c>
      <c r="M140" s="19">
        <f t="shared" si="16"/>
        <v>0</v>
      </c>
      <c r="N140" s="12">
        <f>E140*(G140*原始输入与口径!$B$5+H140/原始输入与口径!$B$5)/原始输入与口径!$H$5</f>
        <v>1.3508754285714287E-2</v>
      </c>
      <c r="O140" s="12">
        <v>1.3508754285714287E-2</v>
      </c>
      <c r="P140" s="19">
        <f t="shared" si="17"/>
        <v>0</v>
      </c>
      <c r="Q140" s="12">
        <f t="shared" si="18"/>
        <v>5.2860342857142859</v>
      </c>
      <c r="R140" s="12">
        <f t="shared" si="19"/>
        <v>0</v>
      </c>
      <c r="S140" s="1">
        <v>59</v>
      </c>
      <c r="T140" s="14">
        <v>46235</v>
      </c>
    </row>
    <row r="141" spans="1:20" ht="21" customHeight="1" x14ac:dyDescent="0.45">
      <c r="A141" s="31">
        <v>46235.614583333336</v>
      </c>
      <c r="B141" s="31">
        <v>46235.617501428576</v>
      </c>
      <c r="C141" s="31">
        <v>46235.614583333336</v>
      </c>
      <c r="D141" s="1" t="s">
        <v>103</v>
      </c>
      <c r="E141" s="12">
        <v>7.0034285714285716E-2</v>
      </c>
      <c r="F141" s="12">
        <f>IF(D141="d",两日求解价格与决策!K68-两日求解价格与决策!N68,IF(D141="u",两日求解价格与决策!K68+两日求解价格与决策!M68,两日求解价格与决策!K68))</f>
        <v>-60</v>
      </c>
      <c r="G141" s="12">
        <f t="shared" si="14"/>
        <v>60</v>
      </c>
      <c r="H141" s="12">
        <f t="shared" si="15"/>
        <v>0</v>
      </c>
      <c r="I141" s="12">
        <f t="shared" si="20"/>
        <v>93.657759006211265</v>
      </c>
      <c r="J141" s="12">
        <f>I141+E141*(G141*原始输入与口径!$B$5-H141/原始输入与口径!$B$5)</f>
        <v>97.523651577639839</v>
      </c>
      <c r="K141" s="12">
        <v>93.657759006211251</v>
      </c>
      <c r="L141" s="12">
        <v>97.523651577639825</v>
      </c>
      <c r="M141" s="19">
        <f t="shared" si="16"/>
        <v>0</v>
      </c>
      <c r="N141" s="12">
        <f>E141*(G141*原始输入与口径!$B$5+H141/原始输入与口径!$B$5)/原始输入与口径!$H$5</f>
        <v>1.0738590476190477E-2</v>
      </c>
      <c r="O141" s="12">
        <v>1.0738590476190477E-2</v>
      </c>
      <c r="P141" s="19">
        <f t="shared" si="17"/>
        <v>0</v>
      </c>
      <c r="Q141" s="12">
        <f t="shared" si="18"/>
        <v>4.2020571428571429</v>
      </c>
      <c r="R141" s="12">
        <f t="shared" si="19"/>
        <v>0</v>
      </c>
      <c r="S141" s="1">
        <v>60</v>
      </c>
      <c r="T141" s="14">
        <v>46235</v>
      </c>
    </row>
    <row r="142" spans="1:20" ht="21" customHeight="1" x14ac:dyDescent="0.45">
      <c r="A142" s="31">
        <v>46235.617501428576</v>
      </c>
      <c r="B142" s="31">
        <v>46235.625</v>
      </c>
      <c r="C142" s="31">
        <v>46235.614583333336</v>
      </c>
      <c r="D142" s="1" t="s">
        <v>102</v>
      </c>
      <c r="E142" s="12">
        <v>0.17996571428571428</v>
      </c>
      <c r="F142" s="12">
        <f>IF(D142="d",两日求解价格与决策!K68-两日求解价格与决策!N68,IF(D142="u",两日求解价格与决策!K68+两日求解价格与决策!M68,两日求解价格与决策!K68))</f>
        <v>-36</v>
      </c>
      <c r="G142" s="12">
        <f t="shared" si="14"/>
        <v>36</v>
      </c>
      <c r="H142" s="12">
        <f t="shared" si="15"/>
        <v>0</v>
      </c>
      <c r="I142" s="12">
        <f t="shared" si="20"/>
        <v>97.523651577639839</v>
      </c>
      <c r="J142" s="12">
        <f>I142+E142*(G142*原始输入与口径!$B$5-H142/原始输入与口径!$B$5)</f>
        <v>103.4841160347827</v>
      </c>
      <c r="K142" s="12">
        <v>97.523651577639825</v>
      </c>
      <c r="L142" s="12">
        <v>103.48411603478269</v>
      </c>
      <c r="M142" s="19">
        <f t="shared" si="16"/>
        <v>0</v>
      </c>
      <c r="N142" s="12">
        <f>E142*(G142*原始输入与口径!$B$5+H142/原始输入与口径!$B$5)/原始输入与口径!$H$5</f>
        <v>1.6556845714285714E-2</v>
      </c>
      <c r="O142" s="12">
        <v>1.6556845714285714E-2</v>
      </c>
      <c r="P142" s="19">
        <f t="shared" si="17"/>
        <v>0</v>
      </c>
      <c r="Q142" s="12">
        <f t="shared" si="18"/>
        <v>6.4787657142857142</v>
      </c>
      <c r="R142" s="12">
        <f t="shared" si="19"/>
        <v>0</v>
      </c>
      <c r="S142" s="1">
        <v>60</v>
      </c>
      <c r="T142" s="14">
        <v>46235</v>
      </c>
    </row>
    <row r="143" spans="1:20" ht="21" customHeight="1" x14ac:dyDescent="0.45">
      <c r="A143" s="31">
        <v>46235.625</v>
      </c>
      <c r="B143" s="31">
        <v>46235.625411904759</v>
      </c>
      <c r="C143" s="31">
        <v>46235.625</v>
      </c>
      <c r="D143" s="1" t="s">
        <v>103</v>
      </c>
      <c r="E143" s="12">
        <v>9.8857142857142859E-3</v>
      </c>
      <c r="F143" s="12">
        <f>IF(D143="d",两日求解价格与决策!K69-两日求解价格与决策!N69,IF(D143="u",两日求解价格与决策!K69+两日求解价格与决策!M69,两日求解价格与决策!K69))</f>
        <v>-60</v>
      </c>
      <c r="G143" s="12">
        <f t="shared" si="14"/>
        <v>60</v>
      </c>
      <c r="H143" s="12">
        <f t="shared" si="15"/>
        <v>0</v>
      </c>
      <c r="I143" s="12">
        <f t="shared" si="20"/>
        <v>103.4841160347827</v>
      </c>
      <c r="J143" s="12">
        <f>I143+E143*(G143*原始输入与口径!$B$5-H143/原始输入与口径!$B$5)</f>
        <v>104.02980746335413</v>
      </c>
      <c r="K143" s="12">
        <v>103.48411603478269</v>
      </c>
      <c r="L143" s="12">
        <v>104.02980746335412</v>
      </c>
      <c r="M143" s="19">
        <f t="shared" si="16"/>
        <v>0</v>
      </c>
      <c r="N143" s="12">
        <f>E143*(G143*原始输入与口径!$B$5+H143/原始输入与口径!$B$5)/原始输入与口径!$H$5</f>
        <v>1.5158095238095239E-3</v>
      </c>
      <c r="O143" s="12">
        <v>1.5158095238095239E-3</v>
      </c>
      <c r="P143" s="19">
        <f t="shared" si="17"/>
        <v>0</v>
      </c>
      <c r="Q143" s="12">
        <f t="shared" si="18"/>
        <v>0.59314285714285719</v>
      </c>
      <c r="R143" s="12">
        <f t="shared" si="19"/>
        <v>0</v>
      </c>
      <c r="S143" s="1">
        <v>61</v>
      </c>
      <c r="T143" s="14">
        <v>46235</v>
      </c>
    </row>
    <row r="144" spans="1:20" ht="21" customHeight="1" x14ac:dyDescent="0.45">
      <c r="A144" s="31">
        <v>46235.625411904759</v>
      </c>
      <c r="B144" s="31">
        <v>46235.625424285718</v>
      </c>
      <c r="C144" s="31">
        <v>46235.625</v>
      </c>
      <c r="D144" s="1" t="s">
        <v>101</v>
      </c>
      <c r="E144" s="12">
        <v>2.9714285714285715E-4</v>
      </c>
      <c r="F144" s="12">
        <f>IF(D144="d",两日求解价格与决策!K69-两日求解价格与决策!N69,IF(D144="u",两日求解价格与决策!K69+两日求解价格与决策!M69,两日求解价格与决策!K69))</f>
        <v>-13</v>
      </c>
      <c r="G144" s="12">
        <f t="shared" si="14"/>
        <v>13</v>
      </c>
      <c r="H144" s="12">
        <f t="shared" si="15"/>
        <v>0</v>
      </c>
      <c r="I144" s="12">
        <f t="shared" si="20"/>
        <v>104.02980746335413</v>
      </c>
      <c r="J144" s="12">
        <f>I144+E144*(G144*原始输入与口径!$B$5-H144/原始输入与口径!$B$5)</f>
        <v>104.03336129192556</v>
      </c>
      <c r="K144" s="12">
        <v>104.02980746335412</v>
      </c>
      <c r="L144" s="12">
        <v>104.03336129192554</v>
      </c>
      <c r="M144" s="19">
        <f t="shared" si="16"/>
        <v>0</v>
      </c>
      <c r="N144" s="12">
        <f>E144*(G144*原始输入与口径!$B$5+H144/原始输入与口径!$B$5)/原始输入与口径!$H$5</f>
        <v>9.8717460317460324E-6</v>
      </c>
      <c r="O144" s="12">
        <v>9.8717460317460307E-6</v>
      </c>
      <c r="P144" s="19">
        <f t="shared" si="17"/>
        <v>0</v>
      </c>
      <c r="Q144" s="12">
        <f t="shared" si="18"/>
        <v>3.8628571428571427E-3</v>
      </c>
      <c r="R144" s="12">
        <f t="shared" si="19"/>
        <v>0</v>
      </c>
      <c r="S144" s="1">
        <v>61</v>
      </c>
      <c r="T144" s="14">
        <v>46235</v>
      </c>
    </row>
    <row r="145" spans="1:20" ht="21" customHeight="1" x14ac:dyDescent="0.45">
      <c r="A145" s="31">
        <v>46235.625424285718</v>
      </c>
      <c r="B145" s="31">
        <v>46235.635416666664</v>
      </c>
      <c r="C145" s="31">
        <v>46235.625</v>
      </c>
      <c r="D145" s="1" t="s">
        <v>102</v>
      </c>
      <c r="E145" s="12">
        <v>0.23981714285714287</v>
      </c>
      <c r="F145" s="12">
        <f>IF(D145="d",两日求解价格与决策!K69-两日求解价格与决策!N69,IF(D145="u",两日求解价格与决策!K69+两日求解价格与决策!M69,两日求解价格与决策!K69))</f>
        <v>-37</v>
      </c>
      <c r="G145" s="12">
        <f t="shared" si="14"/>
        <v>37</v>
      </c>
      <c r="H145" s="12">
        <f t="shared" si="15"/>
        <v>0</v>
      </c>
      <c r="I145" s="12">
        <f t="shared" si="20"/>
        <v>104.03336129192556</v>
      </c>
      <c r="J145" s="12">
        <f>I145+E145*(G145*原始输入与口径!$B$5-H145/原始输入与口径!$B$5)</f>
        <v>112.1967368347827</v>
      </c>
      <c r="K145" s="12">
        <v>104.03336129192554</v>
      </c>
      <c r="L145" s="12">
        <v>112.19673683478268</v>
      </c>
      <c r="M145" s="19">
        <f t="shared" si="16"/>
        <v>0</v>
      </c>
      <c r="N145" s="12">
        <f>E145*(G145*原始输入与口径!$B$5+H145/原始输入与口径!$B$5)/原始输入与口径!$H$5</f>
        <v>2.2676043174603176E-2</v>
      </c>
      <c r="O145" s="12">
        <v>2.2676043174603179E-2</v>
      </c>
      <c r="P145" s="19">
        <f t="shared" si="17"/>
        <v>0</v>
      </c>
      <c r="Q145" s="12">
        <f t="shared" si="18"/>
        <v>8.8732342857142861</v>
      </c>
      <c r="R145" s="12">
        <f t="shared" si="19"/>
        <v>0</v>
      </c>
      <c r="S145" s="1">
        <v>61</v>
      </c>
      <c r="T145" s="14">
        <v>46235</v>
      </c>
    </row>
    <row r="146" spans="1:20" ht="21" customHeight="1" x14ac:dyDescent="0.45">
      <c r="A146" s="31">
        <v>46235.635416666664</v>
      </c>
      <c r="B146" s="31">
        <v>46235.636007857138</v>
      </c>
      <c r="C146" s="31">
        <v>46235.635416666664</v>
      </c>
      <c r="D146" s="1" t="s">
        <v>103</v>
      </c>
      <c r="E146" s="12">
        <v>1.4188571428571429E-2</v>
      </c>
      <c r="F146" s="12">
        <f>IF(D146="d",两日求解价格与决策!K70-两日求解价格与决策!N70,IF(D146="u",两日求解价格与决策!K70+两日求解价格与决策!M70,两日求解价格与决策!K70))</f>
        <v>-60</v>
      </c>
      <c r="G146" s="12">
        <f t="shared" si="14"/>
        <v>60</v>
      </c>
      <c r="H146" s="12">
        <f t="shared" si="15"/>
        <v>0</v>
      </c>
      <c r="I146" s="12">
        <f t="shared" si="20"/>
        <v>112.1967368347827</v>
      </c>
      <c r="J146" s="12">
        <f>I146+E146*(G146*原始输入与口径!$B$5-H146/原始输入与口径!$B$5)</f>
        <v>112.97994597763984</v>
      </c>
      <c r="K146" s="12">
        <v>112.19673683478268</v>
      </c>
      <c r="L146" s="12">
        <v>112.97994597763983</v>
      </c>
      <c r="M146" s="19">
        <f t="shared" si="16"/>
        <v>0</v>
      </c>
      <c r="N146" s="12">
        <f>E146*(G146*原始输入与口径!$B$5+H146/原始输入与口径!$B$5)/原始输入与口径!$H$5</f>
        <v>2.1755809523809526E-3</v>
      </c>
      <c r="O146" s="12">
        <v>2.1755809523809522E-3</v>
      </c>
      <c r="P146" s="19">
        <f t="shared" si="17"/>
        <v>0</v>
      </c>
      <c r="Q146" s="12">
        <f t="shared" si="18"/>
        <v>0.85131428571428569</v>
      </c>
      <c r="R146" s="12">
        <f t="shared" si="19"/>
        <v>0</v>
      </c>
      <c r="S146" s="1">
        <v>62</v>
      </c>
      <c r="T146" s="14">
        <v>46235</v>
      </c>
    </row>
    <row r="147" spans="1:20" ht="21" customHeight="1" x14ac:dyDescent="0.45">
      <c r="A147" s="31">
        <v>46235.636007857138</v>
      </c>
      <c r="B147" s="31">
        <v>46235.645833333328</v>
      </c>
      <c r="C147" s="31">
        <v>46235.635416666664</v>
      </c>
      <c r="D147" s="1" t="s">
        <v>102</v>
      </c>
      <c r="E147" s="12">
        <v>0.23581142857142856</v>
      </c>
      <c r="F147" s="12">
        <f>IF(D147="d",两日求解价格与决策!K70-两日求解价格与决策!N70,IF(D147="u",两日求解价格与决策!K70+两日求解价格与决策!M70,两日求解价格与决策!K70))</f>
        <v>-37</v>
      </c>
      <c r="G147" s="12">
        <f t="shared" si="14"/>
        <v>37</v>
      </c>
      <c r="H147" s="12">
        <f t="shared" si="15"/>
        <v>0</v>
      </c>
      <c r="I147" s="12">
        <f t="shared" si="20"/>
        <v>112.97994597763984</v>
      </c>
      <c r="J147" s="12">
        <f>I147+E147*(G147*原始输入与口径!$B$5-H147/原始输入与口径!$B$5)</f>
        <v>121.00696700621127</v>
      </c>
      <c r="K147" s="12">
        <v>112.97994597763983</v>
      </c>
      <c r="L147" s="12">
        <v>121.00696700621126</v>
      </c>
      <c r="M147" s="19">
        <f t="shared" si="16"/>
        <v>0</v>
      </c>
      <c r="N147" s="12">
        <f>E147*(G147*原始输入与口径!$B$5+H147/原始输入与口径!$B$5)/原始输入与口径!$H$5</f>
        <v>2.2297280634920633E-2</v>
      </c>
      <c r="O147" s="12">
        <v>2.2297280634920636E-2</v>
      </c>
      <c r="P147" s="19">
        <f t="shared" si="17"/>
        <v>0</v>
      </c>
      <c r="Q147" s="12">
        <f t="shared" si="18"/>
        <v>8.7250228571428572</v>
      </c>
      <c r="R147" s="12">
        <f t="shared" si="19"/>
        <v>0</v>
      </c>
      <c r="S147" s="1">
        <v>62</v>
      </c>
      <c r="T147" s="14">
        <v>46235</v>
      </c>
    </row>
    <row r="148" spans="1:20" ht="21" customHeight="1" x14ac:dyDescent="0.45">
      <c r="A148" s="31">
        <v>46235.645833333336</v>
      </c>
      <c r="B148" s="31">
        <v>46235.647822857143</v>
      </c>
      <c r="C148" s="31">
        <v>46235.645833333336</v>
      </c>
      <c r="D148" s="1" t="s">
        <v>103</v>
      </c>
      <c r="E148" s="12">
        <v>4.7748571428571425E-2</v>
      </c>
      <c r="F148" s="12">
        <f>IF(D148="d",两日求解价格与决策!K71-两日求解价格与决策!N71,IF(D148="u",两日求解价格与决策!K71+两日求解价格与决策!M71,两日求解价格与决策!K71))</f>
        <v>-60</v>
      </c>
      <c r="G148" s="12">
        <f t="shared" si="14"/>
        <v>60</v>
      </c>
      <c r="H148" s="12">
        <f t="shared" si="15"/>
        <v>0</v>
      </c>
      <c r="I148" s="12">
        <f t="shared" si="20"/>
        <v>121.00696700621127</v>
      </c>
      <c r="J148" s="12">
        <f>I148+E148*(G148*原始输入与口径!$B$5-H148/原始输入与口径!$B$5)</f>
        <v>123.64268814906841</v>
      </c>
      <c r="K148" s="12">
        <v>121.00696700621126</v>
      </c>
      <c r="L148" s="12">
        <v>123.64268814906839</v>
      </c>
      <c r="M148" s="19">
        <f t="shared" si="16"/>
        <v>0</v>
      </c>
      <c r="N148" s="12">
        <f>E148*(G148*原始输入与口径!$B$5+H148/原始输入与口径!$B$5)/原始输入与口径!$H$5</f>
        <v>7.3214476190476187E-3</v>
      </c>
      <c r="O148" s="12">
        <v>7.3214476190476187E-3</v>
      </c>
      <c r="P148" s="19">
        <f t="shared" si="17"/>
        <v>0</v>
      </c>
      <c r="Q148" s="12">
        <f t="shared" si="18"/>
        <v>2.8649142857142853</v>
      </c>
      <c r="R148" s="12">
        <f t="shared" si="19"/>
        <v>0</v>
      </c>
      <c r="S148" s="1">
        <v>63</v>
      </c>
      <c r="T148" s="14">
        <v>46235</v>
      </c>
    </row>
    <row r="149" spans="1:20" ht="21" customHeight="1" x14ac:dyDescent="0.45">
      <c r="A149" s="31">
        <v>46235.647822857143</v>
      </c>
      <c r="B149" s="31">
        <v>46235.65625</v>
      </c>
      <c r="C149" s="31">
        <v>46235.645833333336</v>
      </c>
      <c r="D149" s="1" t="s">
        <v>102</v>
      </c>
      <c r="E149" s="12">
        <v>0.20225142857142858</v>
      </c>
      <c r="F149" s="12">
        <f>IF(D149="d",两日求解价格与决策!K71-两日求解价格与决策!N71,IF(D149="u",两日求解价格与决策!K71+两日求解价格与决策!M71,两日求解价格与决策!K71))</f>
        <v>-37</v>
      </c>
      <c r="G149" s="12">
        <f t="shared" si="14"/>
        <v>37</v>
      </c>
      <c r="H149" s="12">
        <f t="shared" si="15"/>
        <v>0</v>
      </c>
      <c r="I149" s="12">
        <f t="shared" si="20"/>
        <v>123.64268814906841</v>
      </c>
      <c r="J149" s="12">
        <f>I149+E149*(G149*原始输入与口径!$B$5-H149/原始输入与口径!$B$5)</f>
        <v>130.52732677763984</v>
      </c>
      <c r="K149" s="12">
        <v>123.64268814906839</v>
      </c>
      <c r="L149" s="12">
        <v>130.52732677763981</v>
      </c>
      <c r="M149" s="19">
        <f t="shared" si="16"/>
        <v>0</v>
      </c>
      <c r="N149" s="12">
        <f>E149*(G149*原始输入与口径!$B$5+H149/原始输入与口径!$B$5)/原始输入与口径!$H$5</f>
        <v>1.9123996190476191E-2</v>
      </c>
      <c r="O149" s="12">
        <v>1.9123996190476191E-2</v>
      </c>
      <c r="P149" s="19">
        <f t="shared" si="17"/>
        <v>0</v>
      </c>
      <c r="Q149" s="12">
        <f t="shared" si="18"/>
        <v>7.4833028571428573</v>
      </c>
      <c r="R149" s="12">
        <f t="shared" si="19"/>
        <v>0</v>
      </c>
      <c r="S149" s="1">
        <v>63</v>
      </c>
      <c r="T149" s="14">
        <v>46235</v>
      </c>
    </row>
    <row r="150" spans="1:20" ht="21" customHeight="1" x14ac:dyDescent="0.45">
      <c r="A150" s="31">
        <v>46235.65625</v>
      </c>
      <c r="B150" s="31">
        <v>46235.656855238092</v>
      </c>
      <c r="C150" s="31">
        <v>46235.65625</v>
      </c>
      <c r="D150" s="1" t="s">
        <v>103</v>
      </c>
      <c r="E150" s="12">
        <v>1.4525714285714284E-2</v>
      </c>
      <c r="F150" s="12">
        <f>IF(D150="d",两日求解价格与决策!K72-两日求解价格与决策!N72,IF(D150="u",两日求解价格与决策!K72+两日求解价格与决策!M72,两日求解价格与决策!K72))</f>
        <v>-23</v>
      </c>
      <c r="G150" s="12">
        <f t="shared" si="14"/>
        <v>23</v>
      </c>
      <c r="H150" s="12">
        <f t="shared" si="15"/>
        <v>0</v>
      </c>
      <c r="I150" s="12">
        <f t="shared" si="20"/>
        <v>130.52732677763984</v>
      </c>
      <c r="J150" s="12">
        <f>I150+E150*(G150*原始输入与口径!$B$5-H150/原始输入与口径!$B$5)</f>
        <v>130.83469089192556</v>
      </c>
      <c r="K150" s="12">
        <v>130.52732677763981</v>
      </c>
      <c r="L150" s="12">
        <v>130.83469089192553</v>
      </c>
      <c r="M150" s="19">
        <f t="shared" si="16"/>
        <v>0</v>
      </c>
      <c r="N150" s="12">
        <f>E150*(G150*原始输入与口径!$B$5+H150/原始输入与口径!$B$5)/原始输入与口径!$H$5</f>
        <v>8.5378920634920626E-4</v>
      </c>
      <c r="O150" s="12">
        <v>8.5378920634920626E-4</v>
      </c>
      <c r="P150" s="19">
        <f t="shared" si="17"/>
        <v>0</v>
      </c>
      <c r="Q150" s="12">
        <f t="shared" si="18"/>
        <v>0.33409142857142854</v>
      </c>
      <c r="R150" s="12">
        <f t="shared" si="19"/>
        <v>0</v>
      </c>
      <c r="S150" s="1">
        <v>64</v>
      </c>
      <c r="T150" s="14">
        <v>46235</v>
      </c>
    </row>
    <row r="151" spans="1:20" ht="21" customHeight="1" x14ac:dyDescent="0.45">
      <c r="A151" s="31">
        <v>46235.656855238092</v>
      </c>
      <c r="B151" s="31">
        <v>46235.656887380952</v>
      </c>
      <c r="C151" s="31">
        <v>46235.65625</v>
      </c>
      <c r="D151" s="1" t="s">
        <v>101</v>
      </c>
      <c r="E151" s="12">
        <v>7.7142857142857145E-4</v>
      </c>
      <c r="F151" s="12">
        <f>IF(D151="d",两日求解价格与决策!K72-两日求解价格与决策!N72,IF(D151="u",两日求解价格与决策!K72+两日求解价格与决策!M72,两日求解价格与决策!K72))</f>
        <v>24</v>
      </c>
      <c r="G151" s="12">
        <f t="shared" si="14"/>
        <v>0</v>
      </c>
      <c r="H151" s="12">
        <f t="shared" si="15"/>
        <v>24</v>
      </c>
      <c r="I151" s="12">
        <f t="shared" si="20"/>
        <v>130.83469089192556</v>
      </c>
      <c r="J151" s="12">
        <f>I151+E151*(G151*原始输入与口径!$B$5-H151/原始输入与口径!$B$5)</f>
        <v>130.81456666832307</v>
      </c>
      <c r="K151" s="12">
        <v>130.83469089192553</v>
      </c>
      <c r="L151" s="12">
        <v>130.81456666832304</v>
      </c>
      <c r="M151" s="19">
        <f t="shared" si="16"/>
        <v>0</v>
      </c>
      <c r="N151" s="12">
        <f>E151*(G151*原始输入与口径!$B$5+H151/原始输入与口径!$B$5)/原始输入与口径!$H$5</f>
        <v>5.590062111801242E-5</v>
      </c>
      <c r="O151" s="12">
        <v>5.590062111801242E-5</v>
      </c>
      <c r="P151" s="19">
        <f t="shared" si="17"/>
        <v>0</v>
      </c>
      <c r="Q151" s="12">
        <f t="shared" si="18"/>
        <v>0</v>
      </c>
      <c r="R151" s="12">
        <f t="shared" si="19"/>
        <v>1.8514285714285716E-2</v>
      </c>
      <c r="S151" s="1">
        <v>64</v>
      </c>
      <c r="T151" s="14">
        <v>46235</v>
      </c>
    </row>
    <row r="152" spans="1:20" ht="21" customHeight="1" x14ac:dyDescent="0.45">
      <c r="A152" s="31">
        <v>46235.656887380952</v>
      </c>
      <c r="B152" s="31">
        <v>46235.666666666664</v>
      </c>
      <c r="C152" s="31">
        <v>46235.65625</v>
      </c>
      <c r="D152" s="1" t="s">
        <v>102</v>
      </c>
      <c r="E152" s="12">
        <v>0.23470285714285716</v>
      </c>
      <c r="F152" s="12">
        <f>IF(D152="d",两日求解价格与决策!K72-两日求解价格与决策!N72,IF(D152="u",两日求解价格与决策!K72+两日求解价格与决策!M72,两日求解价格与决策!K72))</f>
        <v>0</v>
      </c>
      <c r="G152" s="12">
        <f t="shared" si="14"/>
        <v>0</v>
      </c>
      <c r="H152" s="12">
        <f t="shared" si="15"/>
        <v>0</v>
      </c>
      <c r="I152" s="12">
        <f t="shared" si="20"/>
        <v>130.81456666832307</v>
      </c>
      <c r="J152" s="12">
        <f>I152+E152*(G152*原始输入与口径!$B$5-H152/原始输入与口径!$B$5)</f>
        <v>130.81456666832307</v>
      </c>
      <c r="K152" s="12">
        <v>130.81456666832304</v>
      </c>
      <c r="L152" s="12">
        <v>130.81456666832304</v>
      </c>
      <c r="M152" s="19">
        <f t="shared" si="16"/>
        <v>0</v>
      </c>
      <c r="N152" s="12">
        <f>E152*(G152*原始输入与口径!$B$5+H152/原始输入与口径!$B$5)/原始输入与口径!$H$5</f>
        <v>0</v>
      </c>
      <c r="O152" s="12">
        <v>0</v>
      </c>
      <c r="P152" s="19">
        <f t="shared" si="17"/>
        <v>0</v>
      </c>
      <c r="Q152" s="12">
        <f t="shared" si="18"/>
        <v>0</v>
      </c>
      <c r="R152" s="12">
        <f t="shared" si="19"/>
        <v>0</v>
      </c>
      <c r="S152" s="1">
        <v>64</v>
      </c>
      <c r="T152" s="14">
        <v>46235</v>
      </c>
    </row>
    <row r="153" spans="1:20" ht="21" customHeight="1" x14ac:dyDescent="0.45">
      <c r="A153" s="31">
        <v>46235.666666666664</v>
      </c>
      <c r="B153" s="31">
        <v>46235.66672142857</v>
      </c>
      <c r="C153" s="31">
        <v>46235.666666666664</v>
      </c>
      <c r="D153" s="1" t="s">
        <v>103</v>
      </c>
      <c r="E153" s="12">
        <v>1.3142857142857144E-3</v>
      </c>
      <c r="F153" s="12">
        <f>IF(D153="d",两日求解价格与决策!K73-两日求解价格与决策!N73,IF(D153="u",两日求解价格与决策!K73+两日求解价格与决策!M73,两日求解价格与决策!K73))</f>
        <v>-60</v>
      </c>
      <c r="G153" s="12">
        <f t="shared" si="14"/>
        <v>60</v>
      </c>
      <c r="H153" s="12">
        <f t="shared" si="15"/>
        <v>0</v>
      </c>
      <c r="I153" s="12">
        <f t="shared" si="20"/>
        <v>130.81456666832307</v>
      </c>
      <c r="J153" s="12">
        <f>I153+E153*(G153*原始输入与口径!$B$5-H153/原始输入与口径!$B$5)</f>
        <v>130.88711523975164</v>
      </c>
      <c r="K153" s="12">
        <v>130.81456666832304</v>
      </c>
      <c r="L153" s="12">
        <v>130.88711523975161</v>
      </c>
      <c r="M153" s="19">
        <f t="shared" si="16"/>
        <v>0</v>
      </c>
      <c r="N153" s="12">
        <f>E153*(G153*原始输入与口径!$B$5+H153/原始输入与口径!$B$5)/原始输入与口径!$H$5</f>
        <v>2.0152380952380953E-4</v>
      </c>
      <c r="O153" s="12">
        <v>2.0152380952380953E-4</v>
      </c>
      <c r="P153" s="19">
        <f t="shared" si="17"/>
        <v>0</v>
      </c>
      <c r="Q153" s="12">
        <f t="shared" si="18"/>
        <v>7.8857142857142862E-2</v>
      </c>
      <c r="R153" s="12">
        <f t="shared" si="19"/>
        <v>0</v>
      </c>
      <c r="S153" s="1">
        <v>65</v>
      </c>
      <c r="T153" s="14">
        <v>46235</v>
      </c>
    </row>
    <row r="154" spans="1:20" ht="21" customHeight="1" x14ac:dyDescent="0.45">
      <c r="A154" s="31">
        <v>46235.66672142857</v>
      </c>
      <c r="B154" s="31">
        <v>46235.666765238093</v>
      </c>
      <c r="C154" s="31">
        <v>46235.666666666664</v>
      </c>
      <c r="D154" s="1" t="s">
        <v>101</v>
      </c>
      <c r="E154" s="12">
        <v>1.0514285714285714E-3</v>
      </c>
      <c r="F154" s="12">
        <f>IF(D154="d",两日求解价格与决策!K73-两日求解价格与决策!N73,IF(D154="u",两日求解价格与决策!K73+两日求解价格与决策!M73,两日求解价格与决策!K73))</f>
        <v>-36</v>
      </c>
      <c r="G154" s="12">
        <f t="shared" si="14"/>
        <v>36</v>
      </c>
      <c r="H154" s="12">
        <f t="shared" si="15"/>
        <v>0</v>
      </c>
      <c r="I154" s="12">
        <f t="shared" si="20"/>
        <v>130.88711523975164</v>
      </c>
      <c r="J154" s="12">
        <f>I154+E154*(G154*原始输入与口径!$B$5-H154/原始输入与口径!$B$5)</f>
        <v>130.92193855403735</v>
      </c>
      <c r="K154" s="12">
        <v>130.88711523975161</v>
      </c>
      <c r="L154" s="12">
        <v>130.92193855403733</v>
      </c>
      <c r="M154" s="19">
        <f t="shared" si="16"/>
        <v>0</v>
      </c>
      <c r="N154" s="12">
        <f>E154*(G154*原始输入与口径!$B$5+H154/原始输入与口径!$B$5)/原始输入与口径!$H$5</f>
        <v>9.6731428571428596E-5</v>
      </c>
      <c r="O154" s="12">
        <v>9.6731428571428569E-5</v>
      </c>
      <c r="P154" s="19">
        <f t="shared" si="17"/>
        <v>0</v>
      </c>
      <c r="Q154" s="12">
        <f t="shared" si="18"/>
        <v>3.7851428571428571E-2</v>
      </c>
      <c r="R154" s="12">
        <f t="shared" si="19"/>
        <v>0</v>
      </c>
      <c r="S154" s="1">
        <v>65</v>
      </c>
      <c r="T154" s="14">
        <v>46235</v>
      </c>
    </row>
    <row r="155" spans="1:20" ht="21" customHeight="1" x14ac:dyDescent="0.45">
      <c r="A155" s="31">
        <v>46235.666765238093</v>
      </c>
      <c r="B155" s="31">
        <v>46235.677083333328</v>
      </c>
      <c r="C155" s="31">
        <v>46235.666666666664</v>
      </c>
      <c r="D155" s="1" t="s">
        <v>102</v>
      </c>
      <c r="E155" s="12">
        <v>0.24763428571428572</v>
      </c>
      <c r="F155" s="12">
        <f>IF(D155="d",两日求解价格与决策!K73-两日求解价格与决策!N73,IF(D155="u",两日求解价格与决策!K73+两日求解价格与决策!M73,两日求解价格与决策!K73))</f>
        <v>-60</v>
      </c>
      <c r="G155" s="12">
        <f t="shared" si="14"/>
        <v>60</v>
      </c>
      <c r="H155" s="12">
        <f t="shared" si="15"/>
        <v>0</v>
      </c>
      <c r="I155" s="12">
        <f t="shared" si="20"/>
        <v>130.92193855403735</v>
      </c>
      <c r="J155" s="12">
        <f>I155+E155*(G155*原始输入与口径!$B$5-H155/原始输入与口径!$B$5)</f>
        <v>144.59135112546593</v>
      </c>
      <c r="K155" s="12">
        <v>130.92193855403733</v>
      </c>
      <c r="L155" s="12">
        <v>144.59135112546591</v>
      </c>
      <c r="M155" s="19">
        <f t="shared" si="16"/>
        <v>0</v>
      </c>
      <c r="N155" s="12">
        <f>E155*(G155*原始输入与口径!$B$5+H155/原始输入与口径!$B$5)/原始输入与口径!$H$5</f>
        <v>3.7970590476190481E-2</v>
      </c>
      <c r="O155" s="12">
        <v>3.7970590476190481E-2</v>
      </c>
      <c r="P155" s="19">
        <f t="shared" si="17"/>
        <v>0</v>
      </c>
      <c r="Q155" s="12">
        <f t="shared" si="18"/>
        <v>14.858057142857144</v>
      </c>
      <c r="R155" s="12">
        <f t="shared" si="19"/>
        <v>0</v>
      </c>
      <c r="S155" s="1">
        <v>65</v>
      </c>
      <c r="T155" s="14">
        <v>46235</v>
      </c>
    </row>
    <row r="156" spans="1:20" ht="21" customHeight="1" x14ac:dyDescent="0.45">
      <c r="A156" s="31">
        <v>46235.677083333336</v>
      </c>
      <c r="B156" s="31">
        <v>46235.677108809527</v>
      </c>
      <c r="C156" s="31">
        <v>46235.677083333336</v>
      </c>
      <c r="D156" s="1" t="s">
        <v>103</v>
      </c>
      <c r="E156" s="12">
        <v>6.1142857142857147E-4</v>
      </c>
      <c r="F156" s="12">
        <f>IF(D156="d",两日求解价格与决策!K74-两日求解价格与决策!N74,IF(D156="u",两日求解价格与决策!K74+两日求解价格与决策!M74,两日求解价格与决策!K74))</f>
        <v>-60</v>
      </c>
      <c r="G156" s="12">
        <f t="shared" si="14"/>
        <v>60</v>
      </c>
      <c r="H156" s="12">
        <f t="shared" si="15"/>
        <v>0</v>
      </c>
      <c r="I156" s="12">
        <f t="shared" si="20"/>
        <v>144.59135112546593</v>
      </c>
      <c r="J156" s="12">
        <f>I156+E156*(G156*原始输入与口径!$B$5-H156/原始输入与口径!$B$5)</f>
        <v>144.62510198260878</v>
      </c>
      <c r="K156" s="12">
        <v>144.59135112546591</v>
      </c>
      <c r="L156" s="12">
        <v>144.62510198260875</v>
      </c>
      <c r="M156" s="19">
        <f t="shared" si="16"/>
        <v>0</v>
      </c>
      <c r="N156" s="12">
        <f>E156*(G156*原始输入与口径!$B$5+H156/原始输入与口径!$B$5)/原始输入与口径!$H$5</f>
        <v>9.3752380952380961E-5</v>
      </c>
      <c r="O156" s="12">
        <v>9.3752380952380961E-5</v>
      </c>
      <c r="P156" s="19">
        <f t="shared" si="17"/>
        <v>0</v>
      </c>
      <c r="Q156" s="12">
        <f t="shared" si="18"/>
        <v>3.6685714285714287E-2</v>
      </c>
      <c r="R156" s="12">
        <f t="shared" si="19"/>
        <v>0</v>
      </c>
      <c r="S156" s="1">
        <v>66</v>
      </c>
      <c r="T156" s="14">
        <v>46235</v>
      </c>
    </row>
    <row r="157" spans="1:20" ht="21" customHeight="1" x14ac:dyDescent="0.45">
      <c r="A157" s="31">
        <v>46235.677108809527</v>
      </c>
      <c r="B157" s="31">
        <v>46235.677681428577</v>
      </c>
      <c r="C157" s="31">
        <v>46235.677083333336</v>
      </c>
      <c r="D157" s="1" t="s">
        <v>101</v>
      </c>
      <c r="E157" s="12">
        <v>1.3742857142857142E-2</v>
      </c>
      <c r="F157" s="12">
        <f>IF(D157="d",两日求解价格与决策!K74-两日求解价格与决策!N74,IF(D157="u",两日求解价格与决策!K74+两日求解价格与决策!M74,两日求解价格与决策!K74))</f>
        <v>-36</v>
      </c>
      <c r="G157" s="12">
        <f t="shared" si="14"/>
        <v>36</v>
      </c>
      <c r="H157" s="12">
        <f t="shared" si="15"/>
        <v>0</v>
      </c>
      <c r="I157" s="12">
        <f t="shared" si="20"/>
        <v>144.62510198260878</v>
      </c>
      <c r="J157" s="12">
        <f>I157+E157*(G157*原始输入与口径!$B$5-H157/原始输入与口径!$B$5)</f>
        <v>145.08026541118022</v>
      </c>
      <c r="K157" s="12">
        <v>144.62510198260875</v>
      </c>
      <c r="L157" s="12">
        <v>145.08026541118019</v>
      </c>
      <c r="M157" s="19">
        <f t="shared" si="16"/>
        <v>0</v>
      </c>
      <c r="N157" s="12">
        <f>E157*(G157*原始输入与口径!$B$5+H157/原始输入与口径!$B$5)/原始输入与口径!$H$5</f>
        <v>1.2643428571428572E-3</v>
      </c>
      <c r="O157" s="12">
        <v>1.264342857142857E-3</v>
      </c>
      <c r="P157" s="19">
        <f t="shared" si="17"/>
        <v>0</v>
      </c>
      <c r="Q157" s="12">
        <f t="shared" si="18"/>
        <v>0.4947428571428571</v>
      </c>
      <c r="R157" s="12">
        <f t="shared" si="19"/>
        <v>0</v>
      </c>
      <c r="S157" s="1">
        <v>66</v>
      </c>
      <c r="T157" s="14">
        <v>46235</v>
      </c>
    </row>
    <row r="158" spans="1:20" ht="21" customHeight="1" x14ac:dyDescent="0.45">
      <c r="A158" s="31">
        <v>46235.677681428577</v>
      </c>
      <c r="B158" s="31">
        <v>46235.6875</v>
      </c>
      <c r="C158" s="31">
        <v>46235.677083333336</v>
      </c>
      <c r="D158" s="1" t="s">
        <v>102</v>
      </c>
      <c r="E158" s="12">
        <v>0.23564571428571429</v>
      </c>
      <c r="F158" s="12">
        <f>IF(D158="d",两日求解价格与决策!K74-两日求解价格与决策!N74,IF(D158="u",两日求解价格与决策!K74+两日求解价格与决策!M74,两日求解价格与决策!K74))</f>
        <v>-60</v>
      </c>
      <c r="G158" s="12">
        <f t="shared" si="14"/>
        <v>60</v>
      </c>
      <c r="H158" s="12">
        <f t="shared" si="15"/>
        <v>0</v>
      </c>
      <c r="I158" s="12">
        <f t="shared" si="20"/>
        <v>145.08026541118022</v>
      </c>
      <c r="J158" s="12">
        <f>I158+E158*(G158*原始输入与口径!$B$5-H158/原始输入与口径!$B$5)</f>
        <v>158.08790883975166</v>
      </c>
      <c r="K158" s="12">
        <v>145.08026541118019</v>
      </c>
      <c r="L158" s="12">
        <v>158.08790883975163</v>
      </c>
      <c r="M158" s="19">
        <f t="shared" si="16"/>
        <v>0</v>
      </c>
      <c r="N158" s="12">
        <f>E158*(G158*原始输入与口径!$B$5+H158/原始输入与口径!$B$5)/原始输入与口径!$H$5</f>
        <v>3.6132342857142855E-2</v>
      </c>
      <c r="O158" s="12">
        <v>3.6132342857142855E-2</v>
      </c>
      <c r="P158" s="19">
        <f t="shared" si="17"/>
        <v>0</v>
      </c>
      <c r="Q158" s="12">
        <f t="shared" si="18"/>
        <v>14.138742857142857</v>
      </c>
      <c r="R158" s="12">
        <f t="shared" si="19"/>
        <v>0</v>
      </c>
      <c r="S158" s="1">
        <v>66</v>
      </c>
      <c r="T158" s="14">
        <v>46235</v>
      </c>
    </row>
    <row r="159" spans="1:20" ht="21" customHeight="1" x14ac:dyDescent="0.45">
      <c r="A159" s="31">
        <v>46235.6875</v>
      </c>
      <c r="B159" s="31">
        <v>46235.687522857144</v>
      </c>
      <c r="C159" s="31">
        <v>46235.6875</v>
      </c>
      <c r="D159" s="1" t="s">
        <v>103</v>
      </c>
      <c r="E159" s="12">
        <v>5.4857142857142854E-4</v>
      </c>
      <c r="F159" s="12">
        <f>IF(D159="d",两日求解价格与决策!K75-两日求解价格与决策!N75,IF(D159="u",两日求解价格与决策!K75+两日求解价格与决策!M75,两日求解价格与决策!K75))</f>
        <v>-59.794896721576919</v>
      </c>
      <c r="G159" s="12">
        <f t="shared" si="14"/>
        <v>59.794896721576919</v>
      </c>
      <c r="H159" s="12">
        <f t="shared" si="15"/>
        <v>0</v>
      </c>
      <c r="I159" s="12">
        <f t="shared" si="20"/>
        <v>158.08790883975166</v>
      </c>
      <c r="J159" s="12">
        <f>I159+E159*(G159*原始输入与口径!$B$5-H159/原始输入与口径!$B$5)</f>
        <v>158.11808646991423</v>
      </c>
      <c r="K159" s="12">
        <v>158.08790883975163</v>
      </c>
      <c r="L159" s="12">
        <v>158.1180864699142</v>
      </c>
      <c r="M159" s="19">
        <f t="shared" si="16"/>
        <v>0</v>
      </c>
      <c r="N159" s="12">
        <f>E159*(G159*原始输入与口径!$B$5+H159/原始输入与口径!$B$5)/原始输入与口径!$H$5</f>
        <v>8.3826750451582123E-5</v>
      </c>
      <c r="O159" s="12">
        <v>8.3826750451582109E-5</v>
      </c>
      <c r="P159" s="19">
        <f t="shared" si="17"/>
        <v>0</v>
      </c>
      <c r="Q159" s="12">
        <f t="shared" si="18"/>
        <v>3.2801771915836477E-2</v>
      </c>
      <c r="R159" s="12">
        <f t="shared" si="19"/>
        <v>0</v>
      </c>
      <c r="S159" s="1">
        <v>67</v>
      </c>
      <c r="T159" s="14">
        <v>46235</v>
      </c>
    </row>
    <row r="160" spans="1:20" ht="21" customHeight="1" x14ac:dyDescent="0.45">
      <c r="A160" s="31">
        <v>46235.687522857144</v>
      </c>
      <c r="B160" s="31">
        <v>46235.687977142858</v>
      </c>
      <c r="C160" s="31">
        <v>46235.6875</v>
      </c>
      <c r="D160" s="1" t="s">
        <v>101</v>
      </c>
      <c r="E160" s="12">
        <v>1.0902857142857143E-2</v>
      </c>
      <c r="F160" s="12">
        <f>IF(D160="d",两日求解价格与决策!K75-两日求解价格与决策!N75,IF(D160="u",两日求解价格与决策!K75+两日求解价格与决策!M75,两日求解价格与决策!K75))</f>
        <v>-35.794896721576919</v>
      </c>
      <c r="G160" s="12">
        <f t="shared" si="14"/>
        <v>35.794896721576919</v>
      </c>
      <c r="H160" s="12">
        <f t="shared" si="15"/>
        <v>0</v>
      </c>
      <c r="I160" s="12">
        <f t="shared" si="20"/>
        <v>158.11808646991423</v>
      </c>
      <c r="J160" s="12">
        <f>I160+E160*(G160*原始输入与口径!$B$5-H160/原始输入与口径!$B$5)</f>
        <v>158.47713178368102</v>
      </c>
      <c r="K160" s="12">
        <v>158.1180864699142</v>
      </c>
      <c r="L160" s="12">
        <v>158.47713178368099</v>
      </c>
      <c r="M160" s="19">
        <f t="shared" si="16"/>
        <v>0</v>
      </c>
      <c r="N160" s="12">
        <f>E160*(G160*原始输入与口径!$B$5+H160/原始输入与口径!$B$5)/原始输入与口径!$H$5</f>
        <v>9.9734809379662314E-4</v>
      </c>
      <c r="O160" s="12">
        <v>9.9734809379662314E-4</v>
      </c>
      <c r="P160" s="19">
        <f t="shared" si="17"/>
        <v>0</v>
      </c>
      <c r="Q160" s="12">
        <f t="shared" si="18"/>
        <v>0.39026664539867861</v>
      </c>
      <c r="R160" s="12">
        <f t="shared" si="19"/>
        <v>0</v>
      </c>
      <c r="S160" s="1">
        <v>67</v>
      </c>
      <c r="T160" s="14">
        <v>46235</v>
      </c>
    </row>
    <row r="161" spans="1:20" ht="21" customHeight="1" x14ac:dyDescent="0.45">
      <c r="A161" s="31">
        <v>46235.687977142858</v>
      </c>
      <c r="B161" s="31">
        <v>46235.697916666664</v>
      </c>
      <c r="C161" s="31">
        <v>46235.6875</v>
      </c>
      <c r="D161" s="1" t="s">
        <v>102</v>
      </c>
      <c r="E161" s="12">
        <v>0.23854857142857144</v>
      </c>
      <c r="F161" s="12">
        <f>IF(D161="d",两日求解价格与决策!K75-两日求解价格与决策!N75,IF(D161="u",两日求解价格与决策!K75+两日求解价格与决策!M75,两日求解价格与决策!K75))</f>
        <v>-59.794896721576919</v>
      </c>
      <c r="G161" s="12">
        <f t="shared" si="14"/>
        <v>59.794896721576919</v>
      </c>
      <c r="H161" s="12">
        <f t="shared" si="15"/>
        <v>0</v>
      </c>
      <c r="I161" s="12">
        <f t="shared" si="20"/>
        <v>158.47713178368102</v>
      </c>
      <c r="J161" s="12">
        <f>I161+E161*(G161*原始输入与口径!$B$5-H161/原始输入与口径!$B$5)</f>
        <v>171.60000000000008</v>
      </c>
      <c r="K161" s="12">
        <v>158.47713178368099</v>
      </c>
      <c r="L161" s="12">
        <v>171.60000000000005</v>
      </c>
      <c r="M161" s="19">
        <f t="shared" si="16"/>
        <v>0</v>
      </c>
      <c r="N161" s="12">
        <f>E161*(G161*原始输入与口径!$B$5+H161/原始输入与口径!$B$5)/原始输入与口径!$H$5</f>
        <v>3.6452411711997375E-2</v>
      </c>
      <c r="O161" s="12">
        <v>3.6452411711997368E-2</v>
      </c>
      <c r="P161" s="19">
        <f t="shared" si="17"/>
        <v>0</v>
      </c>
      <c r="Q161" s="12">
        <f t="shared" si="18"/>
        <v>14.263987191651143</v>
      </c>
      <c r="R161" s="12">
        <f t="shared" si="19"/>
        <v>0</v>
      </c>
      <c r="S161" s="1">
        <v>67</v>
      </c>
      <c r="T161" s="14">
        <v>46235</v>
      </c>
    </row>
    <row r="162" spans="1:20" ht="21" customHeight="1" x14ac:dyDescent="0.45">
      <c r="A162" s="31">
        <v>46235.697916666664</v>
      </c>
      <c r="B162" s="31">
        <v>46235.698003095233</v>
      </c>
      <c r="C162" s="31">
        <v>46235.697916666664</v>
      </c>
      <c r="D162" s="1" t="s">
        <v>103</v>
      </c>
      <c r="E162" s="12">
        <v>2.0742857142857143E-3</v>
      </c>
      <c r="F162" s="12">
        <f>IF(D162="d",两日求解价格与决策!K76-两日求解价格与决策!N76,IF(D162="u",两日求解价格与决策!K76+两日求解价格与决策!M76,两日求解价格与决策!K76))</f>
        <v>35.598427268261688</v>
      </c>
      <c r="G162" s="12">
        <f t="shared" si="14"/>
        <v>0</v>
      </c>
      <c r="H162" s="12">
        <f t="shared" si="15"/>
        <v>35.598427268261688</v>
      </c>
      <c r="I162" s="12">
        <f t="shared" si="20"/>
        <v>171.60000000000008</v>
      </c>
      <c r="J162" s="12">
        <f>I162+E162*(G162*原始输入与口径!$B$5-H162/原始输入与口径!$B$5)</f>
        <v>171.51973770746358</v>
      </c>
      <c r="K162" s="12">
        <v>171.60000000000005</v>
      </c>
      <c r="L162" s="12">
        <v>171.51973770746355</v>
      </c>
      <c r="M162" s="19">
        <f t="shared" si="16"/>
        <v>0</v>
      </c>
      <c r="N162" s="12">
        <f>E162*(G162*原始输入与口径!$B$5+H162/原始输入与口径!$B$5)/原始输入与口径!$H$5</f>
        <v>2.2295081260143189E-4</v>
      </c>
      <c r="O162" s="12">
        <v>2.2295081260143186E-4</v>
      </c>
      <c r="P162" s="19">
        <f t="shared" si="17"/>
        <v>0</v>
      </c>
      <c r="Q162" s="12">
        <f t="shared" si="18"/>
        <v>0</v>
      </c>
      <c r="R162" s="12">
        <f t="shared" si="19"/>
        <v>7.3841309133594241E-2</v>
      </c>
      <c r="S162" s="1">
        <v>68</v>
      </c>
      <c r="T162" s="14">
        <v>46235</v>
      </c>
    </row>
    <row r="163" spans="1:20" ht="21" customHeight="1" x14ac:dyDescent="0.45">
      <c r="A163" s="31">
        <v>46235.698003095233</v>
      </c>
      <c r="B163" s="31">
        <v>46235.698028809522</v>
      </c>
      <c r="C163" s="31">
        <v>46235.697916666664</v>
      </c>
      <c r="D163" s="1" t="s">
        <v>101</v>
      </c>
      <c r="E163" s="12">
        <v>6.1714285714285712E-4</v>
      </c>
      <c r="F163" s="12">
        <f>IF(D163="d",两日求解价格与决策!K76-两日求解价格与决策!N76,IF(D163="u",两日求解价格与决策!K76+两日求解价格与决策!M76,两日求解价格与决策!K76))</f>
        <v>59.598427268261688</v>
      </c>
      <c r="G163" s="12">
        <f t="shared" si="14"/>
        <v>0</v>
      </c>
      <c r="H163" s="12">
        <f t="shared" si="15"/>
        <v>59.598427268261688</v>
      </c>
      <c r="I163" s="12">
        <f t="shared" si="20"/>
        <v>171.51973770746358</v>
      </c>
      <c r="J163" s="12">
        <f>I163+E163*(G163*原始输入与口径!$B$5-H163/原始输入与口径!$B$5)</f>
        <v>171.47975863824016</v>
      </c>
      <c r="K163" s="12">
        <v>171.51973770746355</v>
      </c>
      <c r="L163" s="12">
        <v>171.47975863824013</v>
      </c>
      <c r="M163" s="19">
        <f t="shared" si="16"/>
        <v>0</v>
      </c>
      <c r="N163" s="12">
        <f>E163*(G163*原始输入与口径!$B$5+H163/原始输入与口径!$B$5)/原始输入与口径!$H$5</f>
        <v>1.1105297006508388E-4</v>
      </c>
      <c r="O163" s="12">
        <v>1.1105297006508388E-4</v>
      </c>
      <c r="P163" s="19">
        <f t="shared" si="17"/>
        <v>0</v>
      </c>
      <c r="Q163" s="12">
        <f t="shared" si="18"/>
        <v>0</v>
      </c>
      <c r="R163" s="12">
        <f t="shared" si="19"/>
        <v>3.6780743685555783E-2</v>
      </c>
      <c r="S163" s="1">
        <v>68</v>
      </c>
      <c r="T163" s="14">
        <v>46235</v>
      </c>
    </row>
    <row r="164" spans="1:20" ht="21" customHeight="1" x14ac:dyDescent="0.45">
      <c r="A164" s="31">
        <v>46235.698028809522</v>
      </c>
      <c r="B164" s="31">
        <v>46235.708333333328</v>
      </c>
      <c r="C164" s="31">
        <v>46235.697916666664</v>
      </c>
      <c r="D164" s="1" t="s">
        <v>102</v>
      </c>
      <c r="E164" s="12">
        <v>0.24730857142857143</v>
      </c>
      <c r="F164" s="12">
        <f>IF(D164="d",两日求解价格与决策!K76-两日求解价格与决策!N76,IF(D164="u",两日求解价格与决策!K76+两日求解价格与决策!M76,两日求解价格与决策!K76))</f>
        <v>35.598427268261688</v>
      </c>
      <c r="G164" s="12">
        <f t="shared" si="14"/>
        <v>0</v>
      </c>
      <c r="H164" s="12">
        <f t="shared" si="15"/>
        <v>35.598427268261688</v>
      </c>
      <c r="I164" s="12">
        <f t="shared" si="20"/>
        <v>171.47975863824016</v>
      </c>
      <c r="J164" s="12">
        <f>I164+E164*(G164*原始输入与口径!$B$5-H164/原始输入与口径!$B$5)</f>
        <v>161.91041495039482</v>
      </c>
      <c r="K164" s="12">
        <v>171.47975863824013</v>
      </c>
      <c r="L164" s="12">
        <v>161.9104149503948</v>
      </c>
      <c r="M164" s="19">
        <f t="shared" si="16"/>
        <v>0</v>
      </c>
      <c r="N164" s="12">
        <f>E164*(G164*原始输入与口径!$B$5+H164/原始输入与口径!$B$5)/原始输入与口径!$H$5</f>
        <v>2.6581510244014797E-2</v>
      </c>
      <c r="O164" s="12">
        <v>2.6581510244014794E-2</v>
      </c>
      <c r="P164" s="19">
        <f t="shared" si="17"/>
        <v>0</v>
      </c>
      <c r="Q164" s="12">
        <f t="shared" si="18"/>
        <v>0</v>
      </c>
      <c r="R164" s="12">
        <f t="shared" si="19"/>
        <v>8.8037961928176998</v>
      </c>
      <c r="S164" s="1">
        <v>68</v>
      </c>
      <c r="T164" s="14">
        <v>46235</v>
      </c>
    </row>
    <row r="165" spans="1:20" ht="21" customHeight="1" x14ac:dyDescent="0.45">
      <c r="A165" s="31">
        <v>46235.708333333336</v>
      </c>
      <c r="B165" s="31">
        <v>46235.708600952385</v>
      </c>
      <c r="C165" s="31">
        <v>46235.708333333336</v>
      </c>
      <c r="D165" s="1" t="s">
        <v>103</v>
      </c>
      <c r="E165" s="12">
        <v>6.4228571428571433E-3</v>
      </c>
      <c r="F165" s="12">
        <f>IF(D165="d",两日求解价格与决策!K77-两日求解价格与决策!N77,IF(D165="u",两日求解价格与决策!K77+两日求解价格与决策!M77,两日求解价格与决策!K77))</f>
        <v>-59.999999999999979</v>
      </c>
      <c r="G165" s="12">
        <f t="shared" si="14"/>
        <v>59.999999999999979</v>
      </c>
      <c r="H165" s="12">
        <f t="shared" si="15"/>
        <v>0</v>
      </c>
      <c r="I165" s="12">
        <f t="shared" si="20"/>
        <v>161.91041495039482</v>
      </c>
      <c r="J165" s="12">
        <f>I165+E165*(G165*原始输入与口径!$B$5-H165/原始输入与口径!$B$5)</f>
        <v>162.26495666468054</v>
      </c>
      <c r="K165" s="12">
        <v>161.9104149503948</v>
      </c>
      <c r="L165" s="12">
        <v>162.26495666468051</v>
      </c>
      <c r="M165" s="19">
        <f t="shared" si="16"/>
        <v>0</v>
      </c>
      <c r="N165" s="12">
        <f>E165*(G165*原始输入与口径!$B$5+H165/原始输入与口径!$B$5)/原始输入与口径!$H$5</f>
        <v>9.84838095238095E-4</v>
      </c>
      <c r="O165" s="12">
        <v>9.84838095238095E-4</v>
      </c>
      <c r="P165" s="19">
        <f t="shared" si="17"/>
        <v>0</v>
      </c>
      <c r="Q165" s="12">
        <f t="shared" si="18"/>
        <v>0.38537142857142848</v>
      </c>
      <c r="R165" s="12">
        <f t="shared" si="19"/>
        <v>0</v>
      </c>
      <c r="S165" s="1">
        <v>69</v>
      </c>
      <c r="T165" s="14">
        <v>46235</v>
      </c>
    </row>
    <row r="166" spans="1:20" ht="21" customHeight="1" x14ac:dyDescent="0.45">
      <c r="A166" s="31">
        <v>46235.708600952385</v>
      </c>
      <c r="B166" s="31">
        <v>46235.708615238094</v>
      </c>
      <c r="C166" s="31">
        <v>46235.708333333336</v>
      </c>
      <c r="D166" s="1" t="s">
        <v>101</v>
      </c>
      <c r="E166" s="12">
        <v>3.4285714285714285E-4</v>
      </c>
      <c r="F166" s="12">
        <f>IF(D166="d",两日求解价格与决策!K77-两日求解价格与决策!N77,IF(D166="u",两日求解价格与决策!K77+两日求解价格与决策!M77,两日求解价格与决策!K77))</f>
        <v>-14.999999999999979</v>
      </c>
      <c r="G166" s="12">
        <f t="shared" si="14"/>
        <v>14.999999999999979</v>
      </c>
      <c r="H166" s="12">
        <f t="shared" si="15"/>
        <v>0</v>
      </c>
      <c r="I166" s="12">
        <f t="shared" si="20"/>
        <v>162.26495666468054</v>
      </c>
      <c r="J166" s="12">
        <f>I166+E166*(G166*原始输入与口径!$B$5-H166/原始输入与口径!$B$5)</f>
        <v>162.26968809325197</v>
      </c>
      <c r="K166" s="12">
        <v>162.26495666468051</v>
      </c>
      <c r="L166" s="12">
        <v>162.26968809325194</v>
      </c>
      <c r="M166" s="19">
        <f t="shared" si="16"/>
        <v>0</v>
      </c>
      <c r="N166" s="12">
        <f>E166*(G166*原始输入与口径!$B$5+H166/原始输入与口径!$B$5)/原始输入与口径!$H$5</f>
        <v>1.3142857142857126E-5</v>
      </c>
      <c r="O166" s="12">
        <v>1.3142857142857126E-5</v>
      </c>
      <c r="P166" s="19">
        <f t="shared" si="17"/>
        <v>0</v>
      </c>
      <c r="Q166" s="12">
        <f t="shared" si="18"/>
        <v>5.1428571428571357E-3</v>
      </c>
      <c r="R166" s="12">
        <f t="shared" si="19"/>
        <v>0</v>
      </c>
      <c r="S166" s="1">
        <v>69</v>
      </c>
      <c r="T166" s="14">
        <v>46235</v>
      </c>
    </row>
    <row r="167" spans="1:20" ht="21" customHeight="1" x14ac:dyDescent="0.45">
      <c r="A167" s="31">
        <v>46235.708615238094</v>
      </c>
      <c r="B167" s="31">
        <v>46235.71875</v>
      </c>
      <c r="C167" s="31">
        <v>46235.708333333336</v>
      </c>
      <c r="D167" s="1" t="s">
        <v>102</v>
      </c>
      <c r="E167" s="12">
        <v>0.24323428571428571</v>
      </c>
      <c r="F167" s="12">
        <f>IF(D167="d",两日求解价格与决策!K77-两日求解价格与决策!N77,IF(D167="u",两日求解价格与决策!K77+两日求解价格与决策!M77,两日求解价格与决策!K77))</f>
        <v>-38.999999999999979</v>
      </c>
      <c r="G167" s="12">
        <f t="shared" si="14"/>
        <v>38.999999999999979</v>
      </c>
      <c r="H167" s="12">
        <f t="shared" si="15"/>
        <v>0</v>
      </c>
      <c r="I167" s="12">
        <f t="shared" si="20"/>
        <v>162.26968809325197</v>
      </c>
      <c r="J167" s="12">
        <f>I167+E167*(G167*原始输入与口径!$B$5-H167/原始输入与口径!$B$5)</f>
        <v>170.99693426468053</v>
      </c>
      <c r="K167" s="12">
        <v>162.26968809325194</v>
      </c>
      <c r="L167" s="12">
        <v>170.9969342646805</v>
      </c>
      <c r="M167" s="19">
        <f t="shared" si="16"/>
        <v>0</v>
      </c>
      <c r="N167" s="12">
        <f>E167*(G167*原始输入与口径!$B$5+H167/原始输入与口径!$B$5)/原始输入与口径!$H$5</f>
        <v>2.4242350476190461E-2</v>
      </c>
      <c r="O167" s="12">
        <v>2.4242350476190461E-2</v>
      </c>
      <c r="P167" s="19">
        <f t="shared" si="17"/>
        <v>0</v>
      </c>
      <c r="Q167" s="12">
        <f t="shared" si="18"/>
        <v>9.4861371428571371</v>
      </c>
      <c r="R167" s="12">
        <f t="shared" si="19"/>
        <v>0</v>
      </c>
      <c r="S167" s="1">
        <v>69</v>
      </c>
      <c r="T167" s="14">
        <v>46235</v>
      </c>
    </row>
    <row r="168" spans="1:20" ht="21" customHeight="1" x14ac:dyDescent="0.45">
      <c r="A168" s="31">
        <v>46235.71875</v>
      </c>
      <c r="B168" s="31">
        <v>46235.719978095236</v>
      </c>
      <c r="C168" s="31">
        <v>46235.71875</v>
      </c>
      <c r="D168" s="1" t="s">
        <v>103</v>
      </c>
      <c r="E168" s="12">
        <v>2.9474285714285717E-2</v>
      </c>
      <c r="F168" s="12">
        <f>IF(D168="d",两日求解价格与决策!K78-两日求解价格与决策!N78,IF(D168="u",两日求解价格与决策!K78+两日求解价格与决策!M78,两日求解价格与决策!K78))</f>
        <v>-22.239936207352287</v>
      </c>
      <c r="G168" s="12">
        <f t="shared" si="14"/>
        <v>22.239936207352287</v>
      </c>
      <c r="H168" s="12">
        <f t="shared" si="15"/>
        <v>0</v>
      </c>
      <c r="I168" s="12">
        <f t="shared" si="20"/>
        <v>170.99693426468053</v>
      </c>
      <c r="J168" s="12">
        <f>I168+E168*(G168*原始输入与口径!$B$5-H168/原始输入与口径!$B$5)</f>
        <v>171.60000000000008</v>
      </c>
      <c r="K168" s="12">
        <v>170.9969342646805</v>
      </c>
      <c r="L168" s="12">
        <v>171.60000000000005</v>
      </c>
      <c r="M168" s="19">
        <f t="shared" si="16"/>
        <v>0</v>
      </c>
      <c r="N168" s="12">
        <f>E168*(G168*原始输入与口径!$B$5+H168/原始输入与口径!$B$5)/原始输入与口径!$H$5</f>
        <v>1.675182598109861E-3</v>
      </c>
      <c r="O168" s="12">
        <v>1.675182598109861E-3</v>
      </c>
      <c r="P168" s="19">
        <f t="shared" si="17"/>
        <v>0</v>
      </c>
      <c r="Q168" s="12">
        <f t="shared" si="18"/>
        <v>0.65550623404298913</v>
      </c>
      <c r="R168" s="12">
        <f t="shared" si="19"/>
        <v>0</v>
      </c>
      <c r="S168" s="1">
        <v>70</v>
      </c>
      <c r="T168" s="14">
        <v>46235</v>
      </c>
    </row>
    <row r="169" spans="1:20" ht="21" customHeight="1" x14ac:dyDescent="0.45">
      <c r="A169" s="31">
        <v>46235.719978095236</v>
      </c>
      <c r="B169" s="31">
        <v>46235.720394523807</v>
      </c>
      <c r="C169" s="31">
        <v>46235.71875</v>
      </c>
      <c r="D169" s="1" t="s">
        <v>101</v>
      </c>
      <c r="E169" s="12">
        <v>9.9942857142857142E-3</v>
      </c>
      <c r="F169" s="12">
        <f>IF(D169="d",两日求解价格与决策!K78-两日求解价格与决策!N78,IF(D169="u",两日求解价格与决策!K78+两日求解价格与决策!M78,两日求解价格与决策!K78))</f>
        <v>22.760063792647713</v>
      </c>
      <c r="G169" s="12">
        <f t="shared" si="14"/>
        <v>0</v>
      </c>
      <c r="H169" s="12">
        <f t="shared" si="15"/>
        <v>22.760063792647713</v>
      </c>
      <c r="I169" s="12">
        <f t="shared" si="20"/>
        <v>171.60000000000008</v>
      </c>
      <c r="J169" s="12">
        <f>I169+E169*(G169*原始输入与口径!$B$5-H169/原始输入与口径!$B$5)</f>
        <v>171.35274936910977</v>
      </c>
      <c r="K169" s="12">
        <v>171.60000000000005</v>
      </c>
      <c r="L169" s="12">
        <v>171.35274936910974</v>
      </c>
      <c r="M169" s="19">
        <f t="shared" si="16"/>
        <v>0</v>
      </c>
      <c r="N169" s="12">
        <f>E169*(G169*原始输入与口径!$B$5+H169/原始输入与口径!$B$5)/原始输入与口径!$H$5</f>
        <v>6.868073080286551E-4</v>
      </c>
      <c r="O169" s="12">
        <v>6.868073080286551E-4</v>
      </c>
      <c r="P169" s="19">
        <f t="shared" si="17"/>
        <v>0</v>
      </c>
      <c r="Q169" s="12">
        <f t="shared" si="18"/>
        <v>0</v>
      </c>
      <c r="R169" s="12">
        <f t="shared" si="19"/>
        <v>0.22747058041909057</v>
      </c>
      <c r="S169" s="1">
        <v>70</v>
      </c>
      <c r="T169" s="14">
        <v>46235</v>
      </c>
    </row>
    <row r="170" spans="1:20" ht="21" customHeight="1" x14ac:dyDescent="0.45">
      <c r="A170" s="31">
        <v>46235.720394523807</v>
      </c>
      <c r="B170" s="31">
        <v>46235.729166666664</v>
      </c>
      <c r="C170" s="31">
        <v>46235.71875</v>
      </c>
      <c r="D170" s="1" t="s">
        <v>102</v>
      </c>
      <c r="E170" s="12">
        <v>0.21053142857142859</v>
      </c>
      <c r="F170" s="12">
        <f>IF(D170="d",两日求解价格与决策!K78-两日求解价格与决策!N78,IF(D170="u",两日求解价格与决策!K78+两日求解价格与决策!M78,两日求解价格与决策!K78))</f>
        <v>-1.2399362073522855</v>
      </c>
      <c r="G170" s="12">
        <f t="shared" si="14"/>
        <v>1.2399362073522855</v>
      </c>
      <c r="H170" s="12">
        <f t="shared" si="15"/>
        <v>0</v>
      </c>
      <c r="I170" s="12">
        <f t="shared" si="20"/>
        <v>171.35274936910977</v>
      </c>
      <c r="J170" s="12">
        <f>I170+E170*(G170*原始输入与口径!$B$5-H170/原始输入与口径!$B$5)</f>
        <v>171.59291126689538</v>
      </c>
      <c r="K170" s="12">
        <v>171.35274936910974</v>
      </c>
      <c r="L170" s="12">
        <v>171.59291126689536</v>
      </c>
      <c r="M170" s="19">
        <f t="shared" si="16"/>
        <v>0</v>
      </c>
      <c r="N170" s="12">
        <f>E170*(G170*原始输入与口径!$B$5+H170/原始输入与口径!$B$5)/原始输入与口径!$H$5</f>
        <v>6.6711638273780698E-4</v>
      </c>
      <c r="O170" s="12">
        <v>6.6711638273780709E-4</v>
      </c>
      <c r="P170" s="19">
        <f t="shared" si="17"/>
        <v>0</v>
      </c>
      <c r="Q170" s="12">
        <f t="shared" si="18"/>
        <v>0.26104554107131578</v>
      </c>
      <c r="R170" s="12">
        <f t="shared" si="19"/>
        <v>0</v>
      </c>
      <c r="S170" s="1">
        <v>70</v>
      </c>
      <c r="T170" s="14">
        <v>46235</v>
      </c>
    </row>
    <row r="171" spans="1:20" ht="21" customHeight="1" x14ac:dyDescent="0.45">
      <c r="A171" s="31">
        <v>46235.729166666664</v>
      </c>
      <c r="B171" s="31">
        <v>46235.729179285714</v>
      </c>
      <c r="C171" s="31">
        <v>46235.729166666664</v>
      </c>
      <c r="D171" s="1" t="s">
        <v>103</v>
      </c>
      <c r="E171" s="12">
        <v>3.0285714285714285E-4</v>
      </c>
      <c r="F171" s="12">
        <f>IF(D171="d",两日求解价格与决策!K79-两日求解价格与决策!N79,IF(D171="u",两日求解价格与决策!K79+两日求解价格与决策!M79,两日求解价格与决策!K79))</f>
        <v>-25.441515449637027</v>
      </c>
      <c r="G171" s="12">
        <f t="shared" si="14"/>
        <v>25.441515449637027</v>
      </c>
      <c r="H171" s="12">
        <f t="shared" si="15"/>
        <v>0</v>
      </c>
      <c r="I171" s="12">
        <f t="shared" si="20"/>
        <v>171.59291126689538</v>
      </c>
      <c r="J171" s="12">
        <f>I171+E171*(G171*原始输入与口径!$B$5-H171/原始输入与口径!$B$5)</f>
        <v>171.60000000000011</v>
      </c>
      <c r="K171" s="12">
        <v>171.59291126689536</v>
      </c>
      <c r="L171" s="12">
        <v>171.60000000000008</v>
      </c>
      <c r="M171" s="19">
        <f t="shared" si="16"/>
        <v>0</v>
      </c>
      <c r="N171" s="12">
        <f>E171*(G171*原始输入与口径!$B$5+H171/原始输入与口径!$B$5)/原始输入与口径!$H$5</f>
        <v>1.9690925290861929E-5</v>
      </c>
      <c r="O171" s="12">
        <v>1.9690925290861929E-5</v>
      </c>
      <c r="P171" s="19">
        <f t="shared" si="17"/>
        <v>0</v>
      </c>
      <c r="Q171" s="12">
        <f t="shared" si="18"/>
        <v>7.7051446790329277E-3</v>
      </c>
      <c r="R171" s="12">
        <f t="shared" si="19"/>
        <v>0</v>
      </c>
      <c r="S171" s="1">
        <v>71</v>
      </c>
      <c r="T171" s="14">
        <v>46235</v>
      </c>
    </row>
    <row r="172" spans="1:20" ht="21" customHeight="1" x14ac:dyDescent="0.45">
      <c r="A172" s="31">
        <v>46235.729179285714</v>
      </c>
      <c r="B172" s="31">
        <v>46235.732571904759</v>
      </c>
      <c r="C172" s="31">
        <v>46235.729166666664</v>
      </c>
      <c r="D172" s="1" t="s">
        <v>101</v>
      </c>
      <c r="E172" s="12">
        <v>8.1422857142857144E-2</v>
      </c>
      <c r="F172" s="12">
        <f>IF(D172="d",两日求解价格与决策!K79-两日求解价格与决策!N79,IF(D172="u",两日求解价格与决策!K79+两日求解价格与决策!M79,两日求解价格与决策!K79))</f>
        <v>19.558484550362973</v>
      </c>
      <c r="G172" s="12">
        <f t="shared" si="14"/>
        <v>0</v>
      </c>
      <c r="H172" s="12">
        <f t="shared" si="15"/>
        <v>19.558484550362973</v>
      </c>
      <c r="I172" s="12">
        <f t="shared" si="20"/>
        <v>171.60000000000011</v>
      </c>
      <c r="J172" s="12">
        <f>I172+E172*(G172*原始输入与口径!$B$5-H172/原始输入与口径!$B$5)</f>
        <v>169.86901337665773</v>
      </c>
      <c r="K172" s="12">
        <v>171.60000000000008</v>
      </c>
      <c r="L172" s="12">
        <v>169.8690133766577</v>
      </c>
      <c r="M172" s="19">
        <f t="shared" si="16"/>
        <v>0</v>
      </c>
      <c r="N172" s="12">
        <f>E172*(G172*原始输入与口径!$B$5+H172/原始输入与口径!$B$5)/原始输入与口径!$H$5</f>
        <v>4.8082961759510351E-3</v>
      </c>
      <c r="O172" s="12">
        <v>4.8082961759510351E-3</v>
      </c>
      <c r="P172" s="19">
        <f t="shared" si="17"/>
        <v>0</v>
      </c>
      <c r="Q172" s="12">
        <f t="shared" si="18"/>
        <v>0</v>
      </c>
      <c r="R172" s="12">
        <f t="shared" si="19"/>
        <v>1.5925076934749829</v>
      </c>
      <c r="S172" s="1">
        <v>71</v>
      </c>
      <c r="T172" s="14">
        <v>46235</v>
      </c>
    </row>
    <row r="173" spans="1:20" ht="21" customHeight="1" x14ac:dyDescent="0.45">
      <c r="A173" s="31">
        <v>46235.732571904759</v>
      </c>
      <c r="B173" s="31">
        <v>46235.739583333328</v>
      </c>
      <c r="C173" s="31">
        <v>46235.729166666664</v>
      </c>
      <c r="D173" s="1" t="s">
        <v>102</v>
      </c>
      <c r="E173" s="12">
        <v>0.16827428571428574</v>
      </c>
      <c r="F173" s="12">
        <f>IF(D173="d",两日求解价格与决策!K79-两日求解价格与决策!N79,IF(D173="u",两日求解价格与决策!K79+两日求解价格与决策!M79,两日求解价格与决策!K79))</f>
        <v>-4.441515449637027</v>
      </c>
      <c r="G173" s="12">
        <f t="shared" si="14"/>
        <v>4.441515449637027</v>
      </c>
      <c r="H173" s="12">
        <f t="shared" si="15"/>
        <v>0</v>
      </c>
      <c r="I173" s="12">
        <f t="shared" si="20"/>
        <v>169.86901337665773</v>
      </c>
      <c r="J173" s="12">
        <f>I173+E173*(G173*原始输入与口径!$B$5-H173/原始输入与口径!$B$5)</f>
        <v>170.55661478925225</v>
      </c>
      <c r="K173" s="12">
        <v>169.8690133766577</v>
      </c>
      <c r="L173" s="12">
        <v>170.55661478925222</v>
      </c>
      <c r="M173" s="19">
        <f t="shared" si="16"/>
        <v>0</v>
      </c>
      <c r="N173" s="12">
        <f>E173*(G173*原始输入与口径!$B$5+H173/原始输入与口径!$B$5)/原始输入与口径!$H$5</f>
        <v>1.9100039238736238E-3</v>
      </c>
      <c r="O173" s="12">
        <v>1.9100039238736238E-3</v>
      </c>
      <c r="P173" s="19">
        <f t="shared" si="17"/>
        <v>0</v>
      </c>
      <c r="Q173" s="12">
        <f t="shared" si="18"/>
        <v>0.7473928397766354</v>
      </c>
      <c r="R173" s="12">
        <f t="shared" si="19"/>
        <v>0</v>
      </c>
      <c r="S173" s="1">
        <v>71</v>
      </c>
      <c r="T173" s="14">
        <v>46235</v>
      </c>
    </row>
    <row r="174" spans="1:20" ht="21" customHeight="1" x14ac:dyDescent="0.45">
      <c r="A174" s="31">
        <v>46235.739583333336</v>
      </c>
      <c r="B174" s="31">
        <v>46235.7427402381</v>
      </c>
      <c r="C174" s="31">
        <v>46235.739583333336</v>
      </c>
      <c r="D174" s="1" t="s">
        <v>101</v>
      </c>
      <c r="E174" s="12">
        <v>7.5765714285714283E-2</v>
      </c>
      <c r="F174" s="12">
        <f>IF(D174="d",两日求解价格与决策!K80-两日求解价格与决策!N80,IF(D174="u",两日求解价格与决策!K80+两日求解价格与决策!M80,两日求解价格与决策!K80))</f>
        <v>60</v>
      </c>
      <c r="G174" s="12">
        <f t="shared" si="14"/>
        <v>0</v>
      </c>
      <c r="H174" s="12">
        <f t="shared" si="15"/>
        <v>60</v>
      </c>
      <c r="I174" s="12">
        <f t="shared" si="20"/>
        <v>170.55661478925225</v>
      </c>
      <c r="J174" s="12">
        <f>I174+E174*(G174*原始输入与口径!$B$5-H174/原始输入与口径!$B$5)</f>
        <v>165.61537255322742</v>
      </c>
      <c r="K174" s="12">
        <v>170.55661478925222</v>
      </c>
      <c r="L174" s="12">
        <v>165.61537255322739</v>
      </c>
      <c r="M174" s="19">
        <f t="shared" si="16"/>
        <v>0</v>
      </c>
      <c r="N174" s="12">
        <f>E174*(G174*原始输入与口径!$B$5+H174/原始输入与口径!$B$5)/原始输入与口径!$H$5</f>
        <v>1.3725672877846791E-2</v>
      </c>
      <c r="O174" s="12">
        <v>1.3725672877846791E-2</v>
      </c>
      <c r="P174" s="19">
        <f t="shared" si="17"/>
        <v>0</v>
      </c>
      <c r="Q174" s="12">
        <f t="shared" si="18"/>
        <v>0</v>
      </c>
      <c r="R174" s="12">
        <f t="shared" si="19"/>
        <v>4.5459428571428573</v>
      </c>
      <c r="S174" s="1">
        <v>72</v>
      </c>
      <c r="T174" s="14">
        <v>46235</v>
      </c>
    </row>
    <row r="175" spans="1:20" ht="21" customHeight="1" x14ac:dyDescent="0.45">
      <c r="A175" s="31">
        <v>46235.7427402381</v>
      </c>
      <c r="B175" s="31">
        <v>46235.75</v>
      </c>
      <c r="C175" s="31">
        <v>46235.739583333336</v>
      </c>
      <c r="D175" s="1" t="s">
        <v>102</v>
      </c>
      <c r="E175" s="12">
        <v>0.17423428571428573</v>
      </c>
      <c r="F175" s="12">
        <f>IF(D175="d",两日求解价格与决策!K80-两日求解价格与决策!N80,IF(D175="u",两日求解价格与决策!K80+两日求解价格与决策!M80,两日求解价格与决策!K80))</f>
        <v>36</v>
      </c>
      <c r="G175" s="12">
        <f t="shared" si="14"/>
        <v>0</v>
      </c>
      <c r="H175" s="12">
        <f t="shared" si="15"/>
        <v>36</v>
      </c>
      <c r="I175" s="12">
        <f t="shared" si="20"/>
        <v>165.61537255322742</v>
      </c>
      <c r="J175" s="12">
        <f>I175+E175*(G175*原始输入与口径!$B$5-H175/原始输入与口径!$B$5)</f>
        <v>158.79750919919016</v>
      </c>
      <c r="K175" s="12">
        <v>165.61537255322739</v>
      </c>
      <c r="L175" s="12">
        <v>158.79750919919013</v>
      </c>
      <c r="M175" s="19">
        <f t="shared" si="16"/>
        <v>0</v>
      </c>
      <c r="N175" s="12">
        <f>E175*(G175*原始输入与口径!$B$5+H175/原始输入与口径!$B$5)/原始输入与口径!$H$5</f>
        <v>1.8938509316770189E-2</v>
      </c>
      <c r="O175" s="12">
        <v>1.8938509316770189E-2</v>
      </c>
      <c r="P175" s="19">
        <f t="shared" si="17"/>
        <v>0</v>
      </c>
      <c r="Q175" s="12">
        <f t="shared" si="18"/>
        <v>0</v>
      </c>
      <c r="R175" s="12">
        <f t="shared" si="19"/>
        <v>6.2724342857142865</v>
      </c>
      <c r="S175" s="1">
        <v>72</v>
      </c>
      <c r="T175" s="14">
        <v>46235</v>
      </c>
    </row>
    <row r="176" spans="1:20" ht="21" customHeight="1" x14ac:dyDescent="0.45">
      <c r="A176" s="31">
        <v>46235.75</v>
      </c>
      <c r="B176" s="31">
        <v>46235.754427857144</v>
      </c>
      <c r="C176" s="31">
        <v>46235.75</v>
      </c>
      <c r="D176" s="1" t="s">
        <v>103</v>
      </c>
      <c r="E176" s="12">
        <v>0.10626857142857143</v>
      </c>
      <c r="F176" s="12">
        <f>IF(D176="d",两日求解价格与决策!K81-两日求解价格与决策!N81,IF(D176="u",两日求解价格与决策!K81+两日求解价格与决策!M81,两日求解价格与决策!K81))</f>
        <v>-60</v>
      </c>
      <c r="G176" s="12">
        <f t="shared" si="14"/>
        <v>60</v>
      </c>
      <c r="H176" s="12">
        <f t="shared" si="15"/>
        <v>0</v>
      </c>
      <c r="I176" s="12">
        <f t="shared" si="20"/>
        <v>158.79750919919016</v>
      </c>
      <c r="J176" s="12">
        <f>I176+E176*(G176*原始输入与口径!$B$5-H176/原始输入与口径!$B$5)</f>
        <v>164.66353434204731</v>
      </c>
      <c r="K176" s="12">
        <v>158.79750919919013</v>
      </c>
      <c r="L176" s="12">
        <v>164.66353434204729</v>
      </c>
      <c r="M176" s="19">
        <f t="shared" si="16"/>
        <v>0</v>
      </c>
      <c r="N176" s="12">
        <f>E176*(G176*原始输入与口径!$B$5+H176/原始输入与口径!$B$5)/原始输入与口径!$H$5</f>
        <v>1.6294514285714289E-2</v>
      </c>
      <c r="O176" s="12">
        <v>1.6294514285714289E-2</v>
      </c>
      <c r="P176" s="19">
        <f t="shared" si="17"/>
        <v>0</v>
      </c>
      <c r="Q176" s="12">
        <f t="shared" si="18"/>
        <v>6.3761142857142863</v>
      </c>
      <c r="R176" s="12">
        <f t="shared" si="19"/>
        <v>0</v>
      </c>
      <c r="S176" s="1">
        <v>73</v>
      </c>
      <c r="T176" s="14">
        <v>46235</v>
      </c>
    </row>
    <row r="177" spans="1:20" ht="21" customHeight="1" x14ac:dyDescent="0.45">
      <c r="A177" s="31">
        <v>46235.754427857144</v>
      </c>
      <c r="B177" s="31">
        <v>46235.754673809526</v>
      </c>
      <c r="C177" s="31">
        <v>46235.75</v>
      </c>
      <c r="D177" s="1" t="s">
        <v>101</v>
      </c>
      <c r="E177" s="12">
        <v>5.902857142857142E-3</v>
      </c>
      <c r="F177" s="12">
        <f>IF(D177="d",两日求解价格与决策!K81-两日求解价格与决策!N81,IF(D177="u",两日求解价格与决策!K81+两日求解价格与决策!M81,两日求解价格与决策!K81))</f>
        <v>-12</v>
      </c>
      <c r="G177" s="12">
        <f t="shared" si="14"/>
        <v>12</v>
      </c>
      <c r="H177" s="12">
        <f t="shared" si="15"/>
        <v>0</v>
      </c>
      <c r="I177" s="12">
        <f t="shared" si="20"/>
        <v>164.66353434204731</v>
      </c>
      <c r="J177" s="12">
        <f>I177+E177*(G177*原始输入与口径!$B$5-H177/原始输入与口径!$B$5)</f>
        <v>164.72870188490447</v>
      </c>
      <c r="K177" s="12">
        <v>164.66353434204729</v>
      </c>
      <c r="L177" s="12">
        <v>164.72870188490444</v>
      </c>
      <c r="M177" s="19">
        <f t="shared" si="16"/>
        <v>0</v>
      </c>
      <c r="N177" s="12">
        <f>E177*(G177*原始输入与口径!$B$5+H177/原始输入与口径!$B$5)/原始输入与口径!$H$5</f>
        <v>1.8102095238095237E-4</v>
      </c>
      <c r="O177" s="12">
        <v>1.8102095238095237E-4</v>
      </c>
      <c r="P177" s="19">
        <f t="shared" si="17"/>
        <v>0</v>
      </c>
      <c r="Q177" s="12">
        <f t="shared" si="18"/>
        <v>7.0834285714285711E-2</v>
      </c>
      <c r="R177" s="12">
        <f t="shared" si="19"/>
        <v>0</v>
      </c>
      <c r="S177" s="1">
        <v>73</v>
      </c>
      <c r="T177" s="14">
        <v>46235</v>
      </c>
    </row>
    <row r="178" spans="1:20" ht="21" customHeight="1" x14ac:dyDescent="0.45">
      <c r="A178" s="31">
        <v>46235.754673809526</v>
      </c>
      <c r="B178" s="31">
        <v>46235.760416666664</v>
      </c>
      <c r="C178" s="31">
        <v>46235.75</v>
      </c>
      <c r="D178" s="1" t="s">
        <v>102</v>
      </c>
      <c r="E178" s="12">
        <v>0.13782857142857141</v>
      </c>
      <c r="F178" s="12">
        <f>IF(D178="d",两日求解价格与决策!K81-两日求解价格与决策!N81,IF(D178="u",两日求解价格与决策!K81+两日求解价格与决策!M81,两日求解价格与决策!K81))</f>
        <v>-36</v>
      </c>
      <c r="G178" s="12">
        <f t="shared" si="14"/>
        <v>36</v>
      </c>
      <c r="H178" s="12">
        <f t="shared" si="15"/>
        <v>0</v>
      </c>
      <c r="I178" s="12">
        <f t="shared" si="20"/>
        <v>164.72870188490447</v>
      </c>
      <c r="J178" s="12">
        <f>I178+E178*(G178*原始输入与口径!$B$5-H178/原始输入与口径!$B$5)</f>
        <v>169.29358417061874</v>
      </c>
      <c r="K178" s="12">
        <v>164.72870188490444</v>
      </c>
      <c r="L178" s="12">
        <v>169.29358417061871</v>
      </c>
      <c r="M178" s="19">
        <f t="shared" si="16"/>
        <v>0</v>
      </c>
      <c r="N178" s="12">
        <f>E178*(G178*原始输入与口径!$B$5+H178/原始输入与口径!$B$5)/原始输入与口径!$H$5</f>
        <v>1.2680228571428571E-2</v>
      </c>
      <c r="O178" s="12">
        <v>1.2680228571428569E-2</v>
      </c>
      <c r="P178" s="19">
        <f t="shared" si="17"/>
        <v>0</v>
      </c>
      <c r="Q178" s="12">
        <f t="shared" si="18"/>
        <v>4.9618285714285708</v>
      </c>
      <c r="R178" s="12">
        <f t="shared" si="19"/>
        <v>0</v>
      </c>
      <c r="S178" s="1">
        <v>73</v>
      </c>
      <c r="T178" s="14">
        <v>46235</v>
      </c>
    </row>
    <row r="179" spans="1:20" ht="21" customHeight="1" x14ac:dyDescent="0.45">
      <c r="A179" s="31">
        <v>46235.760416666664</v>
      </c>
      <c r="B179" s="31">
        <v>46235.762275476191</v>
      </c>
      <c r="C179" s="31">
        <v>46235.760416666664</v>
      </c>
      <c r="D179" s="1" t="s">
        <v>103</v>
      </c>
      <c r="E179" s="12">
        <v>4.4611428571428573E-2</v>
      </c>
      <c r="F179" s="12">
        <f>IF(D179="d",两日求解价格与决策!K82-两日求解价格与决策!N82,IF(D179="u",两日求解价格与决策!K82+两日求解价格与决策!M82,两日求解价格与决策!K82))</f>
        <v>-24</v>
      </c>
      <c r="G179" s="12">
        <f t="shared" si="14"/>
        <v>24</v>
      </c>
      <c r="H179" s="12">
        <f t="shared" si="15"/>
        <v>0</v>
      </c>
      <c r="I179" s="12">
        <f t="shared" si="20"/>
        <v>169.29358417061874</v>
      </c>
      <c r="J179" s="12">
        <f>I179+E179*(G179*原始输入与口径!$B$5-H179/原始输入与口径!$B$5)</f>
        <v>170.2786045134759</v>
      </c>
      <c r="K179" s="12">
        <v>169.29358417061871</v>
      </c>
      <c r="L179" s="12">
        <v>170.27860451347587</v>
      </c>
      <c r="M179" s="19">
        <f t="shared" si="16"/>
        <v>0</v>
      </c>
      <c r="N179" s="12">
        <f>E179*(G179*原始输入与口径!$B$5+H179/原始输入与口径!$B$5)/原始输入与口径!$H$5</f>
        <v>2.7361676190476194E-3</v>
      </c>
      <c r="O179" s="12">
        <v>2.736167619047619E-3</v>
      </c>
      <c r="P179" s="19">
        <f t="shared" si="17"/>
        <v>0</v>
      </c>
      <c r="Q179" s="12">
        <f t="shared" si="18"/>
        <v>1.0706742857142857</v>
      </c>
      <c r="R179" s="12">
        <f t="shared" si="19"/>
        <v>0</v>
      </c>
      <c r="S179" s="1">
        <v>74</v>
      </c>
      <c r="T179" s="14">
        <v>46235</v>
      </c>
    </row>
    <row r="180" spans="1:20" ht="21" customHeight="1" x14ac:dyDescent="0.45">
      <c r="A180" s="31">
        <v>46235.762275476191</v>
      </c>
      <c r="B180" s="31">
        <v>46235.770833333328</v>
      </c>
      <c r="C180" s="31">
        <v>46235.760416666664</v>
      </c>
      <c r="D180" s="1" t="s">
        <v>102</v>
      </c>
      <c r="E180" s="12">
        <v>0.20538857142857142</v>
      </c>
      <c r="F180" s="12">
        <f>IF(D180="d",两日求解价格与决策!K82-两日求解价格与决策!N82,IF(D180="u",两日求解价格与决策!K82+两日求解价格与决策!M82,两日求解价格与决策!K82))</f>
        <v>0</v>
      </c>
      <c r="G180" s="12">
        <f t="shared" si="14"/>
        <v>0</v>
      </c>
      <c r="H180" s="12">
        <f t="shared" si="15"/>
        <v>0</v>
      </c>
      <c r="I180" s="12">
        <f t="shared" si="20"/>
        <v>170.2786045134759</v>
      </c>
      <c r="J180" s="12">
        <f>I180+E180*(G180*原始输入与口径!$B$5-H180/原始输入与口径!$B$5)</f>
        <v>170.2786045134759</v>
      </c>
      <c r="K180" s="12">
        <v>170.27860451347587</v>
      </c>
      <c r="L180" s="12">
        <v>170.27860451347587</v>
      </c>
      <c r="M180" s="19">
        <f t="shared" si="16"/>
        <v>0</v>
      </c>
      <c r="N180" s="12">
        <f>E180*(G180*原始输入与口径!$B$5+H180/原始输入与口径!$B$5)/原始输入与口径!$H$5</f>
        <v>0</v>
      </c>
      <c r="O180" s="12">
        <v>0</v>
      </c>
      <c r="P180" s="19">
        <f t="shared" si="17"/>
        <v>0</v>
      </c>
      <c r="Q180" s="12">
        <f t="shared" si="18"/>
        <v>0</v>
      </c>
      <c r="R180" s="12">
        <f t="shared" si="19"/>
        <v>0</v>
      </c>
      <c r="S180" s="1">
        <v>74</v>
      </c>
      <c r="T180" s="14">
        <v>46235</v>
      </c>
    </row>
    <row r="181" spans="1:20" ht="21" customHeight="1" x14ac:dyDescent="0.45">
      <c r="A181" s="31">
        <v>46235.770833333336</v>
      </c>
      <c r="B181" s="31">
        <v>46235.773370714291</v>
      </c>
      <c r="C181" s="31">
        <v>46235.770833333336</v>
      </c>
      <c r="D181" s="1" t="s">
        <v>103</v>
      </c>
      <c r="E181" s="12">
        <v>6.0897142857142858E-2</v>
      </c>
      <c r="F181" s="12">
        <f>IF(D181="d",两日求解价格与决策!K83-两日求解价格与决策!N83,IF(D181="u",两日求解价格与决策!K83+两日求解价格与决策!M83,两日求解价格与决策!K83))</f>
        <v>-23.585662224639702</v>
      </c>
      <c r="G181" s="12">
        <f t="shared" si="14"/>
        <v>23.585662224639702</v>
      </c>
      <c r="H181" s="12">
        <f t="shared" si="15"/>
        <v>0</v>
      </c>
      <c r="I181" s="12">
        <f t="shared" si="20"/>
        <v>170.2786045134759</v>
      </c>
      <c r="J181" s="12">
        <f>I181+E181*(G181*原始输入与口径!$B$5-H181/原始输入与口径!$B$5)</f>
        <v>171.60000000000016</v>
      </c>
      <c r="K181" s="12">
        <v>170.27860451347587</v>
      </c>
      <c r="L181" s="12">
        <v>171.60000000000014</v>
      </c>
      <c r="M181" s="19">
        <f t="shared" si="16"/>
        <v>0</v>
      </c>
      <c r="N181" s="12">
        <f>E181*(G181*原始输入与口径!$B$5+H181/原始输入与口径!$B$5)/原始输入与口径!$H$5</f>
        <v>3.6705430181229607E-3</v>
      </c>
      <c r="O181" s="12">
        <v>3.6705430181229602E-3</v>
      </c>
      <c r="P181" s="19">
        <f t="shared" si="17"/>
        <v>0</v>
      </c>
      <c r="Q181" s="12">
        <f t="shared" si="18"/>
        <v>1.4362994418742017</v>
      </c>
      <c r="R181" s="12">
        <f t="shared" si="19"/>
        <v>0</v>
      </c>
      <c r="S181" s="1">
        <v>75</v>
      </c>
      <c r="T181" s="14">
        <v>46235</v>
      </c>
    </row>
    <row r="182" spans="1:20" ht="21" customHeight="1" x14ac:dyDescent="0.45">
      <c r="A182" s="31">
        <v>46235.773370714291</v>
      </c>
      <c r="B182" s="31">
        <v>46235.78125</v>
      </c>
      <c r="C182" s="31">
        <v>46235.770833333336</v>
      </c>
      <c r="D182" s="1" t="s">
        <v>102</v>
      </c>
      <c r="E182" s="12">
        <v>0.18910285714285713</v>
      </c>
      <c r="F182" s="12">
        <f>IF(D182="d",两日求解价格与决策!K83-两日求解价格与决策!N83,IF(D182="u",两日求解价格与决策!K83+两日求解价格与决策!M83,两日求解价格与决策!K83))</f>
        <v>0.4143377753602967</v>
      </c>
      <c r="G182" s="12">
        <f t="shared" si="14"/>
        <v>0</v>
      </c>
      <c r="H182" s="12">
        <f t="shared" si="15"/>
        <v>0.4143377753602967</v>
      </c>
      <c r="I182" s="12">
        <f t="shared" si="20"/>
        <v>171.60000000000016</v>
      </c>
      <c r="J182" s="12">
        <f>I182+E182*(G182*原始输入与口径!$B$5-H182/原始输入与口径!$B$5)</f>
        <v>171.51483428571447</v>
      </c>
      <c r="K182" s="12">
        <v>171.60000000000014</v>
      </c>
      <c r="L182" s="12">
        <v>171.51483428571444</v>
      </c>
      <c r="M182" s="19">
        <f t="shared" si="16"/>
        <v>0</v>
      </c>
      <c r="N182" s="12">
        <f>E182*(G182*原始输入与口径!$B$5+H182/原始输入与口径!$B$5)/原始输入与口径!$H$5</f>
        <v>2.3657142857139922E-4</v>
      </c>
      <c r="O182" s="12">
        <v>2.3657142857139922E-4</v>
      </c>
      <c r="P182" s="19">
        <f t="shared" si="17"/>
        <v>0</v>
      </c>
      <c r="Q182" s="12">
        <f t="shared" si="18"/>
        <v>0</v>
      </c>
      <c r="R182" s="12">
        <f t="shared" si="19"/>
        <v>7.8352457142847415E-2</v>
      </c>
      <c r="S182" s="1">
        <v>75</v>
      </c>
      <c r="T182" s="14">
        <v>46235</v>
      </c>
    </row>
    <row r="183" spans="1:20" ht="21" customHeight="1" x14ac:dyDescent="0.45">
      <c r="A183" s="31">
        <v>46235.78125</v>
      </c>
      <c r="B183" s="31">
        <v>46235.781410714284</v>
      </c>
      <c r="C183" s="31">
        <v>46235.78125</v>
      </c>
      <c r="D183" s="1" t="s">
        <v>103</v>
      </c>
      <c r="E183" s="12">
        <v>3.8571428571428576E-3</v>
      </c>
      <c r="F183" s="12">
        <f>IF(D183="d",两日求解价格与决策!K84-两日求解价格与决策!N84,IF(D183="u",两日求解价格与决策!K84+两日求解价格与决策!M84,两日求解价格与决策!K84))</f>
        <v>-24</v>
      </c>
      <c r="G183" s="12">
        <f t="shared" si="14"/>
        <v>24</v>
      </c>
      <c r="H183" s="12">
        <f t="shared" si="15"/>
        <v>0</v>
      </c>
      <c r="I183" s="12">
        <f t="shared" si="20"/>
        <v>171.51483428571447</v>
      </c>
      <c r="J183" s="12">
        <f>I183+E183*(G183*原始输入与口径!$B$5-H183/原始输入与口径!$B$5)</f>
        <v>171.60000000000019</v>
      </c>
      <c r="K183" s="12">
        <v>171.51483428571444</v>
      </c>
      <c r="L183" s="12">
        <v>171.60000000000016</v>
      </c>
      <c r="M183" s="19">
        <f t="shared" si="16"/>
        <v>0</v>
      </c>
      <c r="N183" s="12">
        <f>E183*(G183*原始输入与口径!$B$5+H183/原始输入与口径!$B$5)/原始输入与口径!$H$5</f>
        <v>2.3657142857142863E-4</v>
      </c>
      <c r="O183" s="12">
        <v>2.3657142857142863E-4</v>
      </c>
      <c r="P183" s="19">
        <f t="shared" si="17"/>
        <v>0</v>
      </c>
      <c r="Q183" s="12">
        <f t="shared" si="18"/>
        <v>9.2571428571428582E-2</v>
      </c>
      <c r="R183" s="12">
        <f t="shared" si="19"/>
        <v>0</v>
      </c>
      <c r="S183" s="1">
        <v>76</v>
      </c>
      <c r="T183" s="14">
        <v>46235</v>
      </c>
    </row>
    <row r="184" spans="1:20" ht="21" customHeight="1" x14ac:dyDescent="0.45">
      <c r="A184" s="31">
        <v>46235.781410714284</v>
      </c>
      <c r="B184" s="31">
        <v>46235.782197857145</v>
      </c>
      <c r="C184" s="31">
        <v>46235.78125</v>
      </c>
      <c r="D184" s="1" t="s">
        <v>101</v>
      </c>
      <c r="E184" s="12">
        <v>1.8891428571428573E-2</v>
      </c>
      <c r="F184" s="12">
        <f>IF(D184="d",两日求解价格与决策!K84-两日求解价格与决策!N84,IF(D184="u",两日求解价格与决策!K84+两日求解价格与决策!M84,两日求解价格与决策!K84))</f>
        <v>24</v>
      </c>
      <c r="G184" s="12">
        <f t="shared" si="14"/>
        <v>0</v>
      </c>
      <c r="H184" s="12">
        <f t="shared" si="15"/>
        <v>24</v>
      </c>
      <c r="I184" s="12">
        <f t="shared" si="20"/>
        <v>171.60000000000019</v>
      </c>
      <c r="J184" s="12">
        <f>I184+E184*(G184*原始输入与口径!$B$5-H184/原始输入与口径!$B$5)</f>
        <v>171.10718012422379</v>
      </c>
      <c r="K184" s="12">
        <v>171.60000000000016</v>
      </c>
      <c r="L184" s="12">
        <v>171.10718012422376</v>
      </c>
      <c r="M184" s="19">
        <f t="shared" si="16"/>
        <v>0</v>
      </c>
      <c r="N184" s="12">
        <f>E184*(G184*原始输入与口径!$B$5+H184/原始输入与口径!$B$5)/原始输入与口径!$H$5</f>
        <v>1.3689440993788821E-3</v>
      </c>
      <c r="O184" s="12">
        <v>1.3689440993788821E-3</v>
      </c>
      <c r="P184" s="19">
        <f t="shared" si="17"/>
        <v>0</v>
      </c>
      <c r="Q184" s="12">
        <f t="shared" si="18"/>
        <v>0</v>
      </c>
      <c r="R184" s="12">
        <f t="shared" si="19"/>
        <v>0.45339428571428575</v>
      </c>
      <c r="S184" s="1">
        <v>76</v>
      </c>
      <c r="T184" s="14">
        <v>46235</v>
      </c>
    </row>
    <row r="185" spans="1:20" ht="21" customHeight="1" x14ac:dyDescent="0.45">
      <c r="A185" s="31">
        <v>46235.782197857145</v>
      </c>
      <c r="B185" s="31">
        <v>46235.791666666664</v>
      </c>
      <c r="C185" s="31">
        <v>46235.78125</v>
      </c>
      <c r="D185" s="1" t="s">
        <v>102</v>
      </c>
      <c r="E185" s="12">
        <v>0.22725142857142858</v>
      </c>
      <c r="F185" s="12">
        <f>IF(D185="d",两日求解价格与决策!K84-两日求解价格与决策!N84,IF(D185="u",两日求解价格与决策!K84+两日求解价格与决策!M84,两日求解价格与决策!K84))</f>
        <v>0</v>
      </c>
      <c r="G185" s="12">
        <f t="shared" si="14"/>
        <v>0</v>
      </c>
      <c r="H185" s="12">
        <f t="shared" si="15"/>
        <v>0</v>
      </c>
      <c r="I185" s="12">
        <f t="shared" si="20"/>
        <v>171.10718012422379</v>
      </c>
      <c r="J185" s="12">
        <f>I185+E185*(G185*原始输入与口径!$B$5-H185/原始输入与口径!$B$5)</f>
        <v>171.10718012422379</v>
      </c>
      <c r="K185" s="12">
        <v>171.10718012422376</v>
      </c>
      <c r="L185" s="12">
        <v>171.10718012422376</v>
      </c>
      <c r="M185" s="19">
        <f t="shared" si="16"/>
        <v>0</v>
      </c>
      <c r="N185" s="12">
        <f>E185*(G185*原始输入与口径!$B$5+H185/原始输入与口径!$B$5)/原始输入与口径!$H$5</f>
        <v>0</v>
      </c>
      <c r="O185" s="12">
        <v>0</v>
      </c>
      <c r="P185" s="19">
        <f t="shared" si="17"/>
        <v>0</v>
      </c>
      <c r="Q185" s="12">
        <f t="shared" si="18"/>
        <v>0</v>
      </c>
      <c r="R185" s="12">
        <f t="shared" si="19"/>
        <v>0</v>
      </c>
      <c r="S185" s="1">
        <v>76</v>
      </c>
      <c r="T185" s="14">
        <v>46235</v>
      </c>
    </row>
    <row r="186" spans="1:20" ht="21" customHeight="1" x14ac:dyDescent="0.45">
      <c r="A186" s="31">
        <v>46235.791666666664</v>
      </c>
      <c r="B186" s="31">
        <v>46235.795092142856</v>
      </c>
      <c r="C186" s="31">
        <v>46235.791666666664</v>
      </c>
      <c r="D186" s="1" t="s">
        <v>103</v>
      </c>
      <c r="E186" s="12">
        <v>8.2211428571428574E-2</v>
      </c>
      <c r="F186" s="12">
        <f>IF(D186="d",两日求解价格与决策!K85-两日求解价格与决策!N85,IF(D186="u",两日求解价格与决策!K85+两日求解价格与决策!M85,两日求解价格与决策!K85))</f>
        <v>0</v>
      </c>
      <c r="G186" s="12">
        <f t="shared" si="14"/>
        <v>0</v>
      </c>
      <c r="H186" s="12">
        <f t="shared" si="15"/>
        <v>0</v>
      </c>
      <c r="I186" s="12">
        <f t="shared" si="20"/>
        <v>171.10718012422379</v>
      </c>
      <c r="J186" s="12">
        <f>I186+E186*(G186*原始输入与口径!$B$5-H186/原始输入与口径!$B$5)</f>
        <v>171.10718012422379</v>
      </c>
      <c r="K186" s="12">
        <v>171.10718012422376</v>
      </c>
      <c r="L186" s="12">
        <v>171.10718012422376</v>
      </c>
      <c r="M186" s="19">
        <f t="shared" si="16"/>
        <v>0</v>
      </c>
      <c r="N186" s="12">
        <f>E186*(G186*原始输入与口径!$B$5+H186/原始输入与口径!$B$5)/原始输入与口径!$H$5</f>
        <v>0</v>
      </c>
      <c r="O186" s="12">
        <v>0</v>
      </c>
      <c r="P186" s="19">
        <f t="shared" si="17"/>
        <v>0</v>
      </c>
      <c r="Q186" s="12">
        <f t="shared" si="18"/>
        <v>0</v>
      </c>
      <c r="R186" s="12">
        <f t="shared" si="19"/>
        <v>0</v>
      </c>
      <c r="S186" s="1">
        <v>77</v>
      </c>
      <c r="T186" s="14">
        <v>46235</v>
      </c>
    </row>
    <row r="187" spans="1:20" ht="21" customHeight="1" x14ac:dyDescent="0.45">
      <c r="A187" s="31">
        <v>46235.795092142856</v>
      </c>
      <c r="B187" s="31">
        <v>46235.802083333328</v>
      </c>
      <c r="C187" s="31">
        <v>46235.791666666664</v>
      </c>
      <c r="D187" s="1" t="s">
        <v>102</v>
      </c>
      <c r="E187" s="12">
        <v>0.16778857142857143</v>
      </c>
      <c r="F187" s="12">
        <f>IF(D187="d",两日求解价格与决策!K85-两日求解价格与决策!N85,IF(D187="u",两日求解价格与决策!K85+两日求解价格与决策!M85,两日求解价格与决策!K85))</f>
        <v>24</v>
      </c>
      <c r="G187" s="12">
        <f t="shared" si="14"/>
        <v>0</v>
      </c>
      <c r="H187" s="12">
        <f t="shared" si="15"/>
        <v>24</v>
      </c>
      <c r="I187" s="12">
        <f t="shared" si="20"/>
        <v>171.10718012422379</v>
      </c>
      <c r="J187" s="12">
        <f>I187+E187*(G187*原始输入与口径!$B$5-H187/原始输入与口径!$B$5)</f>
        <v>166.73008695652192</v>
      </c>
      <c r="K187" s="12">
        <v>171.10718012422376</v>
      </c>
      <c r="L187" s="12">
        <v>166.73008695652189</v>
      </c>
      <c r="M187" s="19">
        <f t="shared" si="16"/>
        <v>0</v>
      </c>
      <c r="N187" s="12">
        <f>E187*(G187*原始输入与口径!$B$5+H187/原始输入与口径!$B$5)/原始输入与口径!$H$5</f>
        <v>1.2158592132505176E-2</v>
      </c>
      <c r="O187" s="12">
        <v>1.2158592132505176E-2</v>
      </c>
      <c r="P187" s="19">
        <f t="shared" si="17"/>
        <v>0</v>
      </c>
      <c r="Q187" s="12">
        <f t="shared" si="18"/>
        <v>0</v>
      </c>
      <c r="R187" s="12">
        <f t="shared" si="19"/>
        <v>4.0269257142857144</v>
      </c>
      <c r="S187" s="1">
        <v>77</v>
      </c>
      <c r="T187" s="14">
        <v>46235</v>
      </c>
    </row>
    <row r="188" spans="1:20" ht="21" customHeight="1" x14ac:dyDescent="0.45">
      <c r="A188" s="31">
        <v>46235.802083333336</v>
      </c>
      <c r="B188" s="31">
        <v>46235.803528095239</v>
      </c>
      <c r="C188" s="31">
        <v>46235.802083333336</v>
      </c>
      <c r="D188" s="1" t="s">
        <v>103</v>
      </c>
      <c r="E188" s="12">
        <v>3.4674285714285713E-2</v>
      </c>
      <c r="F188" s="12">
        <f>IF(D188="d",两日求解价格与决策!K86-两日求解价格与决策!N86,IF(D188="u",两日求解价格与决策!K86+两日求解价格与决策!M86,两日求解价格与决策!K86))</f>
        <v>35.999999999999837</v>
      </c>
      <c r="G188" s="12">
        <f t="shared" si="14"/>
        <v>0</v>
      </c>
      <c r="H188" s="12">
        <f t="shared" si="15"/>
        <v>35.999999999999837</v>
      </c>
      <c r="I188" s="12">
        <f t="shared" si="20"/>
        <v>166.73008695652192</v>
      </c>
      <c r="J188" s="12">
        <f>I188+E188*(G188*原始输入与口径!$B$5-H188/原始输入与口径!$B$5)</f>
        <v>165.37326708074553</v>
      </c>
      <c r="K188" s="12">
        <v>166.73008695652189</v>
      </c>
      <c r="L188" s="12">
        <v>165.37326708074551</v>
      </c>
      <c r="M188" s="19">
        <f t="shared" si="16"/>
        <v>0</v>
      </c>
      <c r="N188" s="12">
        <f>E188*(G188*原始输入与口径!$B$5+H188/原始输入与口径!$B$5)/原始输入与口径!$H$5</f>
        <v>3.7689440993788651E-3</v>
      </c>
      <c r="O188" s="12">
        <v>3.7689440993788643E-3</v>
      </c>
      <c r="P188" s="19">
        <f t="shared" si="17"/>
        <v>0</v>
      </c>
      <c r="Q188" s="12">
        <f t="shared" si="18"/>
        <v>0</v>
      </c>
      <c r="R188" s="12">
        <f t="shared" si="19"/>
        <v>1.2482742857142799</v>
      </c>
      <c r="S188" s="1">
        <v>78</v>
      </c>
      <c r="T188" s="14">
        <v>46235</v>
      </c>
    </row>
    <row r="189" spans="1:20" ht="21" customHeight="1" x14ac:dyDescent="0.45">
      <c r="A189" s="31">
        <v>46235.803528095239</v>
      </c>
      <c r="B189" s="31">
        <v>46235.803628809525</v>
      </c>
      <c r="C189" s="31">
        <v>46235.802083333336</v>
      </c>
      <c r="D189" s="1" t="s">
        <v>101</v>
      </c>
      <c r="E189" s="12">
        <v>2.4171428571428569E-3</v>
      </c>
      <c r="F189" s="12">
        <f>IF(D189="d",两日求解价格与决策!K86-两日求解价格与决策!N86,IF(D189="u",两日求解价格与决策!K86+两日求解价格与决策!M86,两日求解价格与决策!K86))</f>
        <v>59.999999999999837</v>
      </c>
      <c r="G189" s="12">
        <f t="shared" si="14"/>
        <v>0</v>
      </c>
      <c r="H189" s="12">
        <f t="shared" si="15"/>
        <v>59.999999999999837</v>
      </c>
      <c r="I189" s="12">
        <f t="shared" si="20"/>
        <v>165.37326708074553</v>
      </c>
      <c r="J189" s="12">
        <f>I189+E189*(G189*原始输入与口径!$B$5-H189/原始输入与口径!$B$5)</f>
        <v>165.21562732919273</v>
      </c>
      <c r="K189" s="12">
        <v>165.37326708074551</v>
      </c>
      <c r="L189" s="12">
        <v>165.2156273291927</v>
      </c>
      <c r="M189" s="19">
        <f t="shared" si="16"/>
        <v>0</v>
      </c>
      <c r="N189" s="12">
        <f>E189*(G189*原始输入与口径!$B$5+H189/原始输入与口径!$B$5)/原始输入与口径!$H$5</f>
        <v>4.3788819875776274E-4</v>
      </c>
      <c r="O189" s="12">
        <v>4.3788819875776263E-4</v>
      </c>
      <c r="P189" s="19">
        <f t="shared" si="17"/>
        <v>0</v>
      </c>
      <c r="Q189" s="12">
        <f t="shared" si="18"/>
        <v>0</v>
      </c>
      <c r="R189" s="12">
        <f t="shared" si="19"/>
        <v>0.14502857142857101</v>
      </c>
      <c r="S189" s="1">
        <v>78</v>
      </c>
      <c r="T189" s="14">
        <v>46235</v>
      </c>
    </row>
    <row r="190" spans="1:20" ht="21" customHeight="1" x14ac:dyDescent="0.45">
      <c r="A190" s="31">
        <v>46235.803628809525</v>
      </c>
      <c r="B190" s="31">
        <v>46235.8125</v>
      </c>
      <c r="C190" s="31">
        <v>46235.802083333336</v>
      </c>
      <c r="D190" s="1" t="s">
        <v>102</v>
      </c>
      <c r="E190" s="12">
        <v>0.21290857142857142</v>
      </c>
      <c r="F190" s="12">
        <f>IF(D190="d",两日求解价格与决策!K86-两日求解价格与决策!N86,IF(D190="u",两日求解价格与决策!K86+两日求解价格与决策!M86,两日求解价格与决策!K86))</f>
        <v>59.999999999999837</v>
      </c>
      <c r="G190" s="12">
        <f t="shared" si="14"/>
        <v>0</v>
      </c>
      <c r="H190" s="12">
        <f t="shared" si="15"/>
        <v>59.999999999999837</v>
      </c>
      <c r="I190" s="12">
        <f t="shared" si="20"/>
        <v>165.21562732919273</v>
      </c>
      <c r="J190" s="12">
        <f>I190+E190*(G190*原始输入与口径!$B$5-H190/原始输入与口径!$B$5)</f>
        <v>151.33028571428594</v>
      </c>
      <c r="K190" s="12">
        <v>165.2156273291927</v>
      </c>
      <c r="L190" s="12">
        <v>151.33028571428591</v>
      </c>
      <c r="M190" s="19">
        <f t="shared" si="16"/>
        <v>0</v>
      </c>
      <c r="N190" s="12">
        <f>E190*(G190*原始输入与口径!$B$5+H190/原始输入与口径!$B$5)/原始输入与口径!$H$5</f>
        <v>3.8570393374741094E-2</v>
      </c>
      <c r="O190" s="12">
        <v>3.8570393374741094E-2</v>
      </c>
      <c r="P190" s="19">
        <f t="shared" si="17"/>
        <v>0</v>
      </c>
      <c r="Q190" s="12">
        <f t="shared" si="18"/>
        <v>0</v>
      </c>
      <c r="R190" s="12">
        <f t="shared" si="19"/>
        <v>12.77451428571425</v>
      </c>
      <c r="S190" s="1">
        <v>78</v>
      </c>
      <c r="T190" s="14">
        <v>46235</v>
      </c>
    </row>
    <row r="191" spans="1:20" ht="21" customHeight="1" x14ac:dyDescent="0.45">
      <c r="A191" s="31">
        <v>46235.8125</v>
      </c>
      <c r="B191" s="31">
        <v>46235.812500238098</v>
      </c>
      <c r="C191" s="31">
        <v>46235.8125</v>
      </c>
      <c r="D191" s="1" t="s">
        <v>103</v>
      </c>
      <c r="E191" s="12">
        <v>5.7142857142857145E-6</v>
      </c>
      <c r="F191" s="12">
        <f>IF(D191="d",两日求解价格与决策!K87-两日求解价格与决策!N87,IF(D191="u",两日求解价格与决策!K87+两日求解价格与决策!M87,两日求解价格与决策!K87))</f>
        <v>-24</v>
      </c>
      <c r="G191" s="12">
        <f t="shared" si="14"/>
        <v>24</v>
      </c>
      <c r="H191" s="12">
        <f t="shared" si="15"/>
        <v>0</v>
      </c>
      <c r="I191" s="12">
        <f t="shared" si="20"/>
        <v>151.33028571428594</v>
      </c>
      <c r="J191" s="12">
        <f>I191+E191*(G191*原始输入与口径!$B$5-H191/原始输入与口径!$B$5)</f>
        <v>151.33041188571451</v>
      </c>
      <c r="K191" s="12">
        <v>151.33028571428591</v>
      </c>
      <c r="L191" s="12">
        <v>151.33041188571448</v>
      </c>
      <c r="M191" s="19">
        <f t="shared" si="16"/>
        <v>0</v>
      </c>
      <c r="N191" s="12">
        <f>E191*(G191*原始输入与口径!$B$5+H191/原始输入与口径!$B$5)/原始输入与口径!$H$5</f>
        <v>3.5047619047619054E-7</v>
      </c>
      <c r="O191" s="12">
        <v>3.5047619047619054E-7</v>
      </c>
      <c r="P191" s="19">
        <f t="shared" si="17"/>
        <v>0</v>
      </c>
      <c r="Q191" s="12">
        <f t="shared" si="18"/>
        <v>1.3714285714285716E-4</v>
      </c>
      <c r="R191" s="12">
        <f t="shared" si="19"/>
        <v>0</v>
      </c>
      <c r="S191" s="1">
        <v>79</v>
      </c>
      <c r="T191" s="14">
        <v>46235</v>
      </c>
    </row>
    <row r="192" spans="1:20" ht="21" customHeight="1" x14ac:dyDescent="0.45">
      <c r="A192" s="31">
        <v>46235.812500238098</v>
      </c>
      <c r="B192" s="31">
        <v>46235.812907142856</v>
      </c>
      <c r="C192" s="31">
        <v>46235.8125</v>
      </c>
      <c r="D192" s="1" t="s">
        <v>101</v>
      </c>
      <c r="E192" s="12">
        <v>9.7657142857142856E-3</v>
      </c>
      <c r="F192" s="12">
        <f>IF(D192="d",两日求解价格与决策!K87-两日求解价格与决策!N87,IF(D192="u",两日求解价格与决策!K87+两日求解价格与决策!M87,两日求解价格与决策!K87))</f>
        <v>0</v>
      </c>
      <c r="G192" s="12">
        <f t="shared" si="14"/>
        <v>0</v>
      </c>
      <c r="H192" s="12">
        <f t="shared" si="15"/>
        <v>0</v>
      </c>
      <c r="I192" s="12">
        <f t="shared" si="20"/>
        <v>151.33041188571451</v>
      </c>
      <c r="J192" s="12">
        <f>I192+E192*(G192*原始输入与口径!$B$5-H192/原始输入与口径!$B$5)</f>
        <v>151.33041188571451</v>
      </c>
      <c r="K192" s="12">
        <v>151.33041188571448</v>
      </c>
      <c r="L192" s="12">
        <v>151.33041188571448</v>
      </c>
      <c r="M192" s="19">
        <f t="shared" si="16"/>
        <v>0</v>
      </c>
      <c r="N192" s="12">
        <f>E192*(G192*原始输入与口径!$B$5+H192/原始输入与口径!$B$5)/原始输入与口径!$H$5</f>
        <v>0</v>
      </c>
      <c r="O192" s="12">
        <v>0</v>
      </c>
      <c r="P192" s="19">
        <f t="shared" si="17"/>
        <v>0</v>
      </c>
      <c r="Q192" s="12">
        <f t="shared" si="18"/>
        <v>0</v>
      </c>
      <c r="R192" s="12">
        <f t="shared" si="19"/>
        <v>0</v>
      </c>
      <c r="S192" s="1">
        <v>79</v>
      </c>
      <c r="T192" s="14">
        <v>46235</v>
      </c>
    </row>
    <row r="193" spans="1:20" ht="21" customHeight="1" x14ac:dyDescent="0.45">
      <c r="A193" s="31">
        <v>46235.812907142856</v>
      </c>
      <c r="B193" s="31">
        <v>46235.822916666664</v>
      </c>
      <c r="C193" s="31">
        <v>46235.8125</v>
      </c>
      <c r="D193" s="1" t="s">
        <v>102</v>
      </c>
      <c r="E193" s="12">
        <v>0.24022857142857143</v>
      </c>
      <c r="F193" s="12">
        <f>IF(D193="d",两日求解价格与决策!K87-两日求解价格与决策!N87,IF(D193="u",两日求解价格与决策!K87+两日求解价格与决策!M87,两日求解价格与决策!K87))</f>
        <v>0</v>
      </c>
      <c r="G193" s="12">
        <f t="shared" si="14"/>
        <v>0</v>
      </c>
      <c r="H193" s="12">
        <f t="shared" si="15"/>
        <v>0</v>
      </c>
      <c r="I193" s="12">
        <f t="shared" si="20"/>
        <v>151.33041188571451</v>
      </c>
      <c r="J193" s="12">
        <f>I193+E193*(G193*原始输入与口径!$B$5-H193/原始输入与口径!$B$5)</f>
        <v>151.33041188571451</v>
      </c>
      <c r="K193" s="12">
        <v>151.33041188571448</v>
      </c>
      <c r="L193" s="12">
        <v>151.33041188571448</v>
      </c>
      <c r="M193" s="19">
        <f t="shared" si="16"/>
        <v>0</v>
      </c>
      <c r="N193" s="12">
        <f>E193*(G193*原始输入与口径!$B$5+H193/原始输入与口径!$B$5)/原始输入与口径!$H$5</f>
        <v>0</v>
      </c>
      <c r="O193" s="12">
        <v>0</v>
      </c>
      <c r="P193" s="19">
        <f t="shared" si="17"/>
        <v>0</v>
      </c>
      <c r="Q193" s="12">
        <f t="shared" si="18"/>
        <v>0</v>
      </c>
      <c r="R193" s="12">
        <f t="shared" si="19"/>
        <v>0</v>
      </c>
      <c r="S193" s="1">
        <v>79</v>
      </c>
      <c r="T193" s="14">
        <v>46235</v>
      </c>
    </row>
    <row r="194" spans="1:20" ht="21" customHeight="1" x14ac:dyDescent="0.45">
      <c r="A194" s="31">
        <v>46235.822916666664</v>
      </c>
      <c r="B194" s="31">
        <v>46235.824426428568</v>
      </c>
      <c r="C194" s="31">
        <v>46235.822916666664</v>
      </c>
      <c r="D194" s="1" t="s">
        <v>101</v>
      </c>
      <c r="E194" s="12">
        <v>3.6234285714285712E-2</v>
      </c>
      <c r="F194" s="12">
        <f>IF(D194="d",两日求解价格与决策!K88-两日求解价格与决策!N88,IF(D194="u",两日求解价格与决策!K88+两日求解价格与决策!M88,两日求解价格与决策!K88))</f>
        <v>60</v>
      </c>
      <c r="G194" s="12">
        <f t="shared" si="14"/>
        <v>0</v>
      </c>
      <c r="H194" s="12">
        <f t="shared" si="15"/>
        <v>60</v>
      </c>
      <c r="I194" s="12">
        <f t="shared" si="20"/>
        <v>151.33041188571451</v>
      </c>
      <c r="J194" s="12">
        <f>I194+E194*(G194*原始输入与口径!$B$5-H194/原始输入与口径!$B$5)</f>
        <v>148.96730629565241</v>
      </c>
      <c r="K194" s="12">
        <v>151.33041188571448</v>
      </c>
      <c r="L194" s="12">
        <v>148.96730629565238</v>
      </c>
      <c r="M194" s="19">
        <f t="shared" si="16"/>
        <v>0</v>
      </c>
      <c r="N194" s="12">
        <f>E194*(G194*原始输入与口径!$B$5+H194/原始输入与口径!$B$5)/原始输入与口径!$H$5</f>
        <v>6.5641821946169771E-3</v>
      </c>
      <c r="O194" s="12">
        <v>6.5641821946169771E-3</v>
      </c>
      <c r="P194" s="19">
        <f t="shared" si="17"/>
        <v>0</v>
      </c>
      <c r="Q194" s="12">
        <f t="shared" si="18"/>
        <v>0</v>
      </c>
      <c r="R194" s="12">
        <f t="shared" si="19"/>
        <v>2.1740571428571429</v>
      </c>
      <c r="S194" s="1">
        <v>80</v>
      </c>
      <c r="T194" s="14">
        <v>46235</v>
      </c>
    </row>
    <row r="195" spans="1:20" ht="21" customHeight="1" x14ac:dyDescent="0.45">
      <c r="A195" s="31">
        <v>46235.824426428568</v>
      </c>
      <c r="B195" s="31">
        <v>46235.833333333328</v>
      </c>
      <c r="C195" s="31">
        <v>46235.822916666664</v>
      </c>
      <c r="D195" s="1" t="s">
        <v>102</v>
      </c>
      <c r="E195" s="12">
        <v>0.21376571428571428</v>
      </c>
      <c r="F195" s="12">
        <f>IF(D195="d",两日求解价格与决策!K88-两日求解价格与决策!N88,IF(D195="u",两日求解价格与决策!K88+两日求解价格与决策!M88,两日求解价格与决策!K88))</f>
        <v>60</v>
      </c>
      <c r="G195" s="12">
        <f t="shared" si="14"/>
        <v>0</v>
      </c>
      <c r="H195" s="12">
        <f t="shared" si="15"/>
        <v>60</v>
      </c>
      <c r="I195" s="12">
        <f t="shared" si="20"/>
        <v>148.96730629565241</v>
      </c>
      <c r="J195" s="12">
        <f>I195+E195*(G195*原始输入与口径!$B$5-H195/原始输入与口径!$B$5)</f>
        <v>135.02606405962757</v>
      </c>
      <c r="K195" s="12">
        <v>148.96730629565238</v>
      </c>
      <c r="L195" s="12">
        <v>135.02606405962754</v>
      </c>
      <c r="M195" s="19">
        <f t="shared" si="16"/>
        <v>0</v>
      </c>
      <c r="N195" s="12">
        <f>E195*(G195*原始输入与口径!$B$5+H195/原始输入与口径!$B$5)/原始输入与口径!$H$5</f>
        <v>3.8725672877846791E-2</v>
      </c>
      <c r="O195" s="12">
        <v>3.8725672877846791E-2</v>
      </c>
      <c r="P195" s="19">
        <f t="shared" si="17"/>
        <v>0</v>
      </c>
      <c r="Q195" s="12">
        <f t="shared" si="18"/>
        <v>0</v>
      </c>
      <c r="R195" s="12">
        <f t="shared" si="19"/>
        <v>12.825942857142858</v>
      </c>
      <c r="S195" s="1">
        <v>80</v>
      </c>
      <c r="T195" s="14">
        <v>46235</v>
      </c>
    </row>
    <row r="196" spans="1:20" ht="21" customHeight="1" x14ac:dyDescent="0.45">
      <c r="A196" s="31">
        <v>46235.833333333336</v>
      </c>
      <c r="B196" s="31">
        <v>46235.83501809524</v>
      </c>
      <c r="C196" s="31">
        <v>46235.833333333336</v>
      </c>
      <c r="D196" s="1" t="s">
        <v>101</v>
      </c>
      <c r="E196" s="12">
        <v>4.0434285714285714E-2</v>
      </c>
      <c r="F196" s="12">
        <f>IF(D196="d",两日求解价格与决策!K89-两日求解价格与决策!N89,IF(D196="u",两日求解价格与决策!K89+两日求解价格与决策!M89,两日求解价格与决策!K89))</f>
        <v>0</v>
      </c>
      <c r="G196" s="12">
        <f t="shared" si="14"/>
        <v>0</v>
      </c>
      <c r="H196" s="12">
        <f t="shared" si="15"/>
        <v>0</v>
      </c>
      <c r="I196" s="12">
        <f t="shared" si="20"/>
        <v>135.02606405962757</v>
      </c>
      <c r="J196" s="12">
        <f>I196+E196*(G196*原始输入与口径!$B$5-H196/原始输入与口径!$B$5)</f>
        <v>135.02606405962757</v>
      </c>
      <c r="K196" s="12">
        <v>135.02606405962754</v>
      </c>
      <c r="L196" s="12">
        <v>135.02606405962754</v>
      </c>
      <c r="M196" s="19">
        <f t="shared" si="16"/>
        <v>0</v>
      </c>
      <c r="N196" s="12">
        <f>E196*(G196*原始输入与口径!$B$5+H196/原始输入与口径!$B$5)/原始输入与口径!$H$5</f>
        <v>0</v>
      </c>
      <c r="O196" s="12">
        <v>0</v>
      </c>
      <c r="P196" s="19">
        <f t="shared" si="17"/>
        <v>0</v>
      </c>
      <c r="Q196" s="12">
        <f t="shared" si="18"/>
        <v>0</v>
      </c>
      <c r="R196" s="12">
        <f t="shared" si="19"/>
        <v>0</v>
      </c>
      <c r="S196" s="1">
        <v>81</v>
      </c>
      <c r="T196" s="14">
        <v>46235</v>
      </c>
    </row>
    <row r="197" spans="1:20" ht="21" customHeight="1" x14ac:dyDescent="0.45">
      <c r="A197" s="31">
        <v>46235.83501809524</v>
      </c>
      <c r="B197" s="31">
        <v>46235.84375</v>
      </c>
      <c r="C197" s="31">
        <v>46235.833333333336</v>
      </c>
      <c r="D197" s="1" t="s">
        <v>102</v>
      </c>
      <c r="E197" s="12">
        <v>0.2095657142857143</v>
      </c>
      <c r="F197" s="12">
        <f>IF(D197="d",两日求解价格与决策!K89-两日求解价格与决策!N89,IF(D197="u",两日求解价格与决策!K89+两日求解价格与决策!M89,两日求解价格与决策!K89))</f>
        <v>0</v>
      </c>
      <c r="G197" s="12">
        <f t="shared" si="14"/>
        <v>0</v>
      </c>
      <c r="H197" s="12">
        <f t="shared" si="15"/>
        <v>0</v>
      </c>
      <c r="I197" s="12">
        <f t="shared" si="20"/>
        <v>135.02606405962757</v>
      </c>
      <c r="J197" s="12">
        <f>I197+E197*(G197*原始输入与口径!$B$5-H197/原始输入与口径!$B$5)</f>
        <v>135.02606405962757</v>
      </c>
      <c r="K197" s="12">
        <v>135.02606405962754</v>
      </c>
      <c r="L197" s="12">
        <v>135.02606405962754</v>
      </c>
      <c r="M197" s="19">
        <f t="shared" si="16"/>
        <v>0</v>
      </c>
      <c r="N197" s="12">
        <f>E197*(G197*原始输入与口径!$B$5+H197/原始输入与口径!$B$5)/原始输入与口径!$H$5</f>
        <v>0</v>
      </c>
      <c r="O197" s="12">
        <v>0</v>
      </c>
      <c r="P197" s="19">
        <f t="shared" si="17"/>
        <v>0</v>
      </c>
      <c r="Q197" s="12">
        <f t="shared" si="18"/>
        <v>0</v>
      </c>
      <c r="R197" s="12">
        <f t="shared" si="19"/>
        <v>0</v>
      </c>
      <c r="S197" s="1">
        <v>81</v>
      </c>
      <c r="T197" s="14">
        <v>46235</v>
      </c>
    </row>
    <row r="198" spans="1:20" ht="21" customHeight="1" x14ac:dyDescent="0.45">
      <c r="A198" s="31">
        <v>46235.84375</v>
      </c>
      <c r="B198" s="31">
        <v>46235.845183809521</v>
      </c>
      <c r="C198" s="31">
        <v>46235.84375</v>
      </c>
      <c r="D198" s="1" t="s">
        <v>101</v>
      </c>
      <c r="E198" s="12">
        <v>3.4411428571428572E-2</v>
      </c>
      <c r="F198" s="12">
        <f>IF(D198="d",两日求解价格与决策!K90-两日求解价格与决策!N90,IF(D198="u",两日求解价格与决策!K90+两日求解价格与决策!M90,两日求解价格与决策!K90))</f>
        <v>0</v>
      </c>
      <c r="G198" s="12">
        <f t="shared" si="14"/>
        <v>0</v>
      </c>
      <c r="H198" s="12">
        <f t="shared" si="15"/>
        <v>0</v>
      </c>
      <c r="I198" s="12">
        <f t="shared" si="20"/>
        <v>135.02606405962757</v>
      </c>
      <c r="J198" s="12">
        <f>I198+E198*(G198*原始输入与口径!$B$5-H198/原始输入与口径!$B$5)</f>
        <v>135.02606405962757</v>
      </c>
      <c r="K198" s="12">
        <v>135.02606405962754</v>
      </c>
      <c r="L198" s="12">
        <v>135.02606405962754</v>
      </c>
      <c r="M198" s="19">
        <f t="shared" si="16"/>
        <v>0</v>
      </c>
      <c r="N198" s="12">
        <f>E198*(G198*原始输入与口径!$B$5+H198/原始输入与口径!$B$5)/原始输入与口径!$H$5</f>
        <v>0</v>
      </c>
      <c r="O198" s="12">
        <v>0</v>
      </c>
      <c r="P198" s="19">
        <f t="shared" si="17"/>
        <v>0</v>
      </c>
      <c r="Q198" s="12">
        <f t="shared" si="18"/>
        <v>0</v>
      </c>
      <c r="R198" s="12">
        <f t="shared" si="19"/>
        <v>0</v>
      </c>
      <c r="S198" s="1">
        <v>82</v>
      </c>
      <c r="T198" s="14">
        <v>46235</v>
      </c>
    </row>
    <row r="199" spans="1:20" ht="21" customHeight="1" x14ac:dyDescent="0.45">
      <c r="A199" s="31">
        <v>46235.845183809521</v>
      </c>
      <c r="B199" s="31">
        <v>46235.854166666664</v>
      </c>
      <c r="C199" s="31">
        <v>46235.84375</v>
      </c>
      <c r="D199" s="1" t="s">
        <v>102</v>
      </c>
      <c r="E199" s="12">
        <v>0.21558857142857143</v>
      </c>
      <c r="F199" s="12">
        <f>IF(D199="d",两日求解价格与决策!K90-两日求解价格与决策!N90,IF(D199="u",两日求解价格与决策!K90+两日求解价格与决策!M90,两日求解价格与决策!K90))</f>
        <v>0</v>
      </c>
      <c r="G199" s="12">
        <f t="shared" si="14"/>
        <v>0</v>
      </c>
      <c r="H199" s="12">
        <f t="shared" si="15"/>
        <v>0</v>
      </c>
      <c r="I199" s="12">
        <f t="shared" si="20"/>
        <v>135.02606405962757</v>
      </c>
      <c r="J199" s="12">
        <f>I199+E199*(G199*原始输入与口径!$B$5-H199/原始输入与口径!$B$5)</f>
        <v>135.02606405962757</v>
      </c>
      <c r="K199" s="12">
        <v>135.02606405962754</v>
      </c>
      <c r="L199" s="12">
        <v>135.02606405962754</v>
      </c>
      <c r="M199" s="19">
        <f t="shared" si="16"/>
        <v>0</v>
      </c>
      <c r="N199" s="12">
        <f>E199*(G199*原始输入与口径!$B$5+H199/原始输入与口径!$B$5)/原始输入与口径!$H$5</f>
        <v>0</v>
      </c>
      <c r="O199" s="12">
        <v>0</v>
      </c>
      <c r="P199" s="19">
        <f t="shared" si="17"/>
        <v>0</v>
      </c>
      <c r="Q199" s="12">
        <f t="shared" si="18"/>
        <v>0</v>
      </c>
      <c r="R199" s="12">
        <f t="shared" si="19"/>
        <v>0</v>
      </c>
      <c r="S199" s="1">
        <v>82</v>
      </c>
      <c r="T199" s="14">
        <v>46235</v>
      </c>
    </row>
    <row r="200" spans="1:20" ht="21" customHeight="1" x14ac:dyDescent="0.45">
      <c r="A200" s="31">
        <v>46235.854166666664</v>
      </c>
      <c r="B200" s="31">
        <v>46235.854167142854</v>
      </c>
      <c r="C200" s="31">
        <v>46235.854166666664</v>
      </c>
      <c r="D200" s="1" t="s">
        <v>103</v>
      </c>
      <c r="E200" s="12">
        <v>1.1428571428571429E-5</v>
      </c>
      <c r="F200" s="12">
        <f>IF(D200="d",两日求解价格与决策!K91-两日求解价格与决策!N91,IF(D200="u",两日求解价格与决策!K91+两日求解价格与决策!M91,两日求解价格与决策!K91))</f>
        <v>36</v>
      </c>
      <c r="G200" s="12">
        <f t="shared" si="14"/>
        <v>0</v>
      </c>
      <c r="H200" s="12">
        <f t="shared" si="15"/>
        <v>36</v>
      </c>
      <c r="I200" s="12">
        <f t="shared" si="20"/>
        <v>135.02606405962757</v>
      </c>
      <c r="J200" s="12">
        <f>I200+E200*(G200*原始输入与口径!$B$5-H200/原始输入与口径!$B$5)</f>
        <v>135.02561685465864</v>
      </c>
      <c r="K200" s="12">
        <v>135.02606405962754</v>
      </c>
      <c r="L200" s="12">
        <v>135.02561685465861</v>
      </c>
      <c r="M200" s="19">
        <f t="shared" si="16"/>
        <v>0</v>
      </c>
      <c r="N200" s="12">
        <f>E200*(G200*原始输入与口径!$B$5+H200/原始输入与口径!$B$5)/原始输入与口径!$H$5</f>
        <v>1.2422360248447205E-6</v>
      </c>
      <c r="O200" s="12">
        <v>1.2422360248447205E-6</v>
      </c>
      <c r="P200" s="19">
        <f t="shared" si="17"/>
        <v>0</v>
      </c>
      <c r="Q200" s="12">
        <f t="shared" si="18"/>
        <v>0</v>
      </c>
      <c r="R200" s="12">
        <f t="shared" si="19"/>
        <v>4.1142857142857143E-4</v>
      </c>
      <c r="S200" s="1">
        <v>83</v>
      </c>
      <c r="T200" s="14">
        <v>46235</v>
      </c>
    </row>
    <row r="201" spans="1:20" ht="21" customHeight="1" x14ac:dyDescent="0.45">
      <c r="A201" s="31">
        <v>46235.854167142854</v>
      </c>
      <c r="B201" s="31">
        <v>46235.854420952375</v>
      </c>
      <c r="C201" s="31">
        <v>46235.854166666664</v>
      </c>
      <c r="D201" s="1" t="s">
        <v>101</v>
      </c>
      <c r="E201" s="12">
        <v>6.0914285714285714E-3</v>
      </c>
      <c r="F201" s="12">
        <f>IF(D201="d",两日求解价格与决策!K91-两日求解价格与决策!N91,IF(D201="u",两日求解价格与决策!K91+两日求解价格与决策!M91,两日求解价格与决策!K91))</f>
        <v>60</v>
      </c>
      <c r="G201" s="12">
        <f t="shared" ref="G201:G264" si="21">MAX(-F201,0)</f>
        <v>0</v>
      </c>
      <c r="H201" s="12">
        <f t="shared" ref="H201:H264" si="22">MAX(F201,0)</f>
        <v>60</v>
      </c>
      <c r="I201" s="12">
        <f t="shared" si="20"/>
        <v>135.02561685465864</v>
      </c>
      <c r="J201" s="12">
        <f>I201+E201*(G201*原始输入与口径!$B$5-H201/原始输入与口径!$B$5)</f>
        <v>134.6283497739133</v>
      </c>
      <c r="K201" s="12">
        <v>135.02561685465861</v>
      </c>
      <c r="L201" s="12">
        <v>134.62834977391327</v>
      </c>
      <c r="M201" s="19">
        <f t="shared" ref="M201:M264" si="23">J201-L201</f>
        <v>0</v>
      </c>
      <c r="N201" s="12">
        <f>E201*(G201*原始输入与口径!$B$5+H201/原始输入与口径!$B$5)/原始输入与口径!$H$5</f>
        <v>1.1035196687370599E-3</v>
      </c>
      <c r="O201" s="12">
        <v>1.1035196687370599E-3</v>
      </c>
      <c r="P201" s="19">
        <f t="shared" ref="P201:P264" si="24">N201-O201</f>
        <v>0</v>
      </c>
      <c r="Q201" s="12">
        <f t="shared" ref="Q201:Q264" si="25">E201*G201</f>
        <v>0</v>
      </c>
      <c r="R201" s="12">
        <f t="shared" ref="R201:R264" si="26">E201*H201</f>
        <v>0.3654857142857143</v>
      </c>
      <c r="S201" s="1">
        <v>83</v>
      </c>
      <c r="T201" s="14">
        <v>46235</v>
      </c>
    </row>
    <row r="202" spans="1:20" ht="21" customHeight="1" x14ac:dyDescent="0.45">
      <c r="A202" s="31">
        <v>46235.854420952375</v>
      </c>
      <c r="B202" s="31">
        <v>46235.864583333328</v>
      </c>
      <c r="C202" s="31">
        <v>46235.854166666664</v>
      </c>
      <c r="D202" s="1" t="s">
        <v>102</v>
      </c>
      <c r="E202" s="12">
        <v>0.24389714285714284</v>
      </c>
      <c r="F202" s="12">
        <f>IF(D202="d",两日求解价格与决策!K91-两日求解价格与决策!N91,IF(D202="u",两日求解价格与决策!K91+两日求解价格与决策!M91,两日求解价格与决策!K91))</f>
        <v>60</v>
      </c>
      <c r="G202" s="12">
        <f t="shared" si="21"/>
        <v>0</v>
      </c>
      <c r="H202" s="12">
        <f t="shared" si="22"/>
        <v>60</v>
      </c>
      <c r="I202" s="12">
        <f t="shared" ref="I202:I265" si="27">J201</f>
        <v>134.6283497739133</v>
      </c>
      <c r="J202" s="12">
        <f>I202+E202*(G202*原始输入与口径!$B$5-H202/原始输入与口径!$B$5)</f>
        <v>118.7220143701866</v>
      </c>
      <c r="K202" s="12">
        <v>134.62834977391327</v>
      </c>
      <c r="L202" s="12">
        <v>118.72201437018657</v>
      </c>
      <c r="M202" s="19">
        <f t="shared" si="23"/>
        <v>0</v>
      </c>
      <c r="N202" s="12">
        <f>E202*(G202*原始输入与口径!$B$5+H202/原始输入与口径!$B$5)/原始输入与口径!$H$5</f>
        <v>4.4184265010351963E-2</v>
      </c>
      <c r="O202" s="12">
        <v>4.4184265010351963E-2</v>
      </c>
      <c r="P202" s="19">
        <f t="shared" si="24"/>
        <v>0</v>
      </c>
      <c r="Q202" s="12">
        <f t="shared" si="25"/>
        <v>0</v>
      </c>
      <c r="R202" s="12">
        <f t="shared" si="26"/>
        <v>14.63382857142857</v>
      </c>
      <c r="S202" s="1">
        <v>83</v>
      </c>
      <c r="T202" s="14">
        <v>46235</v>
      </c>
    </row>
    <row r="203" spans="1:20" ht="21" customHeight="1" x14ac:dyDescent="0.45">
      <c r="A203" s="31">
        <v>46235.864583333336</v>
      </c>
      <c r="B203" s="31">
        <v>46235.864601904766</v>
      </c>
      <c r="C203" s="31">
        <v>46235.864583333336</v>
      </c>
      <c r="D203" s="1" t="s">
        <v>103</v>
      </c>
      <c r="E203" s="12">
        <v>4.4571428571428572E-4</v>
      </c>
      <c r="F203" s="12">
        <f>IF(D203="d",两日求解价格与决策!K92-两日求解价格与决策!N92,IF(D203="u",两日求解价格与决策!K92+两日求解价格与决策!M92,两日求解价格与决策!K92))</f>
        <v>36</v>
      </c>
      <c r="G203" s="12">
        <f t="shared" si="21"/>
        <v>0</v>
      </c>
      <c r="H203" s="12">
        <f t="shared" si="22"/>
        <v>36</v>
      </c>
      <c r="I203" s="12">
        <f t="shared" si="27"/>
        <v>118.7220143701866</v>
      </c>
      <c r="J203" s="12">
        <f>I203+E203*(G203*原始输入与口径!$B$5-H203/原始输入与口径!$B$5)</f>
        <v>118.70457337639778</v>
      </c>
      <c r="K203" s="12">
        <v>118.72201437018657</v>
      </c>
      <c r="L203" s="12">
        <v>118.70457337639775</v>
      </c>
      <c r="M203" s="19">
        <f t="shared" si="23"/>
        <v>0</v>
      </c>
      <c r="N203" s="12">
        <f>E203*(G203*原始输入与口径!$B$5+H203/原始输入与口径!$B$5)/原始输入与口径!$H$5</f>
        <v>4.8447204968944099E-5</v>
      </c>
      <c r="O203" s="12">
        <v>4.8447204968944092E-5</v>
      </c>
      <c r="P203" s="19">
        <f t="shared" si="24"/>
        <v>0</v>
      </c>
      <c r="Q203" s="12">
        <f t="shared" si="25"/>
        <v>0</v>
      </c>
      <c r="R203" s="12">
        <f t="shared" si="26"/>
        <v>1.6045714285714285E-2</v>
      </c>
      <c r="S203" s="1">
        <v>84</v>
      </c>
      <c r="T203" s="14">
        <v>46235</v>
      </c>
    </row>
    <row r="204" spans="1:20" ht="21" customHeight="1" x14ac:dyDescent="0.45">
      <c r="A204" s="31">
        <v>46235.864601904766</v>
      </c>
      <c r="B204" s="31">
        <v>46235.864701904764</v>
      </c>
      <c r="C204" s="31">
        <v>46235.864583333336</v>
      </c>
      <c r="D204" s="1" t="s">
        <v>101</v>
      </c>
      <c r="E204" s="12">
        <v>2.3999999999999998E-3</v>
      </c>
      <c r="F204" s="12">
        <f>IF(D204="d",两日求解价格与决策!K92-两日求解价格与决策!N92,IF(D204="u",两日求解价格与决策!K92+两日求解价格与决策!M92,两日求解价格与决策!K92))</f>
        <v>60</v>
      </c>
      <c r="G204" s="12">
        <f t="shared" si="21"/>
        <v>0</v>
      </c>
      <c r="H204" s="12">
        <f t="shared" si="22"/>
        <v>60</v>
      </c>
      <c r="I204" s="12">
        <f t="shared" si="27"/>
        <v>118.70457337639778</v>
      </c>
      <c r="J204" s="12">
        <f>I204+E204*(G204*原始输入与口径!$B$5-H204/原始输入与口径!$B$5)</f>
        <v>118.54805163726733</v>
      </c>
      <c r="K204" s="12">
        <v>118.70457337639775</v>
      </c>
      <c r="L204" s="12">
        <v>118.54805163726731</v>
      </c>
      <c r="M204" s="19">
        <f t="shared" si="23"/>
        <v>0</v>
      </c>
      <c r="N204" s="12">
        <f>E204*(G204*原始输入与口径!$B$5+H204/原始输入与口径!$B$5)/原始输入与口径!$H$5</f>
        <v>4.3478260869565214E-4</v>
      </c>
      <c r="O204" s="12">
        <v>4.3478260869565214E-4</v>
      </c>
      <c r="P204" s="19">
        <f t="shared" si="24"/>
        <v>0</v>
      </c>
      <c r="Q204" s="12">
        <f t="shared" si="25"/>
        <v>0</v>
      </c>
      <c r="R204" s="12">
        <f t="shared" si="26"/>
        <v>0.14399999999999999</v>
      </c>
      <c r="S204" s="1">
        <v>84</v>
      </c>
      <c r="T204" s="14">
        <v>46235</v>
      </c>
    </row>
    <row r="205" spans="1:20" ht="21" customHeight="1" x14ac:dyDescent="0.45">
      <c r="A205" s="31">
        <v>46235.864701904764</v>
      </c>
      <c r="B205" s="31">
        <v>46235.875</v>
      </c>
      <c r="C205" s="31">
        <v>46235.864583333336</v>
      </c>
      <c r="D205" s="1" t="s">
        <v>102</v>
      </c>
      <c r="E205" s="12">
        <v>0.24715428571428569</v>
      </c>
      <c r="F205" s="12">
        <f>IF(D205="d",两日求解价格与决策!K92-两日求解价格与决策!N92,IF(D205="u",两日求解价格与决策!K92+两日求解价格与决策!M92,两日求解价格与决策!K92))</f>
        <v>60</v>
      </c>
      <c r="G205" s="12">
        <f t="shared" si="21"/>
        <v>0</v>
      </c>
      <c r="H205" s="12">
        <f t="shared" si="22"/>
        <v>60</v>
      </c>
      <c r="I205" s="12">
        <f t="shared" si="27"/>
        <v>118.54805163726733</v>
      </c>
      <c r="J205" s="12">
        <f>I205+E205*(G205*原始输入与口径!$B$5-H205/原始输入与口径!$B$5)</f>
        <v>102.42929387329218</v>
      </c>
      <c r="K205" s="12">
        <v>118.54805163726731</v>
      </c>
      <c r="L205" s="12">
        <v>102.42929387329215</v>
      </c>
      <c r="M205" s="19">
        <f t="shared" si="23"/>
        <v>0</v>
      </c>
      <c r="N205" s="12">
        <f>E205*(G205*原始输入与口径!$B$5+H205/原始输入与口径!$B$5)/原始输入与口径!$H$5</f>
        <v>4.4774327122153207E-2</v>
      </c>
      <c r="O205" s="12">
        <v>4.4774327122153207E-2</v>
      </c>
      <c r="P205" s="19">
        <f t="shared" si="24"/>
        <v>0</v>
      </c>
      <c r="Q205" s="12">
        <f t="shared" si="25"/>
        <v>0</v>
      </c>
      <c r="R205" s="12">
        <f t="shared" si="26"/>
        <v>14.829257142857141</v>
      </c>
      <c r="S205" s="1">
        <v>84</v>
      </c>
      <c r="T205" s="14">
        <v>46235</v>
      </c>
    </row>
    <row r="206" spans="1:20" ht="21" customHeight="1" x14ac:dyDescent="0.45">
      <c r="A206" s="31">
        <v>46235.875</v>
      </c>
      <c r="B206" s="31">
        <v>46235.876010952379</v>
      </c>
      <c r="C206" s="31">
        <v>46235.875</v>
      </c>
      <c r="D206" s="1" t="s">
        <v>101</v>
      </c>
      <c r="E206" s="12">
        <v>2.4262857142857145E-2</v>
      </c>
      <c r="F206" s="12">
        <f>IF(D206="d",两日求解价格与决策!K93-两日求解价格与决策!N93,IF(D206="u",两日求解价格与决策!K93+两日求解价格与决策!M93,两日求解价格与决策!K93))</f>
        <v>46.254840100571528</v>
      </c>
      <c r="G206" s="12">
        <f t="shared" si="21"/>
        <v>0</v>
      </c>
      <c r="H206" s="12">
        <f t="shared" si="22"/>
        <v>46.254840100571528</v>
      </c>
      <c r="I206" s="12">
        <f t="shared" si="27"/>
        <v>102.42929387329218</v>
      </c>
      <c r="J206" s="12">
        <f>I206+E206*(G206*原始输入与口径!$B$5-H206/原始输入与口径!$B$5)</f>
        <v>101.20943020206842</v>
      </c>
      <c r="K206" s="12">
        <v>102.42929387329215</v>
      </c>
      <c r="L206" s="12">
        <v>101.20943020206839</v>
      </c>
      <c r="M206" s="19">
        <f t="shared" si="23"/>
        <v>0</v>
      </c>
      <c r="N206" s="12">
        <f>E206*(G206*原始输入与口径!$B$5+H206/原始输入与口径!$B$5)/原始输入与口径!$H$5</f>
        <v>3.3885101978438008E-3</v>
      </c>
      <c r="O206" s="12">
        <v>3.3885101978438008E-3</v>
      </c>
      <c r="P206" s="19">
        <f t="shared" si="24"/>
        <v>0</v>
      </c>
      <c r="Q206" s="12">
        <f t="shared" si="25"/>
        <v>0</v>
      </c>
      <c r="R206" s="12">
        <f t="shared" si="26"/>
        <v>1.1222745775258669</v>
      </c>
      <c r="S206" s="1">
        <v>85</v>
      </c>
      <c r="T206" s="14">
        <v>46235</v>
      </c>
    </row>
    <row r="207" spans="1:20" ht="21" customHeight="1" x14ac:dyDescent="0.45">
      <c r="A207" s="31">
        <v>46235.876010952379</v>
      </c>
      <c r="B207" s="31">
        <v>46235.885416666664</v>
      </c>
      <c r="C207" s="31">
        <v>46235.875</v>
      </c>
      <c r="D207" s="1" t="s">
        <v>102</v>
      </c>
      <c r="E207" s="12">
        <v>0.22573714285714286</v>
      </c>
      <c r="F207" s="12">
        <f>IF(D207="d",两日求解价格与决策!K93-两日求解价格与决策!N93,IF(D207="u",两日求解价格与决策!K93+两日求解价格与决策!M93,两日求解价格与决策!K93))</f>
        <v>22.254840100571528</v>
      </c>
      <c r="G207" s="12">
        <f t="shared" si="21"/>
        <v>0</v>
      </c>
      <c r="H207" s="12">
        <f t="shared" si="22"/>
        <v>22.254840100571528</v>
      </c>
      <c r="I207" s="12">
        <f t="shared" si="27"/>
        <v>101.20943020206842</v>
      </c>
      <c r="J207" s="12">
        <f>I207+E207*(G207*原始输入与口径!$B$5-H207/原始输入与口径!$B$5)</f>
        <v>95.748838877018869</v>
      </c>
      <c r="K207" s="12">
        <v>101.20943020206839</v>
      </c>
      <c r="L207" s="12">
        <v>95.748838877018841</v>
      </c>
      <c r="M207" s="19">
        <f t="shared" si="23"/>
        <v>0</v>
      </c>
      <c r="N207" s="12">
        <f>E207*(G207*原始输入与口径!$B$5+H207/原始输入与口径!$B$5)/原始输入与口径!$H$5</f>
        <v>1.5168309236248753E-2</v>
      </c>
      <c r="O207" s="12">
        <v>1.5168309236248749E-2</v>
      </c>
      <c r="P207" s="19">
        <f t="shared" si="24"/>
        <v>0</v>
      </c>
      <c r="Q207" s="12">
        <f t="shared" si="25"/>
        <v>0</v>
      </c>
      <c r="R207" s="12">
        <f t="shared" si="26"/>
        <v>5.0237440190455862</v>
      </c>
      <c r="S207" s="1">
        <v>85</v>
      </c>
      <c r="T207" s="14">
        <v>46235</v>
      </c>
    </row>
    <row r="208" spans="1:20" ht="21" customHeight="1" x14ac:dyDescent="0.45">
      <c r="A208" s="31">
        <v>46235.885416666664</v>
      </c>
      <c r="B208" s="31">
        <v>46235.88542547619</v>
      </c>
      <c r="C208" s="31">
        <v>46235.885416666664</v>
      </c>
      <c r="D208" s="1" t="s">
        <v>103</v>
      </c>
      <c r="E208" s="12">
        <v>2.1142857142857142E-4</v>
      </c>
      <c r="F208" s="12">
        <f>IF(D208="d",两日求解价格与决策!K94-两日求解价格与决策!N94,IF(D208="u",两日求解价格与决策!K94+两日求解价格与决策!M94,两日求解价格与决策!K94))</f>
        <v>12</v>
      </c>
      <c r="G208" s="12">
        <f t="shared" si="21"/>
        <v>0</v>
      </c>
      <c r="H208" s="12">
        <f t="shared" si="22"/>
        <v>12</v>
      </c>
      <c r="I208" s="12">
        <f t="shared" si="27"/>
        <v>95.748838877018869</v>
      </c>
      <c r="J208" s="12">
        <f>I208+E208*(G208*原始输入与口径!$B$5-H208/原始输入与口径!$B$5)</f>
        <v>95.746081113043715</v>
      </c>
      <c r="K208" s="12">
        <v>95.748838877018841</v>
      </c>
      <c r="L208" s="12">
        <v>95.746081113043687</v>
      </c>
      <c r="M208" s="19">
        <f t="shared" si="23"/>
        <v>0</v>
      </c>
      <c r="N208" s="12">
        <f>E208*(G208*原始输入与口径!$B$5+H208/原始输入与口径!$B$5)/原始输入与口径!$H$5</f>
        <v>7.6604554865424427E-6</v>
      </c>
      <c r="O208" s="12">
        <v>7.6604554865424427E-6</v>
      </c>
      <c r="P208" s="19">
        <f t="shared" si="24"/>
        <v>0</v>
      </c>
      <c r="Q208" s="12">
        <f t="shared" si="25"/>
        <v>0</v>
      </c>
      <c r="R208" s="12">
        <f t="shared" si="26"/>
        <v>2.5371428571428572E-3</v>
      </c>
      <c r="S208" s="1">
        <v>86</v>
      </c>
      <c r="T208" s="14">
        <v>46235</v>
      </c>
    </row>
    <row r="209" spans="1:20" ht="21" customHeight="1" x14ac:dyDescent="0.45">
      <c r="A209" s="31">
        <v>46235.88542547619</v>
      </c>
      <c r="B209" s="31">
        <v>46235.885926190473</v>
      </c>
      <c r="C209" s="31">
        <v>46235.885416666664</v>
      </c>
      <c r="D209" s="1" t="s">
        <v>101</v>
      </c>
      <c r="E209" s="12">
        <v>1.2017142857142858E-2</v>
      </c>
      <c r="F209" s="12">
        <f>IF(D209="d",两日求解价格与决策!K94-两日求解价格与决策!N94,IF(D209="u",两日求解价格与决策!K94+两日求解价格与决策!M94,两日求解价格与决策!K94))</f>
        <v>60</v>
      </c>
      <c r="G209" s="12">
        <f t="shared" si="21"/>
        <v>0</v>
      </c>
      <c r="H209" s="12">
        <f t="shared" si="22"/>
        <v>60</v>
      </c>
      <c r="I209" s="12">
        <f t="shared" si="27"/>
        <v>95.746081113043715</v>
      </c>
      <c r="J209" s="12">
        <f>I209+E209*(G209*原始输入与口径!$B$5-H209/原始输入与口径!$B$5)</f>
        <v>94.962354404969176</v>
      </c>
      <c r="K209" s="12">
        <v>95.746081113043687</v>
      </c>
      <c r="L209" s="12">
        <v>94.962354404969147</v>
      </c>
      <c r="M209" s="19">
        <f t="shared" si="23"/>
        <v>0</v>
      </c>
      <c r="N209" s="12">
        <f>E209*(G209*原始输入与口径!$B$5+H209/原始输入与口径!$B$5)/原始输入与口径!$H$5</f>
        <v>2.1770186335403731E-3</v>
      </c>
      <c r="O209" s="12">
        <v>2.1770186335403727E-3</v>
      </c>
      <c r="P209" s="19">
        <f t="shared" si="24"/>
        <v>0</v>
      </c>
      <c r="Q209" s="12">
        <f t="shared" si="25"/>
        <v>0</v>
      </c>
      <c r="R209" s="12">
        <f t="shared" si="26"/>
        <v>0.72102857142857146</v>
      </c>
      <c r="S209" s="1">
        <v>86</v>
      </c>
      <c r="T209" s="14">
        <v>46235</v>
      </c>
    </row>
    <row r="210" spans="1:20" ht="21" customHeight="1" x14ac:dyDescent="0.45">
      <c r="A210" s="31">
        <v>46235.885926190473</v>
      </c>
      <c r="B210" s="31">
        <v>46235.895833333328</v>
      </c>
      <c r="C210" s="31">
        <v>46235.885416666664</v>
      </c>
      <c r="D210" s="1" t="s">
        <v>102</v>
      </c>
      <c r="E210" s="12">
        <v>0.23777142857142855</v>
      </c>
      <c r="F210" s="12">
        <f>IF(D210="d",两日求解价格与决策!K94-两日求解价格与决策!N94,IF(D210="u",两日求解价格与决策!K94+两日求解价格与决策!M94,两日求解价格与决策!K94))</f>
        <v>36</v>
      </c>
      <c r="G210" s="12">
        <f t="shared" si="21"/>
        <v>0</v>
      </c>
      <c r="H210" s="12">
        <f t="shared" si="22"/>
        <v>36</v>
      </c>
      <c r="I210" s="12">
        <f t="shared" si="27"/>
        <v>94.962354404969176</v>
      </c>
      <c r="J210" s="12">
        <f>I210+E210*(G210*原始输入与口径!$B$5-H210/原始输入与口径!$B$5)</f>
        <v>85.65825502608719</v>
      </c>
      <c r="K210" s="12">
        <v>94.962354404969147</v>
      </c>
      <c r="L210" s="12">
        <v>85.658255026087161</v>
      </c>
      <c r="M210" s="19">
        <f t="shared" si="23"/>
        <v>0</v>
      </c>
      <c r="N210" s="12">
        <f>E210*(G210*原始输入与口径!$B$5+H210/原始输入与口径!$B$5)/原始输入与口径!$H$5</f>
        <v>2.5844720496894406E-2</v>
      </c>
      <c r="O210" s="12">
        <v>2.5844720496894409E-2</v>
      </c>
      <c r="P210" s="19">
        <f t="shared" si="24"/>
        <v>0</v>
      </c>
      <c r="Q210" s="12">
        <f t="shared" si="25"/>
        <v>0</v>
      </c>
      <c r="R210" s="12">
        <f t="shared" si="26"/>
        <v>8.5597714285714286</v>
      </c>
      <c r="S210" s="1">
        <v>86</v>
      </c>
      <c r="T210" s="14">
        <v>46235</v>
      </c>
    </row>
    <row r="211" spans="1:20" ht="21" customHeight="1" x14ac:dyDescent="0.45">
      <c r="A211" s="31">
        <v>46235.895833333336</v>
      </c>
      <c r="B211" s="31">
        <v>46235.895835000003</v>
      </c>
      <c r="C211" s="31">
        <v>46235.895833333336</v>
      </c>
      <c r="D211" s="1" t="s">
        <v>103</v>
      </c>
      <c r="E211" s="12">
        <v>4.0000000000000003E-5</v>
      </c>
      <c r="F211" s="12">
        <f>IF(D211="d",两日求解价格与决策!K95-两日求解价格与决策!N95,IF(D211="u",两日求解价格与决策!K95+两日求解价格与决策!M95,两日求解价格与决策!K95))</f>
        <v>12.000000000000028</v>
      </c>
      <c r="G211" s="12">
        <f t="shared" si="21"/>
        <v>0</v>
      </c>
      <c r="H211" s="12">
        <f t="shared" si="22"/>
        <v>12.000000000000028</v>
      </c>
      <c r="I211" s="12">
        <f t="shared" si="27"/>
        <v>85.65825502608719</v>
      </c>
      <c r="J211" s="12">
        <f>I211+E211*(G211*原始输入与口径!$B$5-H211/原始输入与口径!$B$5)</f>
        <v>85.657733286956756</v>
      </c>
      <c r="K211" s="12">
        <v>85.658255026087161</v>
      </c>
      <c r="L211" s="12">
        <v>85.657733286956727</v>
      </c>
      <c r="M211" s="19">
        <f t="shared" si="23"/>
        <v>0</v>
      </c>
      <c r="N211" s="12">
        <f>E211*(G211*原始输入与口径!$B$5+H211/原始输入与口径!$B$5)/原始输入与口径!$H$5</f>
        <v>1.449275362318844E-6</v>
      </c>
      <c r="O211" s="12">
        <v>1.449275362318844E-6</v>
      </c>
      <c r="P211" s="19">
        <f t="shared" si="24"/>
        <v>0</v>
      </c>
      <c r="Q211" s="12">
        <f t="shared" si="25"/>
        <v>0</v>
      </c>
      <c r="R211" s="12">
        <f t="shared" si="26"/>
        <v>4.8000000000000115E-4</v>
      </c>
      <c r="S211" s="1">
        <v>87</v>
      </c>
      <c r="T211" s="14">
        <v>46235</v>
      </c>
    </row>
    <row r="212" spans="1:20" ht="21" customHeight="1" x14ac:dyDescent="0.45">
      <c r="A212" s="31">
        <v>46235.895835000003</v>
      </c>
      <c r="B212" s="31">
        <v>46235.896422619051</v>
      </c>
      <c r="C212" s="31">
        <v>46235.895833333336</v>
      </c>
      <c r="D212" s="1" t="s">
        <v>101</v>
      </c>
      <c r="E212" s="12">
        <v>1.4102857142857143E-2</v>
      </c>
      <c r="F212" s="12">
        <f>IF(D212="d",两日求解价格与决策!K95-两日求解价格与决策!N95,IF(D212="u",两日求解价格与决策!K95+两日求解价格与决策!M95,两日求解价格与决策!K95))</f>
        <v>60.000000000000028</v>
      </c>
      <c r="G212" s="12">
        <f t="shared" si="21"/>
        <v>0</v>
      </c>
      <c r="H212" s="12">
        <f t="shared" si="22"/>
        <v>60.000000000000028</v>
      </c>
      <c r="I212" s="12">
        <f t="shared" si="27"/>
        <v>85.657733286956756</v>
      </c>
      <c r="J212" s="12">
        <f>I212+E212*(G212*原始输入与口径!$B$5-H212/原始输入与口径!$B$5)</f>
        <v>84.737981734161721</v>
      </c>
      <c r="K212" s="12">
        <v>85.657733286956727</v>
      </c>
      <c r="L212" s="12">
        <v>84.737981734161693</v>
      </c>
      <c r="M212" s="19">
        <f t="shared" si="23"/>
        <v>0</v>
      </c>
      <c r="N212" s="12">
        <f>E212*(G212*原始输入与口径!$B$5+H212/原始输入与口径!$B$5)/原始输入与口径!$H$5</f>
        <v>2.5548654244306429E-3</v>
      </c>
      <c r="O212" s="12">
        <v>2.5548654244306429E-3</v>
      </c>
      <c r="P212" s="19">
        <f t="shared" si="24"/>
        <v>0</v>
      </c>
      <c r="Q212" s="12">
        <f t="shared" si="25"/>
        <v>0</v>
      </c>
      <c r="R212" s="12">
        <f t="shared" si="26"/>
        <v>0.84617142857142891</v>
      </c>
      <c r="S212" s="1">
        <v>87</v>
      </c>
      <c r="T212" s="14">
        <v>46235</v>
      </c>
    </row>
    <row r="213" spans="1:20" ht="21" customHeight="1" x14ac:dyDescent="0.45">
      <c r="A213" s="31">
        <v>46235.896422619051</v>
      </c>
      <c r="B213" s="31">
        <v>46235.90625</v>
      </c>
      <c r="C213" s="31">
        <v>46235.895833333336</v>
      </c>
      <c r="D213" s="1" t="s">
        <v>102</v>
      </c>
      <c r="E213" s="12">
        <v>0.23585714285714285</v>
      </c>
      <c r="F213" s="12">
        <f>IF(D213="d",两日求解价格与决策!K95-两日求解价格与决策!N95,IF(D213="u",两日求解价格与决策!K95+两日求解价格与决策!M95,两日求解价格与决策!K95))</f>
        <v>36.000000000000028</v>
      </c>
      <c r="G213" s="12">
        <f t="shared" si="21"/>
        <v>0</v>
      </c>
      <c r="H213" s="12">
        <f t="shared" si="22"/>
        <v>36.000000000000028</v>
      </c>
      <c r="I213" s="12">
        <f t="shared" si="27"/>
        <v>84.737981734161721</v>
      </c>
      <c r="J213" s="12">
        <f>I213+E213*(G213*原始输入与口径!$B$5-H213/原始输入与口径!$B$5)</f>
        <v>75.508789187577861</v>
      </c>
      <c r="K213" s="12">
        <v>84.737981734161693</v>
      </c>
      <c r="L213" s="12">
        <v>75.508789187577833</v>
      </c>
      <c r="M213" s="19">
        <f t="shared" si="23"/>
        <v>0</v>
      </c>
      <c r="N213" s="12">
        <f>E213*(G213*原始输入与口径!$B$5+H213/原始输入与口径!$B$5)/原始输入与口径!$H$5</f>
        <v>2.5636645962732935E-2</v>
      </c>
      <c r="O213" s="12">
        <v>2.5636645962732935E-2</v>
      </c>
      <c r="P213" s="19">
        <f t="shared" si="24"/>
        <v>0</v>
      </c>
      <c r="Q213" s="12">
        <f t="shared" si="25"/>
        <v>0</v>
      </c>
      <c r="R213" s="12">
        <f t="shared" si="26"/>
        <v>8.4908571428571484</v>
      </c>
      <c r="S213" s="1">
        <v>87</v>
      </c>
      <c r="T213" s="14">
        <v>46235</v>
      </c>
    </row>
    <row r="214" spans="1:20" ht="21" customHeight="1" x14ac:dyDescent="0.45">
      <c r="A214" s="31">
        <v>46235.90625</v>
      </c>
      <c r="B214" s="31">
        <v>46235.906267619044</v>
      </c>
      <c r="C214" s="31">
        <v>46235.90625</v>
      </c>
      <c r="D214" s="1" t="s">
        <v>103</v>
      </c>
      <c r="E214" s="12">
        <v>4.2285714285714284E-4</v>
      </c>
      <c r="F214" s="12">
        <f>IF(D214="d",两日求解价格与决策!K96-两日求解价格与决策!N96,IF(D214="u",两日求解价格与决策!K96+两日求解价格与决策!M96,两日求解价格与决策!K96))</f>
        <v>12</v>
      </c>
      <c r="G214" s="12">
        <f t="shared" si="21"/>
        <v>0</v>
      </c>
      <c r="H214" s="12">
        <f t="shared" si="22"/>
        <v>12</v>
      </c>
      <c r="I214" s="12">
        <f t="shared" si="27"/>
        <v>75.508789187577861</v>
      </c>
      <c r="J214" s="12">
        <f>I214+E214*(G214*原始输入与口径!$B$5-H214/原始输入与口径!$B$5)</f>
        <v>75.503273659627553</v>
      </c>
      <c r="K214" s="12">
        <v>75.508789187577833</v>
      </c>
      <c r="L214" s="12">
        <v>75.503273659627524</v>
      </c>
      <c r="M214" s="19">
        <f t="shared" si="23"/>
        <v>0</v>
      </c>
      <c r="N214" s="12">
        <f>E214*(G214*原始输入与口径!$B$5+H214/原始输入与口径!$B$5)/原始输入与口径!$H$5</f>
        <v>1.5320910973084885E-5</v>
      </c>
      <c r="O214" s="12">
        <v>1.5320910973084885E-5</v>
      </c>
      <c r="P214" s="19">
        <f t="shared" si="24"/>
        <v>0</v>
      </c>
      <c r="Q214" s="12">
        <f t="shared" si="25"/>
        <v>0</v>
      </c>
      <c r="R214" s="12">
        <f t="shared" si="26"/>
        <v>5.0742857142857143E-3</v>
      </c>
      <c r="S214" s="1">
        <v>88</v>
      </c>
      <c r="T214" s="14">
        <v>46235</v>
      </c>
    </row>
    <row r="215" spans="1:20" ht="21" customHeight="1" x14ac:dyDescent="0.45">
      <c r="A215" s="31">
        <v>46235.906267619044</v>
      </c>
      <c r="B215" s="31">
        <v>46235.906297857146</v>
      </c>
      <c r="C215" s="31">
        <v>46235.90625</v>
      </c>
      <c r="D215" s="1" t="s">
        <v>101</v>
      </c>
      <c r="E215" s="12">
        <v>7.257142857142857E-4</v>
      </c>
      <c r="F215" s="12">
        <f>IF(D215="d",两日求解价格与决策!K96-两日求解价格与决策!N96,IF(D215="u",两日求解价格与决策!K96+两日求解价格与决策!M96,两日求解价格与决策!K96))</f>
        <v>60</v>
      </c>
      <c r="G215" s="12">
        <f t="shared" si="21"/>
        <v>0</v>
      </c>
      <c r="H215" s="12">
        <f t="shared" si="22"/>
        <v>60</v>
      </c>
      <c r="I215" s="12">
        <f t="shared" si="27"/>
        <v>75.503273659627553</v>
      </c>
      <c r="J215" s="12">
        <f>I215+E215*(G215*原始输入与口径!$B$5-H215/原始输入与口径!$B$5)</f>
        <v>75.455944467080968</v>
      </c>
      <c r="K215" s="12">
        <v>75.503273659627524</v>
      </c>
      <c r="L215" s="12">
        <v>75.45594446708094</v>
      </c>
      <c r="M215" s="19">
        <f t="shared" si="23"/>
        <v>0</v>
      </c>
      <c r="N215" s="12">
        <f>E215*(G215*原始输入与口径!$B$5+H215/原始输入与口径!$B$5)/原始输入与口径!$H$5</f>
        <v>1.3146997929606625E-4</v>
      </c>
      <c r="O215" s="12">
        <v>1.3146997929606625E-4</v>
      </c>
      <c r="P215" s="19">
        <f t="shared" si="24"/>
        <v>0</v>
      </c>
      <c r="Q215" s="12">
        <f t="shared" si="25"/>
        <v>0</v>
      </c>
      <c r="R215" s="12">
        <f t="shared" si="26"/>
        <v>4.354285714285714E-2</v>
      </c>
      <c r="S215" s="1">
        <v>88</v>
      </c>
      <c r="T215" s="14">
        <v>46235</v>
      </c>
    </row>
    <row r="216" spans="1:20" ht="21" customHeight="1" x14ac:dyDescent="0.45">
      <c r="A216" s="31">
        <v>46235.906297857146</v>
      </c>
      <c r="B216" s="31">
        <v>46235.916666666664</v>
      </c>
      <c r="C216" s="31">
        <v>46235.90625</v>
      </c>
      <c r="D216" s="1" t="s">
        <v>102</v>
      </c>
      <c r="E216" s="12">
        <v>0.24885142857142858</v>
      </c>
      <c r="F216" s="12">
        <f>IF(D216="d",两日求解价格与决策!K96-两日求解价格与决策!N96,IF(D216="u",两日求解价格与决策!K96+两日求解价格与决策!M96,两日求解价格与决策!K96))</f>
        <v>36</v>
      </c>
      <c r="G216" s="12">
        <f t="shared" si="21"/>
        <v>0</v>
      </c>
      <c r="H216" s="12">
        <f t="shared" si="22"/>
        <v>36</v>
      </c>
      <c r="I216" s="12">
        <f t="shared" si="27"/>
        <v>75.455944467080968</v>
      </c>
      <c r="J216" s="12">
        <f>I216+E216*(G216*原始输入与口径!$B$5-H216/原始输入与口径!$B$5)</f>
        <v>65.718279870807677</v>
      </c>
      <c r="K216" s="12">
        <v>75.45594446708094</v>
      </c>
      <c r="L216" s="12">
        <v>65.718279870807649</v>
      </c>
      <c r="M216" s="19">
        <f t="shared" si="23"/>
        <v>0</v>
      </c>
      <c r="N216" s="12">
        <f>E216*(G216*原始输入与口径!$B$5+H216/原始输入与口径!$B$5)/原始输入与口径!$H$5</f>
        <v>2.704906832298137E-2</v>
      </c>
      <c r="O216" s="12">
        <v>2.7049068322981363E-2</v>
      </c>
      <c r="P216" s="19">
        <f t="shared" si="24"/>
        <v>0</v>
      </c>
      <c r="Q216" s="12">
        <f t="shared" si="25"/>
        <v>0</v>
      </c>
      <c r="R216" s="12">
        <f t="shared" si="26"/>
        <v>8.9586514285714287</v>
      </c>
      <c r="S216" s="1">
        <v>88</v>
      </c>
      <c r="T216" s="14">
        <v>46235</v>
      </c>
    </row>
    <row r="217" spans="1:20" ht="21" customHeight="1" x14ac:dyDescent="0.45">
      <c r="A217" s="31">
        <v>46235.916666666664</v>
      </c>
      <c r="B217" s="31">
        <v>46235.917732142858</v>
      </c>
      <c r="C217" s="31">
        <v>46235.916666666664</v>
      </c>
      <c r="D217" s="1" t="s">
        <v>101</v>
      </c>
      <c r="E217" s="12">
        <v>2.5571428571428568E-2</v>
      </c>
      <c r="F217" s="12">
        <f>IF(D217="d",两日求解价格与决策!K97-两日求解价格与决策!N97,IF(D217="u",两日求解价格与决策!K97+两日求解价格与决策!M97,两日求解价格与决策!K97))</f>
        <v>60</v>
      </c>
      <c r="G217" s="12">
        <f t="shared" si="21"/>
        <v>0</v>
      </c>
      <c r="H217" s="12">
        <f t="shared" si="22"/>
        <v>60</v>
      </c>
      <c r="I217" s="12">
        <f t="shared" si="27"/>
        <v>65.718279870807677</v>
      </c>
      <c r="J217" s="12">
        <f>I217+E217*(G217*原始输入与口径!$B$5-H217/原始输入与口径!$B$5)</f>
        <v>64.050578007453637</v>
      </c>
      <c r="K217" s="12">
        <v>65.718279870807649</v>
      </c>
      <c r="L217" s="12">
        <v>64.050578007453609</v>
      </c>
      <c r="M217" s="19">
        <f t="shared" si="23"/>
        <v>0</v>
      </c>
      <c r="N217" s="12">
        <f>E217*(G217*原始输入与口径!$B$5+H217/原始输入与口径!$B$5)/原始输入与口径!$H$5</f>
        <v>4.6325051759834365E-3</v>
      </c>
      <c r="O217" s="12">
        <v>4.6325051759834356E-3</v>
      </c>
      <c r="P217" s="19">
        <f t="shared" si="24"/>
        <v>0</v>
      </c>
      <c r="Q217" s="12">
        <f t="shared" si="25"/>
        <v>0</v>
      </c>
      <c r="R217" s="12">
        <f t="shared" si="26"/>
        <v>1.534285714285714</v>
      </c>
      <c r="S217" s="1">
        <v>89</v>
      </c>
      <c r="T217" s="14">
        <v>46235</v>
      </c>
    </row>
    <row r="218" spans="1:20" ht="21" customHeight="1" x14ac:dyDescent="0.45">
      <c r="A218" s="31">
        <v>46235.917732142858</v>
      </c>
      <c r="B218" s="31">
        <v>46235.927083333328</v>
      </c>
      <c r="C218" s="31">
        <v>46235.916666666664</v>
      </c>
      <c r="D218" s="1" t="s">
        <v>102</v>
      </c>
      <c r="E218" s="12">
        <v>0.22442857142857142</v>
      </c>
      <c r="F218" s="12">
        <f>IF(D218="d",两日求解价格与决策!K97-两日求解价格与决策!N97,IF(D218="u",两日求解价格与决策!K97+两日求解价格与决策!M97,两日求解价格与决策!K97))</f>
        <v>60</v>
      </c>
      <c r="G218" s="12">
        <f t="shared" si="21"/>
        <v>0</v>
      </c>
      <c r="H218" s="12">
        <f t="shared" si="22"/>
        <v>60</v>
      </c>
      <c r="I218" s="12">
        <f t="shared" si="27"/>
        <v>64.050578007453637</v>
      </c>
      <c r="J218" s="12">
        <f>I218+E218*(G218*原始输入与口径!$B$5-H218/原始输入与口径!$B$5)</f>
        <v>49.413932044720717</v>
      </c>
      <c r="K218" s="12">
        <v>64.050578007453609</v>
      </c>
      <c r="L218" s="12">
        <v>49.413932044720696</v>
      </c>
      <c r="M218" s="19">
        <f t="shared" si="23"/>
        <v>0</v>
      </c>
      <c r="N218" s="12">
        <f>E218*(G218*原始输入与口径!$B$5+H218/原始输入与口径!$B$5)/原始输入与口径!$H$5</f>
        <v>4.065734989648033E-2</v>
      </c>
      <c r="O218" s="12">
        <v>4.0657349896480323E-2</v>
      </c>
      <c r="P218" s="19">
        <f t="shared" si="24"/>
        <v>0</v>
      </c>
      <c r="Q218" s="12">
        <f t="shared" si="25"/>
        <v>0</v>
      </c>
      <c r="R218" s="12">
        <f t="shared" si="26"/>
        <v>13.465714285714284</v>
      </c>
      <c r="S218" s="1">
        <v>89</v>
      </c>
      <c r="T218" s="14">
        <v>46235</v>
      </c>
    </row>
    <row r="219" spans="1:20" ht="21" customHeight="1" x14ac:dyDescent="0.45">
      <c r="A219" s="31">
        <v>46235.927083333336</v>
      </c>
      <c r="B219" s="31">
        <v>46235.927221428574</v>
      </c>
      <c r="C219" s="31">
        <v>46235.927083333336</v>
      </c>
      <c r="D219" s="1" t="s">
        <v>103</v>
      </c>
      <c r="E219" s="12">
        <v>3.3142857142857141E-3</v>
      </c>
      <c r="F219" s="12">
        <f>IF(D219="d",两日求解价格与决策!K98-两日求解价格与决策!N98,IF(D219="u",两日求解价格与决策!K98+两日求解价格与决策!M98,两日求解价格与决策!K98))</f>
        <v>36</v>
      </c>
      <c r="G219" s="12">
        <f t="shared" si="21"/>
        <v>0</v>
      </c>
      <c r="H219" s="12">
        <f t="shared" si="22"/>
        <v>36</v>
      </c>
      <c r="I219" s="12">
        <f t="shared" si="27"/>
        <v>49.413932044720717</v>
      </c>
      <c r="J219" s="12">
        <f>I219+E219*(G219*原始输入与口径!$B$5-H219/原始输入与口径!$B$5)</f>
        <v>49.284242603726931</v>
      </c>
      <c r="K219" s="12">
        <v>49.413932044720696</v>
      </c>
      <c r="L219" s="12">
        <v>49.284242603726909</v>
      </c>
      <c r="M219" s="19">
        <f t="shared" si="23"/>
        <v>0</v>
      </c>
      <c r="N219" s="12">
        <f>E219*(G219*原始输入与口径!$B$5+H219/原始输入与口径!$B$5)/原始输入与口径!$H$5</f>
        <v>3.6024844720496894E-4</v>
      </c>
      <c r="O219" s="12">
        <v>3.6024844720496894E-4</v>
      </c>
      <c r="P219" s="19">
        <f t="shared" si="24"/>
        <v>0</v>
      </c>
      <c r="Q219" s="12">
        <f t="shared" si="25"/>
        <v>0</v>
      </c>
      <c r="R219" s="12">
        <f t="shared" si="26"/>
        <v>0.11931428571428571</v>
      </c>
      <c r="S219" s="1">
        <v>90</v>
      </c>
      <c r="T219" s="14">
        <v>46235</v>
      </c>
    </row>
    <row r="220" spans="1:20" ht="21" customHeight="1" x14ac:dyDescent="0.45">
      <c r="A220" s="31">
        <v>46235.927221428574</v>
      </c>
      <c r="B220" s="31">
        <v>46235.927398809523</v>
      </c>
      <c r="C220" s="31">
        <v>46235.927083333336</v>
      </c>
      <c r="D220" s="1" t="s">
        <v>101</v>
      </c>
      <c r="E220" s="12">
        <v>4.2571428571428569E-3</v>
      </c>
      <c r="F220" s="12">
        <f>IF(D220="d",两日求解价格与决策!K98-两日求解价格与决策!N98,IF(D220="u",两日求解价格与决策!K98+两日求解价格与决策!M98,两日求解价格与决策!K98))</f>
        <v>60</v>
      </c>
      <c r="G220" s="12">
        <f t="shared" si="21"/>
        <v>0</v>
      </c>
      <c r="H220" s="12">
        <f t="shared" si="22"/>
        <v>60</v>
      </c>
      <c r="I220" s="12">
        <f t="shared" si="27"/>
        <v>49.284242603726931</v>
      </c>
      <c r="J220" s="12">
        <f>I220+E220*(G220*原始输入与口径!$B$5-H220/原始输入与口径!$B$5)</f>
        <v>49.006602852174133</v>
      </c>
      <c r="K220" s="12">
        <v>49.284242603726909</v>
      </c>
      <c r="L220" s="12">
        <v>49.006602852174112</v>
      </c>
      <c r="M220" s="19">
        <f t="shared" si="23"/>
        <v>0</v>
      </c>
      <c r="N220" s="12">
        <f>E220*(G220*原始输入与口径!$B$5+H220/原始输入与口径!$B$5)/原始输入与口径!$H$5</f>
        <v>7.7122153209109731E-4</v>
      </c>
      <c r="O220" s="12">
        <v>7.7122153209109709E-4</v>
      </c>
      <c r="P220" s="19">
        <f t="shared" si="24"/>
        <v>0</v>
      </c>
      <c r="Q220" s="12">
        <f t="shared" si="25"/>
        <v>0</v>
      </c>
      <c r="R220" s="12">
        <f t="shared" si="26"/>
        <v>0.25542857142857139</v>
      </c>
      <c r="S220" s="1">
        <v>90</v>
      </c>
      <c r="T220" s="14">
        <v>46235</v>
      </c>
    </row>
    <row r="221" spans="1:20" ht="21" customHeight="1" x14ac:dyDescent="0.45">
      <c r="A221" s="31">
        <v>46235.927398809523</v>
      </c>
      <c r="B221" s="31">
        <v>46235.9375</v>
      </c>
      <c r="C221" s="31">
        <v>46235.927083333336</v>
      </c>
      <c r="D221" s="1" t="s">
        <v>102</v>
      </c>
      <c r="E221" s="12">
        <v>0.24242857142857144</v>
      </c>
      <c r="F221" s="12">
        <f>IF(D221="d",两日求解价格与决策!K98-两日求解价格与决策!N98,IF(D221="u",两日求解价格与决策!K98+两日求解价格与决策!M98,两日求解价格与决策!K98))</f>
        <v>60</v>
      </c>
      <c r="G221" s="12">
        <f t="shared" si="21"/>
        <v>0</v>
      </c>
      <c r="H221" s="12">
        <f t="shared" si="22"/>
        <v>60</v>
      </c>
      <c r="I221" s="12">
        <f t="shared" si="27"/>
        <v>49.006602852174133</v>
      </c>
      <c r="J221" s="12">
        <f>I221+E221*(G221*原始输入与口径!$B$5-H221/原始输入与口径!$B$5)</f>
        <v>33.196043845962954</v>
      </c>
      <c r="K221" s="12">
        <v>49.006602852174112</v>
      </c>
      <c r="L221" s="12">
        <v>33.196043845962933</v>
      </c>
      <c r="M221" s="19">
        <f t="shared" si="23"/>
        <v>0</v>
      </c>
      <c r="N221" s="12">
        <f>E221*(G221*原始输入与口径!$B$5+H221/原始输入与口径!$B$5)/原始输入与口径!$H$5</f>
        <v>4.3918219461697723E-2</v>
      </c>
      <c r="O221" s="12">
        <v>4.3918219461697723E-2</v>
      </c>
      <c r="P221" s="19">
        <f t="shared" si="24"/>
        <v>0</v>
      </c>
      <c r="Q221" s="12">
        <f t="shared" si="25"/>
        <v>0</v>
      </c>
      <c r="R221" s="12">
        <f t="shared" si="26"/>
        <v>14.545714285714286</v>
      </c>
      <c r="S221" s="1">
        <v>90</v>
      </c>
      <c r="T221" s="14">
        <v>46235</v>
      </c>
    </row>
    <row r="222" spans="1:20" ht="21" customHeight="1" x14ac:dyDescent="0.45">
      <c r="A222" s="31">
        <v>46235.9375</v>
      </c>
      <c r="B222" s="31">
        <v>46235.937676190479</v>
      </c>
      <c r="C222" s="31">
        <v>46235.9375</v>
      </c>
      <c r="D222" s="1" t="s">
        <v>103</v>
      </c>
      <c r="E222" s="12">
        <v>4.2285714285714288E-3</v>
      </c>
      <c r="F222" s="12">
        <f>IF(D222="d",两日求解价格与决策!K99-两日求解价格与决策!N99,IF(D222="u",两日求解价格与决策!K99+两日求解价格与决策!M99,两日求解价格与决策!K99))</f>
        <v>-24</v>
      </c>
      <c r="G222" s="12">
        <f t="shared" si="21"/>
        <v>24</v>
      </c>
      <c r="H222" s="12">
        <f t="shared" si="22"/>
        <v>0</v>
      </c>
      <c r="I222" s="12">
        <f t="shared" si="27"/>
        <v>33.196043845962954</v>
      </c>
      <c r="J222" s="12">
        <f>I222+E222*(G222*原始输入与口径!$B$5-H222/原始输入与口径!$B$5)</f>
        <v>33.289410703105808</v>
      </c>
      <c r="K222" s="12">
        <v>33.196043845962933</v>
      </c>
      <c r="L222" s="12">
        <v>33.289410703105787</v>
      </c>
      <c r="M222" s="19">
        <f t="shared" si="23"/>
        <v>0</v>
      </c>
      <c r="N222" s="12">
        <f>E222*(G222*原始输入与口径!$B$5+H222/原始输入与口径!$B$5)/原始输入与口径!$H$5</f>
        <v>2.5935238095238099E-4</v>
      </c>
      <c r="O222" s="12">
        <v>2.5935238095238099E-4</v>
      </c>
      <c r="P222" s="19">
        <f t="shared" si="24"/>
        <v>0</v>
      </c>
      <c r="Q222" s="12">
        <f t="shared" si="25"/>
        <v>0.10148571428571429</v>
      </c>
      <c r="R222" s="12">
        <f t="shared" si="26"/>
        <v>0</v>
      </c>
      <c r="S222" s="1">
        <v>91</v>
      </c>
      <c r="T222" s="14">
        <v>46235</v>
      </c>
    </row>
    <row r="223" spans="1:20" ht="21" customHeight="1" x14ac:dyDescent="0.45">
      <c r="A223" s="31">
        <v>46235.937676190479</v>
      </c>
      <c r="B223" s="31">
        <v>46235.937744761904</v>
      </c>
      <c r="C223" s="31">
        <v>46235.9375</v>
      </c>
      <c r="D223" s="1" t="s">
        <v>101</v>
      </c>
      <c r="E223" s="12">
        <v>1.6457142857142855E-3</v>
      </c>
      <c r="F223" s="12">
        <f>IF(D223="d",两日求解价格与决策!K99-两日求解价格与决策!N99,IF(D223="u",两日求解价格与决策!K99+两日求解价格与决策!M99,两日求解价格与决策!K99))</f>
        <v>0</v>
      </c>
      <c r="G223" s="12">
        <f t="shared" si="21"/>
        <v>0</v>
      </c>
      <c r="H223" s="12">
        <f t="shared" si="22"/>
        <v>0</v>
      </c>
      <c r="I223" s="12">
        <f t="shared" si="27"/>
        <v>33.289410703105808</v>
      </c>
      <c r="J223" s="12">
        <f>I223+E223*(G223*原始输入与口径!$B$5-H223/原始输入与口径!$B$5)</f>
        <v>33.289410703105808</v>
      </c>
      <c r="K223" s="12">
        <v>33.289410703105787</v>
      </c>
      <c r="L223" s="12">
        <v>33.289410703105787</v>
      </c>
      <c r="M223" s="19">
        <f t="shared" si="23"/>
        <v>0</v>
      </c>
      <c r="N223" s="12">
        <f>E223*(G223*原始输入与口径!$B$5+H223/原始输入与口径!$B$5)/原始输入与口径!$H$5</f>
        <v>0</v>
      </c>
      <c r="O223" s="12">
        <v>0</v>
      </c>
      <c r="P223" s="19">
        <f t="shared" si="24"/>
        <v>0</v>
      </c>
      <c r="Q223" s="12">
        <f t="shared" si="25"/>
        <v>0</v>
      </c>
      <c r="R223" s="12">
        <f t="shared" si="26"/>
        <v>0</v>
      </c>
      <c r="S223" s="1">
        <v>91</v>
      </c>
      <c r="T223" s="14">
        <v>46235</v>
      </c>
    </row>
    <row r="224" spans="1:20" ht="21" customHeight="1" x14ac:dyDescent="0.45">
      <c r="A224" s="31">
        <v>46235.937744761904</v>
      </c>
      <c r="B224" s="31">
        <v>46235.947916666664</v>
      </c>
      <c r="C224" s="31">
        <v>46235.9375</v>
      </c>
      <c r="D224" s="1" t="s">
        <v>102</v>
      </c>
      <c r="E224" s="12">
        <v>0.24412571428571428</v>
      </c>
      <c r="F224" s="12">
        <f>IF(D224="d",两日求解价格与决策!K99-两日求解价格与决策!N99,IF(D224="u",两日求解价格与决策!K99+两日求解价格与决策!M99,两日求解价格与决策!K99))</f>
        <v>0</v>
      </c>
      <c r="G224" s="12">
        <f t="shared" si="21"/>
        <v>0</v>
      </c>
      <c r="H224" s="12">
        <f t="shared" si="22"/>
        <v>0</v>
      </c>
      <c r="I224" s="12">
        <f t="shared" si="27"/>
        <v>33.289410703105808</v>
      </c>
      <c r="J224" s="12">
        <f>I224+E224*(G224*原始输入与口径!$B$5-H224/原始输入与口径!$B$5)</f>
        <v>33.289410703105808</v>
      </c>
      <c r="K224" s="12">
        <v>33.289410703105787</v>
      </c>
      <c r="L224" s="12">
        <v>33.289410703105787</v>
      </c>
      <c r="M224" s="19">
        <f t="shared" si="23"/>
        <v>0</v>
      </c>
      <c r="N224" s="12">
        <f>E224*(G224*原始输入与口径!$B$5+H224/原始输入与口径!$B$5)/原始输入与口径!$H$5</f>
        <v>0</v>
      </c>
      <c r="O224" s="12">
        <v>0</v>
      </c>
      <c r="P224" s="19">
        <f t="shared" si="24"/>
        <v>0</v>
      </c>
      <c r="Q224" s="12">
        <f t="shared" si="25"/>
        <v>0</v>
      </c>
      <c r="R224" s="12">
        <f t="shared" si="26"/>
        <v>0</v>
      </c>
      <c r="S224" s="1">
        <v>91</v>
      </c>
      <c r="T224" s="14">
        <v>46235</v>
      </c>
    </row>
    <row r="225" spans="1:20" ht="21" customHeight="1" x14ac:dyDescent="0.45">
      <c r="A225" s="31">
        <v>46235.947916666664</v>
      </c>
      <c r="B225" s="31">
        <v>46235.948456666665</v>
      </c>
      <c r="C225" s="31">
        <v>46235.947916666664</v>
      </c>
      <c r="D225" s="1" t="s">
        <v>103</v>
      </c>
      <c r="E225" s="12">
        <v>1.2959999999999999E-2</v>
      </c>
      <c r="F225" s="12">
        <f>IF(D225="d",两日求解价格与决策!K100-两日求解价格与决策!N100,IF(D225="u",两日求解价格与决策!K100+两日求解价格与决策!M100,两日求解价格与决策!K100))</f>
        <v>-24</v>
      </c>
      <c r="G225" s="12">
        <f t="shared" si="21"/>
        <v>24</v>
      </c>
      <c r="H225" s="12">
        <f t="shared" si="22"/>
        <v>0</v>
      </c>
      <c r="I225" s="12">
        <f t="shared" si="27"/>
        <v>33.289410703105808</v>
      </c>
      <c r="J225" s="12">
        <f>I225+E225*(G225*原始输入与口径!$B$5-H225/原始输入与口径!$B$5)</f>
        <v>33.575567503105809</v>
      </c>
      <c r="K225" s="12">
        <v>33.289410703105787</v>
      </c>
      <c r="L225" s="12">
        <v>33.575567503105788</v>
      </c>
      <c r="M225" s="19">
        <f t="shared" si="23"/>
        <v>0</v>
      </c>
      <c r="N225" s="12">
        <f>E225*(G225*原始输入与口径!$B$5+H225/原始输入与口径!$B$5)/原始输入与口径!$H$5</f>
        <v>7.9487999999999998E-4</v>
      </c>
      <c r="O225" s="12">
        <v>7.9487999999999998E-4</v>
      </c>
      <c r="P225" s="19">
        <f t="shared" si="24"/>
        <v>0</v>
      </c>
      <c r="Q225" s="12">
        <f t="shared" si="25"/>
        <v>0.31103999999999998</v>
      </c>
      <c r="R225" s="12">
        <f t="shared" si="26"/>
        <v>0</v>
      </c>
      <c r="S225" s="1">
        <v>92</v>
      </c>
      <c r="T225" s="14">
        <v>46235</v>
      </c>
    </row>
    <row r="226" spans="1:20" ht="21" customHeight="1" x14ac:dyDescent="0.45">
      <c r="A226" s="31">
        <v>46235.948456666665</v>
      </c>
      <c r="B226" s="31">
        <v>46235.948523333333</v>
      </c>
      <c r="C226" s="31">
        <v>46235.947916666664</v>
      </c>
      <c r="D226" s="1" t="s">
        <v>101</v>
      </c>
      <c r="E226" s="12">
        <v>1.6000000000000001E-3</v>
      </c>
      <c r="F226" s="12">
        <f>IF(D226="d",两日求解价格与决策!K100-两日求解价格与决策!N100,IF(D226="u",两日求解价格与决策!K100+两日求解价格与决策!M100,两日求解价格与决策!K100))</f>
        <v>0</v>
      </c>
      <c r="G226" s="12">
        <f t="shared" si="21"/>
        <v>0</v>
      </c>
      <c r="H226" s="12">
        <f t="shared" si="22"/>
        <v>0</v>
      </c>
      <c r="I226" s="12">
        <f t="shared" si="27"/>
        <v>33.575567503105809</v>
      </c>
      <c r="J226" s="12">
        <f>I226+E226*(G226*原始输入与口径!$B$5-H226/原始输入与口径!$B$5)</f>
        <v>33.575567503105809</v>
      </c>
      <c r="K226" s="12">
        <v>33.575567503105788</v>
      </c>
      <c r="L226" s="12">
        <v>33.575567503105788</v>
      </c>
      <c r="M226" s="19">
        <f t="shared" si="23"/>
        <v>0</v>
      </c>
      <c r="N226" s="12">
        <f>E226*(G226*原始输入与口径!$B$5+H226/原始输入与口径!$B$5)/原始输入与口径!$H$5</f>
        <v>0</v>
      </c>
      <c r="O226" s="12">
        <v>0</v>
      </c>
      <c r="P226" s="19">
        <f t="shared" si="24"/>
        <v>0</v>
      </c>
      <c r="Q226" s="12">
        <f t="shared" si="25"/>
        <v>0</v>
      </c>
      <c r="R226" s="12">
        <f t="shared" si="26"/>
        <v>0</v>
      </c>
      <c r="S226" s="1">
        <v>92</v>
      </c>
      <c r="T226" s="14">
        <v>46235</v>
      </c>
    </row>
    <row r="227" spans="1:20" ht="21" customHeight="1" x14ac:dyDescent="0.45">
      <c r="A227" s="31">
        <v>46235.948523333333</v>
      </c>
      <c r="B227" s="31">
        <v>46235.958333333328</v>
      </c>
      <c r="C227" s="31">
        <v>46235.947916666664</v>
      </c>
      <c r="D227" s="1" t="s">
        <v>102</v>
      </c>
      <c r="E227" s="12">
        <v>0.23544000000000001</v>
      </c>
      <c r="F227" s="12">
        <f>IF(D227="d",两日求解价格与决策!K100-两日求解价格与决策!N100,IF(D227="u",两日求解价格与决策!K100+两日求解价格与决策!M100,两日求解价格与决策!K100))</f>
        <v>0</v>
      </c>
      <c r="G227" s="12">
        <f t="shared" si="21"/>
        <v>0</v>
      </c>
      <c r="H227" s="12">
        <f t="shared" si="22"/>
        <v>0</v>
      </c>
      <c r="I227" s="12">
        <f t="shared" si="27"/>
        <v>33.575567503105809</v>
      </c>
      <c r="J227" s="12">
        <f>I227+E227*(G227*原始输入与口径!$B$5-H227/原始输入与口径!$B$5)</f>
        <v>33.575567503105809</v>
      </c>
      <c r="K227" s="12">
        <v>33.575567503105788</v>
      </c>
      <c r="L227" s="12">
        <v>33.575567503105788</v>
      </c>
      <c r="M227" s="19">
        <f t="shared" si="23"/>
        <v>0</v>
      </c>
      <c r="N227" s="12">
        <f>E227*(G227*原始输入与口径!$B$5+H227/原始输入与口径!$B$5)/原始输入与口径!$H$5</f>
        <v>0</v>
      </c>
      <c r="O227" s="12">
        <v>0</v>
      </c>
      <c r="P227" s="19">
        <f t="shared" si="24"/>
        <v>0</v>
      </c>
      <c r="Q227" s="12">
        <f t="shared" si="25"/>
        <v>0</v>
      </c>
      <c r="R227" s="12">
        <f t="shared" si="26"/>
        <v>0</v>
      </c>
      <c r="S227" s="1">
        <v>92</v>
      </c>
      <c r="T227" s="14">
        <v>46235</v>
      </c>
    </row>
    <row r="228" spans="1:20" ht="21" customHeight="1" x14ac:dyDescent="0.45">
      <c r="A228" s="31">
        <v>46235.958333333336</v>
      </c>
      <c r="B228" s="31">
        <v>46235.958480714289</v>
      </c>
      <c r="C228" s="31">
        <v>46235.958333333336</v>
      </c>
      <c r="D228" s="1" t="s">
        <v>103</v>
      </c>
      <c r="E228" s="12">
        <v>3.5371428571428572E-3</v>
      </c>
      <c r="F228" s="12">
        <f>IF(D228="d",两日求解价格与决策!K101-两日求解价格与决策!N101,IF(D228="u",两日求解价格与决策!K101+两日求解价格与决策!M101,两日求解价格与决策!K101))</f>
        <v>-24</v>
      </c>
      <c r="G228" s="12">
        <f t="shared" si="21"/>
        <v>24</v>
      </c>
      <c r="H228" s="12">
        <f t="shared" si="22"/>
        <v>0</v>
      </c>
      <c r="I228" s="12">
        <f t="shared" si="27"/>
        <v>33.575567503105809</v>
      </c>
      <c r="J228" s="12">
        <f>I228+E228*(G228*原始输入与口径!$B$5-H228/原始输入与口径!$B$5)</f>
        <v>33.653667617391527</v>
      </c>
      <c r="K228" s="12">
        <v>33.575567503105788</v>
      </c>
      <c r="L228" s="12">
        <v>33.653667617391505</v>
      </c>
      <c r="M228" s="19">
        <f t="shared" si="23"/>
        <v>0</v>
      </c>
      <c r="N228" s="12">
        <f>E228*(G228*原始输入与口径!$B$5+H228/原始输入与口径!$B$5)/原始输入与口径!$H$5</f>
        <v>2.1694476190476194E-4</v>
      </c>
      <c r="O228" s="12">
        <v>2.1694476190476194E-4</v>
      </c>
      <c r="P228" s="19">
        <f t="shared" si="24"/>
        <v>0</v>
      </c>
      <c r="Q228" s="12">
        <f t="shared" si="25"/>
        <v>8.4891428571428576E-2</v>
      </c>
      <c r="R228" s="12">
        <f t="shared" si="26"/>
        <v>0</v>
      </c>
      <c r="S228" s="1">
        <v>93</v>
      </c>
      <c r="T228" s="14">
        <v>46235</v>
      </c>
    </row>
    <row r="229" spans="1:20" ht="21" customHeight="1" x14ac:dyDescent="0.45">
      <c r="A229" s="31">
        <v>46235.958480714289</v>
      </c>
      <c r="B229" s="31">
        <v>46235.958704285717</v>
      </c>
      <c r="C229" s="31">
        <v>46235.958333333336</v>
      </c>
      <c r="D229" s="1" t="s">
        <v>101</v>
      </c>
      <c r="E229" s="12">
        <v>5.3657142857142853E-3</v>
      </c>
      <c r="F229" s="12">
        <f>IF(D229="d",两日求解价格与决策!K101-两日求解价格与决策!N101,IF(D229="u",两日求解价格与决策!K101+两日求解价格与决策!M101,两日求解价格与决策!K101))</f>
        <v>24</v>
      </c>
      <c r="G229" s="12">
        <f t="shared" si="21"/>
        <v>0</v>
      </c>
      <c r="H229" s="12">
        <f t="shared" si="22"/>
        <v>24</v>
      </c>
      <c r="I229" s="12">
        <f t="shared" si="27"/>
        <v>33.653667617391527</v>
      </c>
      <c r="J229" s="12">
        <f>I229+E229*(G229*原始输入与口径!$B$5-H229/原始输入与口径!$B$5)</f>
        <v>33.513692462112026</v>
      </c>
      <c r="K229" s="12">
        <v>33.653667617391505</v>
      </c>
      <c r="L229" s="12">
        <v>33.513692462112004</v>
      </c>
      <c r="M229" s="19">
        <f t="shared" si="23"/>
        <v>0</v>
      </c>
      <c r="N229" s="12">
        <f>E229*(G229*原始输入与口径!$B$5+H229/原始输入与口径!$B$5)/原始输入与口径!$H$5</f>
        <v>3.8881987577639741E-4</v>
      </c>
      <c r="O229" s="12">
        <v>3.8881987577639741E-4</v>
      </c>
      <c r="P229" s="19">
        <f t="shared" si="24"/>
        <v>0</v>
      </c>
      <c r="Q229" s="12">
        <f t="shared" si="25"/>
        <v>0</v>
      </c>
      <c r="R229" s="12">
        <f t="shared" si="26"/>
        <v>0.12877714285714284</v>
      </c>
      <c r="S229" s="1">
        <v>93</v>
      </c>
      <c r="T229" s="14">
        <v>46235</v>
      </c>
    </row>
    <row r="230" spans="1:20" ht="21" customHeight="1" x14ac:dyDescent="0.45">
      <c r="A230" s="31">
        <v>46235.958704285717</v>
      </c>
      <c r="B230" s="31">
        <v>46235.96875</v>
      </c>
      <c r="C230" s="31">
        <v>46235.958333333336</v>
      </c>
      <c r="D230" s="1" t="s">
        <v>102</v>
      </c>
      <c r="E230" s="12">
        <v>0.24109714285714287</v>
      </c>
      <c r="F230" s="12">
        <f>IF(D230="d",两日求解价格与决策!K101-两日求解价格与决策!N101,IF(D230="u",两日求解价格与决策!K101+两日求解价格与决策!M101,两日求解价格与决策!K101))</f>
        <v>0</v>
      </c>
      <c r="G230" s="12">
        <f t="shared" si="21"/>
        <v>0</v>
      </c>
      <c r="H230" s="12">
        <f t="shared" si="22"/>
        <v>0</v>
      </c>
      <c r="I230" s="12">
        <f t="shared" si="27"/>
        <v>33.513692462112026</v>
      </c>
      <c r="J230" s="12">
        <f>I230+E230*(G230*原始输入与口径!$B$5-H230/原始输入与口径!$B$5)</f>
        <v>33.513692462112026</v>
      </c>
      <c r="K230" s="12">
        <v>33.513692462112004</v>
      </c>
      <c r="L230" s="12">
        <v>33.513692462112004</v>
      </c>
      <c r="M230" s="19">
        <f t="shared" si="23"/>
        <v>0</v>
      </c>
      <c r="N230" s="12">
        <f>E230*(G230*原始输入与口径!$B$5+H230/原始输入与口径!$B$5)/原始输入与口径!$H$5</f>
        <v>0</v>
      </c>
      <c r="O230" s="12">
        <v>0</v>
      </c>
      <c r="P230" s="19">
        <f t="shared" si="24"/>
        <v>0</v>
      </c>
      <c r="Q230" s="12">
        <f t="shared" si="25"/>
        <v>0</v>
      </c>
      <c r="R230" s="12">
        <f t="shared" si="26"/>
        <v>0</v>
      </c>
      <c r="S230" s="1">
        <v>93</v>
      </c>
      <c r="T230" s="14">
        <v>46235</v>
      </c>
    </row>
    <row r="231" spans="1:20" ht="21" customHeight="1" x14ac:dyDescent="0.45">
      <c r="A231" s="31">
        <v>46235.96875</v>
      </c>
      <c r="B231" s="31">
        <v>46235.969817142854</v>
      </c>
      <c r="C231" s="31">
        <v>46235.96875</v>
      </c>
      <c r="D231" s="1" t="s">
        <v>101</v>
      </c>
      <c r="E231" s="12">
        <v>2.5611428571428573E-2</v>
      </c>
      <c r="F231" s="12">
        <f>IF(D231="d",两日求解价格与决策!K102-两日求解价格与决策!N102,IF(D231="u",两日求解价格与决策!K102+两日求解价格与决策!M102,两日求解价格与决策!K102))</f>
        <v>24</v>
      </c>
      <c r="G231" s="12">
        <f t="shared" si="21"/>
        <v>0</v>
      </c>
      <c r="H231" s="12">
        <f t="shared" si="22"/>
        <v>24</v>
      </c>
      <c r="I231" s="12">
        <f t="shared" si="27"/>
        <v>33.513692462112026</v>
      </c>
      <c r="J231" s="12">
        <f>I231+E231*(G231*原始输入与口径!$B$5-H231/原始输入与口径!$B$5)</f>
        <v>32.845568238509543</v>
      </c>
      <c r="K231" s="12">
        <v>33.513692462112004</v>
      </c>
      <c r="L231" s="12">
        <v>32.845568238509522</v>
      </c>
      <c r="M231" s="19">
        <f t="shared" si="23"/>
        <v>0</v>
      </c>
      <c r="N231" s="12">
        <f>E231*(G231*原始输入与口径!$B$5+H231/原始输入与口径!$B$5)/原始输入与口径!$H$5</f>
        <v>1.8559006211180124E-3</v>
      </c>
      <c r="O231" s="12">
        <v>1.8559006211180124E-3</v>
      </c>
      <c r="P231" s="19">
        <f t="shared" si="24"/>
        <v>0</v>
      </c>
      <c r="Q231" s="12">
        <f t="shared" si="25"/>
        <v>0</v>
      </c>
      <c r="R231" s="12">
        <f t="shared" si="26"/>
        <v>0.61467428571428573</v>
      </c>
      <c r="S231" s="1">
        <v>94</v>
      </c>
      <c r="T231" s="14">
        <v>46235</v>
      </c>
    </row>
    <row r="232" spans="1:20" ht="21" customHeight="1" x14ac:dyDescent="0.45">
      <c r="A232" s="31">
        <v>46235.969817142854</v>
      </c>
      <c r="B232" s="31">
        <v>46235.979166666664</v>
      </c>
      <c r="C232" s="31">
        <v>46235.96875</v>
      </c>
      <c r="D232" s="1" t="s">
        <v>102</v>
      </c>
      <c r="E232" s="12">
        <v>0.22438857142857144</v>
      </c>
      <c r="F232" s="12">
        <f>IF(D232="d",两日求解价格与决策!K102-两日求解价格与决策!N102,IF(D232="u",两日求解价格与决策!K102+两日求解价格与决策!M102,两日求解价格与决策!K102))</f>
        <v>0</v>
      </c>
      <c r="G232" s="12">
        <f t="shared" si="21"/>
        <v>0</v>
      </c>
      <c r="H232" s="12">
        <f t="shared" si="22"/>
        <v>0</v>
      </c>
      <c r="I232" s="12">
        <f t="shared" si="27"/>
        <v>32.845568238509543</v>
      </c>
      <c r="J232" s="12">
        <f>I232+E232*(G232*原始输入与口径!$B$5-H232/原始输入与口径!$B$5)</f>
        <v>32.845568238509543</v>
      </c>
      <c r="K232" s="12">
        <v>32.845568238509522</v>
      </c>
      <c r="L232" s="12">
        <v>32.845568238509522</v>
      </c>
      <c r="M232" s="19">
        <f t="shared" si="23"/>
        <v>0</v>
      </c>
      <c r="N232" s="12">
        <f>E232*(G232*原始输入与口径!$B$5+H232/原始输入与口径!$B$5)/原始输入与口径!$H$5</f>
        <v>0</v>
      </c>
      <c r="O232" s="12">
        <v>0</v>
      </c>
      <c r="P232" s="19">
        <f t="shared" si="24"/>
        <v>0</v>
      </c>
      <c r="Q232" s="12">
        <f t="shared" si="25"/>
        <v>0</v>
      </c>
      <c r="R232" s="12">
        <f t="shared" si="26"/>
        <v>0</v>
      </c>
      <c r="S232" s="1">
        <v>94</v>
      </c>
      <c r="T232" s="14">
        <v>46235</v>
      </c>
    </row>
    <row r="233" spans="1:20" ht="21" customHeight="1" x14ac:dyDescent="0.45">
      <c r="A233" s="31">
        <v>46235.979166666664</v>
      </c>
      <c r="B233" s="31">
        <v>46235.980449523806</v>
      </c>
      <c r="C233" s="31">
        <v>46235.979166666664</v>
      </c>
      <c r="D233" s="1" t="s">
        <v>101</v>
      </c>
      <c r="E233" s="12">
        <v>3.0788571428571429E-2</v>
      </c>
      <c r="F233" s="12">
        <f>IF(D233="d",两日求解价格与决策!K103-两日求解价格与决策!N103,IF(D233="u",两日求解价格与决策!K103+两日求解价格与决策!M103,两日求解价格与决策!K103))</f>
        <v>24</v>
      </c>
      <c r="G233" s="12">
        <f t="shared" si="21"/>
        <v>0</v>
      </c>
      <c r="H233" s="12">
        <f t="shared" si="22"/>
        <v>24</v>
      </c>
      <c r="I233" s="12">
        <f t="shared" si="27"/>
        <v>32.845568238509543</v>
      </c>
      <c r="J233" s="12">
        <f>I233+E233*(G233*原始输入与口径!$B$5-H233/原始输入与口径!$B$5)</f>
        <v>32.042388114285941</v>
      </c>
      <c r="K233" s="12">
        <v>32.845568238509522</v>
      </c>
      <c r="L233" s="12">
        <v>32.04238811428592</v>
      </c>
      <c r="M233" s="19">
        <f t="shared" si="23"/>
        <v>0</v>
      </c>
      <c r="N233" s="12">
        <f>E233*(G233*原始输入与口径!$B$5+H233/原始输入与口径!$B$5)/原始输入与口径!$H$5</f>
        <v>2.2310559006211176E-3</v>
      </c>
      <c r="O233" s="12">
        <v>2.2310559006211176E-3</v>
      </c>
      <c r="P233" s="19">
        <f t="shared" si="24"/>
        <v>0</v>
      </c>
      <c r="Q233" s="12">
        <f t="shared" si="25"/>
        <v>0</v>
      </c>
      <c r="R233" s="12">
        <f t="shared" si="26"/>
        <v>0.7389257142857143</v>
      </c>
      <c r="S233" s="1">
        <v>95</v>
      </c>
      <c r="T233" s="14">
        <v>46235</v>
      </c>
    </row>
    <row r="234" spans="1:20" ht="21" customHeight="1" x14ac:dyDescent="0.45">
      <c r="A234" s="31">
        <v>46235.980449523806</v>
      </c>
      <c r="B234" s="31">
        <v>46235.989583333328</v>
      </c>
      <c r="C234" s="31">
        <v>46235.979166666664</v>
      </c>
      <c r="D234" s="1" t="s">
        <v>102</v>
      </c>
      <c r="E234" s="12">
        <v>0.21921142857142856</v>
      </c>
      <c r="F234" s="12">
        <f>IF(D234="d",两日求解价格与决策!K103-两日求解价格与决策!N103,IF(D234="u",两日求解价格与决策!K103+两日求解价格与决策!M103,两日求解价格与决策!K103))</f>
        <v>0</v>
      </c>
      <c r="G234" s="12">
        <f t="shared" si="21"/>
        <v>0</v>
      </c>
      <c r="H234" s="12">
        <f t="shared" si="22"/>
        <v>0</v>
      </c>
      <c r="I234" s="12">
        <f t="shared" si="27"/>
        <v>32.042388114285941</v>
      </c>
      <c r="J234" s="12">
        <f>I234+E234*(G234*原始输入与口径!$B$5-H234/原始输入与口径!$B$5)</f>
        <v>32.042388114285941</v>
      </c>
      <c r="K234" s="12">
        <v>32.04238811428592</v>
      </c>
      <c r="L234" s="12">
        <v>32.04238811428592</v>
      </c>
      <c r="M234" s="19">
        <f t="shared" si="23"/>
        <v>0</v>
      </c>
      <c r="N234" s="12">
        <f>E234*(G234*原始输入与口径!$B$5+H234/原始输入与口径!$B$5)/原始输入与口径!$H$5</f>
        <v>0</v>
      </c>
      <c r="O234" s="12">
        <v>0</v>
      </c>
      <c r="P234" s="19">
        <f t="shared" si="24"/>
        <v>0</v>
      </c>
      <c r="Q234" s="12">
        <f t="shared" si="25"/>
        <v>0</v>
      </c>
      <c r="R234" s="12">
        <f t="shared" si="26"/>
        <v>0</v>
      </c>
      <c r="S234" s="1">
        <v>95</v>
      </c>
      <c r="T234" s="14">
        <v>46235</v>
      </c>
    </row>
    <row r="235" spans="1:20" ht="21" customHeight="1" x14ac:dyDescent="0.45">
      <c r="A235" s="31">
        <v>46235.989583333336</v>
      </c>
      <c r="B235" s="31">
        <v>46235.989613333339</v>
      </c>
      <c r="C235" s="31">
        <v>46235.989583333336</v>
      </c>
      <c r="D235" s="1" t="s">
        <v>103</v>
      </c>
      <c r="E235" s="12">
        <v>7.2000000000000005E-4</v>
      </c>
      <c r="F235" s="12">
        <f>IF(D235="d",两日求解价格与决策!K104-两日求解价格与决策!N104,IF(D235="u",两日求解价格与决策!K104+两日求解价格与决策!M104,两日求解价格与决策!K104))</f>
        <v>-24</v>
      </c>
      <c r="G235" s="12">
        <f t="shared" si="21"/>
        <v>24</v>
      </c>
      <c r="H235" s="12">
        <f t="shared" si="22"/>
        <v>0</v>
      </c>
      <c r="I235" s="12">
        <f t="shared" si="27"/>
        <v>32.042388114285941</v>
      </c>
      <c r="J235" s="12">
        <f>I235+E235*(G235*原始输入与口径!$B$5-H235/原始输入与口径!$B$5)</f>
        <v>32.058285714285944</v>
      </c>
      <c r="K235" s="12">
        <v>32.04238811428592</v>
      </c>
      <c r="L235" s="12">
        <v>32.058285714285923</v>
      </c>
      <c r="M235" s="19">
        <f t="shared" si="23"/>
        <v>0</v>
      </c>
      <c r="N235" s="12">
        <f>E235*(G235*原始输入与口径!$B$5+H235/原始输入与口径!$B$5)/原始输入与口径!$H$5</f>
        <v>4.4160000000000004E-5</v>
      </c>
      <c r="O235" s="12">
        <v>4.4160000000000004E-5</v>
      </c>
      <c r="P235" s="19">
        <f t="shared" si="24"/>
        <v>0</v>
      </c>
      <c r="Q235" s="12">
        <f t="shared" si="25"/>
        <v>1.728E-2</v>
      </c>
      <c r="R235" s="12">
        <f t="shared" si="26"/>
        <v>0</v>
      </c>
      <c r="S235" s="1">
        <v>96</v>
      </c>
      <c r="T235" s="14">
        <v>46235</v>
      </c>
    </row>
    <row r="236" spans="1:20" ht="21" customHeight="1" x14ac:dyDescent="0.45">
      <c r="A236" s="31">
        <v>46235.989613333339</v>
      </c>
      <c r="B236" s="31">
        <v>46235.990123095238</v>
      </c>
      <c r="C236" s="31">
        <v>46235.989583333336</v>
      </c>
      <c r="D236" s="1" t="s">
        <v>101</v>
      </c>
      <c r="E236" s="12">
        <v>1.2234285714285715E-2</v>
      </c>
      <c r="F236" s="12">
        <f>IF(D236="d",两日求解价格与决策!K104-两日求解价格与决策!N104,IF(D236="u",两日求解价格与决策!K104+两日求解价格与决策!M104,两日求解价格与决策!K104))</f>
        <v>24</v>
      </c>
      <c r="G236" s="12">
        <f t="shared" si="21"/>
        <v>0</v>
      </c>
      <c r="H236" s="12">
        <f t="shared" si="22"/>
        <v>24</v>
      </c>
      <c r="I236" s="12">
        <f t="shared" si="27"/>
        <v>32.058285714285944</v>
      </c>
      <c r="J236" s="12">
        <f>I236+E236*(G236*原始输入与口径!$B$5-H236/原始输入与口径!$B$5)</f>
        <v>31.739130434782837</v>
      </c>
      <c r="K236" s="12">
        <v>32.058285714285923</v>
      </c>
      <c r="L236" s="12">
        <v>31.739130434782815</v>
      </c>
      <c r="M236" s="19">
        <f t="shared" si="23"/>
        <v>0</v>
      </c>
      <c r="N236" s="12">
        <f>E236*(G236*原始输入与口径!$B$5+H236/原始输入与口径!$B$5)/原始输入与口径!$H$5</f>
        <v>8.8654244306418217E-4</v>
      </c>
      <c r="O236" s="12">
        <v>8.8654244306418228E-4</v>
      </c>
      <c r="P236" s="19">
        <f t="shared" si="24"/>
        <v>0</v>
      </c>
      <c r="Q236" s="12">
        <f t="shared" si="25"/>
        <v>0</v>
      </c>
      <c r="R236" s="12">
        <f t="shared" si="26"/>
        <v>0.29362285714285719</v>
      </c>
      <c r="S236" s="1">
        <v>96</v>
      </c>
      <c r="T236" s="14">
        <v>46235</v>
      </c>
    </row>
    <row r="237" spans="1:20" ht="21" customHeight="1" x14ac:dyDescent="0.45">
      <c r="A237" s="31">
        <v>46235.990123095238</v>
      </c>
      <c r="B237" s="31">
        <v>46236</v>
      </c>
      <c r="C237" s="31">
        <v>46235.989583333336</v>
      </c>
      <c r="D237" s="1" t="s">
        <v>102</v>
      </c>
      <c r="E237" s="12">
        <v>0.23704571428571428</v>
      </c>
      <c r="F237" s="12">
        <f>IF(D237="d",两日求解价格与决策!K104-两日求解价格与决策!N104,IF(D237="u",两日求解价格与决策!K104+两日求解价格与决策!M104,两日求解价格与决策!K104))</f>
        <v>0</v>
      </c>
      <c r="G237" s="12">
        <f t="shared" si="21"/>
        <v>0</v>
      </c>
      <c r="H237" s="12">
        <f t="shared" si="22"/>
        <v>0</v>
      </c>
      <c r="I237" s="12">
        <f t="shared" si="27"/>
        <v>31.739130434782837</v>
      </c>
      <c r="J237" s="12">
        <f>I237+E237*(G237*原始输入与口径!$B$5-H237/原始输入与口径!$B$5)</f>
        <v>31.739130434782837</v>
      </c>
      <c r="K237" s="12">
        <v>31.739130434782815</v>
      </c>
      <c r="L237" s="12">
        <v>31.739130434782815</v>
      </c>
      <c r="M237" s="19">
        <f t="shared" si="23"/>
        <v>0</v>
      </c>
      <c r="N237" s="12">
        <f>E237*(G237*原始输入与口径!$B$5+H237/原始输入与口径!$B$5)/原始输入与口径!$H$5</f>
        <v>0</v>
      </c>
      <c r="O237" s="12">
        <v>0</v>
      </c>
      <c r="P237" s="19">
        <f t="shared" si="24"/>
        <v>0</v>
      </c>
      <c r="Q237" s="12">
        <f t="shared" si="25"/>
        <v>0</v>
      </c>
      <c r="R237" s="12">
        <f t="shared" si="26"/>
        <v>0</v>
      </c>
      <c r="S237" s="1">
        <v>96</v>
      </c>
      <c r="T237" s="14">
        <v>46235</v>
      </c>
    </row>
    <row r="238" spans="1:20" ht="21" customHeight="1" x14ac:dyDescent="0.45">
      <c r="A238" s="31">
        <v>46236</v>
      </c>
      <c r="B238" s="31">
        <v>46236.00008404762</v>
      </c>
      <c r="C238" s="31">
        <v>46236</v>
      </c>
      <c r="D238" s="1" t="s">
        <v>103</v>
      </c>
      <c r="E238" s="12">
        <v>2.0171428571428571E-3</v>
      </c>
      <c r="F238" s="12">
        <f>IF(D238="d",两日求解价格与决策!K105-两日求解价格与决策!N105,IF(D238="u",两日求解价格与决策!K105+两日求解价格与决策!M105,两日求解价格与决策!K105))</f>
        <v>-42.458027330911214</v>
      </c>
      <c r="G238" s="12">
        <f t="shared" si="21"/>
        <v>42.458027330911214</v>
      </c>
      <c r="H238" s="12">
        <f t="shared" si="22"/>
        <v>0</v>
      </c>
      <c r="I238" s="12">
        <f t="shared" si="27"/>
        <v>31.739130434782837</v>
      </c>
      <c r="J238" s="12">
        <f>I238+E238*(G238*原始输入与口径!$B$5-H238/原始输入与口径!$B$5)</f>
        <v>31.817922828817046</v>
      </c>
      <c r="K238" s="12">
        <v>31.739130434782815</v>
      </c>
      <c r="L238" s="12">
        <v>31.817922828817025</v>
      </c>
      <c r="M238" s="19">
        <f t="shared" si="23"/>
        <v>0</v>
      </c>
      <c r="N238" s="12">
        <f>E238*(G238*原始输入与口径!$B$5+H238/原始输入与口径!$B$5)/原始输入与口径!$H$5</f>
        <v>2.1886776120613849E-4</v>
      </c>
      <c r="O238" s="12">
        <v>2.1886776120613849E-4</v>
      </c>
      <c r="P238" s="19">
        <f t="shared" si="24"/>
        <v>0</v>
      </c>
      <c r="Q238" s="12">
        <f t="shared" si="25"/>
        <v>8.564390655892376E-2</v>
      </c>
      <c r="R238" s="12">
        <f t="shared" si="26"/>
        <v>0</v>
      </c>
      <c r="S238" s="1">
        <v>97</v>
      </c>
      <c r="T238" s="14">
        <v>46235</v>
      </c>
    </row>
    <row r="239" spans="1:20" ht="21" customHeight="1" x14ac:dyDescent="0.45">
      <c r="A239" s="31">
        <v>46236.00008404762</v>
      </c>
      <c r="B239" s="31">
        <v>46236.000629047616</v>
      </c>
      <c r="C239" s="31">
        <v>46236</v>
      </c>
      <c r="D239" s="1" t="s">
        <v>101</v>
      </c>
      <c r="E239" s="12">
        <v>1.3080000000000001E-2</v>
      </c>
      <c r="F239" s="12">
        <f>IF(D239="d",两日求解价格与决策!K105-两日求解价格与决策!N105,IF(D239="u",两日求解价格与决策!K105+两日求解价格与决策!M105,两日求解价格与决策!K105))</f>
        <v>5.5419726690887856</v>
      </c>
      <c r="G239" s="12">
        <f t="shared" si="21"/>
        <v>0</v>
      </c>
      <c r="H239" s="12">
        <f t="shared" si="22"/>
        <v>5.5419726690887856</v>
      </c>
      <c r="I239" s="12">
        <f t="shared" si="27"/>
        <v>31.817922828817046</v>
      </c>
      <c r="J239" s="12">
        <f>I239+E239*(G239*原始输入与口径!$B$5-H239/原始输入与口径!$B$5)</f>
        <v>31.739130434782609</v>
      </c>
      <c r="K239" s="12">
        <v>31.817922828817025</v>
      </c>
      <c r="L239" s="12">
        <v>31.739130434782588</v>
      </c>
      <c r="M239" s="19">
        <f t="shared" si="23"/>
        <v>0</v>
      </c>
      <c r="N239" s="12">
        <f>E239*(G239*原始输入与口径!$B$5+H239/原始输入与口径!$B$5)/原始输入与口径!$H$5</f>
        <v>2.1886776120676725E-4</v>
      </c>
      <c r="O239" s="12">
        <v>2.1886776120676727E-4</v>
      </c>
      <c r="P239" s="19">
        <f t="shared" si="24"/>
        <v>0</v>
      </c>
      <c r="Q239" s="12">
        <f t="shared" si="25"/>
        <v>0</v>
      </c>
      <c r="R239" s="12">
        <f t="shared" si="26"/>
        <v>7.2489002511681319E-2</v>
      </c>
      <c r="S239" s="1">
        <v>97</v>
      </c>
      <c r="T239" s="14">
        <v>46235</v>
      </c>
    </row>
    <row r="240" spans="1:20" ht="21" customHeight="1" x14ac:dyDescent="0.45">
      <c r="A240" s="31">
        <v>46236.000629047616</v>
      </c>
      <c r="B240" s="31">
        <v>46236.010416666664</v>
      </c>
      <c r="C240" s="31">
        <v>46236</v>
      </c>
      <c r="D240" s="1" t="s">
        <v>102</v>
      </c>
      <c r="E240" s="12">
        <v>0.23490285714285714</v>
      </c>
      <c r="F240" s="12">
        <f>IF(D240="d",两日求解价格与决策!K105-两日求解价格与决策!N105,IF(D240="u",两日求解价格与决策!K105+两日求解价格与决策!M105,两日求解价格与决策!K105))</f>
        <v>-18.458027330911214</v>
      </c>
      <c r="G240" s="12">
        <f t="shared" si="21"/>
        <v>18.458027330911214</v>
      </c>
      <c r="H240" s="12">
        <f t="shared" si="22"/>
        <v>0</v>
      </c>
      <c r="I240" s="12">
        <f t="shared" si="27"/>
        <v>31.739130434782609</v>
      </c>
      <c r="J240" s="12">
        <f>I240+E240*(G240*原始输入与口径!$B$5-H240/原始输入与口径!$B$5)</f>
        <v>35.72810632345444</v>
      </c>
      <c r="K240" s="12">
        <v>31.739130434782588</v>
      </c>
      <c r="L240" s="12">
        <v>35.728106323454419</v>
      </c>
      <c r="M240" s="19">
        <f t="shared" si="23"/>
        <v>0</v>
      </c>
      <c r="N240" s="12">
        <f>E240*(G240*原始输入与口径!$B$5+H240/原始输入与口径!$B$5)/原始输入与口径!$H$5</f>
        <v>1.1080488579643973E-2</v>
      </c>
      <c r="O240" s="12">
        <v>1.1080488579643973E-2</v>
      </c>
      <c r="P240" s="19">
        <f t="shared" si="24"/>
        <v>0</v>
      </c>
      <c r="Q240" s="12">
        <f t="shared" si="25"/>
        <v>4.3358433572519894</v>
      </c>
      <c r="R240" s="12">
        <f t="shared" si="26"/>
        <v>0</v>
      </c>
      <c r="S240" s="1">
        <v>97</v>
      </c>
      <c r="T240" s="14">
        <v>46235</v>
      </c>
    </row>
    <row r="241" spans="1:20" ht="21" customHeight="1" x14ac:dyDescent="0.45">
      <c r="A241" s="31">
        <v>46236.010416666664</v>
      </c>
      <c r="B241" s="31">
        <v>46236.011753809522</v>
      </c>
      <c r="C241" s="31">
        <v>46236.010416666664</v>
      </c>
      <c r="D241" s="1" t="s">
        <v>103</v>
      </c>
      <c r="E241" s="12">
        <v>3.2091428571428569E-2</v>
      </c>
      <c r="F241" s="12">
        <f>IF(D241="d",两日求解价格与决策!K106-两日求解价格与决策!N106,IF(D241="u",两日求解价格与决策!K106+两日求解价格与决策!M106,两日求解价格与决策!K106))</f>
        <v>-24</v>
      </c>
      <c r="G241" s="12">
        <f t="shared" si="21"/>
        <v>24</v>
      </c>
      <c r="H241" s="12">
        <f t="shared" si="22"/>
        <v>0</v>
      </c>
      <c r="I241" s="12">
        <f t="shared" si="27"/>
        <v>35.72810632345444</v>
      </c>
      <c r="J241" s="12">
        <f>I241+E241*(G241*原始输入与口径!$B$5-H241/原始输入与口径!$B$5)</f>
        <v>36.436685066311583</v>
      </c>
      <c r="K241" s="12">
        <v>35.728106323454419</v>
      </c>
      <c r="L241" s="12">
        <v>36.436685066311561</v>
      </c>
      <c r="M241" s="19">
        <f t="shared" si="23"/>
        <v>0</v>
      </c>
      <c r="N241" s="12">
        <f>E241*(G241*原始输入与口径!$B$5+H241/原始输入与口径!$B$5)/原始输入与口径!$H$5</f>
        <v>1.9682742857142855E-3</v>
      </c>
      <c r="O241" s="12">
        <v>1.9682742857142855E-3</v>
      </c>
      <c r="P241" s="19">
        <f t="shared" si="24"/>
        <v>0</v>
      </c>
      <c r="Q241" s="12">
        <f t="shared" si="25"/>
        <v>0.77019428571428561</v>
      </c>
      <c r="R241" s="12">
        <f t="shared" si="26"/>
        <v>0</v>
      </c>
      <c r="S241" s="1">
        <v>98</v>
      </c>
      <c r="T241" s="14">
        <v>46235</v>
      </c>
    </row>
    <row r="242" spans="1:20" ht="21" customHeight="1" x14ac:dyDescent="0.45">
      <c r="A242" s="31">
        <v>46236.011753809522</v>
      </c>
      <c r="B242" s="31">
        <v>46236.020833333328</v>
      </c>
      <c r="C242" s="31">
        <v>46236.010416666664</v>
      </c>
      <c r="D242" s="1" t="s">
        <v>102</v>
      </c>
      <c r="E242" s="12">
        <v>0.21790857142857142</v>
      </c>
      <c r="F242" s="12">
        <f>IF(D242="d",两日求解价格与决策!K106-两日求解价格与决策!N106,IF(D242="u",两日求解价格与决策!K106+两日求解价格与决策!M106,两日求解价格与决策!K106))</f>
        <v>0</v>
      </c>
      <c r="G242" s="12">
        <f t="shared" si="21"/>
        <v>0</v>
      </c>
      <c r="H242" s="12">
        <f t="shared" si="22"/>
        <v>0</v>
      </c>
      <c r="I242" s="12">
        <f t="shared" si="27"/>
        <v>36.436685066311583</v>
      </c>
      <c r="J242" s="12">
        <f>I242+E242*(G242*原始输入与口径!$B$5-H242/原始输入与口径!$B$5)</f>
        <v>36.436685066311583</v>
      </c>
      <c r="K242" s="12">
        <v>36.436685066311561</v>
      </c>
      <c r="L242" s="12">
        <v>36.436685066311561</v>
      </c>
      <c r="M242" s="19">
        <f t="shared" si="23"/>
        <v>0</v>
      </c>
      <c r="N242" s="12">
        <f>E242*(G242*原始输入与口径!$B$5+H242/原始输入与口径!$B$5)/原始输入与口径!$H$5</f>
        <v>0</v>
      </c>
      <c r="O242" s="12">
        <v>0</v>
      </c>
      <c r="P242" s="19">
        <f t="shared" si="24"/>
        <v>0</v>
      </c>
      <c r="Q242" s="12">
        <f t="shared" si="25"/>
        <v>0</v>
      </c>
      <c r="R242" s="12">
        <f t="shared" si="26"/>
        <v>0</v>
      </c>
      <c r="S242" s="1">
        <v>98</v>
      </c>
      <c r="T242" s="14">
        <v>46235</v>
      </c>
    </row>
    <row r="243" spans="1:20" ht="21" customHeight="1" x14ac:dyDescent="0.45">
      <c r="A243" s="31">
        <v>46236.020833333336</v>
      </c>
      <c r="B243" s="31">
        <v>46236.021128333334</v>
      </c>
      <c r="C243" s="31">
        <v>46236.020833333336</v>
      </c>
      <c r="D243" s="1" t="s">
        <v>103</v>
      </c>
      <c r="E243" s="12">
        <v>7.0800000000000004E-3</v>
      </c>
      <c r="F243" s="12">
        <f>IF(D243="d",两日求解价格与决策!K107-两日求解价格与决策!N107,IF(D243="u",两日求解价格与决策!K107+两日求解价格与决策!M107,两日求解价格与决策!K107))</f>
        <v>-24</v>
      </c>
      <c r="G243" s="12">
        <f t="shared" si="21"/>
        <v>24</v>
      </c>
      <c r="H243" s="12">
        <f t="shared" si="22"/>
        <v>0</v>
      </c>
      <c r="I243" s="12">
        <f t="shared" si="27"/>
        <v>36.436685066311583</v>
      </c>
      <c r="J243" s="12">
        <f>I243+E243*(G243*原始输入与口径!$B$5-H243/原始输入与口径!$B$5)</f>
        <v>36.59301146631158</v>
      </c>
      <c r="K243" s="12">
        <v>36.436685066311561</v>
      </c>
      <c r="L243" s="12">
        <v>36.593011466311559</v>
      </c>
      <c r="M243" s="19">
        <f t="shared" si="23"/>
        <v>0</v>
      </c>
      <c r="N243" s="12">
        <f>E243*(G243*原始输入与口径!$B$5+H243/原始输入与口径!$B$5)/原始输入与口径!$H$5</f>
        <v>4.3424000000000007E-4</v>
      </c>
      <c r="O243" s="12">
        <v>4.3424000000000007E-4</v>
      </c>
      <c r="P243" s="19">
        <f t="shared" si="24"/>
        <v>0</v>
      </c>
      <c r="Q243" s="12">
        <f t="shared" si="25"/>
        <v>0.16992000000000002</v>
      </c>
      <c r="R243" s="12">
        <f t="shared" si="26"/>
        <v>0</v>
      </c>
      <c r="S243" s="1">
        <v>99</v>
      </c>
      <c r="T243" s="14">
        <v>46235</v>
      </c>
    </row>
    <row r="244" spans="1:20" ht="21" customHeight="1" x14ac:dyDescent="0.45">
      <c r="A244" s="31">
        <v>46236.021128333334</v>
      </c>
      <c r="B244" s="31">
        <v>46236.021335714286</v>
      </c>
      <c r="C244" s="31">
        <v>46236.020833333336</v>
      </c>
      <c r="D244" s="1" t="s">
        <v>101</v>
      </c>
      <c r="E244" s="12">
        <v>4.9771428571428571E-3</v>
      </c>
      <c r="F244" s="12">
        <f>IF(D244="d",两日求解价格与决策!K107-两日求解价格与决策!N107,IF(D244="u",两日求解价格与决策!K107+两日求解价格与决策!M107,两日求解价格与决策!K107))</f>
        <v>24</v>
      </c>
      <c r="G244" s="12">
        <f t="shared" si="21"/>
        <v>0</v>
      </c>
      <c r="H244" s="12">
        <f t="shared" si="22"/>
        <v>24</v>
      </c>
      <c r="I244" s="12">
        <f t="shared" si="27"/>
        <v>36.59301146631158</v>
      </c>
      <c r="J244" s="12">
        <f>I244+E244*(G244*原始输入与口径!$B$5-H244/原始输入与口径!$B$5)</f>
        <v>36.463172956994811</v>
      </c>
      <c r="K244" s="12">
        <v>36.593011466311559</v>
      </c>
      <c r="L244" s="12">
        <v>36.463172956994789</v>
      </c>
      <c r="M244" s="19">
        <f t="shared" si="23"/>
        <v>0</v>
      </c>
      <c r="N244" s="12">
        <f>E244*(G244*原始输入与口径!$B$5+H244/原始输入与口径!$B$5)/原始输入与口径!$H$5</f>
        <v>3.6066252587991718E-4</v>
      </c>
      <c r="O244" s="12">
        <v>3.6066252587991718E-4</v>
      </c>
      <c r="P244" s="19">
        <f t="shared" si="24"/>
        <v>0</v>
      </c>
      <c r="Q244" s="12">
        <f t="shared" si="25"/>
        <v>0</v>
      </c>
      <c r="R244" s="12">
        <f t="shared" si="26"/>
        <v>0.11945142857142857</v>
      </c>
      <c r="S244" s="1">
        <v>99</v>
      </c>
      <c r="T244" s="14">
        <v>46235</v>
      </c>
    </row>
    <row r="245" spans="1:20" ht="21" customHeight="1" x14ac:dyDescent="0.45">
      <c r="A245" s="31">
        <v>46236.021335714286</v>
      </c>
      <c r="B245" s="31">
        <v>46236.03125</v>
      </c>
      <c r="C245" s="31">
        <v>46236.020833333336</v>
      </c>
      <c r="D245" s="1" t="s">
        <v>102</v>
      </c>
      <c r="E245" s="12">
        <v>0.23794285714285715</v>
      </c>
      <c r="F245" s="12">
        <f>IF(D245="d",两日求解价格与决策!K107-两日求解价格与决策!N107,IF(D245="u",两日求解价格与决策!K107+两日求解价格与决策!M107,两日求解价格与决策!K107))</f>
        <v>0</v>
      </c>
      <c r="G245" s="12">
        <f t="shared" si="21"/>
        <v>0</v>
      </c>
      <c r="H245" s="12">
        <f t="shared" si="22"/>
        <v>0</v>
      </c>
      <c r="I245" s="12">
        <f t="shared" si="27"/>
        <v>36.463172956994811</v>
      </c>
      <c r="J245" s="12">
        <f>I245+E245*(G245*原始输入与口径!$B$5-H245/原始输入与口径!$B$5)</f>
        <v>36.463172956994811</v>
      </c>
      <c r="K245" s="12">
        <v>36.463172956994789</v>
      </c>
      <c r="L245" s="12">
        <v>36.463172956994789</v>
      </c>
      <c r="M245" s="19">
        <f t="shared" si="23"/>
        <v>0</v>
      </c>
      <c r="N245" s="12">
        <f>E245*(G245*原始输入与口径!$B$5+H245/原始输入与口径!$B$5)/原始输入与口径!$H$5</f>
        <v>0</v>
      </c>
      <c r="O245" s="12">
        <v>0</v>
      </c>
      <c r="P245" s="19">
        <f t="shared" si="24"/>
        <v>0</v>
      </c>
      <c r="Q245" s="12">
        <f t="shared" si="25"/>
        <v>0</v>
      </c>
      <c r="R245" s="12">
        <f t="shared" si="26"/>
        <v>0</v>
      </c>
      <c r="S245" s="1">
        <v>99</v>
      </c>
      <c r="T245" s="14">
        <v>46235</v>
      </c>
    </row>
    <row r="246" spans="1:20" ht="21" customHeight="1" x14ac:dyDescent="0.45">
      <c r="A246" s="31">
        <v>46236.03125</v>
      </c>
      <c r="B246" s="31">
        <v>46236.031490476191</v>
      </c>
      <c r="C246" s="31">
        <v>46236.03125</v>
      </c>
      <c r="D246" s="1" t="s">
        <v>103</v>
      </c>
      <c r="E246" s="12">
        <v>5.7714285714285714E-3</v>
      </c>
      <c r="F246" s="12">
        <f>IF(D246="d",两日求解价格与决策!K108-两日求解价格与决策!N108,IF(D246="u",两日求解价格与决策!K108+两日求解价格与决策!M108,两日求解价格与决策!K108))</f>
        <v>-24</v>
      </c>
      <c r="G246" s="12">
        <f t="shared" si="21"/>
        <v>24</v>
      </c>
      <c r="H246" s="12">
        <f t="shared" si="22"/>
        <v>0</v>
      </c>
      <c r="I246" s="12">
        <f t="shared" si="27"/>
        <v>36.463172956994811</v>
      </c>
      <c r="J246" s="12">
        <f>I246+E246*(G246*原始输入与口径!$B$5-H246/原始输入与口径!$B$5)</f>
        <v>36.590606099851954</v>
      </c>
      <c r="K246" s="12">
        <v>36.463172956994789</v>
      </c>
      <c r="L246" s="12">
        <v>36.590606099851932</v>
      </c>
      <c r="M246" s="19">
        <f t="shared" si="23"/>
        <v>0</v>
      </c>
      <c r="N246" s="12">
        <f>E246*(G246*原始输入与口径!$B$5+H246/原始输入与口径!$B$5)/原始输入与口径!$H$5</f>
        <v>3.5398095238095236E-4</v>
      </c>
      <c r="O246" s="12">
        <v>3.5398095238095236E-4</v>
      </c>
      <c r="P246" s="19">
        <f t="shared" si="24"/>
        <v>0</v>
      </c>
      <c r="Q246" s="12">
        <f t="shared" si="25"/>
        <v>0.1385142857142857</v>
      </c>
      <c r="R246" s="12">
        <f t="shared" si="26"/>
        <v>0</v>
      </c>
      <c r="S246" s="1">
        <v>100</v>
      </c>
      <c r="T246" s="14">
        <v>46235</v>
      </c>
    </row>
    <row r="247" spans="1:20" ht="21" customHeight="1" x14ac:dyDescent="0.45">
      <c r="A247" s="31">
        <v>46236.031490476191</v>
      </c>
      <c r="B247" s="31">
        <v>46236.031525476188</v>
      </c>
      <c r="C247" s="31">
        <v>46236.03125</v>
      </c>
      <c r="D247" s="1" t="s">
        <v>101</v>
      </c>
      <c r="E247" s="12">
        <v>8.3999999999999993E-4</v>
      </c>
      <c r="F247" s="12">
        <f>IF(D247="d",两日求解价格与决策!K108-两日求解价格与决策!N108,IF(D247="u",两日求解价格与决策!K108+两日求解价格与决策!M108,两日求解价格与决策!K108))</f>
        <v>24</v>
      </c>
      <c r="G247" s="12">
        <f t="shared" si="21"/>
        <v>0</v>
      </c>
      <c r="H247" s="12">
        <f t="shared" si="22"/>
        <v>24</v>
      </c>
      <c r="I247" s="12">
        <f t="shared" si="27"/>
        <v>36.590606099851954</v>
      </c>
      <c r="J247" s="12">
        <f>I247+E247*(G247*原始输入与口径!$B$5-H247/原始输入与口径!$B$5)</f>
        <v>36.568693056373689</v>
      </c>
      <c r="K247" s="12">
        <v>36.590606099851932</v>
      </c>
      <c r="L247" s="12">
        <v>36.568693056373668</v>
      </c>
      <c r="M247" s="19">
        <f t="shared" si="23"/>
        <v>0</v>
      </c>
      <c r="N247" s="12">
        <f>E247*(G247*原始输入与口径!$B$5+H247/原始输入与口径!$B$5)/原始输入与口径!$H$5</f>
        <v>6.0869565217391292E-5</v>
      </c>
      <c r="O247" s="12">
        <v>6.0869565217391292E-5</v>
      </c>
      <c r="P247" s="19">
        <f t="shared" si="24"/>
        <v>0</v>
      </c>
      <c r="Q247" s="12">
        <f t="shared" si="25"/>
        <v>0</v>
      </c>
      <c r="R247" s="12">
        <f t="shared" si="26"/>
        <v>2.0159999999999997E-2</v>
      </c>
      <c r="S247" s="1">
        <v>100</v>
      </c>
      <c r="T247" s="14">
        <v>46235</v>
      </c>
    </row>
    <row r="248" spans="1:20" ht="21" customHeight="1" x14ac:dyDescent="0.45">
      <c r="A248" s="31">
        <v>46236.031525476188</v>
      </c>
      <c r="B248" s="31">
        <v>46236.041666666664</v>
      </c>
      <c r="C248" s="31">
        <v>46236.03125</v>
      </c>
      <c r="D248" s="1" t="s">
        <v>102</v>
      </c>
      <c r="E248" s="12">
        <v>0.24338857142857143</v>
      </c>
      <c r="F248" s="12">
        <f>IF(D248="d",两日求解价格与决策!K108-两日求解价格与决策!N108,IF(D248="u",两日求解价格与决策!K108+两日求解价格与决策!M108,两日求解价格与决策!K108))</f>
        <v>0</v>
      </c>
      <c r="G248" s="12">
        <f t="shared" si="21"/>
        <v>0</v>
      </c>
      <c r="H248" s="12">
        <f t="shared" si="22"/>
        <v>0</v>
      </c>
      <c r="I248" s="12">
        <f t="shared" si="27"/>
        <v>36.568693056373689</v>
      </c>
      <c r="J248" s="12">
        <f>I248+E248*(G248*原始输入与口径!$B$5-H248/原始输入与口径!$B$5)</f>
        <v>36.568693056373689</v>
      </c>
      <c r="K248" s="12">
        <v>36.568693056373668</v>
      </c>
      <c r="L248" s="12">
        <v>36.568693056373668</v>
      </c>
      <c r="M248" s="19">
        <f t="shared" si="23"/>
        <v>0</v>
      </c>
      <c r="N248" s="12">
        <f>E248*(G248*原始输入与口径!$B$5+H248/原始输入与口径!$B$5)/原始输入与口径!$H$5</f>
        <v>0</v>
      </c>
      <c r="O248" s="12">
        <v>0</v>
      </c>
      <c r="P248" s="19">
        <f t="shared" si="24"/>
        <v>0</v>
      </c>
      <c r="Q248" s="12">
        <f t="shared" si="25"/>
        <v>0</v>
      </c>
      <c r="R248" s="12">
        <f t="shared" si="26"/>
        <v>0</v>
      </c>
      <c r="S248" s="1">
        <v>100</v>
      </c>
      <c r="T248" s="14">
        <v>46235</v>
      </c>
    </row>
    <row r="249" spans="1:20" ht="21" customHeight="1" x14ac:dyDescent="0.45">
      <c r="A249" s="31">
        <v>46236.041666666664</v>
      </c>
      <c r="B249" s="31">
        <v>46236.043159761903</v>
      </c>
      <c r="C249" s="31">
        <v>46236.041666666664</v>
      </c>
      <c r="D249" s="1" t="s">
        <v>103</v>
      </c>
      <c r="E249" s="12">
        <v>3.5834285714285714E-2</v>
      </c>
      <c r="F249" s="12">
        <f>IF(D249="d",两日求解价格与决策!K109-两日求解价格与决策!N109,IF(D249="u",两日求解价格与决策!K109+两日求解价格与决策!M109,两日求解价格与决策!K109))</f>
        <v>-2.849862361296303</v>
      </c>
      <c r="G249" s="12">
        <f t="shared" si="21"/>
        <v>2.849862361296303</v>
      </c>
      <c r="H249" s="12">
        <f t="shared" si="22"/>
        <v>0</v>
      </c>
      <c r="I249" s="12">
        <f t="shared" si="27"/>
        <v>36.568693056373689</v>
      </c>
      <c r="J249" s="12">
        <f>I249+E249*(G249*原始输入与口径!$B$5-H249/原始输入与口径!$B$5)</f>
        <v>36.662646015906681</v>
      </c>
      <c r="K249" s="12">
        <v>36.568693056373668</v>
      </c>
      <c r="L249" s="12">
        <v>36.66264601590666</v>
      </c>
      <c r="M249" s="19">
        <f t="shared" si="23"/>
        <v>0</v>
      </c>
      <c r="N249" s="12">
        <f>E249*(G249*原始输入与口径!$B$5+H249/原始输入与口径!$B$5)/原始输入与口径!$H$5</f>
        <v>2.6098044314720617E-4</v>
      </c>
      <c r="O249" s="12">
        <v>2.6098044314720617E-4</v>
      </c>
      <c r="P249" s="19">
        <f t="shared" si="24"/>
        <v>0</v>
      </c>
      <c r="Q249" s="12">
        <f t="shared" si="25"/>
        <v>0.10212278210108067</v>
      </c>
      <c r="R249" s="12">
        <f t="shared" si="26"/>
        <v>0</v>
      </c>
      <c r="S249" s="1">
        <v>101</v>
      </c>
      <c r="T249" s="14">
        <v>46235</v>
      </c>
    </row>
    <row r="250" spans="1:20" ht="21" customHeight="1" x14ac:dyDescent="0.45">
      <c r="A250" s="31">
        <v>46236.043159761903</v>
      </c>
      <c r="B250" s="31">
        <v>46236.052083333328</v>
      </c>
      <c r="C250" s="31">
        <v>46236.041666666664</v>
      </c>
      <c r="D250" s="1" t="s">
        <v>102</v>
      </c>
      <c r="E250" s="12">
        <v>0.21416571428571429</v>
      </c>
      <c r="F250" s="12">
        <f>IF(D250="d",两日求解价格与决策!K109-两日求解价格与决策!N109,IF(D250="u",两日求解价格与决策!K109+两日求解价格与决策!M109,两日求解价格与决策!K109))</f>
        <v>21.150137638703697</v>
      </c>
      <c r="G250" s="12">
        <f t="shared" si="21"/>
        <v>0</v>
      </c>
      <c r="H250" s="12">
        <f t="shared" si="22"/>
        <v>21.150137638703697</v>
      </c>
      <c r="I250" s="12">
        <f t="shared" si="27"/>
        <v>36.662646015906681</v>
      </c>
      <c r="J250" s="12">
        <f>I250+E250*(G250*原始输入与口径!$B$5-H250/原始输入与口径!$B$5)</f>
        <v>31.739130434782606</v>
      </c>
      <c r="K250" s="12">
        <v>36.66264601590666</v>
      </c>
      <c r="L250" s="12">
        <v>31.739130434782588</v>
      </c>
      <c r="M250" s="19">
        <f t="shared" si="23"/>
        <v>0</v>
      </c>
      <c r="N250" s="12">
        <f>E250*(G250*原始输入与口径!$B$5+H250/原始输入与口径!$B$5)/原始输入与口径!$H$5</f>
        <v>1.3676432169789095E-2</v>
      </c>
      <c r="O250" s="12">
        <v>1.3676432169789093E-2</v>
      </c>
      <c r="P250" s="19">
        <f t="shared" si="24"/>
        <v>0</v>
      </c>
      <c r="Q250" s="12">
        <f t="shared" si="25"/>
        <v>0</v>
      </c>
      <c r="R250" s="12">
        <f t="shared" si="26"/>
        <v>4.5296343346341477</v>
      </c>
      <c r="S250" s="1">
        <v>101</v>
      </c>
      <c r="T250" s="14">
        <v>46235</v>
      </c>
    </row>
    <row r="251" spans="1:20" ht="21" customHeight="1" x14ac:dyDescent="0.45">
      <c r="A251" s="31">
        <v>46236.052083333336</v>
      </c>
      <c r="B251" s="31">
        <v>46236.052372380953</v>
      </c>
      <c r="C251" s="31">
        <v>46236.052083333336</v>
      </c>
      <c r="D251" s="1" t="s">
        <v>103</v>
      </c>
      <c r="E251" s="12">
        <v>6.937142857142857E-3</v>
      </c>
      <c r="F251" s="12">
        <f>IF(D251="d",两日求解价格与决策!K110-两日求解价格与决策!N110,IF(D251="u",两日求解价格与决策!K110+两日求解价格与决策!M110,两日求解价格与决策!K110))</f>
        <v>-24</v>
      </c>
      <c r="G251" s="12">
        <f t="shared" si="21"/>
        <v>24</v>
      </c>
      <c r="H251" s="12">
        <f t="shared" si="22"/>
        <v>0</v>
      </c>
      <c r="I251" s="12">
        <f t="shared" si="27"/>
        <v>31.739130434782606</v>
      </c>
      <c r="J251" s="12">
        <f>I251+E251*(G251*原始输入与口径!$B$5-H251/原始输入与口径!$B$5)</f>
        <v>31.892302549068319</v>
      </c>
      <c r="K251" s="12">
        <v>31.739130434782588</v>
      </c>
      <c r="L251" s="12">
        <v>31.892302549068301</v>
      </c>
      <c r="M251" s="19">
        <f t="shared" si="23"/>
        <v>0</v>
      </c>
      <c r="N251" s="12">
        <f>E251*(G251*原始输入与口径!$B$5+H251/原始输入与口径!$B$5)/原始输入与口径!$H$5</f>
        <v>4.2547809523809521E-4</v>
      </c>
      <c r="O251" s="12">
        <v>4.2547809523809521E-4</v>
      </c>
      <c r="P251" s="19">
        <f t="shared" si="24"/>
        <v>0</v>
      </c>
      <c r="Q251" s="12">
        <f t="shared" si="25"/>
        <v>0.16649142857142857</v>
      </c>
      <c r="R251" s="12">
        <f t="shared" si="26"/>
        <v>0</v>
      </c>
      <c r="S251" s="1">
        <v>102</v>
      </c>
      <c r="T251" s="14">
        <v>46235</v>
      </c>
    </row>
    <row r="252" spans="1:20" ht="21" customHeight="1" x14ac:dyDescent="0.45">
      <c r="A252" s="31">
        <v>46236.052372380953</v>
      </c>
      <c r="B252" s="31">
        <v>46236.052373333339</v>
      </c>
      <c r="C252" s="31">
        <v>46236.052083333336</v>
      </c>
      <c r="D252" s="1" t="s">
        <v>101</v>
      </c>
      <c r="E252" s="12">
        <v>2.2857142857142858E-5</v>
      </c>
      <c r="F252" s="12">
        <f>IF(D252="d",两日求解价格与决策!K110-两日求解价格与决策!N110,IF(D252="u",两日求解价格与决策!K110+两日求解价格与决策!M110,两日求解价格与决策!K110))</f>
        <v>24</v>
      </c>
      <c r="G252" s="12">
        <f t="shared" si="21"/>
        <v>0</v>
      </c>
      <c r="H252" s="12">
        <f t="shared" si="22"/>
        <v>24</v>
      </c>
      <c r="I252" s="12">
        <f t="shared" si="27"/>
        <v>31.892302549068319</v>
      </c>
      <c r="J252" s="12">
        <f>I252+E252*(G252*原始输入与口径!$B$5-H252/原始输入与口径!$B$5)</f>
        <v>31.891706275776393</v>
      </c>
      <c r="K252" s="12">
        <v>31.892302549068301</v>
      </c>
      <c r="L252" s="12">
        <v>31.891706275776375</v>
      </c>
      <c r="M252" s="19">
        <f t="shared" si="23"/>
        <v>0</v>
      </c>
      <c r="N252" s="12">
        <f>E252*(G252*原始输入与口径!$B$5+H252/原始输入与口径!$B$5)/原始输入与口径!$H$5</f>
        <v>1.6563146997929607E-6</v>
      </c>
      <c r="O252" s="12">
        <v>1.6563146997929609E-6</v>
      </c>
      <c r="P252" s="19">
        <f t="shared" si="24"/>
        <v>0</v>
      </c>
      <c r="Q252" s="12">
        <f t="shared" si="25"/>
        <v>0</v>
      </c>
      <c r="R252" s="12">
        <f t="shared" si="26"/>
        <v>5.4857142857142865E-4</v>
      </c>
      <c r="S252" s="1">
        <v>102</v>
      </c>
      <c r="T252" s="14">
        <v>46235</v>
      </c>
    </row>
    <row r="253" spans="1:20" ht="21" customHeight="1" x14ac:dyDescent="0.45">
      <c r="A253" s="31">
        <v>46236.052373333339</v>
      </c>
      <c r="B253" s="31">
        <v>46236.0625</v>
      </c>
      <c r="C253" s="31">
        <v>46236.052083333336</v>
      </c>
      <c r="D253" s="1" t="s">
        <v>102</v>
      </c>
      <c r="E253" s="12">
        <v>0.24304000000000001</v>
      </c>
      <c r="F253" s="12">
        <f>IF(D253="d",两日求解价格与决策!K110-两日求解价格与决策!N110,IF(D253="u",两日求解价格与决策!K110+两日求解价格与决策!M110,两日求解价格与决策!K110))</f>
        <v>0</v>
      </c>
      <c r="G253" s="12">
        <f t="shared" si="21"/>
        <v>0</v>
      </c>
      <c r="H253" s="12">
        <f t="shared" si="22"/>
        <v>0</v>
      </c>
      <c r="I253" s="12">
        <f t="shared" si="27"/>
        <v>31.891706275776393</v>
      </c>
      <c r="J253" s="12">
        <f>I253+E253*(G253*原始输入与口径!$B$5-H253/原始输入与口径!$B$5)</f>
        <v>31.891706275776393</v>
      </c>
      <c r="K253" s="12">
        <v>31.891706275776375</v>
      </c>
      <c r="L253" s="12">
        <v>31.891706275776375</v>
      </c>
      <c r="M253" s="19">
        <f t="shared" si="23"/>
        <v>0</v>
      </c>
      <c r="N253" s="12">
        <f>E253*(G253*原始输入与口径!$B$5+H253/原始输入与口径!$B$5)/原始输入与口径!$H$5</f>
        <v>0</v>
      </c>
      <c r="O253" s="12">
        <v>0</v>
      </c>
      <c r="P253" s="19">
        <f t="shared" si="24"/>
        <v>0</v>
      </c>
      <c r="Q253" s="12">
        <f t="shared" si="25"/>
        <v>0</v>
      </c>
      <c r="R253" s="12">
        <f t="shared" si="26"/>
        <v>0</v>
      </c>
      <c r="S253" s="1">
        <v>102</v>
      </c>
      <c r="T253" s="14">
        <v>46235</v>
      </c>
    </row>
    <row r="254" spans="1:20" ht="21" customHeight="1" x14ac:dyDescent="0.45">
      <c r="A254" s="31">
        <v>46236.0625</v>
      </c>
      <c r="B254" s="31">
        <v>46236.062840714287</v>
      </c>
      <c r="C254" s="31">
        <v>46236.0625</v>
      </c>
      <c r="D254" s="1" t="s">
        <v>103</v>
      </c>
      <c r="E254" s="12">
        <v>8.1771428571428568E-3</v>
      </c>
      <c r="F254" s="12">
        <f>IF(D254="d",两日求解价格与决策!K111-两日求解价格与决策!N111,IF(D254="u",两日求解价格与决策!K111+两日求解价格与决策!M111,两日求解价格与决策!K111))</f>
        <v>-24</v>
      </c>
      <c r="G254" s="12">
        <f t="shared" si="21"/>
        <v>24</v>
      </c>
      <c r="H254" s="12">
        <f t="shared" si="22"/>
        <v>0</v>
      </c>
      <c r="I254" s="12">
        <f t="shared" si="27"/>
        <v>31.891706275776393</v>
      </c>
      <c r="J254" s="12">
        <f>I254+E254*(G254*原始输入与口径!$B$5-H254/原始输入与口径!$B$5)</f>
        <v>32.072257590062108</v>
      </c>
      <c r="K254" s="12">
        <v>31.891706275776375</v>
      </c>
      <c r="L254" s="12">
        <v>32.072257590062087</v>
      </c>
      <c r="M254" s="19">
        <f t="shared" si="23"/>
        <v>0</v>
      </c>
      <c r="N254" s="12">
        <f>E254*(G254*原始输入与口径!$B$5+H254/原始输入与口径!$B$5)/原始输入与口径!$H$5</f>
        <v>5.0153142857142861E-4</v>
      </c>
      <c r="O254" s="12">
        <v>5.0153142857142861E-4</v>
      </c>
      <c r="P254" s="19">
        <f t="shared" si="24"/>
        <v>0</v>
      </c>
      <c r="Q254" s="12">
        <f t="shared" si="25"/>
        <v>0.19625142857142858</v>
      </c>
      <c r="R254" s="12">
        <f t="shared" si="26"/>
        <v>0</v>
      </c>
      <c r="S254" s="1">
        <v>103</v>
      </c>
      <c r="T254" s="14">
        <v>46235</v>
      </c>
    </row>
    <row r="255" spans="1:20" ht="21" customHeight="1" x14ac:dyDescent="0.45">
      <c r="A255" s="31">
        <v>46236.062840714287</v>
      </c>
      <c r="B255" s="31">
        <v>46236.062862380953</v>
      </c>
      <c r="C255" s="31">
        <v>46236.0625</v>
      </c>
      <c r="D255" s="1" t="s">
        <v>101</v>
      </c>
      <c r="E255" s="12">
        <v>5.1999999999999995E-4</v>
      </c>
      <c r="F255" s="12">
        <f>IF(D255="d",两日求解价格与决策!K111-两日求解价格与决策!N111,IF(D255="u",两日求解价格与决策!K111+两日求解价格与决策!M111,两日求解价格与决策!K111))</f>
        <v>24</v>
      </c>
      <c r="G255" s="12">
        <f t="shared" si="21"/>
        <v>0</v>
      </c>
      <c r="H255" s="12">
        <f t="shared" si="22"/>
        <v>24</v>
      </c>
      <c r="I255" s="12">
        <f t="shared" si="27"/>
        <v>32.072257590062108</v>
      </c>
      <c r="J255" s="12">
        <f>I255+E255*(G255*原始输入与口径!$B$5-H255/原始输入与口径!$B$5)</f>
        <v>32.058692372670805</v>
      </c>
      <c r="K255" s="12">
        <v>32.072257590062087</v>
      </c>
      <c r="L255" s="12">
        <v>32.058692372670784</v>
      </c>
      <c r="M255" s="19">
        <f t="shared" si="23"/>
        <v>0</v>
      </c>
      <c r="N255" s="12">
        <f>E255*(G255*原始输入与口径!$B$5+H255/原始输入与口径!$B$5)/原始输入与口径!$H$5</f>
        <v>3.768115942028985E-5</v>
      </c>
      <c r="O255" s="12">
        <v>3.768115942028985E-5</v>
      </c>
      <c r="P255" s="19">
        <f t="shared" si="24"/>
        <v>0</v>
      </c>
      <c r="Q255" s="12">
        <f t="shared" si="25"/>
        <v>0</v>
      </c>
      <c r="R255" s="12">
        <f t="shared" si="26"/>
        <v>1.2479999999999998E-2</v>
      </c>
      <c r="S255" s="1">
        <v>103</v>
      </c>
      <c r="T255" s="14">
        <v>46235</v>
      </c>
    </row>
    <row r="256" spans="1:20" ht="21" customHeight="1" x14ac:dyDescent="0.45">
      <c r="A256" s="31">
        <v>46236.062862380953</v>
      </c>
      <c r="B256" s="31">
        <v>46236.072916666664</v>
      </c>
      <c r="C256" s="31">
        <v>46236.0625</v>
      </c>
      <c r="D256" s="1" t="s">
        <v>102</v>
      </c>
      <c r="E256" s="12">
        <v>0.24130285714285715</v>
      </c>
      <c r="F256" s="12">
        <f>IF(D256="d",两日求解价格与决策!K111-两日求解价格与决策!N111,IF(D256="u",两日求解价格与决策!K111+两日求解价格与决策!M111,两日求解价格与决策!K111))</f>
        <v>0</v>
      </c>
      <c r="G256" s="12">
        <f t="shared" si="21"/>
        <v>0</v>
      </c>
      <c r="H256" s="12">
        <f t="shared" si="22"/>
        <v>0</v>
      </c>
      <c r="I256" s="12">
        <f t="shared" si="27"/>
        <v>32.058692372670805</v>
      </c>
      <c r="J256" s="12">
        <f>I256+E256*(G256*原始输入与口径!$B$5-H256/原始输入与口径!$B$5)</f>
        <v>32.058692372670805</v>
      </c>
      <c r="K256" s="12">
        <v>32.058692372670784</v>
      </c>
      <c r="L256" s="12">
        <v>32.058692372670784</v>
      </c>
      <c r="M256" s="19">
        <f t="shared" si="23"/>
        <v>0</v>
      </c>
      <c r="N256" s="12">
        <f>E256*(G256*原始输入与口径!$B$5+H256/原始输入与口径!$B$5)/原始输入与口径!$H$5</f>
        <v>0</v>
      </c>
      <c r="O256" s="12">
        <v>0</v>
      </c>
      <c r="P256" s="19">
        <f t="shared" si="24"/>
        <v>0</v>
      </c>
      <c r="Q256" s="12">
        <f t="shared" si="25"/>
        <v>0</v>
      </c>
      <c r="R256" s="12">
        <f t="shared" si="26"/>
        <v>0</v>
      </c>
      <c r="S256" s="1">
        <v>103</v>
      </c>
      <c r="T256" s="14">
        <v>46235</v>
      </c>
    </row>
    <row r="257" spans="1:20" ht="21" customHeight="1" x14ac:dyDescent="0.45">
      <c r="A257" s="31">
        <v>46236.072916666664</v>
      </c>
      <c r="B257" s="31">
        <v>46236.073024999998</v>
      </c>
      <c r="C257" s="31">
        <v>46236.072916666664</v>
      </c>
      <c r="D257" s="1" t="s">
        <v>103</v>
      </c>
      <c r="E257" s="12">
        <v>2.5999999999999999E-3</v>
      </c>
      <c r="F257" s="12">
        <f>IF(D257="d",两日求解价格与决策!K112-两日求解价格与决策!N112,IF(D257="u",两日求解价格与决策!K112+两日求解价格与决策!M112,两日求解价格与决策!K112))</f>
        <v>-24</v>
      </c>
      <c r="G257" s="12">
        <f t="shared" si="21"/>
        <v>24</v>
      </c>
      <c r="H257" s="12">
        <f t="shared" si="22"/>
        <v>0</v>
      </c>
      <c r="I257" s="12">
        <f t="shared" si="27"/>
        <v>32.058692372670805</v>
      </c>
      <c r="J257" s="12">
        <f>I257+E257*(G257*原始输入与口径!$B$5-H257/原始输入与口径!$B$5)</f>
        <v>32.116100372670807</v>
      </c>
      <c r="K257" s="12">
        <v>32.058692372670784</v>
      </c>
      <c r="L257" s="12">
        <v>32.116100372670786</v>
      </c>
      <c r="M257" s="19">
        <f t="shared" si="23"/>
        <v>0</v>
      </c>
      <c r="N257" s="12">
        <f>E257*(G257*原始输入与口径!$B$5+H257/原始输入与口径!$B$5)/原始输入与口径!$H$5</f>
        <v>1.5946666666666668E-4</v>
      </c>
      <c r="O257" s="12">
        <v>1.5946666666666668E-4</v>
      </c>
      <c r="P257" s="19">
        <f t="shared" si="24"/>
        <v>0</v>
      </c>
      <c r="Q257" s="12">
        <f t="shared" si="25"/>
        <v>6.2399999999999997E-2</v>
      </c>
      <c r="R257" s="12">
        <f t="shared" si="26"/>
        <v>0</v>
      </c>
      <c r="S257" s="1">
        <v>104</v>
      </c>
      <c r="T257" s="14">
        <v>46235</v>
      </c>
    </row>
    <row r="258" spans="1:20" ht="21" customHeight="1" x14ac:dyDescent="0.45">
      <c r="A258" s="31">
        <v>46236.073024999998</v>
      </c>
      <c r="B258" s="31">
        <v>46236.073073333333</v>
      </c>
      <c r="C258" s="31">
        <v>46236.072916666664</v>
      </c>
      <c r="D258" s="1" t="s">
        <v>101</v>
      </c>
      <c r="E258" s="12">
        <v>1.16E-3</v>
      </c>
      <c r="F258" s="12">
        <f>IF(D258="d",两日求解价格与决策!K112-两日求解价格与决策!N112,IF(D258="u",两日求解价格与决策!K112+两日求解价格与决策!M112,两日求解价格与决策!K112))</f>
        <v>24</v>
      </c>
      <c r="G258" s="12">
        <f t="shared" si="21"/>
        <v>0</v>
      </c>
      <c r="H258" s="12">
        <f t="shared" si="22"/>
        <v>24</v>
      </c>
      <c r="I258" s="12">
        <f t="shared" si="27"/>
        <v>32.116100372670807</v>
      </c>
      <c r="J258" s="12">
        <f>I258+E258*(G258*原始输入与口径!$B$5-H258/原始输入与口径!$B$5)</f>
        <v>32.085839503105589</v>
      </c>
      <c r="K258" s="12">
        <v>32.116100372670786</v>
      </c>
      <c r="L258" s="12">
        <v>32.085839503105568</v>
      </c>
      <c r="M258" s="19">
        <f t="shared" si="23"/>
        <v>0</v>
      </c>
      <c r="N258" s="12">
        <f>E258*(G258*原始输入与口径!$B$5+H258/原始输入与口径!$B$5)/原始输入与口径!$H$5</f>
        <v>8.4057971014492755E-5</v>
      </c>
      <c r="O258" s="12">
        <v>8.4057971014492755E-5</v>
      </c>
      <c r="P258" s="19">
        <f t="shared" si="24"/>
        <v>0</v>
      </c>
      <c r="Q258" s="12">
        <f t="shared" si="25"/>
        <v>0</v>
      </c>
      <c r="R258" s="12">
        <f t="shared" si="26"/>
        <v>2.784E-2</v>
      </c>
      <c r="S258" s="1">
        <v>104</v>
      </c>
      <c r="T258" s="14">
        <v>46235</v>
      </c>
    </row>
    <row r="259" spans="1:20" ht="21" customHeight="1" x14ac:dyDescent="0.45">
      <c r="A259" s="31">
        <v>46236.073073333333</v>
      </c>
      <c r="B259" s="31">
        <v>46236.083333333328</v>
      </c>
      <c r="C259" s="31">
        <v>46236.072916666664</v>
      </c>
      <c r="D259" s="1" t="s">
        <v>102</v>
      </c>
      <c r="E259" s="12">
        <v>0.24624000000000001</v>
      </c>
      <c r="F259" s="12">
        <f>IF(D259="d",两日求解价格与决策!K112-两日求解价格与决策!N112,IF(D259="u",两日求解价格与决策!K112+两日求解价格与决策!M112,两日求解价格与决策!K112))</f>
        <v>0</v>
      </c>
      <c r="G259" s="12">
        <f t="shared" si="21"/>
        <v>0</v>
      </c>
      <c r="H259" s="12">
        <f t="shared" si="22"/>
        <v>0</v>
      </c>
      <c r="I259" s="12">
        <f t="shared" si="27"/>
        <v>32.085839503105589</v>
      </c>
      <c r="J259" s="12">
        <f>I259+E259*(G259*原始输入与口径!$B$5-H259/原始输入与口径!$B$5)</f>
        <v>32.085839503105589</v>
      </c>
      <c r="K259" s="12">
        <v>32.085839503105568</v>
      </c>
      <c r="L259" s="12">
        <v>32.085839503105568</v>
      </c>
      <c r="M259" s="19">
        <f t="shared" si="23"/>
        <v>0</v>
      </c>
      <c r="N259" s="12">
        <f>E259*(G259*原始输入与口径!$B$5+H259/原始输入与口径!$B$5)/原始输入与口径!$H$5</f>
        <v>0</v>
      </c>
      <c r="O259" s="12">
        <v>0</v>
      </c>
      <c r="P259" s="19">
        <f t="shared" si="24"/>
        <v>0</v>
      </c>
      <c r="Q259" s="12">
        <f t="shared" si="25"/>
        <v>0</v>
      </c>
      <c r="R259" s="12">
        <f t="shared" si="26"/>
        <v>0</v>
      </c>
      <c r="S259" s="1">
        <v>104</v>
      </c>
      <c r="T259" s="14">
        <v>46235</v>
      </c>
    </row>
    <row r="260" spans="1:20" ht="21" customHeight="1" x14ac:dyDescent="0.45">
      <c r="A260" s="31">
        <v>46236.083333333336</v>
      </c>
      <c r="B260" s="31">
        <v>46236.083854523815</v>
      </c>
      <c r="C260" s="31">
        <v>46236.083333333336</v>
      </c>
      <c r="D260" s="1" t="s">
        <v>101</v>
      </c>
      <c r="E260" s="12">
        <v>1.250857142857143E-2</v>
      </c>
      <c r="F260" s="12">
        <f>IF(D260="d",两日求解价格与决策!K113-两日求解价格与决策!N113,IF(D260="u",两日求解价格与决策!K113+两日求解价格与决策!M113,两日求解价格与决策!K113))</f>
        <v>23.819751984077413</v>
      </c>
      <c r="G260" s="12">
        <f t="shared" si="21"/>
        <v>0</v>
      </c>
      <c r="H260" s="12">
        <f t="shared" si="22"/>
        <v>23.819751984077413</v>
      </c>
      <c r="I260" s="12">
        <f t="shared" si="27"/>
        <v>32.085839503105589</v>
      </c>
      <c r="J260" s="12">
        <f>I260+E260*(G260*原始输入与口径!$B$5-H260/原始输入与口径!$B$5)</f>
        <v>31.761979645384187</v>
      </c>
      <c r="K260" s="12">
        <v>32.085839503105568</v>
      </c>
      <c r="L260" s="12">
        <v>31.761979645384166</v>
      </c>
      <c r="M260" s="19">
        <f t="shared" si="23"/>
        <v>0</v>
      </c>
      <c r="N260" s="12">
        <f>E260*(G260*原始输入与口径!$B$5+H260/原始输入与口径!$B$5)/原始输入与口径!$H$5</f>
        <v>8.9961071589277877E-4</v>
      </c>
      <c r="O260" s="12">
        <v>8.9961071589277877E-4</v>
      </c>
      <c r="P260" s="19">
        <f t="shared" si="24"/>
        <v>0</v>
      </c>
      <c r="Q260" s="12">
        <f t="shared" si="25"/>
        <v>0</v>
      </c>
      <c r="R260" s="12">
        <f t="shared" si="26"/>
        <v>0.29795106910368835</v>
      </c>
      <c r="S260" s="1">
        <v>105</v>
      </c>
      <c r="T260" s="14">
        <v>46235</v>
      </c>
    </row>
    <row r="261" spans="1:20" ht="21" customHeight="1" x14ac:dyDescent="0.45">
      <c r="A261" s="31">
        <v>46236.083854523815</v>
      </c>
      <c r="B261" s="31">
        <v>46236.09375</v>
      </c>
      <c r="C261" s="31">
        <v>46236.083333333336</v>
      </c>
      <c r="D261" s="1" t="s">
        <v>102</v>
      </c>
      <c r="E261" s="12">
        <v>0.23749142857142858</v>
      </c>
      <c r="F261" s="12">
        <f>IF(D261="d",两日求解价格与决策!K113-两日求解价格与决策!N113,IF(D261="u",两日求解价格与决策!K113+两日求解价格与决策!M113,两日求解价格与决策!K113))</f>
        <v>-0.18024801592258491</v>
      </c>
      <c r="G261" s="12">
        <f t="shared" si="21"/>
        <v>0.18024801592258491</v>
      </c>
      <c r="H261" s="12">
        <f t="shared" si="22"/>
        <v>0</v>
      </c>
      <c r="I261" s="12">
        <f t="shared" si="27"/>
        <v>31.761979645384187</v>
      </c>
      <c r="J261" s="12">
        <f>I261+E261*(G261*原始输入与口径!$B$5-H261/原始输入与口径!$B$5)</f>
        <v>31.801362415478916</v>
      </c>
      <c r="K261" s="12">
        <v>31.761979645384166</v>
      </c>
      <c r="L261" s="12">
        <v>31.801362415478895</v>
      </c>
      <c r="M261" s="19">
        <f t="shared" si="23"/>
        <v>0</v>
      </c>
      <c r="N261" s="12">
        <f>E261*(G261*原始输入与口径!$B$5+H261/原始输入与口径!$B$5)/原始输入与口径!$H$5</f>
        <v>1.0939658359647409E-4</v>
      </c>
      <c r="O261" s="12">
        <v>1.0939658359647409E-4</v>
      </c>
      <c r="P261" s="19">
        <f t="shared" si="24"/>
        <v>0</v>
      </c>
      <c r="Q261" s="12">
        <f t="shared" si="25"/>
        <v>4.2807358798620292E-2</v>
      </c>
      <c r="R261" s="12">
        <f t="shared" si="26"/>
        <v>0</v>
      </c>
      <c r="S261" s="1">
        <v>105</v>
      </c>
      <c r="T261" s="14">
        <v>46235</v>
      </c>
    </row>
    <row r="262" spans="1:20" ht="21" customHeight="1" x14ac:dyDescent="0.45">
      <c r="A262" s="31">
        <v>46236.09375</v>
      </c>
      <c r="B262" s="31">
        <v>46236.094070238098</v>
      </c>
      <c r="C262" s="31">
        <v>46236.09375</v>
      </c>
      <c r="D262" s="1" t="s">
        <v>103</v>
      </c>
      <c r="E262" s="12">
        <v>7.6857142857142853E-3</v>
      </c>
      <c r="F262" s="12">
        <f>IF(D262="d",两日求解价格与决策!K114-两日求解价格与决策!N114,IF(D262="u",两日求解价格与决策!K114+两日求解价格与决策!M114,两日求解价格与决策!K114))</f>
        <v>-31.370332307693502</v>
      </c>
      <c r="G262" s="12">
        <f t="shared" si="21"/>
        <v>31.370332307693502</v>
      </c>
      <c r="H262" s="12">
        <f t="shared" si="22"/>
        <v>0</v>
      </c>
      <c r="I262" s="12">
        <f t="shared" si="27"/>
        <v>31.801362415478916</v>
      </c>
      <c r="J262" s="12">
        <f>I262+E262*(G262*原始输入与口径!$B$5-H262/原始输入与口径!$B$5)</f>
        <v>32.023177553750571</v>
      </c>
      <c r="K262" s="12">
        <v>31.801362415478895</v>
      </c>
      <c r="L262" s="12">
        <v>32.02317755375055</v>
      </c>
      <c r="M262" s="19">
        <f t="shared" si="23"/>
        <v>0</v>
      </c>
      <c r="N262" s="12">
        <f>E262*(G262*原始输入与口径!$B$5+H262/原始输入与口径!$B$5)/原始输入与口径!$H$5</f>
        <v>6.1615316186571336E-4</v>
      </c>
      <c r="O262" s="12">
        <v>6.1615316186571325E-4</v>
      </c>
      <c r="P262" s="19">
        <f t="shared" si="24"/>
        <v>0</v>
      </c>
      <c r="Q262" s="12">
        <f t="shared" si="25"/>
        <v>0.24110341116484432</v>
      </c>
      <c r="R262" s="12">
        <f t="shared" si="26"/>
        <v>0</v>
      </c>
      <c r="S262" s="1">
        <v>106</v>
      </c>
      <c r="T262" s="14">
        <v>46235</v>
      </c>
    </row>
    <row r="263" spans="1:20" ht="21" customHeight="1" x14ac:dyDescent="0.45">
      <c r="A263" s="31">
        <v>46236.094070238098</v>
      </c>
      <c r="B263" s="31">
        <v>46236.094725000003</v>
      </c>
      <c r="C263" s="31">
        <v>46236.09375</v>
      </c>
      <c r="D263" s="1" t="s">
        <v>101</v>
      </c>
      <c r="E263" s="12">
        <v>1.5714285714285715E-2</v>
      </c>
      <c r="F263" s="12">
        <f>IF(D263="d",两日求解价格与决策!K114-两日求解价格与决策!N114,IF(D263="u",两日求解价格与决策!K114+两日求解价格与决策!M114,两日求解价格与决策!K114))</f>
        <v>16.629667692306498</v>
      </c>
      <c r="G263" s="12">
        <f t="shared" si="21"/>
        <v>0</v>
      </c>
      <c r="H263" s="12">
        <f t="shared" si="22"/>
        <v>16.629667692306498</v>
      </c>
      <c r="I263" s="12">
        <f t="shared" si="27"/>
        <v>32.023177553750571</v>
      </c>
      <c r="J263" s="12">
        <f>I263+E263*(G263*原始输入与口径!$B$5-H263/原始输入与口径!$B$5)</f>
        <v>31.739130434782602</v>
      </c>
      <c r="K263" s="12">
        <v>32.02317755375055</v>
      </c>
      <c r="L263" s="12">
        <v>31.739130434782581</v>
      </c>
      <c r="M263" s="19">
        <f t="shared" si="23"/>
        <v>0</v>
      </c>
      <c r="N263" s="12">
        <f>E263*(G263*原始输入与口径!$B$5+H263/原始输入与口径!$B$5)/原始输入与口径!$H$5</f>
        <v>7.8901977491102257E-4</v>
      </c>
      <c r="O263" s="12">
        <v>7.8901977491102257E-4</v>
      </c>
      <c r="P263" s="19">
        <f t="shared" si="24"/>
        <v>0</v>
      </c>
      <c r="Q263" s="12">
        <f t="shared" si="25"/>
        <v>0</v>
      </c>
      <c r="R263" s="12">
        <f t="shared" si="26"/>
        <v>0.26132334945053071</v>
      </c>
      <c r="S263" s="1">
        <v>106</v>
      </c>
      <c r="T263" s="14">
        <v>46235</v>
      </c>
    </row>
    <row r="264" spans="1:20" ht="21" customHeight="1" x14ac:dyDescent="0.45">
      <c r="A264" s="31">
        <v>46236.094725000003</v>
      </c>
      <c r="B264" s="31">
        <v>46236.104166666664</v>
      </c>
      <c r="C264" s="31">
        <v>46236.09375</v>
      </c>
      <c r="D264" s="1" t="s">
        <v>102</v>
      </c>
      <c r="E264" s="12">
        <v>0.2266</v>
      </c>
      <c r="F264" s="12">
        <f>IF(D264="d",两日求解价格与决策!K114-两日求解价格与决策!N114,IF(D264="u",两日求解价格与决策!K114+两日求解价格与决策!M114,两日求解价格与决策!K114))</f>
        <v>-7.370332307693503</v>
      </c>
      <c r="G264" s="12">
        <f t="shared" si="21"/>
        <v>7.370332307693503</v>
      </c>
      <c r="H264" s="12">
        <f t="shared" si="22"/>
        <v>0</v>
      </c>
      <c r="I264" s="12">
        <f t="shared" si="27"/>
        <v>31.739130434782602</v>
      </c>
      <c r="J264" s="12">
        <f>I264+E264*(G264*原始输入与口径!$B$5-H264/原始输入与口径!$B$5)</f>
        <v>33.275638351632082</v>
      </c>
      <c r="K264" s="12">
        <v>31.739130434782581</v>
      </c>
      <c r="L264" s="12">
        <v>33.275638351632061</v>
      </c>
      <c r="M264" s="19">
        <f t="shared" si="23"/>
        <v>0</v>
      </c>
      <c r="N264" s="12">
        <f>E264*(G264*原始输入与口径!$B$5+H264/原始输入与口径!$B$5)/原始输入与口径!$H$5</f>
        <v>4.2680775468041119E-3</v>
      </c>
      <c r="O264" s="12">
        <v>4.268077546804111E-3</v>
      </c>
      <c r="P264" s="19">
        <f t="shared" si="24"/>
        <v>0</v>
      </c>
      <c r="Q264" s="12">
        <f t="shared" si="25"/>
        <v>1.6701173009233476</v>
      </c>
      <c r="R264" s="12">
        <f t="shared" si="26"/>
        <v>0</v>
      </c>
      <c r="S264" s="1">
        <v>106</v>
      </c>
      <c r="T264" s="14">
        <v>46235</v>
      </c>
    </row>
    <row r="265" spans="1:20" ht="21" customHeight="1" x14ac:dyDescent="0.45">
      <c r="A265" s="31">
        <v>46236.104166666664</v>
      </c>
      <c r="B265" s="31">
        <v>46236.104170714287</v>
      </c>
      <c r="C265" s="31">
        <v>46236.104166666664</v>
      </c>
      <c r="D265" s="1" t="s">
        <v>103</v>
      </c>
      <c r="E265" s="12">
        <v>9.7142857142857152E-5</v>
      </c>
      <c r="F265" s="12">
        <f>IF(D265="d",两日求解价格与决策!K115-两日求解价格与决策!N115,IF(D265="u",两日求解价格与决策!K115+两日求解价格与决策!M115,两日求解价格与决策!K115))</f>
        <v>-24</v>
      </c>
      <c r="G265" s="12">
        <f t="shared" ref="G265:G328" si="28">MAX(-F265,0)</f>
        <v>24</v>
      </c>
      <c r="H265" s="12">
        <f t="shared" ref="H265:H328" si="29">MAX(F265,0)</f>
        <v>0</v>
      </c>
      <c r="I265" s="12">
        <f t="shared" si="27"/>
        <v>33.275638351632082</v>
      </c>
      <c r="J265" s="12">
        <f>I265+E265*(G265*原始输入与口径!$B$5-H265/原始输入与口径!$B$5)</f>
        <v>33.277783265917797</v>
      </c>
      <c r="K265" s="12">
        <v>33.275638351632061</v>
      </c>
      <c r="L265" s="12">
        <v>33.277783265917776</v>
      </c>
      <c r="M265" s="19">
        <f t="shared" ref="M265:M328" si="30">J265-L265</f>
        <v>0</v>
      </c>
      <c r="N265" s="12">
        <f>E265*(G265*原始输入与口径!$B$5+H265/原始输入与口径!$B$5)/原始输入与口径!$H$5</f>
        <v>5.9580952380952383E-6</v>
      </c>
      <c r="O265" s="12">
        <v>5.9580952380952383E-6</v>
      </c>
      <c r="P265" s="19">
        <f t="shared" ref="P265:P328" si="31">N265-O265</f>
        <v>0</v>
      </c>
      <c r="Q265" s="12">
        <f t="shared" ref="Q265:Q328" si="32">E265*G265</f>
        <v>2.3314285714285715E-3</v>
      </c>
      <c r="R265" s="12">
        <f t="shared" ref="R265:R328" si="33">E265*H265</f>
        <v>0</v>
      </c>
      <c r="S265" s="1">
        <v>107</v>
      </c>
      <c r="T265" s="14">
        <v>46235</v>
      </c>
    </row>
    <row r="266" spans="1:20" ht="21" customHeight="1" x14ac:dyDescent="0.45">
      <c r="A266" s="31">
        <v>46236.104170714287</v>
      </c>
      <c r="B266" s="31">
        <v>46236.105168333328</v>
      </c>
      <c r="C266" s="31">
        <v>46236.104166666664</v>
      </c>
      <c r="D266" s="1" t="s">
        <v>101</v>
      </c>
      <c r="E266" s="12">
        <v>2.3942857142857144E-2</v>
      </c>
      <c r="F266" s="12">
        <f>IF(D266="d",两日求解价格与决策!K115-两日求解价格与决策!N115,IF(D266="u",两日求解价格与决策!K115+两日求解价格与决策!M115,两日求解价格与决策!K115))</f>
        <v>24</v>
      </c>
      <c r="G266" s="12">
        <f t="shared" si="28"/>
        <v>0</v>
      </c>
      <c r="H266" s="12">
        <f t="shared" si="29"/>
        <v>24</v>
      </c>
      <c r="I266" s="12">
        <f t="shared" ref="I266:I329" si="34">J265</f>
        <v>33.277783265917797</v>
      </c>
      <c r="J266" s="12">
        <f>I266+E266*(G266*原始输入与口径!$B$5-H266/原始输入与口径!$B$5)</f>
        <v>32.653186992625869</v>
      </c>
      <c r="K266" s="12">
        <v>33.277783265917776</v>
      </c>
      <c r="L266" s="12">
        <v>32.653186992625848</v>
      </c>
      <c r="M266" s="19">
        <f t="shared" si="30"/>
        <v>0</v>
      </c>
      <c r="N266" s="12">
        <f>E266*(G266*原始输入与口径!$B$5+H266/原始输入与口径!$B$5)/原始输入与口径!$H$5</f>
        <v>1.7349896480331262E-3</v>
      </c>
      <c r="O266" s="12">
        <v>1.7349896480331262E-3</v>
      </c>
      <c r="P266" s="19">
        <f t="shared" si="31"/>
        <v>0</v>
      </c>
      <c r="Q266" s="12">
        <f t="shared" si="32"/>
        <v>0</v>
      </c>
      <c r="R266" s="12">
        <f t="shared" si="33"/>
        <v>0.57462857142857149</v>
      </c>
      <c r="S266" s="1">
        <v>107</v>
      </c>
      <c r="T266" s="14">
        <v>46235</v>
      </c>
    </row>
    <row r="267" spans="1:20" ht="21" customHeight="1" x14ac:dyDescent="0.45">
      <c r="A267" s="31">
        <v>46236.105168333328</v>
      </c>
      <c r="B267" s="31">
        <v>46236.114583333328</v>
      </c>
      <c r="C267" s="31">
        <v>46236.104166666664</v>
      </c>
      <c r="D267" s="1" t="s">
        <v>102</v>
      </c>
      <c r="E267" s="12">
        <v>0.22595999999999999</v>
      </c>
      <c r="F267" s="12">
        <f>IF(D267="d",两日求解价格与决策!K115-两日求解价格与决策!N115,IF(D267="u",两日求解价格与决策!K115+两日求解价格与决策!M115,两日求解价格与决策!K115))</f>
        <v>0</v>
      </c>
      <c r="G267" s="12">
        <f t="shared" si="28"/>
        <v>0</v>
      </c>
      <c r="H267" s="12">
        <f t="shared" si="29"/>
        <v>0</v>
      </c>
      <c r="I267" s="12">
        <f t="shared" si="34"/>
        <v>32.653186992625869</v>
      </c>
      <c r="J267" s="12">
        <f>I267+E267*(G267*原始输入与口径!$B$5-H267/原始输入与口径!$B$5)</f>
        <v>32.653186992625869</v>
      </c>
      <c r="K267" s="12">
        <v>32.653186992625848</v>
      </c>
      <c r="L267" s="12">
        <v>32.653186992625848</v>
      </c>
      <c r="M267" s="19">
        <f t="shared" si="30"/>
        <v>0</v>
      </c>
      <c r="N267" s="12">
        <f>E267*(G267*原始输入与口径!$B$5+H267/原始输入与口径!$B$5)/原始输入与口径!$H$5</f>
        <v>0</v>
      </c>
      <c r="O267" s="12">
        <v>0</v>
      </c>
      <c r="P267" s="19">
        <f t="shared" si="31"/>
        <v>0</v>
      </c>
      <c r="Q267" s="12">
        <f t="shared" si="32"/>
        <v>0</v>
      </c>
      <c r="R267" s="12">
        <f t="shared" si="33"/>
        <v>0</v>
      </c>
      <c r="S267" s="1">
        <v>107</v>
      </c>
      <c r="T267" s="14">
        <v>46235</v>
      </c>
    </row>
    <row r="268" spans="1:20" ht="21" customHeight="1" x14ac:dyDescent="0.45">
      <c r="A268" s="31">
        <v>46236.114583333336</v>
      </c>
      <c r="B268" s="31">
        <v>46236.114661666667</v>
      </c>
      <c r="C268" s="31">
        <v>46236.114583333336</v>
      </c>
      <c r="D268" s="1" t="s">
        <v>101</v>
      </c>
      <c r="E268" s="12">
        <v>1.8800000000000002E-3</v>
      </c>
      <c r="F268" s="12">
        <f>IF(D268="d",两日求解价格与决策!K116-两日求解价格与决策!N116,IF(D268="u",两日求解价格与决策!K116+两日求解价格与决策!M116,两日求解价格与决策!K116))</f>
        <v>24</v>
      </c>
      <c r="G268" s="12">
        <f t="shared" si="28"/>
        <v>0</v>
      </c>
      <c r="H268" s="12">
        <f t="shared" si="29"/>
        <v>24</v>
      </c>
      <c r="I268" s="12">
        <f t="shared" si="34"/>
        <v>32.653186992625869</v>
      </c>
      <c r="J268" s="12">
        <f>I268+E268*(G268*原始输入与口径!$B$5-H268/原始输入与口径!$B$5)</f>
        <v>32.604143514364999</v>
      </c>
      <c r="K268" s="12">
        <v>32.653186992625848</v>
      </c>
      <c r="L268" s="12">
        <v>32.604143514364978</v>
      </c>
      <c r="M268" s="19">
        <f t="shared" si="30"/>
        <v>0</v>
      </c>
      <c r="N268" s="12">
        <f>E268*(G268*原始输入与口径!$B$5+H268/原始输入与口径!$B$5)/原始输入与口径!$H$5</f>
        <v>1.3623188405797101E-4</v>
      </c>
      <c r="O268" s="12">
        <v>1.3623188405797104E-4</v>
      </c>
      <c r="P268" s="19">
        <f t="shared" si="31"/>
        <v>0</v>
      </c>
      <c r="Q268" s="12">
        <f t="shared" si="32"/>
        <v>0</v>
      </c>
      <c r="R268" s="12">
        <f t="shared" si="33"/>
        <v>4.5120000000000007E-2</v>
      </c>
      <c r="S268" s="1">
        <v>108</v>
      </c>
      <c r="T268" s="14">
        <v>46235</v>
      </c>
    </row>
    <row r="269" spans="1:20" ht="21" customHeight="1" x14ac:dyDescent="0.45">
      <c r="A269" s="31">
        <v>46236.114661666667</v>
      </c>
      <c r="B269" s="31">
        <v>46236.125</v>
      </c>
      <c r="C269" s="31">
        <v>46236.114583333336</v>
      </c>
      <c r="D269" s="1" t="s">
        <v>102</v>
      </c>
      <c r="E269" s="12">
        <v>0.24812000000000001</v>
      </c>
      <c r="F269" s="12">
        <f>IF(D269="d",两日求解价格与决策!K116-两日求解价格与决策!N116,IF(D269="u",两日求解价格与决策!K116+两日求解价格与决策!M116,两日求解价格与决策!K116))</f>
        <v>0</v>
      </c>
      <c r="G269" s="12">
        <f t="shared" si="28"/>
        <v>0</v>
      </c>
      <c r="H269" s="12">
        <f t="shared" si="29"/>
        <v>0</v>
      </c>
      <c r="I269" s="12">
        <f t="shared" si="34"/>
        <v>32.604143514364999</v>
      </c>
      <c r="J269" s="12">
        <f>I269+E269*(G269*原始输入与口径!$B$5-H269/原始输入与口径!$B$5)</f>
        <v>32.604143514364999</v>
      </c>
      <c r="K269" s="12">
        <v>32.604143514364978</v>
      </c>
      <c r="L269" s="12">
        <v>32.604143514364978</v>
      </c>
      <c r="M269" s="19">
        <f t="shared" si="30"/>
        <v>0</v>
      </c>
      <c r="N269" s="12">
        <f>E269*(G269*原始输入与口径!$B$5+H269/原始输入与口径!$B$5)/原始输入与口径!$H$5</f>
        <v>0</v>
      </c>
      <c r="O269" s="12">
        <v>0</v>
      </c>
      <c r="P269" s="19">
        <f t="shared" si="31"/>
        <v>0</v>
      </c>
      <c r="Q269" s="12">
        <f t="shared" si="32"/>
        <v>0</v>
      </c>
      <c r="R269" s="12">
        <f t="shared" si="33"/>
        <v>0</v>
      </c>
      <c r="S269" s="1">
        <v>108</v>
      </c>
      <c r="T269" s="14">
        <v>46235</v>
      </c>
    </row>
    <row r="270" spans="1:20" ht="21" customHeight="1" x14ac:dyDescent="0.45">
      <c r="A270" s="31">
        <v>46236.125</v>
      </c>
      <c r="B270" s="31">
        <v>46236.125253333332</v>
      </c>
      <c r="C270" s="31">
        <v>46236.125</v>
      </c>
      <c r="D270" s="1" t="s">
        <v>101</v>
      </c>
      <c r="E270" s="12">
        <v>6.0800000000000003E-3</v>
      </c>
      <c r="F270" s="12">
        <f>IF(D270="d",两日求解价格与决策!K117-两日求解价格与决策!N117,IF(D270="u",两日求解价格与决策!K117+两日求解价格与决策!M117,两日求解价格与决策!K117))</f>
        <v>24</v>
      </c>
      <c r="G270" s="12">
        <f t="shared" si="28"/>
        <v>0</v>
      </c>
      <c r="H270" s="12">
        <f t="shared" si="29"/>
        <v>24</v>
      </c>
      <c r="I270" s="12">
        <f t="shared" si="34"/>
        <v>32.604143514364999</v>
      </c>
      <c r="J270" s="12">
        <f>I270+E270*(G270*原始输入与口径!$B$5-H270/原始输入与口径!$B$5)</f>
        <v>32.445534818712822</v>
      </c>
      <c r="K270" s="12">
        <v>32.604143514364978</v>
      </c>
      <c r="L270" s="12">
        <v>32.445534818712801</v>
      </c>
      <c r="M270" s="19">
        <f t="shared" si="30"/>
        <v>0</v>
      </c>
      <c r="N270" s="12">
        <f>E270*(G270*原始输入与口径!$B$5+H270/原始输入与口径!$B$5)/原始输入与口径!$H$5</f>
        <v>4.4057971014492753E-4</v>
      </c>
      <c r="O270" s="12">
        <v>4.4057971014492748E-4</v>
      </c>
      <c r="P270" s="19">
        <f t="shared" si="31"/>
        <v>0</v>
      </c>
      <c r="Q270" s="12">
        <f t="shared" si="32"/>
        <v>0</v>
      </c>
      <c r="R270" s="12">
        <f t="shared" si="33"/>
        <v>0.14591999999999999</v>
      </c>
      <c r="S270" s="1">
        <v>109</v>
      </c>
      <c r="T270" s="14">
        <v>46235</v>
      </c>
    </row>
    <row r="271" spans="1:20" ht="21" customHeight="1" x14ac:dyDescent="0.45">
      <c r="A271" s="31">
        <v>46236.125253333332</v>
      </c>
      <c r="B271" s="31">
        <v>46236.135416666664</v>
      </c>
      <c r="C271" s="31">
        <v>46236.125</v>
      </c>
      <c r="D271" s="1" t="s">
        <v>102</v>
      </c>
      <c r="E271" s="12">
        <v>0.24392</v>
      </c>
      <c r="F271" s="12">
        <f>IF(D271="d",两日求解价格与决策!K117-两日求解价格与决策!N117,IF(D271="u",两日求解价格与决策!K117+两日求解价格与决策!M117,两日求解价格与决策!K117))</f>
        <v>0</v>
      </c>
      <c r="G271" s="12">
        <f t="shared" si="28"/>
        <v>0</v>
      </c>
      <c r="H271" s="12">
        <f t="shared" si="29"/>
        <v>0</v>
      </c>
      <c r="I271" s="12">
        <f t="shared" si="34"/>
        <v>32.445534818712822</v>
      </c>
      <c r="J271" s="12">
        <f>I271+E271*(G271*原始输入与口径!$B$5-H271/原始输入与口径!$B$5)</f>
        <v>32.445534818712822</v>
      </c>
      <c r="K271" s="12">
        <v>32.445534818712801</v>
      </c>
      <c r="L271" s="12">
        <v>32.445534818712801</v>
      </c>
      <c r="M271" s="19">
        <f t="shared" si="30"/>
        <v>0</v>
      </c>
      <c r="N271" s="12">
        <f>E271*(G271*原始输入与口径!$B$5+H271/原始输入与口径!$B$5)/原始输入与口径!$H$5</f>
        <v>0</v>
      </c>
      <c r="O271" s="12">
        <v>0</v>
      </c>
      <c r="P271" s="19">
        <f t="shared" si="31"/>
        <v>0</v>
      </c>
      <c r="Q271" s="12">
        <f t="shared" si="32"/>
        <v>0</v>
      </c>
      <c r="R271" s="12">
        <f t="shared" si="33"/>
        <v>0</v>
      </c>
      <c r="S271" s="1">
        <v>109</v>
      </c>
      <c r="T271" s="14">
        <v>46235</v>
      </c>
    </row>
    <row r="272" spans="1:20" ht="21" customHeight="1" x14ac:dyDescent="0.45">
      <c r="A272" s="31">
        <v>46236.135416666664</v>
      </c>
      <c r="B272" s="31">
        <v>46236.136809523807</v>
      </c>
      <c r="C272" s="31">
        <v>46236.135416666664</v>
      </c>
      <c r="D272" s="1" t="s">
        <v>101</v>
      </c>
      <c r="E272" s="12">
        <v>3.3428571428571426E-2</v>
      </c>
      <c r="F272" s="12">
        <f>IF(D272="d",两日求解价格与决策!K118-两日求解价格与决策!N118,IF(D272="u",两日求解价格与决策!K118+两日求解价格与决策!M118,两日求解价格与决策!K118))</f>
        <v>19.441214668848918</v>
      </c>
      <c r="G272" s="12">
        <f t="shared" si="28"/>
        <v>0</v>
      </c>
      <c r="H272" s="12">
        <f t="shared" si="29"/>
        <v>19.441214668848918</v>
      </c>
      <c r="I272" s="12">
        <f t="shared" si="34"/>
        <v>32.445534818712822</v>
      </c>
      <c r="J272" s="12">
        <f>I272+E272*(G272*原始输入与口径!$B$5-H272/原始输入与口径!$B$5)</f>
        <v>31.739130434782599</v>
      </c>
      <c r="K272" s="12">
        <v>32.445534818712801</v>
      </c>
      <c r="L272" s="12">
        <v>31.739130434782577</v>
      </c>
      <c r="M272" s="19">
        <f t="shared" si="30"/>
        <v>0</v>
      </c>
      <c r="N272" s="12">
        <f>E272*(G272*原始输入与口径!$B$5+H272/原始输入与口径!$B$5)/原始输入与口径!$H$5</f>
        <v>1.9622343998061797E-3</v>
      </c>
      <c r="O272" s="12">
        <v>1.9622343998061792E-3</v>
      </c>
      <c r="P272" s="19">
        <f t="shared" si="31"/>
        <v>0</v>
      </c>
      <c r="Q272" s="12">
        <f t="shared" si="32"/>
        <v>0</v>
      </c>
      <c r="R272" s="12">
        <f t="shared" si="33"/>
        <v>0.64989203321580657</v>
      </c>
      <c r="S272" s="1">
        <v>110</v>
      </c>
      <c r="T272" s="14">
        <v>46235</v>
      </c>
    </row>
    <row r="273" spans="1:20" ht="21" customHeight="1" x14ac:dyDescent="0.45">
      <c r="A273" s="31">
        <v>46236.136809523807</v>
      </c>
      <c r="B273" s="31">
        <v>46236.145833333328</v>
      </c>
      <c r="C273" s="31">
        <v>46236.135416666664</v>
      </c>
      <c r="D273" s="1" t="s">
        <v>102</v>
      </c>
      <c r="E273" s="12">
        <v>0.21657142857142858</v>
      </c>
      <c r="F273" s="12">
        <f>IF(D273="d",两日求解价格与决策!K118-两日求解价格与决策!N118,IF(D273="u",两日求解价格与决策!K118+两日求解价格与决策!M118,两日求解价格与决策!K118))</f>
        <v>-4.5587853311510811</v>
      </c>
      <c r="G273" s="12">
        <f t="shared" si="28"/>
        <v>4.5587853311510811</v>
      </c>
      <c r="H273" s="12">
        <f t="shared" si="29"/>
        <v>0</v>
      </c>
      <c r="I273" s="12">
        <f t="shared" si="34"/>
        <v>31.739130434782599</v>
      </c>
      <c r="J273" s="12">
        <f>I273+E273*(G273*原始输入与口径!$B$5-H273/原始输入与口径!$B$5)</f>
        <v>32.647448874363029</v>
      </c>
      <c r="K273" s="12">
        <v>31.739130434782577</v>
      </c>
      <c r="L273" s="12">
        <v>32.647448874363008</v>
      </c>
      <c r="M273" s="19">
        <f t="shared" si="30"/>
        <v>0</v>
      </c>
      <c r="N273" s="12">
        <f>E273*(G273*原始输入与口径!$B$5+H273/原始输入与口径!$B$5)/原始输入与口径!$H$5</f>
        <v>2.5231067766123159E-3</v>
      </c>
      <c r="O273" s="12">
        <v>2.5231067766123159E-3</v>
      </c>
      <c r="P273" s="19">
        <f t="shared" si="31"/>
        <v>0</v>
      </c>
      <c r="Q273" s="12">
        <f t="shared" si="32"/>
        <v>0.9873026517178628</v>
      </c>
      <c r="R273" s="12">
        <f t="shared" si="33"/>
        <v>0</v>
      </c>
      <c r="S273" s="1">
        <v>110</v>
      </c>
      <c r="T273" s="14">
        <v>46235</v>
      </c>
    </row>
    <row r="274" spans="1:20" ht="21" customHeight="1" x14ac:dyDescent="0.45">
      <c r="A274" s="31">
        <v>46236.145833333336</v>
      </c>
      <c r="B274" s="31">
        <v>46236.147531904768</v>
      </c>
      <c r="C274" s="31">
        <v>46236.145833333336</v>
      </c>
      <c r="D274" s="1" t="s">
        <v>101</v>
      </c>
      <c r="E274" s="12">
        <v>4.0765714285714287E-2</v>
      </c>
      <c r="F274" s="12">
        <f>IF(D274="d",两日求解价格与决策!K119-两日求解价格与决策!N119,IF(D274="u",两日求解价格与决策!K119+两日求解价格与决策!M119,两日求解价格与决策!K119))</f>
        <v>20.498916284335621</v>
      </c>
      <c r="G274" s="12">
        <f t="shared" si="28"/>
        <v>0</v>
      </c>
      <c r="H274" s="12">
        <f t="shared" si="29"/>
        <v>20.498916284335621</v>
      </c>
      <c r="I274" s="12">
        <f t="shared" si="34"/>
        <v>32.647448874363029</v>
      </c>
      <c r="J274" s="12">
        <f>I274+E274*(G274*原始输入与口径!$B$5-H274/原始输入与口径!$B$5)</f>
        <v>31.739130434782592</v>
      </c>
      <c r="K274" s="12">
        <v>32.647448874363008</v>
      </c>
      <c r="L274" s="12">
        <v>31.73913043478257</v>
      </c>
      <c r="M274" s="19">
        <f t="shared" si="30"/>
        <v>0</v>
      </c>
      <c r="N274" s="12">
        <f>E274*(G274*原始输入与口径!$B$5+H274/原始输入与口径!$B$5)/原始输入与口径!$H$5</f>
        <v>2.5231067766123241E-3</v>
      </c>
      <c r="O274" s="12">
        <v>2.5231067766123246E-3</v>
      </c>
      <c r="P274" s="19">
        <f t="shared" si="31"/>
        <v>0</v>
      </c>
      <c r="Q274" s="12">
        <f t="shared" si="32"/>
        <v>0</v>
      </c>
      <c r="R274" s="12">
        <f t="shared" si="33"/>
        <v>0.83565296441400183</v>
      </c>
      <c r="S274" s="1">
        <v>111</v>
      </c>
      <c r="T274" s="14">
        <v>46235</v>
      </c>
    </row>
    <row r="275" spans="1:20" ht="21" customHeight="1" x14ac:dyDescent="0.45">
      <c r="A275" s="31">
        <v>46236.147531904768</v>
      </c>
      <c r="B275" s="31">
        <v>46236.15625</v>
      </c>
      <c r="C275" s="31">
        <v>46236.145833333336</v>
      </c>
      <c r="D275" s="1" t="s">
        <v>102</v>
      </c>
      <c r="E275" s="12">
        <v>0.20923428571428571</v>
      </c>
      <c r="F275" s="12">
        <f>IF(D275="d",两日求解价格与决策!K119-两日求解价格与决策!N119,IF(D275="u",两日求解价格与决策!K119+两日求解价格与决策!M119,两日求解价格与决策!K119))</f>
        <v>-3.5010837156643779</v>
      </c>
      <c r="G275" s="12">
        <f t="shared" si="28"/>
        <v>3.5010837156643779</v>
      </c>
      <c r="H275" s="12">
        <f t="shared" si="29"/>
        <v>0</v>
      </c>
      <c r="I275" s="12">
        <f t="shared" si="34"/>
        <v>31.739130434782592</v>
      </c>
      <c r="J275" s="12">
        <f>I275+E275*(G275*原始输入与口径!$B$5-H275/原始输入与口径!$B$5)</f>
        <v>32.413073445217705</v>
      </c>
      <c r="K275" s="12">
        <v>31.73913043478257</v>
      </c>
      <c r="L275" s="12">
        <v>32.413073445217691</v>
      </c>
      <c r="M275" s="19">
        <f t="shared" si="30"/>
        <v>0</v>
      </c>
      <c r="N275" s="12">
        <f>E275*(G275*原始输入与口径!$B$5+H275/原始输入与口径!$B$5)/原始输入与口径!$H$5</f>
        <v>1.8720639178753254E-3</v>
      </c>
      <c r="O275" s="12">
        <v>1.8720639178753259E-3</v>
      </c>
      <c r="P275" s="19">
        <f t="shared" si="31"/>
        <v>0</v>
      </c>
      <c r="Q275" s="12">
        <f t="shared" si="32"/>
        <v>0.73254675047295348</v>
      </c>
      <c r="R275" s="12">
        <f t="shared" si="33"/>
        <v>0</v>
      </c>
      <c r="S275" s="1">
        <v>111</v>
      </c>
      <c r="T275" s="14">
        <v>46235</v>
      </c>
    </row>
    <row r="276" spans="1:20" ht="21" customHeight="1" x14ac:dyDescent="0.45">
      <c r="A276" s="31">
        <v>46236.15625</v>
      </c>
      <c r="B276" s="31">
        <v>46236.158827857143</v>
      </c>
      <c r="C276" s="31">
        <v>46236.15625</v>
      </c>
      <c r="D276" s="1" t="s">
        <v>101</v>
      </c>
      <c r="E276" s="12">
        <v>6.1868571428571426E-2</v>
      </c>
      <c r="F276" s="12">
        <f>IF(D276="d",两日求解价格与决策!K120-两日求解价格与决策!N120,IF(D276="u",两日求解价格与决策!K120+两日求解价格与决策!M120,两日求解价格与决策!K120))</f>
        <v>10.021688803921078</v>
      </c>
      <c r="G276" s="12">
        <f t="shared" si="28"/>
        <v>0</v>
      </c>
      <c r="H276" s="12">
        <f t="shared" si="29"/>
        <v>10.021688803921078</v>
      </c>
      <c r="I276" s="12">
        <f t="shared" si="34"/>
        <v>32.413073445217705</v>
      </c>
      <c r="J276" s="12">
        <f>I276+E276*(G276*原始输入与口径!$B$5-H276/原始输入与口径!$B$5)</f>
        <v>31.739130434782592</v>
      </c>
      <c r="K276" s="12">
        <v>32.413073445217691</v>
      </c>
      <c r="L276" s="12">
        <v>31.739130434782577</v>
      </c>
      <c r="M276" s="19">
        <f t="shared" si="30"/>
        <v>0</v>
      </c>
      <c r="N276" s="12">
        <f>E276*(G276*原始输入与口径!$B$5+H276/原始输入与口径!$B$5)/原始输入与口径!$H$5</f>
        <v>1.8720639178753189E-3</v>
      </c>
      <c r="O276" s="12">
        <v>1.8720639178753194E-3</v>
      </c>
      <c r="P276" s="19">
        <f t="shared" si="31"/>
        <v>0</v>
      </c>
      <c r="Q276" s="12">
        <f t="shared" si="32"/>
        <v>0</v>
      </c>
      <c r="R276" s="12">
        <f t="shared" si="33"/>
        <v>0.62002756960030581</v>
      </c>
      <c r="S276" s="1">
        <v>112</v>
      </c>
      <c r="T276" s="14">
        <v>46235</v>
      </c>
    </row>
    <row r="277" spans="1:20" ht="21" customHeight="1" x14ac:dyDescent="0.45">
      <c r="A277" s="31">
        <v>46236.158827857143</v>
      </c>
      <c r="B277" s="31">
        <v>46236.166666666664</v>
      </c>
      <c r="C277" s="31">
        <v>46236.15625</v>
      </c>
      <c r="D277" s="1" t="s">
        <v>102</v>
      </c>
      <c r="E277" s="12">
        <v>0.18813142857142856</v>
      </c>
      <c r="F277" s="12">
        <f>IF(D277="d",两日求解价格与决策!K120-两日求解价格与决策!N120,IF(D277="u",两日求解价格与决策!K120+两日求解价格与决策!M120,两日求解价格与决策!K120))</f>
        <v>-13.978311196078922</v>
      </c>
      <c r="G277" s="12">
        <f t="shared" si="28"/>
        <v>13.978311196078922</v>
      </c>
      <c r="H277" s="12">
        <f t="shared" si="29"/>
        <v>0</v>
      </c>
      <c r="I277" s="12">
        <f t="shared" si="34"/>
        <v>31.739130434782592</v>
      </c>
      <c r="J277" s="12">
        <f>I277+E277*(G277*原始输入与口径!$B$5-H277/原始输入与口径!$B$5)</f>
        <v>34.158509316770164</v>
      </c>
      <c r="K277" s="12">
        <v>31.739130434782577</v>
      </c>
      <c r="L277" s="12">
        <v>34.15850931677015</v>
      </c>
      <c r="M277" s="19">
        <f t="shared" si="30"/>
        <v>0</v>
      </c>
      <c r="N277" s="12">
        <f>E277*(G277*原始输入与口径!$B$5+H277/原始输入与口径!$B$5)/原始输入与口径!$H$5</f>
        <v>6.7204968944099344E-3</v>
      </c>
      <c r="O277" s="12">
        <v>6.7204968944099344E-3</v>
      </c>
      <c r="P277" s="19">
        <f t="shared" si="31"/>
        <v>0</v>
      </c>
      <c r="Q277" s="12">
        <f t="shared" si="32"/>
        <v>2.6297596543343218</v>
      </c>
      <c r="R277" s="12">
        <f t="shared" si="33"/>
        <v>0</v>
      </c>
      <c r="S277" s="1">
        <v>112</v>
      </c>
      <c r="T277" s="14">
        <v>46235</v>
      </c>
    </row>
    <row r="278" spans="1:20" ht="21" customHeight="1" x14ac:dyDescent="0.45">
      <c r="A278" s="31">
        <v>46236.166666666664</v>
      </c>
      <c r="B278" s="31">
        <v>46236.170530952375</v>
      </c>
      <c r="C278" s="31">
        <v>46236.166666666664</v>
      </c>
      <c r="D278" s="1" t="s">
        <v>101</v>
      </c>
      <c r="E278" s="12">
        <v>9.2742857142857141E-2</v>
      </c>
      <c r="F278" s="12">
        <f>IF(D278="d",两日求解价格与决策!K121-两日求解价格与决策!N121,IF(D278="u",两日求解价格与决策!K121+两日求解价格与决策!M121,两日求解价格与决策!K121))</f>
        <v>24</v>
      </c>
      <c r="G278" s="12">
        <f t="shared" si="28"/>
        <v>0</v>
      </c>
      <c r="H278" s="12">
        <f t="shared" si="29"/>
        <v>24</v>
      </c>
      <c r="I278" s="12">
        <f t="shared" si="34"/>
        <v>34.158509316770164</v>
      </c>
      <c r="J278" s="12">
        <f>I278+E278*(G278*原始输入与口径!$B$5-H278/原始输入与口径!$B$5)</f>
        <v>31.739130434782588</v>
      </c>
      <c r="K278" s="12">
        <v>34.15850931677015</v>
      </c>
      <c r="L278" s="12">
        <v>31.739130434782574</v>
      </c>
      <c r="M278" s="19">
        <f t="shared" si="30"/>
        <v>0</v>
      </c>
      <c r="N278" s="12">
        <f>E278*(G278*原始输入与口径!$B$5+H278/原始输入与口径!$B$5)/原始输入与口径!$H$5</f>
        <v>6.7204968944099379E-3</v>
      </c>
      <c r="O278" s="12">
        <v>6.7204968944099379E-3</v>
      </c>
      <c r="P278" s="19">
        <f t="shared" si="31"/>
        <v>0</v>
      </c>
      <c r="Q278" s="12">
        <f t="shared" si="32"/>
        <v>0</v>
      </c>
      <c r="R278" s="12">
        <f t="shared" si="33"/>
        <v>2.2258285714285715</v>
      </c>
      <c r="S278" s="1">
        <v>113</v>
      </c>
      <c r="T278" s="14">
        <v>46235</v>
      </c>
    </row>
    <row r="279" spans="1:20" ht="21" customHeight="1" x14ac:dyDescent="0.45">
      <c r="A279" s="31">
        <v>46236.170530952375</v>
      </c>
      <c r="B279" s="31">
        <v>46236.177083333328</v>
      </c>
      <c r="C279" s="31">
        <v>46236.166666666664</v>
      </c>
      <c r="D279" s="1" t="s">
        <v>102</v>
      </c>
      <c r="E279" s="12">
        <v>0.15725714285714287</v>
      </c>
      <c r="F279" s="12">
        <f>IF(D279="d",两日求解价格与决策!K121-两日求解价格与决策!N121,IF(D279="u",两日求解价格与决策!K121+两日求解价格与决策!M121,两日求解价格与决策!K121))</f>
        <v>0</v>
      </c>
      <c r="G279" s="12">
        <f t="shared" si="28"/>
        <v>0</v>
      </c>
      <c r="H279" s="12">
        <f t="shared" si="29"/>
        <v>0</v>
      </c>
      <c r="I279" s="12">
        <f t="shared" si="34"/>
        <v>31.739130434782588</v>
      </c>
      <c r="J279" s="12">
        <f>I279+E279*(G279*原始输入与口径!$B$5-H279/原始输入与口径!$B$5)</f>
        <v>31.739130434782588</v>
      </c>
      <c r="K279" s="12">
        <v>31.739130434782574</v>
      </c>
      <c r="L279" s="12">
        <v>31.739130434782574</v>
      </c>
      <c r="M279" s="19">
        <f t="shared" si="30"/>
        <v>0</v>
      </c>
      <c r="N279" s="12">
        <f>E279*(G279*原始输入与口径!$B$5+H279/原始输入与口径!$B$5)/原始输入与口径!$H$5</f>
        <v>0</v>
      </c>
      <c r="O279" s="12">
        <v>0</v>
      </c>
      <c r="P279" s="19">
        <f t="shared" si="31"/>
        <v>0</v>
      </c>
      <c r="Q279" s="12">
        <f t="shared" si="32"/>
        <v>0</v>
      </c>
      <c r="R279" s="12">
        <f t="shared" si="33"/>
        <v>0</v>
      </c>
      <c r="S279" s="1">
        <v>113</v>
      </c>
      <c r="T279" s="14">
        <v>46235</v>
      </c>
    </row>
    <row r="280" spans="1:20" ht="21" customHeight="1" x14ac:dyDescent="0.45">
      <c r="A280" s="31">
        <v>46236.177083333336</v>
      </c>
      <c r="B280" s="31">
        <v>46236.181215000004</v>
      </c>
      <c r="C280" s="31">
        <v>46236.177083333336</v>
      </c>
      <c r="D280" s="1" t="s">
        <v>101</v>
      </c>
      <c r="E280" s="12">
        <v>9.9160000000000012E-2</v>
      </c>
      <c r="F280" s="12">
        <f>IF(D280="d",两日求解价格与决策!K122-两日求解价格与决策!N122,IF(D280="u",两日求解价格与决策!K122+两日求解价格与决策!M122,两日求解价格与决策!K122))</f>
        <v>0</v>
      </c>
      <c r="G280" s="12">
        <f t="shared" si="28"/>
        <v>0</v>
      </c>
      <c r="H280" s="12">
        <f t="shared" si="29"/>
        <v>0</v>
      </c>
      <c r="I280" s="12">
        <f t="shared" si="34"/>
        <v>31.739130434782588</v>
      </c>
      <c r="J280" s="12">
        <f>I280+E280*(G280*原始输入与口径!$B$5-H280/原始输入与口径!$B$5)</f>
        <v>31.739130434782588</v>
      </c>
      <c r="K280" s="12">
        <v>31.739130434782574</v>
      </c>
      <c r="L280" s="12">
        <v>31.739130434782574</v>
      </c>
      <c r="M280" s="19">
        <f t="shared" si="30"/>
        <v>0</v>
      </c>
      <c r="N280" s="12">
        <f>E280*(G280*原始输入与口径!$B$5+H280/原始输入与口径!$B$5)/原始输入与口径!$H$5</f>
        <v>0</v>
      </c>
      <c r="O280" s="12">
        <v>0</v>
      </c>
      <c r="P280" s="19">
        <f t="shared" si="31"/>
        <v>0</v>
      </c>
      <c r="Q280" s="12">
        <f t="shared" si="32"/>
        <v>0</v>
      </c>
      <c r="R280" s="12">
        <f t="shared" si="33"/>
        <v>0</v>
      </c>
      <c r="S280" s="1">
        <v>114</v>
      </c>
      <c r="T280" s="14">
        <v>46235</v>
      </c>
    </row>
    <row r="281" spans="1:20" ht="21" customHeight="1" x14ac:dyDescent="0.45">
      <c r="A281" s="31">
        <v>46236.181215000004</v>
      </c>
      <c r="B281" s="31">
        <v>46236.1875</v>
      </c>
      <c r="C281" s="31">
        <v>46236.177083333336</v>
      </c>
      <c r="D281" s="1" t="s">
        <v>102</v>
      </c>
      <c r="E281" s="12">
        <v>0.15083999999999997</v>
      </c>
      <c r="F281" s="12">
        <f>IF(D281="d",两日求解价格与决策!K122-两日求解价格与决策!N122,IF(D281="u",两日求解价格与决策!K122+两日求解价格与决策!M122,两日求解价格与决策!K122))</f>
        <v>-24</v>
      </c>
      <c r="G281" s="12">
        <f t="shared" si="28"/>
        <v>24</v>
      </c>
      <c r="H281" s="12">
        <f t="shared" si="29"/>
        <v>0</v>
      </c>
      <c r="I281" s="12">
        <f t="shared" si="34"/>
        <v>31.739130434782588</v>
      </c>
      <c r="J281" s="12">
        <f>I281+E281*(G281*原始输入与口径!$B$5-H281/原始输入与口径!$B$5)</f>
        <v>35.069677634782586</v>
      </c>
      <c r="K281" s="12">
        <v>31.739130434782574</v>
      </c>
      <c r="L281" s="12">
        <v>35.069677634782572</v>
      </c>
      <c r="M281" s="19">
        <f t="shared" si="30"/>
        <v>0</v>
      </c>
      <c r="N281" s="12">
        <f>E281*(G281*原始输入与口径!$B$5+H281/原始输入与口径!$B$5)/原始输入与口径!$H$5</f>
        <v>9.2515199999999992E-3</v>
      </c>
      <c r="O281" s="12">
        <v>9.2515199999999975E-3</v>
      </c>
      <c r="P281" s="19">
        <f t="shared" si="31"/>
        <v>0</v>
      </c>
      <c r="Q281" s="12">
        <f t="shared" si="32"/>
        <v>3.6201599999999994</v>
      </c>
      <c r="R281" s="12">
        <f t="shared" si="33"/>
        <v>0</v>
      </c>
      <c r="S281" s="1">
        <v>114</v>
      </c>
      <c r="T281" s="14">
        <v>46235</v>
      </c>
    </row>
    <row r="282" spans="1:20" ht="21" customHeight="1" x14ac:dyDescent="0.45">
      <c r="A282" s="31">
        <v>46236.1875</v>
      </c>
      <c r="B282" s="31">
        <v>46236.192436190475</v>
      </c>
      <c r="C282" s="31">
        <v>46236.1875</v>
      </c>
      <c r="D282" s="1" t="s">
        <v>101</v>
      </c>
      <c r="E282" s="12">
        <v>0.11846857142857142</v>
      </c>
      <c r="F282" s="12">
        <f>IF(D282="d",两日求解价格与决策!K123-两日求解价格与决策!N123,IF(D282="u",两日求解价格与决策!K123+两日求解价格与决策!M123,两日求解价格与决策!K123))</f>
        <v>1.1262286632835803</v>
      </c>
      <c r="G282" s="12">
        <f t="shared" si="28"/>
        <v>0</v>
      </c>
      <c r="H282" s="12">
        <f t="shared" si="29"/>
        <v>1.1262286632835803</v>
      </c>
      <c r="I282" s="12">
        <f t="shared" si="34"/>
        <v>35.069677634782586</v>
      </c>
      <c r="J282" s="12">
        <f>I282+E282*(G282*原始输入与口径!$B$5-H282/原始输入与口径!$B$5)</f>
        <v>34.924652959955289</v>
      </c>
      <c r="K282" s="12">
        <v>35.069677634782572</v>
      </c>
      <c r="L282" s="12">
        <v>34.924652959955274</v>
      </c>
      <c r="M282" s="19">
        <f t="shared" si="30"/>
        <v>0</v>
      </c>
      <c r="N282" s="12">
        <f>E282*(G282*原始输入与口径!$B$5+H282/原始输入与口径!$B$5)/原始输入与口径!$H$5</f>
        <v>4.0284631896472019E-4</v>
      </c>
      <c r="O282" s="12">
        <v>4.0284631896472019E-4</v>
      </c>
      <c r="P282" s="19">
        <f t="shared" si="31"/>
        <v>0</v>
      </c>
      <c r="Q282" s="12">
        <f t="shared" si="32"/>
        <v>0</v>
      </c>
      <c r="R282" s="12">
        <f t="shared" si="33"/>
        <v>0.13342270084111535</v>
      </c>
      <c r="S282" s="1">
        <v>115</v>
      </c>
      <c r="T282" s="14">
        <v>46235</v>
      </c>
    </row>
    <row r="283" spans="1:20" ht="21" customHeight="1" x14ac:dyDescent="0.45">
      <c r="A283" s="31">
        <v>46236.192436190475</v>
      </c>
      <c r="B283" s="31">
        <v>46236.197916666664</v>
      </c>
      <c r="C283" s="31">
        <v>46236.1875</v>
      </c>
      <c r="D283" s="1" t="s">
        <v>102</v>
      </c>
      <c r="E283" s="12">
        <v>0.13153142857142858</v>
      </c>
      <c r="F283" s="12">
        <f>IF(D283="d",两日求解价格与决策!K123-两日求解价格与决策!N123,IF(D283="u",两日求解价格与决策!K123+两日求解价格与决策!M123,两日求解价格与决策!K123))</f>
        <v>-22.87377133671642</v>
      </c>
      <c r="G283" s="12">
        <f t="shared" si="28"/>
        <v>22.87377133671642</v>
      </c>
      <c r="H283" s="12">
        <f t="shared" si="29"/>
        <v>0</v>
      </c>
      <c r="I283" s="12">
        <f t="shared" si="34"/>
        <v>34.924652959955289</v>
      </c>
      <c r="J283" s="12">
        <f>I283+E283*(G283*原始输入与口径!$B$5-H283/原始输入与口径!$B$5)</f>
        <v>37.692583195031034</v>
      </c>
      <c r="K283" s="12">
        <v>34.924652959955274</v>
      </c>
      <c r="L283" s="12">
        <v>37.69258319503102</v>
      </c>
      <c r="M283" s="19">
        <f t="shared" si="30"/>
        <v>0</v>
      </c>
      <c r="N283" s="12">
        <f>E283*(G283*原始输入与口径!$B$5+H283/原始输入与口径!$B$5)/原始输入与口径!$H$5</f>
        <v>7.6886950974326268E-3</v>
      </c>
      <c r="O283" s="12">
        <v>7.6886950974326268E-3</v>
      </c>
      <c r="P283" s="19">
        <f t="shared" si="31"/>
        <v>0</v>
      </c>
      <c r="Q283" s="12">
        <f t="shared" si="32"/>
        <v>3.0086198207345061</v>
      </c>
      <c r="R283" s="12">
        <f t="shared" si="33"/>
        <v>0</v>
      </c>
      <c r="S283" s="1">
        <v>115</v>
      </c>
      <c r="T283" s="14">
        <v>46235</v>
      </c>
    </row>
    <row r="284" spans="1:20" ht="21" customHeight="1" x14ac:dyDescent="0.45">
      <c r="A284" s="31">
        <v>46236.197916666664</v>
      </c>
      <c r="B284" s="31">
        <v>46236.20127571428</v>
      </c>
      <c r="C284" s="31">
        <v>46236.197916666664</v>
      </c>
      <c r="D284" s="1" t="s">
        <v>101</v>
      </c>
      <c r="E284" s="12">
        <v>8.0617142857142859E-2</v>
      </c>
      <c r="F284" s="12">
        <f>IF(D284="d",两日求解价格与决策!K124-两日求解价格与决策!N124,IF(D284="u",两日求解价格与决策!K124+两日求解价格与决策!M124,两日求解价格与决策!K124))</f>
        <v>24</v>
      </c>
      <c r="G284" s="12">
        <f t="shared" si="28"/>
        <v>0</v>
      </c>
      <c r="H284" s="12">
        <f t="shared" si="29"/>
        <v>24</v>
      </c>
      <c r="I284" s="12">
        <f t="shared" si="34"/>
        <v>37.692583195031034</v>
      </c>
      <c r="J284" s="12">
        <f>I284+E284*(G284*原始输入与口径!$B$5-H284/原始输入与口径!$B$5)</f>
        <v>35.589527294409919</v>
      </c>
      <c r="K284" s="12">
        <v>37.69258319503102</v>
      </c>
      <c r="L284" s="12">
        <v>35.589527294409905</v>
      </c>
      <c r="M284" s="19">
        <f t="shared" si="30"/>
        <v>0</v>
      </c>
      <c r="N284" s="12">
        <f>E284*(G284*原始输入与口径!$B$5+H284/原始输入与口径!$B$5)/原始输入与口径!$H$5</f>
        <v>5.8418219461697724E-3</v>
      </c>
      <c r="O284" s="12">
        <v>5.8418219461697724E-3</v>
      </c>
      <c r="P284" s="19">
        <f t="shared" si="31"/>
        <v>0</v>
      </c>
      <c r="Q284" s="12">
        <f t="shared" si="32"/>
        <v>0</v>
      </c>
      <c r="R284" s="12">
        <f t="shared" si="33"/>
        <v>1.9348114285714286</v>
      </c>
      <c r="S284" s="1">
        <v>116</v>
      </c>
      <c r="T284" s="14">
        <v>46235</v>
      </c>
    </row>
    <row r="285" spans="1:20" ht="21" customHeight="1" x14ac:dyDescent="0.45">
      <c r="A285" s="31">
        <v>46236.20127571428</v>
      </c>
      <c r="B285" s="31">
        <v>46236.208333333328</v>
      </c>
      <c r="C285" s="31">
        <v>46236.197916666664</v>
      </c>
      <c r="D285" s="1" t="s">
        <v>102</v>
      </c>
      <c r="E285" s="12">
        <v>0.16938285714285714</v>
      </c>
      <c r="F285" s="12">
        <f>IF(D285="d",两日求解价格与决策!K124-两日求解价格与决策!N124,IF(D285="u",两日求解价格与决策!K124+两日求解价格与决策!M124,两日求解价格与决策!K124))</f>
        <v>0</v>
      </c>
      <c r="G285" s="12">
        <f t="shared" si="28"/>
        <v>0</v>
      </c>
      <c r="H285" s="12">
        <f t="shared" si="29"/>
        <v>0</v>
      </c>
      <c r="I285" s="12">
        <f t="shared" si="34"/>
        <v>35.589527294409919</v>
      </c>
      <c r="J285" s="12">
        <f>I285+E285*(G285*原始输入与口径!$B$5-H285/原始输入与口径!$B$5)</f>
        <v>35.589527294409919</v>
      </c>
      <c r="K285" s="12">
        <v>35.589527294409905</v>
      </c>
      <c r="L285" s="12">
        <v>35.589527294409905</v>
      </c>
      <c r="M285" s="19">
        <f t="shared" si="30"/>
        <v>0</v>
      </c>
      <c r="N285" s="12">
        <f>E285*(G285*原始输入与口径!$B$5+H285/原始输入与口径!$B$5)/原始输入与口径!$H$5</f>
        <v>0</v>
      </c>
      <c r="O285" s="12">
        <v>0</v>
      </c>
      <c r="P285" s="19">
        <f t="shared" si="31"/>
        <v>0</v>
      </c>
      <c r="Q285" s="12">
        <f t="shared" si="32"/>
        <v>0</v>
      </c>
      <c r="R285" s="12">
        <f t="shared" si="33"/>
        <v>0</v>
      </c>
      <c r="S285" s="1">
        <v>116</v>
      </c>
      <c r="T285" s="14">
        <v>46235</v>
      </c>
    </row>
    <row r="286" spans="1:20" ht="21" customHeight="1" x14ac:dyDescent="0.45">
      <c r="A286" s="31">
        <v>46236.208333333336</v>
      </c>
      <c r="B286" s="31">
        <v>46236.210065238098</v>
      </c>
      <c r="C286" s="31">
        <v>46236.208333333336</v>
      </c>
      <c r="D286" s="1" t="s">
        <v>101</v>
      </c>
      <c r="E286" s="12">
        <v>4.1565714285714289E-2</v>
      </c>
      <c r="F286" s="12">
        <f>IF(D286="d",两日求解价格与决策!K125-两日求解价格与决策!N125,IF(D286="u",两日求解价格与决策!K125+两日求解价格与决策!M125,两日求解价格与决策!K125))</f>
        <v>24</v>
      </c>
      <c r="G286" s="12">
        <f t="shared" si="28"/>
        <v>0</v>
      </c>
      <c r="H286" s="12">
        <f t="shared" si="29"/>
        <v>24</v>
      </c>
      <c r="I286" s="12">
        <f t="shared" si="34"/>
        <v>35.589527294409919</v>
      </c>
      <c r="J286" s="12">
        <f>I286+E286*(G286*原始输入与口径!$B$5-H286/原始输入与口径!$B$5)</f>
        <v>34.505204313043457</v>
      </c>
      <c r="K286" s="12">
        <v>35.589527294409905</v>
      </c>
      <c r="L286" s="12">
        <v>34.505204313043443</v>
      </c>
      <c r="M286" s="19">
        <f t="shared" si="30"/>
        <v>0</v>
      </c>
      <c r="N286" s="12">
        <f>E286*(G286*原始输入与口径!$B$5+H286/原始输入与口径!$B$5)/原始输入与口径!$H$5</f>
        <v>3.0120082815734989E-3</v>
      </c>
      <c r="O286" s="12">
        <v>3.0120082815734989E-3</v>
      </c>
      <c r="P286" s="19">
        <f t="shared" si="31"/>
        <v>0</v>
      </c>
      <c r="Q286" s="12">
        <f t="shared" si="32"/>
        <v>0</v>
      </c>
      <c r="R286" s="12">
        <f t="shared" si="33"/>
        <v>0.99757714285714294</v>
      </c>
      <c r="S286" s="1">
        <v>117</v>
      </c>
      <c r="T286" s="14">
        <v>46235</v>
      </c>
    </row>
    <row r="287" spans="1:20" ht="21" customHeight="1" x14ac:dyDescent="0.45">
      <c r="A287" s="31">
        <v>46236.210065238098</v>
      </c>
      <c r="B287" s="31">
        <v>46236.21875</v>
      </c>
      <c r="C287" s="31">
        <v>46236.208333333336</v>
      </c>
      <c r="D287" s="1" t="s">
        <v>102</v>
      </c>
      <c r="E287" s="12">
        <v>0.20843428571428571</v>
      </c>
      <c r="F287" s="12">
        <f>IF(D287="d",两日求解价格与决策!K125-两日求解价格与决策!N125,IF(D287="u",两日求解价格与决策!K125+两日求解价格与决策!M125,两日求解价格与决策!K125))</f>
        <v>0</v>
      </c>
      <c r="G287" s="12">
        <f t="shared" si="28"/>
        <v>0</v>
      </c>
      <c r="H287" s="12">
        <f t="shared" si="29"/>
        <v>0</v>
      </c>
      <c r="I287" s="12">
        <f t="shared" si="34"/>
        <v>34.505204313043457</v>
      </c>
      <c r="J287" s="12">
        <f>I287+E287*(G287*原始输入与口径!$B$5-H287/原始输入与口径!$B$5)</f>
        <v>34.505204313043457</v>
      </c>
      <c r="K287" s="12">
        <v>34.505204313043443</v>
      </c>
      <c r="L287" s="12">
        <v>34.505204313043443</v>
      </c>
      <c r="M287" s="19">
        <f t="shared" si="30"/>
        <v>0</v>
      </c>
      <c r="N287" s="12">
        <f>E287*(G287*原始输入与口径!$B$5+H287/原始输入与口径!$B$5)/原始输入与口径!$H$5</f>
        <v>0</v>
      </c>
      <c r="O287" s="12">
        <v>0</v>
      </c>
      <c r="P287" s="19">
        <f t="shared" si="31"/>
        <v>0</v>
      </c>
      <c r="Q287" s="12">
        <f t="shared" si="32"/>
        <v>0</v>
      </c>
      <c r="R287" s="12">
        <f t="shared" si="33"/>
        <v>0</v>
      </c>
      <c r="S287" s="1">
        <v>117</v>
      </c>
      <c r="T287" s="14">
        <v>46235</v>
      </c>
    </row>
    <row r="288" spans="1:20" ht="21" customHeight="1" x14ac:dyDescent="0.45">
      <c r="A288" s="31">
        <v>46236.21875</v>
      </c>
      <c r="B288" s="31">
        <v>46236.220082619046</v>
      </c>
      <c r="C288" s="31">
        <v>46236.21875</v>
      </c>
      <c r="D288" s="1" t="s">
        <v>101</v>
      </c>
      <c r="E288" s="12">
        <v>3.1982857142857146E-2</v>
      </c>
      <c r="F288" s="12">
        <f>IF(D288="d",两日求解价格与决策!K126-两日求解价格与决策!N126,IF(D288="u",两日求解价格与决策!K126+两日求解价格与决策!M126,两日求解价格与决策!K126))</f>
        <v>24</v>
      </c>
      <c r="G288" s="12">
        <f t="shared" si="28"/>
        <v>0</v>
      </c>
      <c r="H288" s="12">
        <f t="shared" si="29"/>
        <v>24</v>
      </c>
      <c r="I288" s="12">
        <f t="shared" si="34"/>
        <v>34.505204313043457</v>
      </c>
      <c r="J288" s="12">
        <f>I288+E288*(G288*原始输入与口径!$B$5-H288/原始输入与口径!$B$5)</f>
        <v>33.670868909316752</v>
      </c>
      <c r="K288" s="12">
        <v>34.505204313043443</v>
      </c>
      <c r="L288" s="12">
        <v>33.670868909316738</v>
      </c>
      <c r="M288" s="19">
        <f t="shared" si="30"/>
        <v>0</v>
      </c>
      <c r="N288" s="12">
        <f>E288*(G288*原始输入与口径!$B$5+H288/原始输入与口径!$B$5)/原始输入与口径!$H$5</f>
        <v>2.3175983436853004E-3</v>
      </c>
      <c r="O288" s="12">
        <v>2.3175983436853004E-3</v>
      </c>
      <c r="P288" s="19">
        <f t="shared" si="31"/>
        <v>0</v>
      </c>
      <c r="Q288" s="12">
        <f t="shared" si="32"/>
        <v>0</v>
      </c>
      <c r="R288" s="12">
        <f t="shared" si="33"/>
        <v>0.76758857142857151</v>
      </c>
      <c r="S288" s="1">
        <v>118</v>
      </c>
      <c r="T288" s="14">
        <v>46235</v>
      </c>
    </row>
    <row r="289" spans="1:20" ht="21" customHeight="1" x14ac:dyDescent="0.45">
      <c r="A289" s="31">
        <v>46236.220082619046</v>
      </c>
      <c r="B289" s="31">
        <v>46236.229166666664</v>
      </c>
      <c r="C289" s="31">
        <v>46236.21875</v>
      </c>
      <c r="D289" s="1" t="s">
        <v>102</v>
      </c>
      <c r="E289" s="12">
        <v>0.21801714285714285</v>
      </c>
      <c r="F289" s="12">
        <f>IF(D289="d",两日求解价格与决策!K126-两日求解价格与决策!N126,IF(D289="u",两日求解价格与决策!K126+两日求解价格与决策!M126,两日求解价格与决策!K126))</f>
        <v>0</v>
      </c>
      <c r="G289" s="12">
        <f t="shared" si="28"/>
        <v>0</v>
      </c>
      <c r="H289" s="12">
        <f t="shared" si="29"/>
        <v>0</v>
      </c>
      <c r="I289" s="12">
        <f t="shared" si="34"/>
        <v>33.670868909316752</v>
      </c>
      <c r="J289" s="12">
        <f>I289+E289*(G289*原始输入与口径!$B$5-H289/原始输入与口径!$B$5)</f>
        <v>33.670868909316752</v>
      </c>
      <c r="K289" s="12">
        <v>33.670868909316738</v>
      </c>
      <c r="L289" s="12">
        <v>33.670868909316738</v>
      </c>
      <c r="M289" s="19">
        <f t="shared" si="30"/>
        <v>0</v>
      </c>
      <c r="N289" s="12">
        <f>E289*(G289*原始输入与口径!$B$5+H289/原始输入与口径!$B$5)/原始输入与口径!$H$5</f>
        <v>0</v>
      </c>
      <c r="O289" s="12">
        <v>0</v>
      </c>
      <c r="P289" s="19">
        <f t="shared" si="31"/>
        <v>0</v>
      </c>
      <c r="Q289" s="12">
        <f t="shared" si="32"/>
        <v>0</v>
      </c>
      <c r="R289" s="12">
        <f t="shared" si="33"/>
        <v>0</v>
      </c>
      <c r="S289" s="1">
        <v>118</v>
      </c>
      <c r="T289" s="14">
        <v>46235</v>
      </c>
    </row>
    <row r="290" spans="1:20" ht="21" customHeight="1" x14ac:dyDescent="0.45">
      <c r="A290" s="31">
        <v>46236.229166666664</v>
      </c>
      <c r="B290" s="31">
        <v>46236.229923571424</v>
      </c>
      <c r="C290" s="31">
        <v>46236.229166666664</v>
      </c>
      <c r="D290" s="1" t="s">
        <v>101</v>
      </c>
      <c r="E290" s="12">
        <v>1.8165714285714285E-2</v>
      </c>
      <c r="F290" s="12">
        <f>IF(D290="d",两日求解价格与决策!K127-两日求解价格与决策!N127,IF(D290="u",两日求解价格与决策!K127+两日求解价格与决策!M127,两日求解价格与决策!K127))</f>
        <v>24</v>
      </c>
      <c r="G290" s="12">
        <f t="shared" si="28"/>
        <v>0</v>
      </c>
      <c r="H290" s="12">
        <f t="shared" si="29"/>
        <v>24</v>
      </c>
      <c r="I290" s="12">
        <f t="shared" si="34"/>
        <v>33.670868909316752</v>
      </c>
      <c r="J290" s="12">
        <f>I290+E290*(G290*原始输入与口径!$B$5-H290/原始输入与口径!$B$5)</f>
        <v>33.196980710558989</v>
      </c>
      <c r="K290" s="12">
        <v>33.670868909316738</v>
      </c>
      <c r="L290" s="12">
        <v>33.196980710558975</v>
      </c>
      <c r="M290" s="19">
        <f t="shared" si="30"/>
        <v>0</v>
      </c>
      <c r="N290" s="12">
        <f>E290*(G290*原始输入与口径!$B$5+H290/原始输入与口径!$B$5)/原始输入与口径!$H$5</f>
        <v>1.3163561076604555E-3</v>
      </c>
      <c r="O290" s="12">
        <v>1.3163561076604555E-3</v>
      </c>
      <c r="P290" s="19">
        <f t="shared" si="31"/>
        <v>0</v>
      </c>
      <c r="Q290" s="12">
        <f t="shared" si="32"/>
        <v>0</v>
      </c>
      <c r="R290" s="12">
        <f t="shared" si="33"/>
        <v>0.43597714285714284</v>
      </c>
      <c r="S290" s="1">
        <v>119</v>
      </c>
      <c r="T290" s="14">
        <v>46235</v>
      </c>
    </row>
    <row r="291" spans="1:20" ht="21" customHeight="1" x14ac:dyDescent="0.45">
      <c r="A291" s="31">
        <v>46236.229923571424</v>
      </c>
      <c r="B291" s="31">
        <v>46236.239583333328</v>
      </c>
      <c r="C291" s="31">
        <v>46236.229166666664</v>
      </c>
      <c r="D291" s="1" t="s">
        <v>102</v>
      </c>
      <c r="E291" s="12">
        <v>0.23183428571428571</v>
      </c>
      <c r="F291" s="12">
        <f>IF(D291="d",两日求解价格与决策!K127-两日求解价格与决策!N127,IF(D291="u",两日求解价格与决策!K127+两日求解价格与决策!M127,两日求解价格与决策!K127))</f>
        <v>0</v>
      </c>
      <c r="G291" s="12">
        <f t="shared" si="28"/>
        <v>0</v>
      </c>
      <c r="H291" s="12">
        <f t="shared" si="29"/>
        <v>0</v>
      </c>
      <c r="I291" s="12">
        <f t="shared" si="34"/>
        <v>33.196980710558989</v>
      </c>
      <c r="J291" s="12">
        <f>I291+E291*(G291*原始输入与口径!$B$5-H291/原始输入与口径!$B$5)</f>
        <v>33.196980710558989</v>
      </c>
      <c r="K291" s="12">
        <v>33.196980710558975</v>
      </c>
      <c r="L291" s="12">
        <v>33.196980710558975</v>
      </c>
      <c r="M291" s="19">
        <f t="shared" si="30"/>
        <v>0</v>
      </c>
      <c r="N291" s="12">
        <f>E291*(G291*原始输入与口径!$B$5+H291/原始输入与口径!$B$5)/原始输入与口径!$H$5</f>
        <v>0</v>
      </c>
      <c r="O291" s="12">
        <v>0</v>
      </c>
      <c r="P291" s="19">
        <f t="shared" si="31"/>
        <v>0</v>
      </c>
      <c r="Q291" s="12">
        <f t="shared" si="32"/>
        <v>0</v>
      </c>
      <c r="R291" s="12">
        <f t="shared" si="33"/>
        <v>0</v>
      </c>
      <c r="S291" s="1">
        <v>119</v>
      </c>
      <c r="T291" s="14">
        <v>46235</v>
      </c>
    </row>
    <row r="292" spans="1:20" ht="21" customHeight="1" x14ac:dyDescent="0.45">
      <c r="A292" s="31">
        <v>46236.239583333336</v>
      </c>
      <c r="B292" s="31">
        <v>46236.239591428573</v>
      </c>
      <c r="C292" s="31">
        <v>46236.239583333336</v>
      </c>
      <c r="D292" s="1" t="s">
        <v>103</v>
      </c>
      <c r="E292" s="12">
        <v>1.942857142857143E-4</v>
      </c>
      <c r="F292" s="12">
        <f>IF(D292="d",两日求解价格与决策!K128-两日求解价格与决策!N128,IF(D292="u",两日求解价格与决策!K128+两日求解价格与决策!M128,两日求解价格与决策!K128))</f>
        <v>-24</v>
      </c>
      <c r="G292" s="12">
        <f t="shared" si="28"/>
        <v>24</v>
      </c>
      <c r="H292" s="12">
        <f t="shared" si="29"/>
        <v>0</v>
      </c>
      <c r="I292" s="12">
        <f t="shared" si="34"/>
        <v>33.196980710558989</v>
      </c>
      <c r="J292" s="12">
        <f>I292+E292*(G292*原始输入与口径!$B$5-H292/原始输入与口径!$B$5)</f>
        <v>33.201270539130419</v>
      </c>
      <c r="K292" s="12">
        <v>33.196980710558975</v>
      </c>
      <c r="L292" s="12">
        <v>33.201270539130405</v>
      </c>
      <c r="M292" s="19">
        <f t="shared" si="30"/>
        <v>0</v>
      </c>
      <c r="N292" s="12">
        <f>E292*(G292*原始输入与口径!$B$5+H292/原始输入与口径!$B$5)/原始输入与口径!$H$5</f>
        <v>1.1916190476190477E-5</v>
      </c>
      <c r="O292" s="12">
        <v>1.1916190476190477E-5</v>
      </c>
      <c r="P292" s="19">
        <f t="shared" si="31"/>
        <v>0</v>
      </c>
      <c r="Q292" s="12">
        <f t="shared" si="32"/>
        <v>4.6628571428571431E-3</v>
      </c>
      <c r="R292" s="12">
        <f t="shared" si="33"/>
        <v>0</v>
      </c>
      <c r="S292" s="1">
        <v>120</v>
      </c>
      <c r="T292" s="14">
        <v>46235</v>
      </c>
    </row>
    <row r="293" spans="1:20" ht="21" customHeight="1" x14ac:dyDescent="0.45">
      <c r="A293" s="31">
        <v>46236.239591428573</v>
      </c>
      <c r="B293" s="31">
        <v>46236.23986761905</v>
      </c>
      <c r="C293" s="31">
        <v>46236.239583333336</v>
      </c>
      <c r="D293" s="1" t="s">
        <v>101</v>
      </c>
      <c r="E293" s="12">
        <v>6.6285714285714281E-3</v>
      </c>
      <c r="F293" s="12">
        <f>IF(D293="d",两日求解价格与决策!K128-两日求解价格与决策!N128,IF(D293="u",两日求解价格与决策!K128+两日求解价格与决策!M128,两日求解价格与决策!K128))</f>
        <v>24</v>
      </c>
      <c r="G293" s="12">
        <f t="shared" si="28"/>
        <v>0</v>
      </c>
      <c r="H293" s="12">
        <f t="shared" si="29"/>
        <v>24</v>
      </c>
      <c r="I293" s="12">
        <f t="shared" si="34"/>
        <v>33.201270539130419</v>
      </c>
      <c r="J293" s="12">
        <f>I293+E293*(G293*原始输入与口径!$B$5-H293/原始输入与口径!$B$5)</f>
        <v>33.028351284472038</v>
      </c>
      <c r="K293" s="12">
        <v>33.201270539130405</v>
      </c>
      <c r="L293" s="12">
        <v>33.028351284472024</v>
      </c>
      <c r="M293" s="19">
        <f t="shared" si="30"/>
        <v>0</v>
      </c>
      <c r="N293" s="12">
        <f>E293*(G293*原始输入与口径!$B$5+H293/原始输入与口径!$B$5)/原始输入与口径!$H$5</f>
        <v>4.8033126293995851E-4</v>
      </c>
      <c r="O293" s="12">
        <v>4.8033126293995851E-4</v>
      </c>
      <c r="P293" s="19">
        <f t="shared" si="31"/>
        <v>0</v>
      </c>
      <c r="Q293" s="12">
        <f t="shared" si="32"/>
        <v>0</v>
      </c>
      <c r="R293" s="12">
        <f t="shared" si="33"/>
        <v>0.15908571428571427</v>
      </c>
      <c r="S293" s="1">
        <v>120</v>
      </c>
      <c r="T293" s="14">
        <v>46235</v>
      </c>
    </row>
    <row r="294" spans="1:20" ht="21" customHeight="1" x14ac:dyDescent="0.45">
      <c r="A294" s="31">
        <v>46236.23986761905</v>
      </c>
      <c r="B294" s="31">
        <v>46236.25</v>
      </c>
      <c r="C294" s="31">
        <v>46236.239583333336</v>
      </c>
      <c r="D294" s="1" t="s">
        <v>102</v>
      </c>
      <c r="E294" s="12">
        <v>0.24317714285714287</v>
      </c>
      <c r="F294" s="12">
        <f>IF(D294="d",两日求解价格与决策!K128-两日求解价格与决策!N128,IF(D294="u",两日求解价格与决策!K128+两日求解价格与决策!M128,两日求解价格与决策!K128))</f>
        <v>0</v>
      </c>
      <c r="G294" s="12">
        <f t="shared" si="28"/>
        <v>0</v>
      </c>
      <c r="H294" s="12">
        <f t="shared" si="29"/>
        <v>0</v>
      </c>
      <c r="I294" s="12">
        <f t="shared" si="34"/>
        <v>33.028351284472038</v>
      </c>
      <c r="J294" s="12">
        <f>I294+E294*(G294*原始输入与口径!$B$5-H294/原始输入与口径!$B$5)</f>
        <v>33.028351284472038</v>
      </c>
      <c r="K294" s="12">
        <v>33.028351284472024</v>
      </c>
      <c r="L294" s="12">
        <v>33.028351284472024</v>
      </c>
      <c r="M294" s="19">
        <f t="shared" si="30"/>
        <v>0</v>
      </c>
      <c r="N294" s="12">
        <f>E294*(G294*原始输入与口径!$B$5+H294/原始输入与口径!$B$5)/原始输入与口径!$H$5</f>
        <v>0</v>
      </c>
      <c r="O294" s="12">
        <v>0</v>
      </c>
      <c r="P294" s="19">
        <f t="shared" si="31"/>
        <v>0</v>
      </c>
      <c r="Q294" s="12">
        <f t="shared" si="32"/>
        <v>0</v>
      </c>
      <c r="R294" s="12">
        <f t="shared" si="33"/>
        <v>0</v>
      </c>
      <c r="S294" s="1">
        <v>120</v>
      </c>
      <c r="T294" s="14">
        <v>46235</v>
      </c>
    </row>
    <row r="295" spans="1:20" ht="21" customHeight="1" x14ac:dyDescent="0.45">
      <c r="A295" s="31">
        <v>46236.25</v>
      </c>
      <c r="B295" s="31">
        <v>46236.250011904762</v>
      </c>
      <c r="C295" s="31">
        <v>46236.25</v>
      </c>
      <c r="D295" s="1" t="s">
        <v>103</v>
      </c>
      <c r="E295" s="12">
        <v>2.8571428571428574E-4</v>
      </c>
      <c r="F295" s="12">
        <f>IF(D295="d",两日求解价格与决策!K129-两日求解价格与决策!N129,IF(D295="u",两日求解价格与决策!K129+两日求解价格与决策!M129,两日求解价格与决策!K129))</f>
        <v>-24</v>
      </c>
      <c r="G295" s="12">
        <f t="shared" si="28"/>
        <v>24</v>
      </c>
      <c r="H295" s="12">
        <f t="shared" si="29"/>
        <v>0</v>
      </c>
      <c r="I295" s="12">
        <f t="shared" si="34"/>
        <v>33.028351284472038</v>
      </c>
      <c r="J295" s="12">
        <f>I295+E295*(G295*原始输入与口径!$B$5-H295/原始输入与口径!$B$5)</f>
        <v>33.034659855900607</v>
      </c>
      <c r="K295" s="12">
        <v>33.028351284472024</v>
      </c>
      <c r="L295" s="12">
        <v>33.034659855900593</v>
      </c>
      <c r="M295" s="19">
        <f t="shared" si="30"/>
        <v>0</v>
      </c>
      <c r="N295" s="12">
        <f>E295*(G295*原始输入与口径!$B$5+H295/原始输入与口径!$B$5)/原始输入与口径!$H$5</f>
        <v>1.7523809523809526E-5</v>
      </c>
      <c r="O295" s="12">
        <v>1.7523809523809526E-5</v>
      </c>
      <c r="P295" s="19">
        <f t="shared" si="31"/>
        <v>0</v>
      </c>
      <c r="Q295" s="12">
        <f t="shared" si="32"/>
        <v>6.8571428571428577E-3</v>
      </c>
      <c r="R295" s="12">
        <f t="shared" si="33"/>
        <v>0</v>
      </c>
      <c r="S295" s="1">
        <v>121</v>
      </c>
      <c r="T295" s="14">
        <v>46235</v>
      </c>
    </row>
    <row r="296" spans="1:20" ht="21" customHeight="1" x14ac:dyDescent="0.45">
      <c r="A296" s="31">
        <v>46236.250011904762</v>
      </c>
      <c r="B296" s="31">
        <v>46236.250572142861</v>
      </c>
      <c r="C296" s="31">
        <v>46236.25</v>
      </c>
      <c r="D296" s="1" t="s">
        <v>101</v>
      </c>
      <c r="E296" s="12">
        <v>1.3445714285714287E-2</v>
      </c>
      <c r="F296" s="12">
        <f>IF(D296="d",两日求解价格与决策!K129-两日求解价格与决策!N129,IF(D296="u",两日求解价格与决策!K129+两日求解价格与决策!M129,两日求解价格与决策!K129))</f>
        <v>24</v>
      </c>
      <c r="G296" s="12">
        <f t="shared" si="28"/>
        <v>0</v>
      </c>
      <c r="H296" s="12">
        <f t="shared" si="29"/>
        <v>24</v>
      </c>
      <c r="I296" s="12">
        <f t="shared" si="34"/>
        <v>33.034659855900607</v>
      </c>
      <c r="J296" s="12">
        <f>I296+E296*(G296*原始输入与口径!$B$5-H296/原始输入与口径!$B$5)</f>
        <v>32.683902091925454</v>
      </c>
      <c r="K296" s="12">
        <v>33.034659855900593</v>
      </c>
      <c r="L296" s="12">
        <v>32.683902091925439</v>
      </c>
      <c r="M296" s="19">
        <f t="shared" si="30"/>
        <v>0</v>
      </c>
      <c r="N296" s="12">
        <f>E296*(G296*原始输入与口径!$B$5+H296/原始输入与口径!$B$5)/原始输入与口径!$H$5</f>
        <v>9.7432712215320919E-4</v>
      </c>
      <c r="O296" s="12">
        <v>9.7432712215320919E-4</v>
      </c>
      <c r="P296" s="19">
        <f t="shared" si="31"/>
        <v>0</v>
      </c>
      <c r="Q296" s="12">
        <f t="shared" si="32"/>
        <v>0</v>
      </c>
      <c r="R296" s="12">
        <f t="shared" si="33"/>
        <v>0.3226971428571429</v>
      </c>
      <c r="S296" s="1">
        <v>121</v>
      </c>
      <c r="T296" s="14">
        <v>46235</v>
      </c>
    </row>
    <row r="297" spans="1:20" ht="21" customHeight="1" x14ac:dyDescent="0.45">
      <c r="A297" s="31">
        <v>46236.250572142861</v>
      </c>
      <c r="B297" s="31">
        <v>46236.260416666664</v>
      </c>
      <c r="C297" s="31">
        <v>46236.25</v>
      </c>
      <c r="D297" s="1" t="s">
        <v>102</v>
      </c>
      <c r="E297" s="12">
        <v>0.23626857142857144</v>
      </c>
      <c r="F297" s="12">
        <f>IF(D297="d",两日求解价格与决策!K129-两日求解价格与决策!N129,IF(D297="u",两日求解价格与决策!K129+两日求解价格与决策!M129,两日求解价格与决策!K129))</f>
        <v>0</v>
      </c>
      <c r="G297" s="12">
        <f t="shared" si="28"/>
        <v>0</v>
      </c>
      <c r="H297" s="12">
        <f t="shared" si="29"/>
        <v>0</v>
      </c>
      <c r="I297" s="12">
        <f t="shared" si="34"/>
        <v>32.683902091925454</v>
      </c>
      <c r="J297" s="12">
        <f>I297+E297*(G297*原始输入与口径!$B$5-H297/原始输入与口径!$B$5)</f>
        <v>32.683902091925454</v>
      </c>
      <c r="K297" s="12">
        <v>32.683902091925439</v>
      </c>
      <c r="L297" s="12">
        <v>32.683902091925439</v>
      </c>
      <c r="M297" s="19">
        <f t="shared" si="30"/>
        <v>0</v>
      </c>
      <c r="N297" s="12">
        <f>E297*(G297*原始输入与口径!$B$5+H297/原始输入与口径!$B$5)/原始输入与口径!$H$5</f>
        <v>0</v>
      </c>
      <c r="O297" s="12">
        <v>0</v>
      </c>
      <c r="P297" s="19">
        <f t="shared" si="31"/>
        <v>0</v>
      </c>
      <c r="Q297" s="12">
        <f t="shared" si="32"/>
        <v>0</v>
      </c>
      <c r="R297" s="12">
        <f t="shared" si="33"/>
        <v>0</v>
      </c>
      <c r="S297" s="1">
        <v>121</v>
      </c>
      <c r="T297" s="14">
        <v>46235</v>
      </c>
    </row>
    <row r="298" spans="1:20" ht="21" customHeight="1" x14ac:dyDescent="0.45">
      <c r="A298" s="31">
        <v>46236.260416666664</v>
      </c>
      <c r="B298" s="31">
        <v>46236.261096190472</v>
      </c>
      <c r="C298" s="31">
        <v>46236.260416666664</v>
      </c>
      <c r="D298" s="1" t="s">
        <v>101</v>
      </c>
      <c r="E298" s="12">
        <v>1.6308571428571429E-2</v>
      </c>
      <c r="F298" s="12">
        <f>IF(D298="d",两日求解价格与决策!K130-两日求解价格与决策!N130,IF(D298="u",两日求解价格与决策!K130+两日求解价格与决策!M130,两日求解价格与决策!K130))</f>
        <v>24</v>
      </c>
      <c r="G298" s="12">
        <f t="shared" si="28"/>
        <v>0</v>
      </c>
      <c r="H298" s="12">
        <f t="shared" si="29"/>
        <v>24</v>
      </c>
      <c r="I298" s="12">
        <f t="shared" si="34"/>
        <v>32.683902091925454</v>
      </c>
      <c r="J298" s="12">
        <f>I298+E298*(G298*原始输入与口径!$B$5-H298/原始输入与口径!$B$5)</f>
        <v>32.258461098136635</v>
      </c>
      <c r="K298" s="12">
        <v>32.683902091925439</v>
      </c>
      <c r="L298" s="12">
        <v>32.258461098136621</v>
      </c>
      <c r="M298" s="19">
        <f t="shared" si="30"/>
        <v>0</v>
      </c>
      <c r="N298" s="12">
        <f>E298*(G298*原始输入与口径!$B$5+H298/原始输入与口径!$B$5)/原始输入与口径!$H$5</f>
        <v>1.1817805383022774E-3</v>
      </c>
      <c r="O298" s="12">
        <v>1.1817805383022774E-3</v>
      </c>
      <c r="P298" s="19">
        <f t="shared" si="31"/>
        <v>0</v>
      </c>
      <c r="Q298" s="12">
        <f t="shared" si="32"/>
        <v>0</v>
      </c>
      <c r="R298" s="12">
        <f t="shared" si="33"/>
        <v>0.3914057142857143</v>
      </c>
      <c r="S298" s="1">
        <v>122</v>
      </c>
      <c r="T298" s="14">
        <v>46235</v>
      </c>
    </row>
    <row r="299" spans="1:20" ht="21" customHeight="1" x14ac:dyDescent="0.45">
      <c r="A299" s="31">
        <v>46236.261096190472</v>
      </c>
      <c r="B299" s="31">
        <v>46236.270833333328</v>
      </c>
      <c r="C299" s="31">
        <v>46236.260416666664</v>
      </c>
      <c r="D299" s="1" t="s">
        <v>102</v>
      </c>
      <c r="E299" s="12">
        <v>0.23369142857142858</v>
      </c>
      <c r="F299" s="12">
        <f>IF(D299="d",两日求解价格与决策!K130-两日求解价格与决策!N130,IF(D299="u",两日求解价格与决策!K130+两日求解价格与决策!M130,两日求解价格与决策!K130))</f>
        <v>0</v>
      </c>
      <c r="G299" s="12">
        <f t="shared" si="28"/>
        <v>0</v>
      </c>
      <c r="H299" s="12">
        <f t="shared" si="29"/>
        <v>0</v>
      </c>
      <c r="I299" s="12">
        <f t="shared" si="34"/>
        <v>32.258461098136635</v>
      </c>
      <c r="J299" s="12">
        <f>I299+E299*(G299*原始输入与口径!$B$5-H299/原始输入与口径!$B$5)</f>
        <v>32.258461098136635</v>
      </c>
      <c r="K299" s="12">
        <v>32.258461098136621</v>
      </c>
      <c r="L299" s="12">
        <v>32.258461098136621</v>
      </c>
      <c r="M299" s="19">
        <f t="shared" si="30"/>
        <v>0</v>
      </c>
      <c r="N299" s="12">
        <f>E299*(G299*原始输入与口径!$B$5+H299/原始输入与口径!$B$5)/原始输入与口径!$H$5</f>
        <v>0</v>
      </c>
      <c r="O299" s="12">
        <v>0</v>
      </c>
      <c r="P299" s="19">
        <f t="shared" si="31"/>
        <v>0</v>
      </c>
      <c r="Q299" s="12">
        <f t="shared" si="32"/>
        <v>0</v>
      </c>
      <c r="R299" s="12">
        <f t="shared" si="33"/>
        <v>0</v>
      </c>
      <c r="S299" s="1">
        <v>122</v>
      </c>
      <c r="T299" s="14">
        <v>46235</v>
      </c>
    </row>
    <row r="300" spans="1:20" ht="21" customHeight="1" x14ac:dyDescent="0.45">
      <c r="A300" s="31">
        <v>46236.270833333336</v>
      </c>
      <c r="B300" s="31">
        <v>46236.270836190481</v>
      </c>
      <c r="C300" s="31">
        <v>46236.270833333336</v>
      </c>
      <c r="D300" s="1" t="s">
        <v>103</v>
      </c>
      <c r="E300" s="12">
        <v>6.8571428571428567E-5</v>
      </c>
      <c r="F300" s="12">
        <f>IF(D300="d",两日求解价格与决策!K131-两日求解价格与决策!N131,IF(D300="u",两日求解价格与决策!K131+两日求解价格与决策!M131,两日求解价格与决策!K131))</f>
        <v>-24</v>
      </c>
      <c r="G300" s="12">
        <f t="shared" si="28"/>
        <v>24</v>
      </c>
      <c r="H300" s="12">
        <f t="shared" si="29"/>
        <v>0</v>
      </c>
      <c r="I300" s="12">
        <f t="shared" si="34"/>
        <v>32.258461098136635</v>
      </c>
      <c r="J300" s="12">
        <f>I300+E300*(G300*原始输入与口径!$B$5-H300/原始输入与口径!$B$5)</f>
        <v>32.259975155279491</v>
      </c>
      <c r="K300" s="12">
        <v>32.258461098136621</v>
      </c>
      <c r="L300" s="12">
        <v>32.259975155279477</v>
      </c>
      <c r="M300" s="19">
        <f t="shared" si="30"/>
        <v>0</v>
      </c>
      <c r="N300" s="12">
        <f>E300*(G300*原始输入与口径!$B$5+H300/原始输入与口径!$B$5)/原始输入与口径!$H$5</f>
        <v>4.2057142857142854E-6</v>
      </c>
      <c r="O300" s="12">
        <v>4.2057142857142854E-6</v>
      </c>
      <c r="P300" s="19">
        <f t="shared" si="31"/>
        <v>0</v>
      </c>
      <c r="Q300" s="12">
        <f t="shared" si="32"/>
        <v>1.6457142857142855E-3</v>
      </c>
      <c r="R300" s="12">
        <f t="shared" si="33"/>
        <v>0</v>
      </c>
      <c r="S300" s="1">
        <v>123</v>
      </c>
      <c r="T300" s="14">
        <v>46235</v>
      </c>
    </row>
    <row r="301" spans="1:20" ht="21" customHeight="1" x14ac:dyDescent="0.45">
      <c r="A301" s="31">
        <v>46236.270836190481</v>
      </c>
      <c r="B301" s="31">
        <v>46236.271668095244</v>
      </c>
      <c r="C301" s="31">
        <v>46236.270833333336</v>
      </c>
      <c r="D301" s="1" t="s">
        <v>101</v>
      </c>
      <c r="E301" s="12">
        <v>1.9965714285714288E-2</v>
      </c>
      <c r="F301" s="12">
        <f>IF(D301="d",两日求解价格与决策!K131-两日求解价格与决策!N131,IF(D301="u",两日求解价格与决策!K131+两日求解价格与决策!M131,两日求解价格与决策!K131))</f>
        <v>24</v>
      </c>
      <c r="G301" s="12">
        <f t="shared" si="28"/>
        <v>0</v>
      </c>
      <c r="H301" s="12">
        <f t="shared" si="29"/>
        <v>24</v>
      </c>
      <c r="I301" s="12">
        <f t="shared" si="34"/>
        <v>32.259975155279491</v>
      </c>
      <c r="J301" s="12">
        <f>I301+E301*(G301*原始输入与口径!$B$5-H301/原始输入与口径!$B$5)</f>
        <v>31.739130434782595</v>
      </c>
      <c r="K301" s="12">
        <v>32.259975155279477</v>
      </c>
      <c r="L301" s="12">
        <v>31.739130434782581</v>
      </c>
      <c r="M301" s="19">
        <f t="shared" si="30"/>
        <v>0</v>
      </c>
      <c r="N301" s="12">
        <f>E301*(G301*原始输入与口径!$B$5+H301/原始输入与口径!$B$5)/原始输入与口径!$H$5</f>
        <v>1.4467908902691512E-3</v>
      </c>
      <c r="O301" s="12">
        <v>1.4467908902691512E-3</v>
      </c>
      <c r="P301" s="19">
        <f t="shared" si="31"/>
        <v>0</v>
      </c>
      <c r="Q301" s="12">
        <f t="shared" si="32"/>
        <v>0</v>
      </c>
      <c r="R301" s="12">
        <f t="shared" si="33"/>
        <v>0.47917714285714291</v>
      </c>
      <c r="S301" s="1">
        <v>123</v>
      </c>
      <c r="T301" s="14">
        <v>46235</v>
      </c>
    </row>
    <row r="302" spans="1:20" ht="21" customHeight="1" x14ac:dyDescent="0.45">
      <c r="A302" s="31">
        <v>46236.271668095244</v>
      </c>
      <c r="B302" s="31">
        <v>46236.28125</v>
      </c>
      <c r="C302" s="31">
        <v>46236.270833333336</v>
      </c>
      <c r="D302" s="1" t="s">
        <v>102</v>
      </c>
      <c r="E302" s="12">
        <v>0.2299657142857143</v>
      </c>
      <c r="F302" s="12">
        <f>IF(D302="d",两日求解价格与决策!K131-两日求解价格与决策!N131,IF(D302="u",两日求解价格与决策!K131+两日求解价格与决策!M131,两日求解价格与决策!K131))</f>
        <v>0</v>
      </c>
      <c r="G302" s="12">
        <f t="shared" si="28"/>
        <v>0</v>
      </c>
      <c r="H302" s="12">
        <f t="shared" si="29"/>
        <v>0</v>
      </c>
      <c r="I302" s="12">
        <f t="shared" si="34"/>
        <v>31.739130434782595</v>
      </c>
      <c r="J302" s="12">
        <f>I302+E302*(G302*原始输入与口径!$B$5-H302/原始输入与口径!$B$5)</f>
        <v>31.739130434782595</v>
      </c>
      <c r="K302" s="12">
        <v>31.739130434782581</v>
      </c>
      <c r="L302" s="12">
        <v>31.739130434782581</v>
      </c>
      <c r="M302" s="19">
        <f t="shared" si="30"/>
        <v>0</v>
      </c>
      <c r="N302" s="12">
        <f>E302*(G302*原始输入与口径!$B$5+H302/原始输入与口径!$B$5)/原始输入与口径!$H$5</f>
        <v>0</v>
      </c>
      <c r="O302" s="12">
        <v>0</v>
      </c>
      <c r="P302" s="19">
        <f t="shared" si="31"/>
        <v>0</v>
      </c>
      <c r="Q302" s="12">
        <f t="shared" si="32"/>
        <v>0</v>
      </c>
      <c r="R302" s="12">
        <f t="shared" si="33"/>
        <v>0</v>
      </c>
      <c r="S302" s="1">
        <v>123</v>
      </c>
      <c r="T302" s="14">
        <v>46235</v>
      </c>
    </row>
    <row r="303" spans="1:20" ht="21" customHeight="1" x14ac:dyDescent="0.45">
      <c r="A303" s="31">
        <v>46236.28125</v>
      </c>
      <c r="B303" s="31">
        <v>46236.282223809525</v>
      </c>
      <c r="C303" s="31">
        <v>46236.28125</v>
      </c>
      <c r="D303" s="1" t="s">
        <v>103</v>
      </c>
      <c r="E303" s="12">
        <v>2.3371428571428571E-2</v>
      </c>
      <c r="F303" s="12">
        <f>IF(D303="d",两日求解价格与决策!K132-两日求解价格与决策!N132,IF(D303="u",两日求解价格与决策!K132+两日求解价格与决策!M132,两日求解价格与决策!K132))</f>
        <v>-24</v>
      </c>
      <c r="G303" s="12">
        <f t="shared" si="28"/>
        <v>24</v>
      </c>
      <c r="H303" s="12">
        <f t="shared" si="29"/>
        <v>0</v>
      </c>
      <c r="I303" s="12">
        <f t="shared" si="34"/>
        <v>31.739130434782595</v>
      </c>
      <c r="J303" s="12">
        <f>I303+E303*(G303*原始输入与口径!$B$5-H303/原始输入与口径!$B$5)</f>
        <v>32.255171577639736</v>
      </c>
      <c r="K303" s="12">
        <v>31.739130434782581</v>
      </c>
      <c r="L303" s="12">
        <v>32.255171577639722</v>
      </c>
      <c r="M303" s="19">
        <f t="shared" si="30"/>
        <v>0</v>
      </c>
      <c r="N303" s="12">
        <f>E303*(G303*原始输入与口径!$B$5+H303/原始输入与口径!$B$5)/原始输入与口径!$H$5</f>
        <v>1.4334476190476192E-3</v>
      </c>
      <c r="O303" s="12">
        <v>1.4334476190476192E-3</v>
      </c>
      <c r="P303" s="19">
        <f t="shared" si="31"/>
        <v>0</v>
      </c>
      <c r="Q303" s="12">
        <f t="shared" si="32"/>
        <v>0.5609142857142857</v>
      </c>
      <c r="R303" s="12">
        <f t="shared" si="33"/>
        <v>0</v>
      </c>
      <c r="S303" s="1">
        <v>124</v>
      </c>
      <c r="T303" s="14">
        <v>46235</v>
      </c>
    </row>
    <row r="304" spans="1:20" ht="21" customHeight="1" x14ac:dyDescent="0.45">
      <c r="A304" s="31">
        <v>46236.282223809525</v>
      </c>
      <c r="B304" s="31">
        <v>46236.282356904761</v>
      </c>
      <c r="C304" s="31">
        <v>46236.28125</v>
      </c>
      <c r="D304" s="1" t="s">
        <v>101</v>
      </c>
      <c r="E304" s="12">
        <v>3.1942857142857146E-3</v>
      </c>
      <c r="F304" s="12">
        <f>IF(D304="d",两日求解价格与决策!K132-两日求解价格与决策!N132,IF(D304="u",两日求解价格与决策!K132+两日求解价格与决策!M132,两日求解价格与决策!K132))</f>
        <v>24</v>
      </c>
      <c r="G304" s="12">
        <f t="shared" si="28"/>
        <v>0</v>
      </c>
      <c r="H304" s="12">
        <f t="shared" si="29"/>
        <v>24</v>
      </c>
      <c r="I304" s="12">
        <f t="shared" si="34"/>
        <v>32.255171577639736</v>
      </c>
      <c r="J304" s="12">
        <f>I304+E304*(G304*原始输入与口径!$B$5-H304/原始输入与口径!$B$5)</f>
        <v>32.17184238509315</v>
      </c>
      <c r="K304" s="12">
        <v>32.255171577639722</v>
      </c>
      <c r="L304" s="12">
        <v>32.171842385093136</v>
      </c>
      <c r="M304" s="19">
        <f t="shared" si="30"/>
        <v>0</v>
      </c>
      <c r="N304" s="12">
        <f>E304*(G304*原始输入与口径!$B$5+H304/原始输入与口径!$B$5)/原始输入与口径!$H$5</f>
        <v>2.3146997929606627E-4</v>
      </c>
      <c r="O304" s="12">
        <v>2.3146997929606624E-4</v>
      </c>
      <c r="P304" s="19">
        <f t="shared" si="31"/>
        <v>0</v>
      </c>
      <c r="Q304" s="12">
        <f t="shared" si="32"/>
        <v>0</v>
      </c>
      <c r="R304" s="12">
        <f t="shared" si="33"/>
        <v>7.6662857142857144E-2</v>
      </c>
      <c r="S304" s="1">
        <v>124</v>
      </c>
      <c r="T304" s="14">
        <v>46235</v>
      </c>
    </row>
    <row r="305" spans="1:20" ht="21" customHeight="1" x14ac:dyDescent="0.45">
      <c r="A305" s="31">
        <v>46236.282356904761</v>
      </c>
      <c r="B305" s="31">
        <v>46236.291666666664</v>
      </c>
      <c r="C305" s="31">
        <v>46236.28125</v>
      </c>
      <c r="D305" s="1" t="s">
        <v>102</v>
      </c>
      <c r="E305" s="12">
        <v>0.22343428571428572</v>
      </c>
      <c r="F305" s="12">
        <f>IF(D305="d",两日求解价格与决策!K132-两日求解价格与决策!N132,IF(D305="u",两日求解价格与决策!K132+两日求解价格与决策!M132,两日求解价格与决策!K132))</f>
        <v>0</v>
      </c>
      <c r="G305" s="12">
        <f t="shared" si="28"/>
        <v>0</v>
      </c>
      <c r="H305" s="12">
        <f t="shared" si="29"/>
        <v>0</v>
      </c>
      <c r="I305" s="12">
        <f t="shared" si="34"/>
        <v>32.17184238509315</v>
      </c>
      <c r="J305" s="12">
        <f>I305+E305*(G305*原始输入与口径!$B$5-H305/原始输入与口径!$B$5)</f>
        <v>32.17184238509315</v>
      </c>
      <c r="K305" s="12">
        <v>32.171842385093136</v>
      </c>
      <c r="L305" s="12">
        <v>32.171842385093136</v>
      </c>
      <c r="M305" s="19">
        <f t="shared" si="30"/>
        <v>0</v>
      </c>
      <c r="N305" s="12">
        <f>E305*(G305*原始输入与口径!$B$5+H305/原始输入与口径!$B$5)/原始输入与口径!$H$5</f>
        <v>0</v>
      </c>
      <c r="O305" s="12">
        <v>0</v>
      </c>
      <c r="P305" s="19">
        <f t="shared" si="31"/>
        <v>0</v>
      </c>
      <c r="Q305" s="12">
        <f t="shared" si="32"/>
        <v>0</v>
      </c>
      <c r="R305" s="12">
        <f t="shared" si="33"/>
        <v>0</v>
      </c>
      <c r="S305" s="1">
        <v>124</v>
      </c>
      <c r="T305" s="14">
        <v>46235</v>
      </c>
    </row>
    <row r="306" spans="1:20" ht="21" customHeight="1" x14ac:dyDescent="0.45">
      <c r="A306" s="31">
        <v>46236.291666666664</v>
      </c>
      <c r="B306" s="31">
        <v>46236.292666190471</v>
      </c>
      <c r="C306" s="31">
        <v>46236.291666666664</v>
      </c>
      <c r="D306" s="1" t="s">
        <v>103</v>
      </c>
      <c r="E306" s="12">
        <v>2.3988571428571432E-2</v>
      </c>
      <c r="F306" s="12">
        <f>IF(D306="d",两日求解价格与决策!K133-两日求解价格与决策!N133,IF(D306="u",两日求解价格与决策!K133+两日求解价格与决策!M133,两日求解价格与决策!K133))</f>
        <v>-20.405464704721172</v>
      </c>
      <c r="G306" s="12">
        <f t="shared" si="28"/>
        <v>20.405464704721172</v>
      </c>
      <c r="H306" s="12">
        <f t="shared" si="29"/>
        <v>0</v>
      </c>
      <c r="I306" s="12">
        <f t="shared" si="34"/>
        <v>32.17184238509315</v>
      </c>
      <c r="J306" s="12">
        <f>I306+E306*(G306*原始输入与口径!$B$5-H306/原始输入与口径!$B$5)</f>
        <v>32.622180496887353</v>
      </c>
      <c r="K306" s="12">
        <v>32.171842385093136</v>
      </c>
      <c r="L306" s="12">
        <v>32.622180496887339</v>
      </c>
      <c r="M306" s="19">
        <f t="shared" si="30"/>
        <v>0</v>
      </c>
      <c r="N306" s="12">
        <f>E306*(G306*原始输入与口径!$B$5+H306/原始输入与口径!$B$5)/原始输入与口径!$H$5</f>
        <v>1.2509391994283481E-3</v>
      </c>
      <c r="O306" s="12">
        <v>1.2509391994283481E-3</v>
      </c>
      <c r="P306" s="19">
        <f t="shared" si="31"/>
        <v>0</v>
      </c>
      <c r="Q306" s="12">
        <f t="shared" si="32"/>
        <v>0.48949794760239712</v>
      </c>
      <c r="R306" s="12">
        <f t="shared" si="33"/>
        <v>0</v>
      </c>
      <c r="S306" s="1">
        <v>125</v>
      </c>
      <c r="T306" s="14">
        <v>46235</v>
      </c>
    </row>
    <row r="307" spans="1:20" ht="21" customHeight="1" x14ac:dyDescent="0.45">
      <c r="A307" s="31">
        <v>46236.292666190471</v>
      </c>
      <c r="B307" s="31">
        <v>46236.302083333328</v>
      </c>
      <c r="C307" s="31">
        <v>46236.291666666664</v>
      </c>
      <c r="D307" s="1" t="s">
        <v>102</v>
      </c>
      <c r="E307" s="12">
        <v>0.22601142857142856</v>
      </c>
      <c r="F307" s="12">
        <f>IF(D307="d",两日求解价格与决策!K133-两日求解价格与决策!N133,IF(D307="u",两日求解价格与决策!K133+两日求解价格与决策!M133,两日求解价格与决策!K133))</f>
        <v>3.5945352952788281</v>
      </c>
      <c r="G307" s="12">
        <f t="shared" si="28"/>
        <v>0</v>
      </c>
      <c r="H307" s="12">
        <f t="shared" si="29"/>
        <v>3.5945352952788281</v>
      </c>
      <c r="I307" s="12">
        <f t="shared" si="34"/>
        <v>32.622180496887353</v>
      </c>
      <c r="J307" s="12">
        <f>I307+E307*(G307*原始输入与口径!$B$5-H307/原始输入与口径!$B$5)</f>
        <v>31.739130434782581</v>
      </c>
      <c r="K307" s="12">
        <v>32.622180496887339</v>
      </c>
      <c r="L307" s="12">
        <v>31.739130434782567</v>
      </c>
      <c r="M307" s="19">
        <f t="shared" si="30"/>
        <v>0</v>
      </c>
      <c r="N307" s="12">
        <f>E307*(G307*原始输入与口径!$B$5+H307/原始输入与口径!$B$5)/原始输入与口径!$H$5</f>
        <v>2.4529168391799207E-3</v>
      </c>
      <c r="O307" s="12">
        <v>2.4529168391799203E-3</v>
      </c>
      <c r="P307" s="19">
        <f t="shared" si="31"/>
        <v>0</v>
      </c>
      <c r="Q307" s="12">
        <f t="shared" si="32"/>
        <v>0</v>
      </c>
      <c r="R307" s="12">
        <f t="shared" si="33"/>
        <v>0.81240605713638969</v>
      </c>
      <c r="S307" s="1">
        <v>125</v>
      </c>
      <c r="T307" s="14">
        <v>46235</v>
      </c>
    </row>
    <row r="308" spans="1:20" ht="21" customHeight="1" x14ac:dyDescent="0.45">
      <c r="A308" s="31">
        <v>46236.302083333336</v>
      </c>
      <c r="B308" s="31">
        <v>46236.303635952383</v>
      </c>
      <c r="C308" s="31">
        <v>46236.302083333336</v>
      </c>
      <c r="D308" s="1" t="s">
        <v>103</v>
      </c>
      <c r="E308" s="12">
        <v>3.7262857142857139E-2</v>
      </c>
      <c r="F308" s="12">
        <f>IF(D308="d",两日求解价格与决策!K134-两日求解价格与决策!N134,IF(D308="u",两日求解价格与决策!K134+两日求解价格与决策!M134,两日求解价格与决策!K134))</f>
        <v>-20.902970289321697</v>
      </c>
      <c r="G308" s="12">
        <f t="shared" si="28"/>
        <v>20.902970289321697</v>
      </c>
      <c r="H308" s="12">
        <f t="shared" si="29"/>
        <v>0</v>
      </c>
      <c r="I308" s="12">
        <f t="shared" si="34"/>
        <v>31.739130434782581</v>
      </c>
      <c r="J308" s="12">
        <f>I308+E308*(G308*原始输入与口径!$B$5-H308/原始输入与口径!$B$5)</f>
        <v>32.455722478874769</v>
      </c>
      <c r="K308" s="12">
        <v>31.739130434782567</v>
      </c>
      <c r="L308" s="12">
        <v>32.455722478874755</v>
      </c>
      <c r="M308" s="19">
        <f t="shared" si="30"/>
        <v>0</v>
      </c>
      <c r="N308" s="12">
        <f>E308*(G308*原始输入与口径!$B$5+H308/原始输入与口径!$B$5)/原始输入与口径!$H$5</f>
        <v>1.990533455811642E-3</v>
      </c>
      <c r="O308" s="12">
        <v>1.990533455811642E-3</v>
      </c>
      <c r="P308" s="19">
        <f t="shared" si="31"/>
        <v>0</v>
      </c>
      <c r="Q308" s="12">
        <f t="shared" si="32"/>
        <v>0.77890439575238157</v>
      </c>
      <c r="R308" s="12">
        <f t="shared" si="33"/>
        <v>0</v>
      </c>
      <c r="S308" s="1">
        <v>126</v>
      </c>
      <c r="T308" s="14">
        <v>46235</v>
      </c>
    </row>
    <row r="309" spans="1:20" ht="21" customHeight="1" x14ac:dyDescent="0.45">
      <c r="A309" s="31">
        <v>46236.303635952383</v>
      </c>
      <c r="B309" s="31">
        <v>46236.303636666671</v>
      </c>
      <c r="C309" s="31">
        <v>46236.302083333336</v>
      </c>
      <c r="D309" s="1" t="s">
        <v>101</v>
      </c>
      <c r="E309" s="12">
        <v>1.7142857142857142E-5</v>
      </c>
      <c r="F309" s="12">
        <f>IF(D309="d",两日求解价格与决策!K134-两日求解价格与决策!N134,IF(D309="u",两日求解价格与决策!K134+两日求解价格与决策!M134,两日求解价格与决策!K134))</f>
        <v>27.097029710678303</v>
      </c>
      <c r="G309" s="12">
        <f t="shared" si="28"/>
        <v>0</v>
      </c>
      <c r="H309" s="12">
        <f t="shared" si="29"/>
        <v>27.097029710678303</v>
      </c>
      <c r="I309" s="12">
        <f t="shared" si="34"/>
        <v>32.455722478874769</v>
      </c>
      <c r="J309" s="12">
        <f>I309+E309*(G309*原始输入与口径!$B$5-H309/原始输入与口径!$B$5)</f>
        <v>32.455217565277678</v>
      </c>
      <c r="K309" s="12">
        <v>32.455722478874755</v>
      </c>
      <c r="L309" s="12">
        <v>32.455217565277664</v>
      </c>
      <c r="M309" s="19">
        <f t="shared" si="30"/>
        <v>0</v>
      </c>
      <c r="N309" s="12">
        <f>E309*(G309*原始输入与口径!$B$5+H309/原始输入与口径!$B$5)/原始输入与口径!$H$5</f>
        <v>1.4025377697038456E-6</v>
      </c>
      <c r="O309" s="12">
        <v>1.4025377697038456E-6</v>
      </c>
      <c r="P309" s="19">
        <f t="shared" si="31"/>
        <v>0</v>
      </c>
      <c r="Q309" s="12">
        <f t="shared" si="32"/>
        <v>0</v>
      </c>
      <c r="R309" s="12">
        <f t="shared" si="33"/>
        <v>4.6452050932591375E-4</v>
      </c>
      <c r="S309" s="1">
        <v>126</v>
      </c>
      <c r="T309" s="14">
        <v>46235</v>
      </c>
    </row>
    <row r="310" spans="1:20" ht="21" customHeight="1" x14ac:dyDescent="0.45">
      <c r="A310" s="31">
        <v>46236.303636666671</v>
      </c>
      <c r="B310" s="31">
        <v>46236.3125</v>
      </c>
      <c r="C310" s="31">
        <v>46236.302083333336</v>
      </c>
      <c r="D310" s="1" t="s">
        <v>102</v>
      </c>
      <c r="E310" s="12">
        <v>0.21272000000000002</v>
      </c>
      <c r="F310" s="12">
        <f>IF(D310="d",两日求解价格与决策!K134-两日求解价格与决策!N134,IF(D310="u",两日求解价格与决策!K134+两日求解价格与决策!M134,两日求解价格与决策!K134))</f>
        <v>3.097029710678302</v>
      </c>
      <c r="G310" s="12">
        <f t="shared" si="28"/>
        <v>0</v>
      </c>
      <c r="H310" s="12">
        <f t="shared" si="29"/>
        <v>3.097029710678302</v>
      </c>
      <c r="I310" s="12">
        <f t="shared" si="34"/>
        <v>32.455217565277678</v>
      </c>
      <c r="J310" s="12">
        <f>I310+E310*(G310*原始输入与口径!$B$5-H310/原始输入与口径!$B$5)</f>
        <v>31.739130434782581</v>
      </c>
      <c r="K310" s="12">
        <v>32.455217565277664</v>
      </c>
      <c r="L310" s="12">
        <v>31.739130434782567</v>
      </c>
      <c r="M310" s="19">
        <f t="shared" si="30"/>
        <v>0</v>
      </c>
      <c r="N310" s="12">
        <f>E310*(G310*原始输入与口径!$B$5+H310/原始输入与口径!$B$5)/原始输入与口径!$H$5</f>
        <v>1.9891309180419337E-3</v>
      </c>
      <c r="O310" s="12">
        <v>1.9891309180419337E-3</v>
      </c>
      <c r="P310" s="19">
        <f t="shared" si="31"/>
        <v>0</v>
      </c>
      <c r="Q310" s="12">
        <f t="shared" si="32"/>
        <v>0</v>
      </c>
      <c r="R310" s="12">
        <f t="shared" si="33"/>
        <v>0.65880016005548847</v>
      </c>
      <c r="S310" s="1">
        <v>126</v>
      </c>
      <c r="T310" s="14">
        <v>46235</v>
      </c>
    </row>
    <row r="311" spans="1:20" ht="21" customHeight="1" x14ac:dyDescent="0.45">
      <c r="A311" s="31">
        <v>46236.3125</v>
      </c>
      <c r="B311" s="31">
        <v>46236.313788333333</v>
      </c>
      <c r="C311" s="31">
        <v>46236.3125</v>
      </c>
      <c r="D311" s="1" t="s">
        <v>103</v>
      </c>
      <c r="E311" s="12">
        <v>3.0919999999999996E-2</v>
      </c>
      <c r="F311" s="12">
        <f>IF(D311="d",两日求解价格与决策!K135-两日求解价格与决策!N135,IF(D311="u",两日求解价格与决策!K135+两日求解价格与决策!M135,两日求解价格与决策!K135))</f>
        <v>-21.438961263994496</v>
      </c>
      <c r="G311" s="12">
        <f t="shared" si="28"/>
        <v>21.438961263994496</v>
      </c>
      <c r="H311" s="12">
        <f t="shared" si="29"/>
        <v>0</v>
      </c>
      <c r="I311" s="12">
        <f t="shared" si="34"/>
        <v>31.739130434782581</v>
      </c>
      <c r="J311" s="12">
        <f>I311+E311*(G311*原始输入与口径!$B$5-H311/原始输入与口径!$B$5)</f>
        <v>32.348991702482671</v>
      </c>
      <c r="K311" s="12">
        <v>31.739130434782567</v>
      </c>
      <c r="L311" s="12">
        <v>32.348991702482657</v>
      </c>
      <c r="M311" s="19">
        <f t="shared" si="30"/>
        <v>0</v>
      </c>
      <c r="N311" s="12">
        <f>E311*(G311*原始输入与口径!$B$5+H311/原始输入与口径!$B$5)/原始输入与口径!$H$5</f>
        <v>1.6940590769447029E-3</v>
      </c>
      <c r="O311" s="12">
        <v>1.6940590769447027E-3</v>
      </c>
      <c r="P311" s="19">
        <f t="shared" si="31"/>
        <v>0</v>
      </c>
      <c r="Q311" s="12">
        <f t="shared" si="32"/>
        <v>0.6628926822827097</v>
      </c>
      <c r="R311" s="12">
        <f t="shared" si="33"/>
        <v>0</v>
      </c>
      <c r="S311" s="1">
        <v>127</v>
      </c>
      <c r="T311" s="14">
        <v>46235</v>
      </c>
    </row>
    <row r="312" spans="1:20" ht="21" customHeight="1" x14ac:dyDescent="0.45">
      <c r="A312" s="31">
        <v>46236.313788333333</v>
      </c>
      <c r="B312" s="31">
        <v>46236.322916666664</v>
      </c>
      <c r="C312" s="31">
        <v>46236.3125</v>
      </c>
      <c r="D312" s="1" t="s">
        <v>102</v>
      </c>
      <c r="E312" s="12">
        <v>0.21908</v>
      </c>
      <c r="F312" s="12">
        <f>IF(D312="d",两日求解价格与决策!K135-两日求解价格与决策!N135,IF(D312="u",两日求解价格与决策!K135+两日求解价格与决策!M135,两日求解价格与决策!K135))</f>
        <v>2.5610387360055031</v>
      </c>
      <c r="G312" s="12">
        <f t="shared" si="28"/>
        <v>0</v>
      </c>
      <c r="H312" s="12">
        <f t="shared" si="29"/>
        <v>2.5610387360055031</v>
      </c>
      <c r="I312" s="12">
        <f t="shared" si="34"/>
        <v>32.348991702482671</v>
      </c>
      <c r="J312" s="12">
        <f>I312+E312*(G312*原始输入与口径!$B$5-H312/原始输入与口径!$B$5)</f>
        <v>31.739130434782577</v>
      </c>
      <c r="K312" s="12">
        <v>32.348991702482657</v>
      </c>
      <c r="L312" s="12">
        <v>31.739130434782563</v>
      </c>
      <c r="M312" s="19">
        <f t="shared" si="30"/>
        <v>0</v>
      </c>
      <c r="N312" s="12">
        <f>E312*(G312*原始输入与口径!$B$5+H312/原始输入与口径!$B$5)/原始输入与口径!$H$5</f>
        <v>1.6940590769447029E-3</v>
      </c>
      <c r="O312" s="12">
        <v>1.6940590769447029E-3</v>
      </c>
      <c r="P312" s="19">
        <f t="shared" si="31"/>
        <v>0</v>
      </c>
      <c r="Q312" s="12">
        <f t="shared" si="32"/>
        <v>0</v>
      </c>
      <c r="R312" s="12">
        <f t="shared" si="33"/>
        <v>0.56107236628408563</v>
      </c>
      <c r="S312" s="1">
        <v>127</v>
      </c>
      <c r="T312" s="14">
        <v>46235</v>
      </c>
    </row>
    <row r="313" spans="1:20" ht="21" customHeight="1" x14ac:dyDescent="0.45">
      <c r="A313" s="31">
        <v>46236.322916666664</v>
      </c>
      <c r="B313" s="31">
        <v>46236.324722857142</v>
      </c>
      <c r="C313" s="31">
        <v>46236.322916666664</v>
      </c>
      <c r="D313" s="1" t="s">
        <v>103</v>
      </c>
      <c r="E313" s="12">
        <v>4.3348571428571431E-2</v>
      </c>
      <c r="F313" s="12">
        <f>IF(D313="d",两日求解价格与决策!K136-两日求解价格与决策!N136,IF(D313="u",两日求解价格与决策!K136+两日求解价格与决策!M136,两日求解价格与决策!K136))</f>
        <v>-24</v>
      </c>
      <c r="G313" s="12">
        <f t="shared" si="28"/>
        <v>24</v>
      </c>
      <c r="H313" s="12">
        <f t="shared" si="29"/>
        <v>0</v>
      </c>
      <c r="I313" s="12">
        <f t="shared" si="34"/>
        <v>31.739130434782577</v>
      </c>
      <c r="J313" s="12">
        <f>I313+E313*(G313*原始输入与口径!$B$5-H313/原始输入与口径!$B$5)</f>
        <v>32.696266891925433</v>
      </c>
      <c r="K313" s="12">
        <v>31.739130434782563</v>
      </c>
      <c r="L313" s="12">
        <v>32.696266891925418</v>
      </c>
      <c r="M313" s="19">
        <f t="shared" si="30"/>
        <v>0</v>
      </c>
      <c r="N313" s="12">
        <f>E313*(G313*原始输入与口径!$B$5+H313/原始输入与口径!$B$5)/原始输入与口径!$H$5</f>
        <v>2.6587123809523813E-3</v>
      </c>
      <c r="O313" s="12">
        <v>2.6587123809523813E-3</v>
      </c>
      <c r="P313" s="19">
        <f t="shared" si="31"/>
        <v>0</v>
      </c>
      <c r="Q313" s="12">
        <f t="shared" si="32"/>
        <v>1.0403657142857143</v>
      </c>
      <c r="R313" s="12">
        <f t="shared" si="33"/>
        <v>0</v>
      </c>
      <c r="S313" s="1">
        <v>128</v>
      </c>
      <c r="T313" s="14">
        <v>46235</v>
      </c>
    </row>
    <row r="314" spans="1:20" ht="21" customHeight="1" x14ac:dyDescent="0.45">
      <c r="A314" s="31">
        <v>46236.324722857142</v>
      </c>
      <c r="B314" s="31">
        <v>46236.333333333328</v>
      </c>
      <c r="C314" s="31">
        <v>46236.322916666664</v>
      </c>
      <c r="D314" s="1" t="s">
        <v>102</v>
      </c>
      <c r="E314" s="12">
        <v>0.20665142857142857</v>
      </c>
      <c r="F314" s="12">
        <f>IF(D314="d",两日求解价格与决策!K136-两日求解价格与决策!N136,IF(D314="u",两日求解价格与决策!K136+两日求解价格与决策!M136,两日求解价格与决策!K136))</f>
        <v>0</v>
      </c>
      <c r="G314" s="12">
        <f t="shared" si="28"/>
        <v>0</v>
      </c>
      <c r="H314" s="12">
        <f t="shared" si="29"/>
        <v>0</v>
      </c>
      <c r="I314" s="12">
        <f t="shared" si="34"/>
        <v>32.696266891925433</v>
      </c>
      <c r="J314" s="12">
        <f>I314+E314*(G314*原始输入与口径!$B$5-H314/原始输入与口径!$B$5)</f>
        <v>32.696266891925433</v>
      </c>
      <c r="K314" s="12">
        <v>32.696266891925418</v>
      </c>
      <c r="L314" s="12">
        <v>32.696266891925418</v>
      </c>
      <c r="M314" s="19">
        <f t="shared" si="30"/>
        <v>0</v>
      </c>
      <c r="N314" s="12">
        <f>E314*(G314*原始输入与口径!$B$5+H314/原始输入与口径!$B$5)/原始输入与口径!$H$5</f>
        <v>0</v>
      </c>
      <c r="O314" s="12">
        <v>0</v>
      </c>
      <c r="P314" s="19">
        <f t="shared" si="31"/>
        <v>0</v>
      </c>
      <c r="Q314" s="12">
        <f t="shared" si="32"/>
        <v>0</v>
      </c>
      <c r="R314" s="12">
        <f t="shared" si="33"/>
        <v>0</v>
      </c>
      <c r="S314" s="1">
        <v>128</v>
      </c>
      <c r="T314" s="14">
        <v>46235</v>
      </c>
    </row>
    <row r="315" spans="1:20" ht="21" customHeight="1" x14ac:dyDescent="0.45">
      <c r="A315" s="31">
        <v>46236.333333333336</v>
      </c>
      <c r="B315" s="31">
        <v>46236.333914761904</v>
      </c>
      <c r="C315" s="31">
        <v>46236.333333333336</v>
      </c>
      <c r="D315" s="1" t="s">
        <v>103</v>
      </c>
      <c r="E315" s="12">
        <v>1.3954285714285716E-2</v>
      </c>
      <c r="F315" s="12">
        <f>IF(D315="d",两日求解价格与决策!K137-两日求解价格与决策!N137,IF(D315="u",两日求解价格与决策!K137+两日求解价格与决策!M137,两日求解价格与决策!K137))</f>
        <v>-19.304732933524917</v>
      </c>
      <c r="G315" s="12">
        <f t="shared" si="28"/>
        <v>19.304732933524917</v>
      </c>
      <c r="H315" s="12">
        <f t="shared" si="29"/>
        <v>0</v>
      </c>
      <c r="I315" s="12">
        <f t="shared" si="34"/>
        <v>32.696266891925433</v>
      </c>
      <c r="J315" s="12">
        <f>I315+E315*(G315*原始输入与口径!$B$5-H315/原始输入与口径!$B$5)</f>
        <v>32.944099950198428</v>
      </c>
      <c r="K315" s="12">
        <v>32.696266891925418</v>
      </c>
      <c r="L315" s="12">
        <v>32.944099950198414</v>
      </c>
      <c r="M315" s="19">
        <f t="shared" si="30"/>
        <v>0</v>
      </c>
      <c r="N315" s="12">
        <f>E315*(G315*原始输入与口径!$B$5+H315/原始输入与口径!$B$5)/原始输入与口径!$H$5</f>
        <v>6.8842516186943528E-4</v>
      </c>
      <c r="O315" s="12">
        <v>6.8842516186943549E-4</v>
      </c>
      <c r="P315" s="19">
        <f t="shared" si="31"/>
        <v>0</v>
      </c>
      <c r="Q315" s="12">
        <f t="shared" si="32"/>
        <v>0.26938375899238776</v>
      </c>
      <c r="R315" s="12">
        <f t="shared" si="33"/>
        <v>0</v>
      </c>
      <c r="S315" s="1">
        <v>129</v>
      </c>
      <c r="T315" s="14">
        <v>46235</v>
      </c>
    </row>
    <row r="316" spans="1:20" ht="21" customHeight="1" x14ac:dyDescent="0.45">
      <c r="A316" s="31">
        <v>46236.333914761904</v>
      </c>
      <c r="B316" s="31">
        <v>46236.333915238094</v>
      </c>
      <c r="C316" s="31">
        <v>46236.333333333336</v>
      </c>
      <c r="D316" s="1" t="s">
        <v>101</v>
      </c>
      <c r="E316" s="12">
        <v>1.1428571428571429E-5</v>
      </c>
      <c r="F316" s="12">
        <f>IF(D316="d",两日求解价格与决策!K137-两日求解价格与决策!N137,IF(D316="u",两日求解价格与决策!K137+两日求解价格与决策!M137,两日求解价格与决策!K137))</f>
        <v>28.695267066475083</v>
      </c>
      <c r="G316" s="12">
        <f t="shared" si="28"/>
        <v>0</v>
      </c>
      <c r="H316" s="12">
        <f t="shared" si="29"/>
        <v>28.695267066475083</v>
      </c>
      <c r="I316" s="12">
        <f t="shared" si="34"/>
        <v>32.944099950198428</v>
      </c>
      <c r="J316" s="12">
        <f>I316+E316*(G316*原始输入与口径!$B$5-H316/原始输入与口径!$B$5)</f>
        <v>32.943743487253499</v>
      </c>
      <c r="K316" s="12">
        <v>32.944099950198414</v>
      </c>
      <c r="L316" s="12">
        <v>32.943743487253485</v>
      </c>
      <c r="M316" s="19">
        <f t="shared" si="30"/>
        <v>0</v>
      </c>
      <c r="N316" s="12">
        <f>E316*(G316*原始输入与口径!$B$5+H316/原始输入与口径!$B$5)/原始输入与口径!$H$5</f>
        <v>9.901748470143231E-7</v>
      </c>
      <c r="O316" s="12">
        <v>9.901748470143231E-7</v>
      </c>
      <c r="P316" s="19">
        <f t="shared" si="31"/>
        <v>0</v>
      </c>
      <c r="Q316" s="12">
        <f t="shared" si="32"/>
        <v>0</v>
      </c>
      <c r="R316" s="12">
        <f t="shared" si="33"/>
        <v>3.2794590933114381E-4</v>
      </c>
      <c r="S316" s="1">
        <v>129</v>
      </c>
      <c r="T316" s="14">
        <v>46235</v>
      </c>
    </row>
    <row r="317" spans="1:20" ht="21" customHeight="1" x14ac:dyDescent="0.45">
      <c r="A317" s="31">
        <v>46236.333915238094</v>
      </c>
      <c r="B317" s="31">
        <v>46236.34375</v>
      </c>
      <c r="C317" s="31">
        <v>46236.333333333336</v>
      </c>
      <c r="D317" s="1" t="s">
        <v>102</v>
      </c>
      <c r="E317" s="12">
        <v>0.2360342857142857</v>
      </c>
      <c r="F317" s="12">
        <f>IF(D317="d",两日求解价格与决策!K137-两日求解价格与决策!N137,IF(D317="u",两日求解价格与决策!K137+两日求解价格与决策!M137,两日求解价格与决策!K137))</f>
        <v>4.6952670664750835</v>
      </c>
      <c r="G317" s="12">
        <f t="shared" si="28"/>
        <v>0</v>
      </c>
      <c r="H317" s="12">
        <f t="shared" si="29"/>
        <v>4.6952670664750835</v>
      </c>
      <c r="I317" s="12">
        <f t="shared" si="34"/>
        <v>32.943743487253499</v>
      </c>
      <c r="J317" s="12">
        <f>I317+E317*(G317*原始输入与口径!$B$5-H317/原始输入与口径!$B$5)</f>
        <v>31.73913043478257</v>
      </c>
      <c r="K317" s="12">
        <v>32.943743487253485</v>
      </c>
      <c r="L317" s="12">
        <v>31.739130434782556</v>
      </c>
      <c r="M317" s="19">
        <f t="shared" si="30"/>
        <v>0</v>
      </c>
      <c r="N317" s="12">
        <f>E317*(G317*原始输入与口径!$B$5+H317/原始输入与口径!$B$5)/原始输入与口径!$H$5</f>
        <v>3.3461473679748067E-3</v>
      </c>
      <c r="O317" s="12">
        <v>3.3461473679748063E-3</v>
      </c>
      <c r="P317" s="19">
        <f t="shared" si="31"/>
        <v>0</v>
      </c>
      <c r="Q317" s="12">
        <f t="shared" si="32"/>
        <v>0</v>
      </c>
      <c r="R317" s="12">
        <f t="shared" si="33"/>
        <v>1.1082440082732559</v>
      </c>
      <c r="S317" s="1">
        <v>129</v>
      </c>
      <c r="T317" s="14">
        <v>46235</v>
      </c>
    </row>
    <row r="318" spans="1:20" ht="21" customHeight="1" x14ac:dyDescent="0.45">
      <c r="A318" s="31">
        <v>46236.34375</v>
      </c>
      <c r="B318" s="31">
        <v>46236.346182380956</v>
      </c>
      <c r="C318" s="31">
        <v>46236.34375</v>
      </c>
      <c r="D318" s="1" t="s">
        <v>103</v>
      </c>
      <c r="E318" s="12">
        <v>5.8377142857142857E-2</v>
      </c>
      <c r="F318" s="12">
        <f>IF(D318="d",两日求解价格与决策!K138-两日求解价格与决策!N138,IF(D318="u",两日求解价格与决策!K138+两日求解价格与决策!M138,两日求解价格与决策!K138))</f>
        <v>-19.08014007806543</v>
      </c>
      <c r="G318" s="12">
        <f t="shared" si="28"/>
        <v>19.08014007806543</v>
      </c>
      <c r="H318" s="12">
        <f t="shared" si="29"/>
        <v>0</v>
      </c>
      <c r="I318" s="12">
        <f t="shared" si="34"/>
        <v>31.73913043478257</v>
      </c>
      <c r="J318" s="12">
        <f>I318+E318*(G318*原始输入与口径!$B$5-H318/原始输入与口径!$B$5)</f>
        <v>32.763866972808373</v>
      </c>
      <c r="K318" s="12">
        <v>31.739130434782556</v>
      </c>
      <c r="L318" s="12">
        <v>32.763866972808358</v>
      </c>
      <c r="M318" s="19">
        <f t="shared" si="30"/>
        <v>0</v>
      </c>
      <c r="N318" s="12">
        <f>E318*(G318*原始输入与口径!$B$5+H318/原始输入与口径!$B$5)/原始输入与口径!$H$5</f>
        <v>2.8464903834050023E-3</v>
      </c>
      <c r="O318" s="12">
        <v>2.8464903834050019E-3</v>
      </c>
      <c r="P318" s="19">
        <f t="shared" si="31"/>
        <v>0</v>
      </c>
      <c r="Q318" s="12">
        <f t="shared" si="32"/>
        <v>1.1138440630715225</v>
      </c>
      <c r="R318" s="12">
        <f t="shared" si="33"/>
        <v>0</v>
      </c>
      <c r="S318" s="1">
        <v>130</v>
      </c>
      <c r="T318" s="14">
        <v>46235</v>
      </c>
    </row>
    <row r="319" spans="1:20" ht="21" customHeight="1" x14ac:dyDescent="0.45">
      <c r="A319" s="31">
        <v>46236.346182380956</v>
      </c>
      <c r="B319" s="31">
        <v>46236.354166666664</v>
      </c>
      <c r="C319" s="31">
        <v>46236.34375</v>
      </c>
      <c r="D319" s="1" t="s">
        <v>102</v>
      </c>
      <c r="E319" s="12">
        <v>0.19162285714285715</v>
      </c>
      <c r="F319" s="12">
        <f>IF(D319="d",两日求解价格与决策!K138-两日求解价格与决策!N138,IF(D319="u",两日求解价格与决策!K138+两日求解价格与决策!M138,两日求解价格与决策!K138))</f>
        <v>4.9198599219345711</v>
      </c>
      <c r="G319" s="12">
        <f t="shared" si="28"/>
        <v>0</v>
      </c>
      <c r="H319" s="12">
        <f t="shared" si="29"/>
        <v>4.9198599219345711</v>
      </c>
      <c r="I319" s="12">
        <f t="shared" si="34"/>
        <v>32.763866972808373</v>
      </c>
      <c r="J319" s="12">
        <f>I319+E319*(G319*原始输入与口径!$B$5-H319/原始输入与口径!$B$5)</f>
        <v>31.739130434782574</v>
      </c>
      <c r="K319" s="12">
        <v>32.763866972808358</v>
      </c>
      <c r="L319" s="12">
        <v>31.73913043478256</v>
      </c>
      <c r="M319" s="19">
        <f t="shared" si="30"/>
        <v>0</v>
      </c>
      <c r="N319" s="12">
        <f>E319*(G319*原始输入与口径!$B$5+H319/原始输入与口径!$B$5)/原始输入与口径!$H$5</f>
        <v>2.8464903834050019E-3</v>
      </c>
      <c r="O319" s="12">
        <v>2.8464903834050019E-3</v>
      </c>
      <c r="P319" s="19">
        <f t="shared" si="31"/>
        <v>0</v>
      </c>
      <c r="Q319" s="12">
        <f t="shared" si="32"/>
        <v>0</v>
      </c>
      <c r="R319" s="12">
        <f t="shared" si="33"/>
        <v>0.94275761498373667</v>
      </c>
      <c r="S319" s="1">
        <v>130</v>
      </c>
      <c r="T319" s="14">
        <v>46235</v>
      </c>
    </row>
    <row r="320" spans="1:20" ht="21" customHeight="1" x14ac:dyDescent="0.45">
      <c r="A320" s="31">
        <v>46236.354166666664</v>
      </c>
      <c r="B320" s="31">
        <v>46236.35665190476</v>
      </c>
      <c r="C320" s="31">
        <v>46236.354166666664</v>
      </c>
      <c r="D320" s="1" t="s">
        <v>103</v>
      </c>
      <c r="E320" s="12">
        <v>5.9645714285714288E-2</v>
      </c>
      <c r="F320" s="12">
        <f>IF(D320="d",两日求解价格与决策!K139-两日求解价格与决策!N139,IF(D320="u",两日求解价格与决策!K139+两日求解价格与决策!M139,两日求解价格与决策!K139))</f>
        <v>-24</v>
      </c>
      <c r="G320" s="12">
        <f t="shared" si="28"/>
        <v>24</v>
      </c>
      <c r="H320" s="12">
        <f t="shared" si="29"/>
        <v>0</v>
      </c>
      <c r="I320" s="12">
        <f t="shared" si="34"/>
        <v>31.739130434782574</v>
      </c>
      <c r="J320" s="12">
        <f>I320+E320*(G320*原始输入与口径!$B$5-H320/原始输入与口径!$B$5)</f>
        <v>33.056107806211145</v>
      </c>
      <c r="K320" s="12">
        <v>31.73913043478256</v>
      </c>
      <c r="L320" s="12">
        <v>33.056107806211131</v>
      </c>
      <c r="M320" s="19">
        <f t="shared" si="30"/>
        <v>0</v>
      </c>
      <c r="N320" s="12">
        <f>E320*(G320*原始输入与口径!$B$5+H320/原始输入与口径!$B$5)/原始输入与口径!$H$5</f>
        <v>3.6582704761904763E-3</v>
      </c>
      <c r="O320" s="12">
        <v>3.6582704761904763E-3</v>
      </c>
      <c r="P320" s="19">
        <f t="shared" si="31"/>
        <v>0</v>
      </c>
      <c r="Q320" s="12">
        <f t="shared" si="32"/>
        <v>1.4314971428571428</v>
      </c>
      <c r="R320" s="12">
        <f t="shared" si="33"/>
        <v>0</v>
      </c>
      <c r="S320" s="1">
        <v>131</v>
      </c>
      <c r="T320" s="14">
        <v>46235</v>
      </c>
    </row>
    <row r="321" spans="1:20" ht="21" customHeight="1" x14ac:dyDescent="0.45">
      <c r="A321" s="31">
        <v>46236.35665190476</v>
      </c>
      <c r="B321" s="31">
        <v>46236.364583333328</v>
      </c>
      <c r="C321" s="31">
        <v>46236.354166666664</v>
      </c>
      <c r="D321" s="1" t="s">
        <v>102</v>
      </c>
      <c r="E321" s="12">
        <v>0.1903542857142857</v>
      </c>
      <c r="F321" s="12">
        <f>IF(D321="d",两日求解价格与决策!K139-两日求解价格与决策!N139,IF(D321="u",两日求解价格与决策!K139+两日求解价格与决策!M139,两日求解价格与决策!K139))</f>
        <v>0</v>
      </c>
      <c r="G321" s="12">
        <f t="shared" si="28"/>
        <v>0</v>
      </c>
      <c r="H321" s="12">
        <f t="shared" si="29"/>
        <v>0</v>
      </c>
      <c r="I321" s="12">
        <f t="shared" si="34"/>
        <v>33.056107806211145</v>
      </c>
      <c r="J321" s="12">
        <f>I321+E321*(G321*原始输入与口径!$B$5-H321/原始输入与口径!$B$5)</f>
        <v>33.056107806211145</v>
      </c>
      <c r="K321" s="12">
        <v>33.056107806211131</v>
      </c>
      <c r="L321" s="12">
        <v>33.056107806211131</v>
      </c>
      <c r="M321" s="19">
        <f t="shared" si="30"/>
        <v>0</v>
      </c>
      <c r="N321" s="12">
        <f>E321*(G321*原始输入与口径!$B$5+H321/原始输入与口径!$B$5)/原始输入与口径!$H$5</f>
        <v>0</v>
      </c>
      <c r="O321" s="12">
        <v>0</v>
      </c>
      <c r="P321" s="19">
        <f t="shared" si="31"/>
        <v>0</v>
      </c>
      <c r="Q321" s="12">
        <f t="shared" si="32"/>
        <v>0</v>
      </c>
      <c r="R321" s="12">
        <f t="shared" si="33"/>
        <v>0</v>
      </c>
      <c r="S321" s="1">
        <v>131</v>
      </c>
      <c r="T321" s="14">
        <v>46235</v>
      </c>
    </row>
    <row r="322" spans="1:20" ht="21" customHeight="1" x14ac:dyDescent="0.45">
      <c r="A322" s="31">
        <v>46236.364583333336</v>
      </c>
      <c r="B322" s="31">
        <v>46236.367203333335</v>
      </c>
      <c r="C322" s="31">
        <v>46236.364583333336</v>
      </c>
      <c r="D322" s="1" t="s">
        <v>103</v>
      </c>
      <c r="E322" s="12">
        <v>6.2879999999999991E-2</v>
      </c>
      <c r="F322" s="12">
        <f>IF(D322="d",两日求解价格与决策!K140-两日求解价格与决策!N140,IF(D322="u",两日求解价格与决策!K140+两日求解价格与决策!M140,两日求解价格与决策!K140))</f>
        <v>-59.901155517148268</v>
      </c>
      <c r="G322" s="12">
        <f t="shared" si="28"/>
        <v>59.901155517148268</v>
      </c>
      <c r="H322" s="12">
        <f t="shared" si="29"/>
        <v>0</v>
      </c>
      <c r="I322" s="12">
        <f t="shared" si="34"/>
        <v>33.056107806211145</v>
      </c>
      <c r="J322" s="12">
        <f>I322+E322*(G322*原始输入与口径!$B$5-H322/原始输入与口径!$B$5)</f>
        <v>36.521365692415962</v>
      </c>
      <c r="K322" s="12">
        <v>33.056107806211131</v>
      </c>
      <c r="L322" s="12">
        <v>36.521365692415948</v>
      </c>
      <c r="M322" s="19">
        <f t="shared" si="30"/>
        <v>0</v>
      </c>
      <c r="N322" s="12">
        <f>E322*(G322*原始输入与口径!$B$5+H322/原始输入与口径!$B$5)/原始输入与口径!$H$5</f>
        <v>9.6257163505689448E-3</v>
      </c>
      <c r="O322" s="12">
        <v>9.6257163505689448E-3</v>
      </c>
      <c r="P322" s="19">
        <f t="shared" si="31"/>
        <v>0</v>
      </c>
      <c r="Q322" s="12">
        <f t="shared" si="32"/>
        <v>3.7665846589182825</v>
      </c>
      <c r="R322" s="12">
        <f t="shared" si="33"/>
        <v>0</v>
      </c>
      <c r="S322" s="1">
        <v>132</v>
      </c>
      <c r="T322" s="14">
        <v>46235</v>
      </c>
    </row>
    <row r="323" spans="1:20" ht="21" customHeight="1" x14ac:dyDescent="0.45">
      <c r="A323" s="31">
        <v>46236.367203333335</v>
      </c>
      <c r="B323" s="31">
        <v>46236.375</v>
      </c>
      <c r="C323" s="31">
        <v>46236.364583333336</v>
      </c>
      <c r="D323" s="1" t="s">
        <v>102</v>
      </c>
      <c r="E323" s="12">
        <v>0.18712000000000001</v>
      </c>
      <c r="F323" s="12">
        <f>IF(D323="d",两日求解价格与决策!K140-两日求解价格与决策!N140,IF(D323="u",两日求解价格与决策!K140+两日求解价格与决策!M140,两日求解价格与决策!K140))</f>
        <v>-35.901155517148268</v>
      </c>
      <c r="G323" s="12">
        <f t="shared" si="28"/>
        <v>35.901155517148268</v>
      </c>
      <c r="H323" s="12">
        <f t="shared" si="29"/>
        <v>0</v>
      </c>
      <c r="I323" s="12">
        <f t="shared" si="34"/>
        <v>36.521365692415962</v>
      </c>
      <c r="J323" s="12">
        <f>I323+E323*(G323*原始输入与口径!$B$5-H323/原始输入与口径!$B$5)</f>
        <v>42.701763975155245</v>
      </c>
      <c r="K323" s="12">
        <v>36.521365692415948</v>
      </c>
      <c r="L323" s="12">
        <v>42.701763975155231</v>
      </c>
      <c r="M323" s="19">
        <f t="shared" si="30"/>
        <v>0</v>
      </c>
      <c r="N323" s="12">
        <f>E323*(G323*原始输入与口径!$B$5+H323/原始输入与口径!$B$5)/原始输入与口径!$H$5</f>
        <v>1.7167773007609115E-2</v>
      </c>
      <c r="O323" s="12">
        <v>1.7167773007609115E-2</v>
      </c>
      <c r="P323" s="19">
        <f t="shared" si="31"/>
        <v>0</v>
      </c>
      <c r="Q323" s="12">
        <f t="shared" si="32"/>
        <v>6.7178242203687839</v>
      </c>
      <c r="R323" s="12">
        <f t="shared" si="33"/>
        <v>0</v>
      </c>
      <c r="S323" s="1">
        <v>132</v>
      </c>
      <c r="T323" s="14">
        <v>46235</v>
      </c>
    </row>
    <row r="324" spans="1:20" ht="21" customHeight="1" x14ac:dyDescent="0.45">
      <c r="A324" s="31">
        <v>46236.375</v>
      </c>
      <c r="B324" s="31">
        <v>46236.375735952381</v>
      </c>
      <c r="C324" s="31">
        <v>46236.375</v>
      </c>
      <c r="D324" s="1" t="s">
        <v>103</v>
      </c>
      <c r="E324" s="12">
        <v>1.7662857142857143E-2</v>
      </c>
      <c r="F324" s="12">
        <f>IF(D324="d",两日求解价格与决策!K141-两日求解价格与决策!N141,IF(D324="u",两日求解价格与决策!K141+两日求解价格与决策!M141,两日求解价格与决策!K141))</f>
        <v>12</v>
      </c>
      <c r="G324" s="12">
        <f t="shared" si="28"/>
        <v>0</v>
      </c>
      <c r="H324" s="12">
        <f t="shared" si="29"/>
        <v>12</v>
      </c>
      <c r="I324" s="12">
        <f t="shared" si="34"/>
        <v>42.701763975155245</v>
      </c>
      <c r="J324" s="12">
        <f>I324+E324*(G324*原始输入与口径!$B$5-H324/原始输入与口径!$B$5)</f>
        <v>42.47137888198754</v>
      </c>
      <c r="K324" s="12">
        <v>42.701763975155231</v>
      </c>
      <c r="L324" s="12">
        <v>42.471378881987526</v>
      </c>
      <c r="M324" s="19">
        <f t="shared" si="30"/>
        <v>0</v>
      </c>
      <c r="N324" s="12">
        <f>E324*(G324*原始输入与口径!$B$5+H324/原始输入与口径!$B$5)/原始输入与口径!$H$5</f>
        <v>6.3995859213250518E-4</v>
      </c>
      <c r="O324" s="12">
        <v>6.3995859213250507E-4</v>
      </c>
      <c r="P324" s="19">
        <f t="shared" si="31"/>
        <v>0</v>
      </c>
      <c r="Q324" s="12">
        <f t="shared" si="32"/>
        <v>0</v>
      </c>
      <c r="R324" s="12">
        <f t="shared" si="33"/>
        <v>0.21195428571428571</v>
      </c>
      <c r="S324" s="1">
        <v>133</v>
      </c>
      <c r="T324" s="14">
        <v>46235</v>
      </c>
    </row>
    <row r="325" spans="1:20" ht="21" customHeight="1" x14ac:dyDescent="0.45">
      <c r="A325" s="31">
        <v>46236.375735952381</v>
      </c>
      <c r="B325" s="31">
        <v>46236.376543333332</v>
      </c>
      <c r="C325" s="31">
        <v>46236.375</v>
      </c>
      <c r="D325" s="1" t="s">
        <v>101</v>
      </c>
      <c r="E325" s="12">
        <v>1.9377142857142857E-2</v>
      </c>
      <c r="F325" s="12">
        <f>IF(D325="d",两日求解价格与决策!K141-两日求解价格与决策!N141,IF(D325="u",两日求解价格与决策!K141+两日求解价格与决策!M141,两日求解价格与决策!K141))</f>
        <v>60</v>
      </c>
      <c r="G325" s="12">
        <f t="shared" si="28"/>
        <v>0</v>
      </c>
      <c r="H325" s="12">
        <f t="shared" si="29"/>
        <v>60</v>
      </c>
      <c r="I325" s="12">
        <f t="shared" si="34"/>
        <v>42.47137888198754</v>
      </c>
      <c r="J325" s="12">
        <f>I325+E325*(G325*原始输入与口径!$B$5-H325/原始输入与口径!$B$5)</f>
        <v>41.207652173913004</v>
      </c>
      <c r="K325" s="12">
        <v>42.471378881987526</v>
      </c>
      <c r="L325" s="12">
        <v>41.20765217391299</v>
      </c>
      <c r="M325" s="19">
        <f t="shared" si="30"/>
        <v>0</v>
      </c>
      <c r="N325" s="12">
        <f>E325*(G325*原始输入与口径!$B$5+H325/原始输入与口径!$B$5)/原始输入与口径!$H$5</f>
        <v>3.5103519668737062E-3</v>
      </c>
      <c r="O325" s="12">
        <v>3.5103519668737058E-3</v>
      </c>
      <c r="P325" s="19">
        <f t="shared" si="31"/>
        <v>0</v>
      </c>
      <c r="Q325" s="12">
        <f t="shared" si="32"/>
        <v>0</v>
      </c>
      <c r="R325" s="12">
        <f t="shared" si="33"/>
        <v>1.1626285714285713</v>
      </c>
      <c r="S325" s="1">
        <v>133</v>
      </c>
      <c r="T325" s="14">
        <v>46235</v>
      </c>
    </row>
    <row r="326" spans="1:20" ht="21" customHeight="1" x14ac:dyDescent="0.45">
      <c r="A326" s="31">
        <v>46236.376543333332</v>
      </c>
      <c r="B326" s="31">
        <v>46236.385416666664</v>
      </c>
      <c r="C326" s="31">
        <v>46236.375</v>
      </c>
      <c r="D326" s="1" t="s">
        <v>102</v>
      </c>
      <c r="E326" s="12">
        <v>0.21295999999999998</v>
      </c>
      <c r="F326" s="12">
        <f>IF(D326="d",两日求解价格与决策!K141-两日求解价格与决策!N141,IF(D326="u",两日求解价格与决策!K141+两日求解价格与决策!M141,两日求解价格与决策!K141))</f>
        <v>36</v>
      </c>
      <c r="G326" s="12">
        <f t="shared" si="28"/>
        <v>0</v>
      </c>
      <c r="H326" s="12">
        <f t="shared" si="29"/>
        <v>36</v>
      </c>
      <c r="I326" s="12">
        <f t="shared" si="34"/>
        <v>41.207652173913004</v>
      </c>
      <c r="J326" s="12">
        <f>I326+E326*(G326*原始输入与口径!$B$5-H326/原始输入与口径!$B$5)</f>
        <v>32.87443478260866</v>
      </c>
      <c r="K326" s="12">
        <v>41.20765217391299</v>
      </c>
      <c r="L326" s="12">
        <v>32.874434782608645</v>
      </c>
      <c r="M326" s="19">
        <f t="shared" si="30"/>
        <v>0</v>
      </c>
      <c r="N326" s="12">
        <f>E326*(G326*原始输入与口径!$B$5+H326/原始输入与口径!$B$5)/原始输入与口径!$H$5</f>
        <v>2.3147826086956518E-2</v>
      </c>
      <c r="O326" s="12">
        <v>2.3147826086956518E-2</v>
      </c>
      <c r="P326" s="19">
        <f t="shared" si="31"/>
        <v>0</v>
      </c>
      <c r="Q326" s="12">
        <f t="shared" si="32"/>
        <v>0</v>
      </c>
      <c r="R326" s="12">
        <f t="shared" si="33"/>
        <v>7.6665599999999996</v>
      </c>
      <c r="S326" s="1">
        <v>133</v>
      </c>
      <c r="T326" s="14">
        <v>46235</v>
      </c>
    </row>
    <row r="327" spans="1:20" ht="21" customHeight="1" x14ac:dyDescent="0.45">
      <c r="A327" s="31">
        <v>46236.385416666664</v>
      </c>
      <c r="B327" s="31">
        <v>46236.386083571429</v>
      </c>
      <c r="C327" s="31">
        <v>46236.385416666664</v>
      </c>
      <c r="D327" s="1" t="s">
        <v>101</v>
      </c>
      <c r="E327" s="12">
        <v>1.6005714285714286E-2</v>
      </c>
      <c r="F327" s="12">
        <f>IF(D327="d",两日求解价格与决策!K142-两日求解价格与决策!N142,IF(D327="u",两日求解价格与决策!K142+两日求解价格与决策!M142,两日求解价格与决策!K142))</f>
        <v>24</v>
      </c>
      <c r="G327" s="12">
        <f t="shared" si="28"/>
        <v>0</v>
      </c>
      <c r="H327" s="12">
        <f t="shared" si="29"/>
        <v>24</v>
      </c>
      <c r="I327" s="12">
        <f t="shared" si="34"/>
        <v>32.87443478260866</v>
      </c>
      <c r="J327" s="12">
        <f>I327+E327*(G327*原始输入与口径!$B$5-H327/原始输入与口径!$B$5)</f>
        <v>32.456894409937853</v>
      </c>
      <c r="K327" s="12">
        <v>32.874434782608645</v>
      </c>
      <c r="L327" s="12">
        <v>32.456894409937838</v>
      </c>
      <c r="M327" s="19">
        <f t="shared" si="30"/>
        <v>0</v>
      </c>
      <c r="N327" s="12">
        <f>E327*(G327*原始输入与口径!$B$5+H327/原始输入与口径!$B$5)/原始输入与口径!$H$5</f>
        <v>1.1598343685300207E-3</v>
      </c>
      <c r="O327" s="12">
        <v>1.1598343685300205E-3</v>
      </c>
      <c r="P327" s="19">
        <f t="shared" si="31"/>
        <v>0</v>
      </c>
      <c r="Q327" s="12">
        <f t="shared" si="32"/>
        <v>0</v>
      </c>
      <c r="R327" s="12">
        <f t="shared" si="33"/>
        <v>0.38413714285714284</v>
      </c>
      <c r="S327" s="1">
        <v>134</v>
      </c>
      <c r="T327" s="14">
        <v>46235</v>
      </c>
    </row>
    <row r="328" spans="1:20" ht="21" customHeight="1" x14ac:dyDescent="0.45">
      <c r="A328" s="31">
        <v>46236.386083571429</v>
      </c>
      <c r="B328" s="31">
        <v>46236.395833333328</v>
      </c>
      <c r="C328" s="31">
        <v>46236.385416666664</v>
      </c>
      <c r="D328" s="1" t="s">
        <v>102</v>
      </c>
      <c r="E328" s="12">
        <v>0.23399428571428571</v>
      </c>
      <c r="F328" s="12">
        <f>IF(D328="d",两日求解价格与决策!K142-两日求解价格与决策!N142,IF(D328="u",两日求解价格与决策!K142+两日求解价格与决策!M142,两日求解价格与决策!K142))</f>
        <v>0</v>
      </c>
      <c r="G328" s="12">
        <f t="shared" si="28"/>
        <v>0</v>
      </c>
      <c r="H328" s="12">
        <f t="shared" si="29"/>
        <v>0</v>
      </c>
      <c r="I328" s="12">
        <f t="shared" si="34"/>
        <v>32.456894409937853</v>
      </c>
      <c r="J328" s="12">
        <f>I328+E328*(G328*原始输入与口径!$B$5-H328/原始输入与口径!$B$5)</f>
        <v>32.456894409937853</v>
      </c>
      <c r="K328" s="12">
        <v>32.456894409937838</v>
      </c>
      <c r="L328" s="12">
        <v>32.456894409937838</v>
      </c>
      <c r="M328" s="19">
        <f t="shared" si="30"/>
        <v>0</v>
      </c>
      <c r="N328" s="12">
        <f>E328*(G328*原始输入与口径!$B$5+H328/原始输入与口径!$B$5)/原始输入与口径!$H$5</f>
        <v>0</v>
      </c>
      <c r="O328" s="12">
        <v>0</v>
      </c>
      <c r="P328" s="19">
        <f t="shared" si="31"/>
        <v>0</v>
      </c>
      <c r="Q328" s="12">
        <f t="shared" si="32"/>
        <v>0</v>
      </c>
      <c r="R328" s="12">
        <f t="shared" si="33"/>
        <v>0</v>
      </c>
      <c r="S328" s="1">
        <v>134</v>
      </c>
      <c r="T328" s="14">
        <v>46235</v>
      </c>
    </row>
    <row r="329" spans="1:20" ht="21" customHeight="1" x14ac:dyDescent="0.45">
      <c r="A329" s="31">
        <v>46236.395833333336</v>
      </c>
      <c r="B329" s="31">
        <v>46236.396979761907</v>
      </c>
      <c r="C329" s="31">
        <v>46236.395833333336</v>
      </c>
      <c r="D329" s="1" t="s">
        <v>101</v>
      </c>
      <c r="E329" s="12">
        <v>2.7514285714285717E-2</v>
      </c>
      <c r="F329" s="12">
        <f>IF(D329="d",两日求解价格与决策!K143-两日求解价格与决策!N143,IF(D329="u",两日求解价格与决策!K143+两日求解价格与决策!M143,两日求解价格与决策!K143))</f>
        <v>24</v>
      </c>
      <c r="G329" s="12">
        <f t="shared" ref="G329:G392" si="35">MAX(-F329,0)</f>
        <v>0</v>
      </c>
      <c r="H329" s="12">
        <f t="shared" ref="H329:H392" si="36">MAX(F329,0)</f>
        <v>24</v>
      </c>
      <c r="I329" s="12">
        <f t="shared" si="34"/>
        <v>32.456894409937853</v>
      </c>
      <c r="J329" s="12">
        <f>I329+E329*(G329*原始输入与口径!$B$5-H329/原始输入与口径!$B$5)</f>
        <v>31.739130434782574</v>
      </c>
      <c r="K329" s="12">
        <v>32.456894409937838</v>
      </c>
      <c r="L329" s="12">
        <v>31.73913043478256</v>
      </c>
      <c r="M329" s="19">
        <f t="shared" ref="M329:M392" si="37">J329-L329</f>
        <v>0</v>
      </c>
      <c r="N329" s="12">
        <f>E329*(G329*原始输入与口径!$B$5+H329/原始输入与口径!$B$5)/原始输入与口径!$H$5</f>
        <v>1.9937888198757765E-3</v>
      </c>
      <c r="O329" s="12">
        <v>1.9937888198757765E-3</v>
      </c>
      <c r="P329" s="19">
        <f t="shared" ref="P329:P392" si="38">N329-O329</f>
        <v>0</v>
      </c>
      <c r="Q329" s="12">
        <f t="shared" ref="Q329:Q392" si="39">E329*G329</f>
        <v>0</v>
      </c>
      <c r="R329" s="12">
        <f t="shared" ref="R329:R392" si="40">E329*H329</f>
        <v>0.66034285714285723</v>
      </c>
      <c r="S329" s="1">
        <v>135</v>
      </c>
      <c r="T329" s="14">
        <v>46235</v>
      </c>
    </row>
    <row r="330" spans="1:20" ht="21" customHeight="1" x14ac:dyDescent="0.45">
      <c r="A330" s="31">
        <v>46236.396979761907</v>
      </c>
      <c r="B330" s="31">
        <v>46236.40625</v>
      </c>
      <c r="C330" s="31">
        <v>46236.395833333336</v>
      </c>
      <c r="D330" s="1" t="s">
        <v>102</v>
      </c>
      <c r="E330" s="12">
        <v>0.22248571428571429</v>
      </c>
      <c r="F330" s="12">
        <f>IF(D330="d",两日求解价格与决策!K143-两日求解价格与决策!N143,IF(D330="u",两日求解价格与决策!K143+两日求解价格与决策!M143,两日求解价格与决策!K143))</f>
        <v>0</v>
      </c>
      <c r="G330" s="12">
        <f t="shared" si="35"/>
        <v>0</v>
      </c>
      <c r="H330" s="12">
        <f t="shared" si="36"/>
        <v>0</v>
      </c>
      <c r="I330" s="12">
        <f t="shared" ref="I330:I393" si="41">J329</f>
        <v>31.739130434782574</v>
      </c>
      <c r="J330" s="12">
        <f>I330+E330*(G330*原始输入与口径!$B$5-H330/原始输入与口径!$B$5)</f>
        <v>31.739130434782574</v>
      </c>
      <c r="K330" s="12">
        <v>31.73913043478256</v>
      </c>
      <c r="L330" s="12">
        <v>31.73913043478256</v>
      </c>
      <c r="M330" s="19">
        <f t="shared" si="37"/>
        <v>0</v>
      </c>
      <c r="N330" s="12">
        <f>E330*(G330*原始输入与口径!$B$5+H330/原始输入与口径!$B$5)/原始输入与口径!$H$5</f>
        <v>0</v>
      </c>
      <c r="O330" s="12">
        <v>0</v>
      </c>
      <c r="P330" s="19">
        <f t="shared" si="38"/>
        <v>0</v>
      </c>
      <c r="Q330" s="12">
        <f t="shared" si="39"/>
        <v>0</v>
      </c>
      <c r="R330" s="12">
        <f t="shared" si="40"/>
        <v>0</v>
      </c>
      <c r="S330" s="1">
        <v>135</v>
      </c>
      <c r="T330" s="14">
        <v>46235</v>
      </c>
    </row>
    <row r="331" spans="1:20" ht="21" customHeight="1" x14ac:dyDescent="0.45">
      <c r="A331" s="31">
        <v>46236.40625</v>
      </c>
      <c r="B331" s="31">
        <v>46236.407223333335</v>
      </c>
      <c r="C331" s="31">
        <v>46236.40625</v>
      </c>
      <c r="D331" s="1" t="s">
        <v>103</v>
      </c>
      <c r="E331" s="12">
        <v>2.3359999999999999E-2</v>
      </c>
      <c r="F331" s="12">
        <f>IF(D331="d",两日求解价格与决策!K144-两日求解价格与决策!N144,IF(D331="u",两日求解价格与决策!K144+两日求解价格与决策!M144,两日求解价格与决策!K144))</f>
        <v>-28.30998084516262</v>
      </c>
      <c r="G331" s="12">
        <f t="shared" si="35"/>
        <v>28.30998084516262</v>
      </c>
      <c r="H331" s="12">
        <f t="shared" si="36"/>
        <v>0</v>
      </c>
      <c r="I331" s="12">
        <f t="shared" si="41"/>
        <v>31.739130434782574</v>
      </c>
      <c r="J331" s="12">
        <f>I331+E331*(G331*原始输入与口径!$B$5-H331/原始输入与口径!$B$5)</f>
        <v>32.347545895122131</v>
      </c>
      <c r="K331" s="12">
        <v>31.73913043478256</v>
      </c>
      <c r="L331" s="12">
        <v>32.347545895122117</v>
      </c>
      <c r="M331" s="19">
        <f t="shared" si="37"/>
        <v>0</v>
      </c>
      <c r="N331" s="12">
        <f>E331*(G331*原始输入与口径!$B$5+H331/原始输入与口径!$B$5)/原始输入与口径!$H$5</f>
        <v>1.6900429453876634E-3</v>
      </c>
      <c r="O331" s="12">
        <v>1.6900429453876634E-3</v>
      </c>
      <c r="P331" s="19">
        <f t="shared" si="38"/>
        <v>0</v>
      </c>
      <c r="Q331" s="12">
        <f t="shared" si="39"/>
        <v>0.66132115254299872</v>
      </c>
      <c r="R331" s="12">
        <f t="shared" si="40"/>
        <v>0</v>
      </c>
      <c r="S331" s="1">
        <v>136</v>
      </c>
      <c r="T331" s="14">
        <v>46235</v>
      </c>
    </row>
    <row r="332" spans="1:20" ht="21" customHeight="1" x14ac:dyDescent="0.45">
      <c r="A332" s="31">
        <v>46236.407223333335</v>
      </c>
      <c r="B332" s="31">
        <v>46236.407283571425</v>
      </c>
      <c r="C332" s="31">
        <v>46236.40625</v>
      </c>
      <c r="D332" s="1" t="s">
        <v>101</v>
      </c>
      <c r="E332" s="12">
        <v>1.4457142857142856E-3</v>
      </c>
      <c r="F332" s="12">
        <f>IF(D332="d",两日求解价格与决策!K144-两日求解价格与决策!N144,IF(D332="u",两日求解价格与决策!K144+两日求解价格与决策!M144,两日求解价格与决策!K144))</f>
        <v>19.69001915483738</v>
      </c>
      <c r="G332" s="12">
        <f t="shared" si="35"/>
        <v>0</v>
      </c>
      <c r="H332" s="12">
        <f t="shared" si="36"/>
        <v>19.69001915483738</v>
      </c>
      <c r="I332" s="12">
        <f t="shared" si="41"/>
        <v>32.347545895122131</v>
      </c>
      <c r="J332" s="12">
        <f>I332+E332*(G332*原始输入与口径!$B$5-H332/原始输入与口径!$B$5)</f>
        <v>32.316604436450241</v>
      </c>
      <c r="K332" s="12">
        <v>32.347545895122117</v>
      </c>
      <c r="L332" s="12">
        <v>32.316604436450227</v>
      </c>
      <c r="M332" s="19">
        <f t="shared" si="37"/>
        <v>0</v>
      </c>
      <c r="N332" s="12">
        <f>E332*(G332*原始输入与口径!$B$5+H332/原始输入与口径!$B$5)/原始输入与口径!$H$5</f>
        <v>8.594849631079808E-5</v>
      </c>
      <c r="O332" s="12">
        <v>8.594849631079808E-5</v>
      </c>
      <c r="P332" s="19">
        <f t="shared" si="38"/>
        <v>0</v>
      </c>
      <c r="Q332" s="12">
        <f t="shared" si="39"/>
        <v>0</v>
      </c>
      <c r="R332" s="12">
        <f t="shared" si="40"/>
        <v>2.8466141978136326E-2</v>
      </c>
      <c r="S332" s="1">
        <v>136</v>
      </c>
      <c r="T332" s="14">
        <v>46235</v>
      </c>
    </row>
    <row r="333" spans="1:20" ht="21" customHeight="1" x14ac:dyDescent="0.45">
      <c r="A333" s="31">
        <v>46236.407283571425</v>
      </c>
      <c r="B333" s="31">
        <v>46236.416666666664</v>
      </c>
      <c r="C333" s="31">
        <v>46236.40625</v>
      </c>
      <c r="D333" s="1" t="s">
        <v>102</v>
      </c>
      <c r="E333" s="12">
        <v>0.22519428571428574</v>
      </c>
      <c r="F333" s="12">
        <f>IF(D333="d",两日求解价格与决策!K144-两日求解价格与决策!N144,IF(D333="u",两日求解价格与决策!K144+两日求解价格与决策!M144,两日求解价格与决策!K144))</f>
        <v>-4.3099808451626211</v>
      </c>
      <c r="G333" s="12">
        <f t="shared" si="35"/>
        <v>4.3099808451626211</v>
      </c>
      <c r="H333" s="12">
        <f t="shared" si="36"/>
        <v>0</v>
      </c>
      <c r="I333" s="12">
        <f t="shared" si="41"/>
        <v>32.316604436450241</v>
      </c>
      <c r="J333" s="12">
        <f>I333+E333*(G333*原始输入与口径!$B$5-H333/原始输入与口径!$B$5)</f>
        <v>33.209540849689397</v>
      </c>
      <c r="K333" s="12">
        <v>32.316604436450227</v>
      </c>
      <c r="L333" s="12">
        <v>33.209540849689382</v>
      </c>
      <c r="M333" s="19">
        <f t="shared" si="37"/>
        <v>0</v>
      </c>
      <c r="N333" s="12">
        <f>E333*(G333*原始输入与口径!$B$5+H333/原始输入与口径!$B$5)/原始输入与口径!$H$5</f>
        <v>2.4803789256643278E-3</v>
      </c>
      <c r="O333" s="12">
        <v>2.4803789256643278E-3</v>
      </c>
      <c r="P333" s="19">
        <f t="shared" si="38"/>
        <v>0</v>
      </c>
      <c r="Q333" s="12">
        <f t="shared" si="39"/>
        <v>0.97058305786865007</v>
      </c>
      <c r="R333" s="12">
        <f t="shared" si="40"/>
        <v>0</v>
      </c>
      <c r="S333" s="1">
        <v>136</v>
      </c>
      <c r="T333" s="14">
        <v>46235</v>
      </c>
    </row>
    <row r="334" spans="1:20" ht="21" customHeight="1" x14ac:dyDescent="0.45">
      <c r="A334" s="31">
        <v>46236.416666666664</v>
      </c>
      <c r="B334" s="31">
        <v>46236.417078571423</v>
      </c>
      <c r="C334" s="31">
        <v>46236.416666666664</v>
      </c>
      <c r="D334" s="1" t="s">
        <v>103</v>
      </c>
      <c r="E334" s="12">
        <v>9.8857142857142859E-3</v>
      </c>
      <c r="F334" s="12">
        <f>IF(D334="d",两日求解价格与决策!K145-两日求解价格与决策!N145,IF(D334="u",两日求解价格与决策!K145+两日求解价格与决策!M145,两日求解价格与决策!K145))</f>
        <v>-24</v>
      </c>
      <c r="G334" s="12">
        <f t="shared" si="35"/>
        <v>24</v>
      </c>
      <c r="H334" s="12">
        <f t="shared" si="36"/>
        <v>0</v>
      </c>
      <c r="I334" s="12">
        <f t="shared" si="41"/>
        <v>33.209540849689397</v>
      </c>
      <c r="J334" s="12">
        <f>I334+E334*(G334*原始输入与口径!$B$5-H334/原始输入与口径!$B$5)</f>
        <v>33.427817421117965</v>
      </c>
      <c r="K334" s="12">
        <v>33.209540849689382</v>
      </c>
      <c r="L334" s="12">
        <v>33.42781742111795</v>
      </c>
      <c r="M334" s="19">
        <f t="shared" si="37"/>
        <v>0</v>
      </c>
      <c r="N334" s="12">
        <f>E334*(G334*原始输入与口径!$B$5+H334/原始输入与口径!$B$5)/原始输入与口径!$H$5</f>
        <v>6.0632380952380961E-4</v>
      </c>
      <c r="O334" s="12">
        <v>6.0632380952380951E-4</v>
      </c>
      <c r="P334" s="19">
        <f t="shared" si="38"/>
        <v>0</v>
      </c>
      <c r="Q334" s="12">
        <f t="shared" si="39"/>
        <v>0.23725714285714286</v>
      </c>
      <c r="R334" s="12">
        <f t="shared" si="40"/>
        <v>0</v>
      </c>
      <c r="S334" s="1">
        <v>137</v>
      </c>
      <c r="T334" s="14">
        <v>46235</v>
      </c>
    </row>
    <row r="335" spans="1:20" ht="21" customHeight="1" x14ac:dyDescent="0.45">
      <c r="A335" s="31">
        <v>46236.417078571423</v>
      </c>
      <c r="B335" s="31">
        <v>46236.419578095236</v>
      </c>
      <c r="C335" s="31">
        <v>46236.416666666664</v>
      </c>
      <c r="D335" s="1" t="s">
        <v>101</v>
      </c>
      <c r="E335" s="12">
        <v>5.9988571428571426E-2</v>
      </c>
      <c r="F335" s="12">
        <f>IF(D335="d",两日求解价格与决策!K145-两日求解价格与决策!N145,IF(D335="u",两日求解价格与决策!K145+两日求解价格与决策!M145,两日求解价格与决策!K145))</f>
        <v>24</v>
      </c>
      <c r="G335" s="12">
        <f t="shared" si="35"/>
        <v>0</v>
      </c>
      <c r="H335" s="12">
        <f t="shared" si="36"/>
        <v>24</v>
      </c>
      <c r="I335" s="12">
        <f t="shared" si="41"/>
        <v>33.427817421117965</v>
      </c>
      <c r="J335" s="12">
        <f>I335+E335*(G335*原始输入与口径!$B$5-H335/原始输入与口径!$B$5)</f>
        <v>31.86289816645958</v>
      </c>
      <c r="K335" s="12">
        <v>33.42781742111795</v>
      </c>
      <c r="L335" s="12">
        <v>31.862898166459566</v>
      </c>
      <c r="M335" s="19">
        <f t="shared" si="37"/>
        <v>0</v>
      </c>
      <c r="N335" s="12">
        <f>E335*(G335*原始输入与口径!$B$5+H335/原始输入与口径!$B$5)/原始输入与口径!$H$5</f>
        <v>4.3469979296066252E-3</v>
      </c>
      <c r="O335" s="12">
        <v>4.3469979296066252E-3</v>
      </c>
      <c r="P335" s="19">
        <f t="shared" si="38"/>
        <v>0</v>
      </c>
      <c r="Q335" s="12">
        <f t="shared" si="39"/>
        <v>0</v>
      </c>
      <c r="R335" s="12">
        <f t="shared" si="40"/>
        <v>1.4397257142857143</v>
      </c>
      <c r="S335" s="1">
        <v>137</v>
      </c>
      <c r="T335" s="14">
        <v>46235</v>
      </c>
    </row>
    <row r="336" spans="1:20" ht="21" customHeight="1" x14ac:dyDescent="0.45">
      <c r="A336" s="31">
        <v>46236.419578095236</v>
      </c>
      <c r="B336" s="31">
        <v>46236.427083333328</v>
      </c>
      <c r="C336" s="31">
        <v>46236.416666666664</v>
      </c>
      <c r="D336" s="1" t="s">
        <v>102</v>
      </c>
      <c r="E336" s="12">
        <v>0.18012571428571431</v>
      </c>
      <c r="F336" s="12">
        <f>IF(D336="d",两日求解价格与决策!K145-两日求解价格与决策!N145,IF(D336="u",两日求解价格与决策!K145+两日求解价格与决策!M145,两日求解价格与决策!K145))</f>
        <v>0</v>
      </c>
      <c r="G336" s="12">
        <f t="shared" si="35"/>
        <v>0</v>
      </c>
      <c r="H336" s="12">
        <f t="shared" si="36"/>
        <v>0</v>
      </c>
      <c r="I336" s="12">
        <f t="shared" si="41"/>
        <v>31.86289816645958</v>
      </c>
      <c r="J336" s="12">
        <f>I336+E336*(G336*原始输入与口径!$B$5-H336/原始输入与口径!$B$5)</f>
        <v>31.86289816645958</v>
      </c>
      <c r="K336" s="12">
        <v>31.862898166459566</v>
      </c>
      <c r="L336" s="12">
        <v>31.862898166459566</v>
      </c>
      <c r="M336" s="19">
        <f t="shared" si="37"/>
        <v>0</v>
      </c>
      <c r="N336" s="12">
        <f>E336*(G336*原始输入与口径!$B$5+H336/原始输入与口径!$B$5)/原始输入与口径!$H$5</f>
        <v>0</v>
      </c>
      <c r="O336" s="12">
        <v>0</v>
      </c>
      <c r="P336" s="19">
        <f t="shared" si="38"/>
        <v>0</v>
      </c>
      <c r="Q336" s="12">
        <f t="shared" si="39"/>
        <v>0</v>
      </c>
      <c r="R336" s="12">
        <f t="shared" si="40"/>
        <v>0</v>
      </c>
      <c r="S336" s="1">
        <v>137</v>
      </c>
      <c r="T336" s="14">
        <v>46235</v>
      </c>
    </row>
    <row r="337" spans="1:20" ht="21" customHeight="1" x14ac:dyDescent="0.45">
      <c r="A337" s="31">
        <v>46236.427083333336</v>
      </c>
      <c r="B337" s="31">
        <v>46236.427114761907</v>
      </c>
      <c r="C337" s="31">
        <v>46236.427083333336</v>
      </c>
      <c r="D337" s="1" t="s">
        <v>103</v>
      </c>
      <c r="E337" s="12">
        <v>7.5428571428571428E-4</v>
      </c>
      <c r="F337" s="12">
        <f>IF(D337="d",两日求解价格与决策!K146-两日求解价格与决策!N146,IF(D337="u",两日求解价格与决策!K146+两日求解价格与决策!M146,两日求解价格与决策!K146))</f>
        <v>-24</v>
      </c>
      <c r="G337" s="12">
        <f t="shared" si="35"/>
        <v>24</v>
      </c>
      <c r="H337" s="12">
        <f t="shared" si="36"/>
        <v>0</v>
      </c>
      <c r="I337" s="12">
        <f t="shared" si="41"/>
        <v>31.86289816645958</v>
      </c>
      <c r="J337" s="12">
        <f>I337+E337*(G337*原始输入与口径!$B$5-H337/原始输入与口径!$B$5)</f>
        <v>31.879552795031007</v>
      </c>
      <c r="K337" s="12">
        <v>31.862898166459566</v>
      </c>
      <c r="L337" s="12">
        <v>31.879552795030992</v>
      </c>
      <c r="M337" s="19">
        <f t="shared" si="37"/>
        <v>0</v>
      </c>
      <c r="N337" s="12">
        <f>E337*(G337*原始输入与口径!$B$5+H337/原始输入与口径!$B$5)/原始输入与口径!$H$5</f>
        <v>4.6262857142857144E-5</v>
      </c>
      <c r="O337" s="12">
        <v>4.6262857142857144E-5</v>
      </c>
      <c r="P337" s="19">
        <f t="shared" si="38"/>
        <v>0</v>
      </c>
      <c r="Q337" s="12">
        <f t="shared" si="39"/>
        <v>1.8102857142857143E-2</v>
      </c>
      <c r="R337" s="12">
        <f t="shared" si="40"/>
        <v>0</v>
      </c>
      <c r="S337" s="1">
        <v>138</v>
      </c>
      <c r="T337" s="14">
        <v>46235</v>
      </c>
    </row>
    <row r="338" spans="1:20" ht="21" customHeight="1" x14ac:dyDescent="0.45">
      <c r="A338" s="31">
        <v>46236.427114761907</v>
      </c>
      <c r="B338" s="31">
        <v>46236.427339047623</v>
      </c>
      <c r="C338" s="31">
        <v>46236.427083333336</v>
      </c>
      <c r="D338" s="1" t="s">
        <v>101</v>
      </c>
      <c r="E338" s="12">
        <v>5.3828571428571424E-3</v>
      </c>
      <c r="F338" s="12">
        <f>IF(D338="d",两日求解价格与决策!K146-两日求解价格与决策!N146,IF(D338="u",两日求解价格与决策!K146+两日求解价格与决策!M146,两日求解价格与决策!K146))</f>
        <v>24</v>
      </c>
      <c r="G338" s="12">
        <f t="shared" si="35"/>
        <v>0</v>
      </c>
      <c r="H338" s="12">
        <f t="shared" si="36"/>
        <v>24</v>
      </c>
      <c r="I338" s="12">
        <f t="shared" si="41"/>
        <v>31.879552795031007</v>
      </c>
      <c r="J338" s="12">
        <f>I338+E338*(G338*原始输入与口径!$B$5-H338/原始输入与口径!$B$5)</f>
        <v>31.73913043478256</v>
      </c>
      <c r="K338" s="12">
        <v>31.879552795030992</v>
      </c>
      <c r="L338" s="12">
        <v>31.739130434782545</v>
      </c>
      <c r="M338" s="19">
        <f t="shared" si="37"/>
        <v>0</v>
      </c>
      <c r="N338" s="12">
        <f>E338*(G338*原始输入与口径!$B$5+H338/原始输入与口径!$B$5)/原始输入与口径!$H$5</f>
        <v>3.9006211180124214E-4</v>
      </c>
      <c r="O338" s="12">
        <v>3.9006211180124225E-4</v>
      </c>
      <c r="P338" s="19">
        <f t="shared" si="38"/>
        <v>0</v>
      </c>
      <c r="Q338" s="12">
        <f t="shared" si="39"/>
        <v>0</v>
      </c>
      <c r="R338" s="12">
        <f t="shared" si="40"/>
        <v>0.12918857142857143</v>
      </c>
      <c r="S338" s="1">
        <v>138</v>
      </c>
      <c r="T338" s="14">
        <v>46235</v>
      </c>
    </row>
    <row r="339" spans="1:20" ht="21" customHeight="1" x14ac:dyDescent="0.45">
      <c r="A339" s="31">
        <v>46236.427339047623</v>
      </c>
      <c r="B339" s="31">
        <v>46236.4375</v>
      </c>
      <c r="C339" s="31">
        <v>46236.427083333336</v>
      </c>
      <c r="D339" s="1" t="s">
        <v>102</v>
      </c>
      <c r="E339" s="12">
        <v>0.24386285714285716</v>
      </c>
      <c r="F339" s="12">
        <f>IF(D339="d",两日求解价格与决策!K146-两日求解价格与决策!N146,IF(D339="u",两日求解价格与决策!K146+两日求解价格与决策!M146,两日求解价格与决策!K146))</f>
        <v>0</v>
      </c>
      <c r="G339" s="12">
        <f t="shared" si="35"/>
        <v>0</v>
      </c>
      <c r="H339" s="12">
        <f t="shared" si="36"/>
        <v>0</v>
      </c>
      <c r="I339" s="12">
        <f t="shared" si="41"/>
        <v>31.73913043478256</v>
      </c>
      <c r="J339" s="12">
        <f>I339+E339*(G339*原始输入与口径!$B$5-H339/原始输入与口径!$B$5)</f>
        <v>31.73913043478256</v>
      </c>
      <c r="K339" s="12">
        <v>31.739130434782545</v>
      </c>
      <c r="L339" s="12">
        <v>31.739130434782545</v>
      </c>
      <c r="M339" s="19">
        <f t="shared" si="37"/>
        <v>0</v>
      </c>
      <c r="N339" s="12">
        <f>E339*(G339*原始输入与口径!$B$5+H339/原始输入与口径!$B$5)/原始输入与口径!$H$5</f>
        <v>0</v>
      </c>
      <c r="O339" s="12">
        <v>0</v>
      </c>
      <c r="P339" s="19">
        <f t="shared" si="38"/>
        <v>0</v>
      </c>
      <c r="Q339" s="12">
        <f t="shared" si="39"/>
        <v>0</v>
      </c>
      <c r="R339" s="12">
        <f t="shared" si="40"/>
        <v>0</v>
      </c>
      <c r="S339" s="1">
        <v>138</v>
      </c>
      <c r="T339" s="14">
        <v>46235</v>
      </c>
    </row>
    <row r="340" spans="1:20" ht="21" customHeight="1" x14ac:dyDescent="0.45">
      <c r="A340" s="31">
        <v>46236.4375</v>
      </c>
      <c r="B340" s="31">
        <v>46236.438251190477</v>
      </c>
      <c r="C340" s="31">
        <v>46236.4375</v>
      </c>
      <c r="D340" s="1" t="s">
        <v>103</v>
      </c>
      <c r="E340" s="12">
        <v>1.8028571428571429E-2</v>
      </c>
      <c r="F340" s="12">
        <f>IF(D340="d",两日求解价格与决策!K147-两日求解价格与决策!N147,IF(D340="u",两日求解价格与决策!K147+两日求解价格与决策!M147,两日求解价格与决策!K147))</f>
        <v>-22.519800583339219</v>
      </c>
      <c r="G340" s="12">
        <f t="shared" si="35"/>
        <v>22.519800583339219</v>
      </c>
      <c r="H340" s="12">
        <f t="shared" si="36"/>
        <v>0</v>
      </c>
      <c r="I340" s="12">
        <f t="shared" si="41"/>
        <v>31.73913043478256</v>
      </c>
      <c r="J340" s="12">
        <f>I340+E340*(G340*原始输入与口径!$B$5-H340/原始输入与口径!$B$5)</f>
        <v>32.112650281486559</v>
      </c>
      <c r="K340" s="12">
        <v>31.739130434782545</v>
      </c>
      <c r="L340" s="12">
        <v>32.112650281486545</v>
      </c>
      <c r="M340" s="19">
        <f t="shared" si="37"/>
        <v>0</v>
      </c>
      <c r="N340" s="12">
        <f>E340*(G340*原始输入与口径!$B$5+H340/原始输入与口径!$B$5)/原始输入与口径!$H$5</f>
        <v>1.0375551297333401E-3</v>
      </c>
      <c r="O340" s="12">
        <v>1.0375551297333401E-3</v>
      </c>
      <c r="P340" s="19">
        <f t="shared" si="38"/>
        <v>0</v>
      </c>
      <c r="Q340" s="12">
        <f t="shared" si="39"/>
        <v>0.40599983337391565</v>
      </c>
      <c r="R340" s="12">
        <f t="shared" si="40"/>
        <v>0</v>
      </c>
      <c r="S340" s="1">
        <v>139</v>
      </c>
      <c r="T340" s="14">
        <v>46235</v>
      </c>
    </row>
    <row r="341" spans="1:20" ht="21" customHeight="1" x14ac:dyDescent="0.45">
      <c r="A341" s="31">
        <v>46236.438251190477</v>
      </c>
      <c r="B341" s="31">
        <v>46236.438251666666</v>
      </c>
      <c r="C341" s="31">
        <v>46236.4375</v>
      </c>
      <c r="D341" s="1" t="s">
        <v>101</v>
      </c>
      <c r="E341" s="12">
        <v>1.1428571428571429E-5</v>
      </c>
      <c r="F341" s="12">
        <f>IF(D341="d",两日求解价格与决策!K147-两日求解价格与决策!N147,IF(D341="u",两日求解价格与决策!K147+两日求解价格与决策!M147,两日求解价格与决策!K147))</f>
        <v>25.480199416660781</v>
      </c>
      <c r="G341" s="12">
        <f t="shared" si="35"/>
        <v>0</v>
      </c>
      <c r="H341" s="12">
        <f t="shared" si="36"/>
        <v>25.480199416660781</v>
      </c>
      <c r="I341" s="12">
        <f t="shared" si="41"/>
        <v>32.112650281486559</v>
      </c>
      <c r="J341" s="12">
        <f>I341+E341*(G341*原始输入与口径!$B$5-H341/原始输入与口径!$B$5)</f>
        <v>32.1123337572702</v>
      </c>
      <c r="K341" s="12">
        <v>32.112650281486545</v>
      </c>
      <c r="L341" s="12">
        <v>32.112333757270186</v>
      </c>
      <c r="M341" s="19">
        <f t="shared" si="37"/>
        <v>0</v>
      </c>
      <c r="N341" s="12">
        <f>E341*(G341*原始输入与口径!$B$5+H341/原始输入与口径!$B$5)/原始输入与口径!$H$5</f>
        <v>8.7923393432231811E-7</v>
      </c>
      <c r="O341" s="12">
        <v>8.7923393432231811E-7</v>
      </c>
      <c r="P341" s="19">
        <f t="shared" si="38"/>
        <v>0</v>
      </c>
      <c r="Q341" s="12">
        <f t="shared" si="39"/>
        <v>0</v>
      </c>
      <c r="R341" s="12">
        <f t="shared" si="40"/>
        <v>2.9120227904755178E-4</v>
      </c>
      <c r="S341" s="1">
        <v>139</v>
      </c>
      <c r="T341" s="14">
        <v>46235</v>
      </c>
    </row>
    <row r="342" spans="1:20" ht="21" customHeight="1" x14ac:dyDescent="0.45">
      <c r="A342" s="31">
        <v>46236.438251666666</v>
      </c>
      <c r="B342" s="31">
        <v>46236.447916666664</v>
      </c>
      <c r="C342" s="31">
        <v>46236.4375</v>
      </c>
      <c r="D342" s="1" t="s">
        <v>102</v>
      </c>
      <c r="E342" s="12">
        <v>0.23196</v>
      </c>
      <c r="F342" s="12">
        <f>IF(D342="d",两日求解价格与决策!K147-两日求解价格与决策!N147,IF(D342="u",两日求解价格与决策!K147+两日求解价格与决策!M147,两日求解价格与决策!K147))</f>
        <v>1.4801994166607806</v>
      </c>
      <c r="G342" s="12">
        <f t="shared" si="35"/>
        <v>0</v>
      </c>
      <c r="H342" s="12">
        <f t="shared" si="36"/>
        <v>1.4801994166607806</v>
      </c>
      <c r="I342" s="12">
        <f t="shared" si="41"/>
        <v>32.1123337572702</v>
      </c>
      <c r="J342" s="12">
        <f>I342+E342*(G342*原始输入与口径!$B$5-H342/原始输入与口径!$B$5)</f>
        <v>31.739130434782552</v>
      </c>
      <c r="K342" s="12">
        <v>32.112333757270186</v>
      </c>
      <c r="L342" s="12">
        <v>31.739130434782538</v>
      </c>
      <c r="M342" s="19">
        <f t="shared" si="37"/>
        <v>0</v>
      </c>
      <c r="N342" s="12">
        <f>E342*(G342*原始输入与口径!$B$5+H342/原始输入与口径!$B$5)/原始输入与口径!$H$5</f>
        <v>1.0366758957990176E-3</v>
      </c>
      <c r="O342" s="12">
        <v>1.0366758957990178E-3</v>
      </c>
      <c r="P342" s="19">
        <f t="shared" si="38"/>
        <v>0</v>
      </c>
      <c r="Q342" s="12">
        <f t="shared" si="39"/>
        <v>0</v>
      </c>
      <c r="R342" s="12">
        <f t="shared" si="40"/>
        <v>0.34334705668863469</v>
      </c>
      <c r="S342" s="1">
        <v>139</v>
      </c>
      <c r="T342" s="14">
        <v>46235</v>
      </c>
    </row>
    <row r="343" spans="1:20" ht="21" customHeight="1" x14ac:dyDescent="0.45">
      <c r="A343" s="31">
        <v>46236.447916666664</v>
      </c>
      <c r="B343" s="31">
        <v>46236.44947071428</v>
      </c>
      <c r="C343" s="31">
        <v>46236.447916666664</v>
      </c>
      <c r="D343" s="1" t="s">
        <v>103</v>
      </c>
      <c r="E343" s="12">
        <v>3.7297142857142855E-2</v>
      </c>
      <c r="F343" s="12">
        <f>IF(D343="d",两日求解价格与决策!K148-两日求解价格与决策!N148,IF(D343="u",两日求解价格与决策!K148+两日求解价格与决策!M148,两日求解价格与决策!K148))</f>
        <v>-24</v>
      </c>
      <c r="G343" s="12">
        <f t="shared" si="35"/>
        <v>24</v>
      </c>
      <c r="H343" s="12">
        <f t="shared" si="36"/>
        <v>0</v>
      </c>
      <c r="I343" s="12">
        <f t="shared" si="41"/>
        <v>31.739130434782552</v>
      </c>
      <c r="J343" s="12">
        <f>I343+E343*(G343*原始输入与口径!$B$5-H343/原始输入与口径!$B$5)</f>
        <v>32.562651349068268</v>
      </c>
      <c r="K343" s="12">
        <v>31.739130434782538</v>
      </c>
      <c r="L343" s="12">
        <v>32.562651349068254</v>
      </c>
      <c r="M343" s="19">
        <f t="shared" si="37"/>
        <v>0</v>
      </c>
      <c r="N343" s="12">
        <f>E343*(G343*原始输入与口径!$B$5+H343/原始输入与口径!$B$5)/原始输入与口径!$H$5</f>
        <v>2.2875580952380951E-3</v>
      </c>
      <c r="O343" s="12">
        <v>2.2875580952380951E-3</v>
      </c>
      <c r="P343" s="19">
        <f t="shared" si="38"/>
        <v>0</v>
      </c>
      <c r="Q343" s="12">
        <f t="shared" si="39"/>
        <v>0.89513142857142847</v>
      </c>
      <c r="R343" s="12">
        <f t="shared" si="40"/>
        <v>0</v>
      </c>
      <c r="S343" s="1">
        <v>140</v>
      </c>
      <c r="T343" s="14">
        <v>46235</v>
      </c>
    </row>
    <row r="344" spans="1:20" ht="21" customHeight="1" x14ac:dyDescent="0.45">
      <c r="A344" s="31">
        <v>46236.44947071428</v>
      </c>
      <c r="B344" s="31">
        <v>46236.458333333328</v>
      </c>
      <c r="C344" s="31">
        <v>46236.447916666664</v>
      </c>
      <c r="D344" s="1" t="s">
        <v>102</v>
      </c>
      <c r="E344" s="12">
        <v>0.21270285714285714</v>
      </c>
      <c r="F344" s="12">
        <f>IF(D344="d",两日求解价格与决策!K148-两日求解价格与决策!N148,IF(D344="u",两日求解价格与决策!K148+两日求解价格与决策!M148,两日求解价格与决策!K148))</f>
        <v>0</v>
      </c>
      <c r="G344" s="12">
        <f t="shared" si="35"/>
        <v>0</v>
      </c>
      <c r="H344" s="12">
        <f t="shared" si="36"/>
        <v>0</v>
      </c>
      <c r="I344" s="12">
        <f t="shared" si="41"/>
        <v>32.562651349068268</v>
      </c>
      <c r="J344" s="12">
        <f>I344+E344*(G344*原始输入与口径!$B$5-H344/原始输入与口径!$B$5)</f>
        <v>32.562651349068268</v>
      </c>
      <c r="K344" s="12">
        <v>32.562651349068254</v>
      </c>
      <c r="L344" s="12">
        <v>32.562651349068254</v>
      </c>
      <c r="M344" s="19">
        <f t="shared" si="37"/>
        <v>0</v>
      </c>
      <c r="N344" s="12">
        <f>E344*(G344*原始输入与口径!$B$5+H344/原始输入与口径!$B$5)/原始输入与口径!$H$5</f>
        <v>0</v>
      </c>
      <c r="O344" s="12">
        <v>0</v>
      </c>
      <c r="P344" s="19">
        <f t="shared" si="38"/>
        <v>0</v>
      </c>
      <c r="Q344" s="12">
        <f t="shared" si="39"/>
        <v>0</v>
      </c>
      <c r="R344" s="12">
        <f t="shared" si="40"/>
        <v>0</v>
      </c>
      <c r="S344" s="1">
        <v>140</v>
      </c>
      <c r="T344" s="14">
        <v>46235</v>
      </c>
    </row>
    <row r="345" spans="1:20" ht="21" customHeight="1" x14ac:dyDescent="0.45">
      <c r="A345" s="31">
        <v>46236.458333333336</v>
      </c>
      <c r="B345" s="31">
        <v>46236.461195476193</v>
      </c>
      <c r="C345" s="31">
        <v>46236.458333333336</v>
      </c>
      <c r="D345" s="1" t="s">
        <v>103</v>
      </c>
      <c r="E345" s="12">
        <v>6.869142857142857E-2</v>
      </c>
      <c r="F345" s="12">
        <f>IF(D345="d",两日求解价格与决策!K149-两日求解价格与决策!N149,IF(D345="u",两日求解价格与决策!K149+两日求解价格与决策!M149,两日求解价格与决策!K149))</f>
        <v>-15.008484164062141</v>
      </c>
      <c r="G345" s="12">
        <f t="shared" si="35"/>
        <v>15.008484164062141</v>
      </c>
      <c r="H345" s="12">
        <f t="shared" si="36"/>
        <v>0</v>
      </c>
      <c r="I345" s="12">
        <f t="shared" si="41"/>
        <v>32.562651349068268</v>
      </c>
      <c r="J345" s="12">
        <f>I345+E345*(G345*原始输入与口径!$B$5-H345/原始输入与口径!$B$5)</f>
        <v>33.511129229555671</v>
      </c>
      <c r="K345" s="12">
        <v>32.562651349068254</v>
      </c>
      <c r="L345" s="12">
        <v>33.511129229555657</v>
      </c>
      <c r="M345" s="19">
        <f t="shared" si="37"/>
        <v>0</v>
      </c>
      <c r="N345" s="12">
        <f>E345*(G345*原始输入与口径!$B$5+H345/原始输入与口径!$B$5)/原始输入与口径!$H$5</f>
        <v>2.6346607791316781E-3</v>
      </c>
      <c r="O345" s="12">
        <v>2.6346607791316776E-3</v>
      </c>
      <c r="P345" s="19">
        <f t="shared" si="38"/>
        <v>0</v>
      </c>
      <c r="Q345" s="12">
        <f t="shared" si="39"/>
        <v>1.0309542179210913</v>
      </c>
      <c r="R345" s="12">
        <f t="shared" si="40"/>
        <v>0</v>
      </c>
      <c r="S345" s="1">
        <v>141</v>
      </c>
      <c r="T345" s="14">
        <v>46235</v>
      </c>
    </row>
    <row r="346" spans="1:20" ht="21" customHeight="1" x14ac:dyDescent="0.45">
      <c r="A346" s="31">
        <v>46236.461195476193</v>
      </c>
      <c r="B346" s="31">
        <v>46236.46875</v>
      </c>
      <c r="C346" s="31">
        <v>46236.458333333336</v>
      </c>
      <c r="D346" s="1" t="s">
        <v>102</v>
      </c>
      <c r="E346" s="12">
        <v>0.18130857142857143</v>
      </c>
      <c r="F346" s="12">
        <f>IF(D346="d",两日求解价格与决策!K149-两日求解价格与决策!N149,IF(D346="u",两日求解价格与决策!K149+两日求解价格与决策!M149,两日求解价格与决策!K149))</f>
        <v>8.9915158359378591</v>
      </c>
      <c r="G346" s="12">
        <f t="shared" si="35"/>
        <v>0</v>
      </c>
      <c r="H346" s="12">
        <f t="shared" si="36"/>
        <v>8.9915158359378591</v>
      </c>
      <c r="I346" s="12">
        <f t="shared" si="41"/>
        <v>33.511129229555671</v>
      </c>
      <c r="J346" s="12">
        <f>I346+E346*(G346*原始输入与口径!$B$5-H346/原始输入与口径!$B$5)</f>
        <v>31.739130434782552</v>
      </c>
      <c r="K346" s="12">
        <v>33.511129229555657</v>
      </c>
      <c r="L346" s="12">
        <v>31.739130434782538</v>
      </c>
      <c r="M346" s="19">
        <f t="shared" si="37"/>
        <v>0</v>
      </c>
      <c r="N346" s="12">
        <f>E346*(G346*原始输入与口径!$B$5+H346/原始输入与口径!$B$5)/原始输入与口径!$H$5</f>
        <v>4.9222188743697779E-3</v>
      </c>
      <c r="O346" s="12">
        <v>4.9222188743697779E-3</v>
      </c>
      <c r="P346" s="19">
        <f t="shared" si="38"/>
        <v>0</v>
      </c>
      <c r="Q346" s="12">
        <f t="shared" si="39"/>
        <v>0</v>
      </c>
      <c r="R346" s="12">
        <f t="shared" si="40"/>
        <v>1.6302388911912704</v>
      </c>
      <c r="S346" s="1">
        <v>141</v>
      </c>
      <c r="T346" s="14">
        <v>46235</v>
      </c>
    </row>
    <row r="347" spans="1:20" ht="21" customHeight="1" x14ac:dyDescent="0.45">
      <c r="A347" s="31">
        <v>46236.46875</v>
      </c>
      <c r="B347" s="31">
        <v>46236.473813095239</v>
      </c>
      <c r="C347" s="31">
        <v>46236.46875</v>
      </c>
      <c r="D347" s="1" t="s">
        <v>103</v>
      </c>
      <c r="E347" s="12">
        <v>0.12151428571428571</v>
      </c>
      <c r="F347" s="12">
        <f>IF(D347="d",两日求解价格与决策!K150-两日求解价格与决策!N150,IF(D347="u",两日求解价格与决策!K150+两日求解价格与决策!M150,两日求解价格与决策!K150))</f>
        <v>-60</v>
      </c>
      <c r="G347" s="12">
        <f t="shared" si="35"/>
        <v>60</v>
      </c>
      <c r="H347" s="12">
        <f t="shared" si="36"/>
        <v>0</v>
      </c>
      <c r="I347" s="12">
        <f t="shared" si="41"/>
        <v>31.739130434782552</v>
      </c>
      <c r="J347" s="12">
        <f>I347+E347*(G347*原始输入与口径!$B$5-H347/原始输入与口径!$B$5)</f>
        <v>38.446719006211126</v>
      </c>
      <c r="K347" s="12">
        <v>31.739130434782538</v>
      </c>
      <c r="L347" s="12">
        <v>38.446719006211111</v>
      </c>
      <c r="M347" s="19">
        <f t="shared" si="37"/>
        <v>0</v>
      </c>
      <c r="N347" s="12">
        <f>E347*(G347*原始输入与口径!$B$5+H347/原始输入与口径!$B$5)/原始输入与口径!$H$5</f>
        <v>1.8632190476190476E-2</v>
      </c>
      <c r="O347" s="12">
        <v>1.8632190476190476E-2</v>
      </c>
      <c r="P347" s="19">
        <f t="shared" si="38"/>
        <v>0</v>
      </c>
      <c r="Q347" s="12">
        <f t="shared" si="39"/>
        <v>7.2908571428571429</v>
      </c>
      <c r="R347" s="12">
        <f t="shared" si="40"/>
        <v>0</v>
      </c>
      <c r="S347" s="1">
        <v>142</v>
      </c>
      <c r="T347" s="14">
        <v>46235</v>
      </c>
    </row>
    <row r="348" spans="1:20" ht="21" customHeight="1" x14ac:dyDescent="0.45">
      <c r="A348" s="31">
        <v>46236.473813095239</v>
      </c>
      <c r="B348" s="31">
        <v>46236.479166666664</v>
      </c>
      <c r="C348" s="31">
        <v>46236.46875</v>
      </c>
      <c r="D348" s="1" t="s">
        <v>102</v>
      </c>
      <c r="E348" s="12">
        <v>0.12848571428571429</v>
      </c>
      <c r="F348" s="12">
        <f>IF(D348="d",两日求解价格与决策!K150-两日求解价格与决策!N150,IF(D348="u",两日求解价格与决策!K150+两日求解价格与决策!M150,两日求解价格与决策!K150))</f>
        <v>-36</v>
      </c>
      <c r="G348" s="12">
        <f t="shared" si="35"/>
        <v>36</v>
      </c>
      <c r="H348" s="12">
        <f t="shared" si="36"/>
        <v>0</v>
      </c>
      <c r="I348" s="12">
        <f t="shared" si="41"/>
        <v>38.446719006211126</v>
      </c>
      <c r="J348" s="12">
        <f>I348+E348*(G348*原始输入与口径!$B$5-H348/原始输入与口径!$B$5)</f>
        <v>42.702165863353983</v>
      </c>
      <c r="K348" s="12">
        <v>38.446719006211111</v>
      </c>
      <c r="L348" s="12">
        <v>42.702165863353969</v>
      </c>
      <c r="M348" s="19">
        <f t="shared" si="37"/>
        <v>0</v>
      </c>
      <c r="N348" s="12">
        <f>E348*(G348*原始输入与口径!$B$5+H348/原始输入与口径!$B$5)/原始输入与口径!$H$5</f>
        <v>1.1820685714285717E-2</v>
      </c>
      <c r="O348" s="12">
        <v>1.1820685714285715E-2</v>
      </c>
      <c r="P348" s="19">
        <f t="shared" si="38"/>
        <v>0</v>
      </c>
      <c r="Q348" s="12">
        <f t="shared" si="39"/>
        <v>4.6254857142857144</v>
      </c>
      <c r="R348" s="12">
        <f t="shared" si="40"/>
        <v>0</v>
      </c>
      <c r="S348" s="1">
        <v>142</v>
      </c>
      <c r="T348" s="14">
        <v>46235</v>
      </c>
    </row>
    <row r="349" spans="1:20" ht="21" customHeight="1" x14ac:dyDescent="0.45">
      <c r="A349" s="31">
        <v>46236.479166666664</v>
      </c>
      <c r="B349" s="31">
        <v>46236.486321666664</v>
      </c>
      <c r="C349" s="31">
        <v>46236.479166666664</v>
      </c>
      <c r="D349" s="1" t="s">
        <v>103</v>
      </c>
      <c r="E349" s="12">
        <v>0.17171999999999998</v>
      </c>
      <c r="F349" s="12">
        <f>IF(D349="d",两日求解价格与决策!K151-两日求解价格与决策!N151,IF(D349="u",两日求解价格与决策!K151+两日求解价格与决策!M151,两日求解价格与决策!K151))</f>
        <v>-60</v>
      </c>
      <c r="G349" s="12">
        <f t="shared" si="35"/>
        <v>60</v>
      </c>
      <c r="H349" s="12">
        <f t="shared" si="36"/>
        <v>0</v>
      </c>
      <c r="I349" s="12">
        <f t="shared" si="41"/>
        <v>42.702165863353983</v>
      </c>
      <c r="J349" s="12">
        <f>I349+E349*(G349*原始输入与口径!$B$5-H349/原始输入与口径!$B$5)</f>
        <v>52.181109863353981</v>
      </c>
      <c r="K349" s="12">
        <v>42.702165863353969</v>
      </c>
      <c r="L349" s="12">
        <v>52.181109863353967</v>
      </c>
      <c r="M349" s="19">
        <f t="shared" si="37"/>
        <v>0</v>
      </c>
      <c r="N349" s="12">
        <f>E349*(G349*原始输入与口径!$B$5+H349/原始输入与口径!$B$5)/原始输入与口径!$H$5</f>
        <v>2.63304E-2</v>
      </c>
      <c r="O349" s="12">
        <v>2.6330399999999997E-2</v>
      </c>
      <c r="P349" s="19">
        <f t="shared" si="38"/>
        <v>0</v>
      </c>
      <c r="Q349" s="12">
        <f t="shared" si="39"/>
        <v>10.303199999999999</v>
      </c>
      <c r="R349" s="12">
        <f t="shared" si="40"/>
        <v>0</v>
      </c>
      <c r="S349" s="1">
        <v>143</v>
      </c>
      <c r="T349" s="14">
        <v>46235</v>
      </c>
    </row>
    <row r="350" spans="1:20" ht="21" customHeight="1" x14ac:dyDescent="0.45">
      <c r="A350" s="31">
        <v>46236.486321666664</v>
      </c>
      <c r="B350" s="31">
        <v>46236.489583333328</v>
      </c>
      <c r="C350" s="31">
        <v>46236.479166666664</v>
      </c>
      <c r="D350" s="1" t="s">
        <v>102</v>
      </c>
      <c r="E350" s="12">
        <v>7.8280000000000016E-2</v>
      </c>
      <c r="F350" s="12">
        <f>IF(D350="d",两日求解价格与决策!K151-两日求解价格与决策!N151,IF(D350="u",两日求解价格与决策!K151+两日求解价格与决策!M151,两日求解价格与决策!K151))</f>
        <v>-36</v>
      </c>
      <c r="G350" s="12">
        <f t="shared" si="35"/>
        <v>36</v>
      </c>
      <c r="H350" s="12">
        <f t="shared" si="36"/>
        <v>0</v>
      </c>
      <c r="I350" s="12">
        <f t="shared" si="41"/>
        <v>52.181109863353981</v>
      </c>
      <c r="J350" s="12">
        <f>I350+E350*(G350*原始输入与口径!$B$5-H350/原始输入与口径!$B$5)</f>
        <v>54.773743463353981</v>
      </c>
      <c r="K350" s="12">
        <v>52.181109863353967</v>
      </c>
      <c r="L350" s="12">
        <v>54.773743463353966</v>
      </c>
      <c r="M350" s="19">
        <f t="shared" si="37"/>
        <v>0</v>
      </c>
      <c r="N350" s="12">
        <f>E350*(G350*原始输入与口径!$B$5+H350/原始输入与口径!$B$5)/原始输入与口径!$H$5</f>
        <v>7.2017600000000024E-3</v>
      </c>
      <c r="O350" s="12">
        <v>7.2017600000000015E-3</v>
      </c>
      <c r="P350" s="19">
        <f t="shared" si="38"/>
        <v>0</v>
      </c>
      <c r="Q350" s="12">
        <f t="shared" si="39"/>
        <v>2.8180800000000006</v>
      </c>
      <c r="R350" s="12">
        <f t="shared" si="40"/>
        <v>0</v>
      </c>
      <c r="S350" s="1">
        <v>143</v>
      </c>
      <c r="T350" s="14">
        <v>46235</v>
      </c>
    </row>
    <row r="351" spans="1:20" ht="21" customHeight="1" x14ac:dyDescent="0.45">
      <c r="A351" s="31">
        <v>46236.489583333336</v>
      </c>
      <c r="B351" s="31">
        <v>46236.497135238096</v>
      </c>
      <c r="C351" s="31">
        <v>46236.489583333336</v>
      </c>
      <c r="D351" s="1" t="s">
        <v>103</v>
      </c>
      <c r="E351" s="12">
        <v>0.18124571428571429</v>
      </c>
      <c r="F351" s="12">
        <f>IF(D351="d",两日求解价格与决策!K152-两日求解价格与决策!N152,IF(D351="u",两日求解价格与决策!K152+两日求解价格与决策!M152,两日求解价格与决策!K152))</f>
        <v>-60</v>
      </c>
      <c r="G351" s="12">
        <f t="shared" si="35"/>
        <v>60</v>
      </c>
      <c r="H351" s="12">
        <f t="shared" si="36"/>
        <v>0</v>
      </c>
      <c r="I351" s="12">
        <f t="shared" si="41"/>
        <v>54.773743463353981</v>
      </c>
      <c r="J351" s="12">
        <f>I351+E351*(G351*原始输入与口径!$B$5-H351/原始输入与口径!$B$5)</f>
        <v>64.778506891925417</v>
      </c>
      <c r="K351" s="12">
        <v>54.773743463353966</v>
      </c>
      <c r="L351" s="12">
        <v>64.778506891925389</v>
      </c>
      <c r="M351" s="19">
        <f t="shared" si="37"/>
        <v>0</v>
      </c>
      <c r="N351" s="12">
        <f>E351*(G351*原始输入与口径!$B$5+H351/原始输入与口径!$B$5)/原始输入与口径!$H$5</f>
        <v>2.7791009523809525E-2</v>
      </c>
      <c r="O351" s="12">
        <v>2.7791009523809525E-2</v>
      </c>
      <c r="P351" s="19">
        <f t="shared" si="38"/>
        <v>0</v>
      </c>
      <c r="Q351" s="12">
        <f t="shared" si="39"/>
        <v>10.874742857142857</v>
      </c>
      <c r="R351" s="12">
        <f t="shared" si="40"/>
        <v>0</v>
      </c>
      <c r="S351" s="1">
        <v>144</v>
      </c>
      <c r="T351" s="14">
        <v>46235</v>
      </c>
    </row>
    <row r="352" spans="1:20" ht="21" customHeight="1" x14ac:dyDescent="0.45">
      <c r="A352" s="31">
        <v>46236.497135238096</v>
      </c>
      <c r="B352" s="31">
        <v>46236.5</v>
      </c>
      <c r="C352" s="31">
        <v>46236.489583333336</v>
      </c>
      <c r="D352" s="1" t="s">
        <v>102</v>
      </c>
      <c r="E352" s="12">
        <v>6.8754285714285712E-2</v>
      </c>
      <c r="F352" s="12">
        <f>IF(D352="d",两日求解价格与决策!K152-两日求解价格与决策!N152,IF(D352="u",两日求解价格与决策!K152+两日求解价格与决策!M152,两日求解价格与决策!K152))</f>
        <v>-36</v>
      </c>
      <c r="G352" s="12">
        <f t="shared" si="35"/>
        <v>36</v>
      </c>
      <c r="H352" s="12">
        <f t="shared" si="36"/>
        <v>0</v>
      </c>
      <c r="I352" s="12">
        <f t="shared" si="41"/>
        <v>64.778506891925417</v>
      </c>
      <c r="J352" s="12">
        <f>I352+E352*(G352*原始输入与口径!$B$5-H352/原始输入与口径!$B$5)</f>
        <v>67.055648834782559</v>
      </c>
      <c r="K352" s="12">
        <v>64.778506891925389</v>
      </c>
      <c r="L352" s="12">
        <v>67.055648834782531</v>
      </c>
      <c r="M352" s="19">
        <f t="shared" si="37"/>
        <v>0</v>
      </c>
      <c r="N352" s="12">
        <f>E352*(G352*原始输入与口径!$B$5+H352/原始输入与口径!$B$5)/原始输入与口径!$H$5</f>
        <v>6.3253942857142854E-3</v>
      </c>
      <c r="O352" s="12">
        <v>6.3253942857142854E-3</v>
      </c>
      <c r="P352" s="19">
        <f t="shared" si="38"/>
        <v>0</v>
      </c>
      <c r="Q352" s="12">
        <f t="shared" si="39"/>
        <v>2.4751542857142859</v>
      </c>
      <c r="R352" s="12">
        <f t="shared" si="40"/>
        <v>0</v>
      </c>
      <c r="S352" s="1">
        <v>144</v>
      </c>
      <c r="T352" s="14">
        <v>46235</v>
      </c>
    </row>
    <row r="353" spans="1:20" ht="21" customHeight="1" x14ac:dyDescent="0.45">
      <c r="A353" s="31">
        <v>46236.5</v>
      </c>
      <c r="B353" s="31">
        <v>46236.50669761905</v>
      </c>
      <c r="C353" s="31">
        <v>46236.5</v>
      </c>
      <c r="D353" s="1" t="s">
        <v>103</v>
      </c>
      <c r="E353" s="12">
        <v>0.16074285714285713</v>
      </c>
      <c r="F353" s="12">
        <f>IF(D353="d",两日求解价格与决策!K153-两日求解价格与决策!N153,IF(D353="u",两日求解价格与决策!K153+两日求解价格与决策!M153,两日求解价格与决策!K153))</f>
        <v>-60</v>
      </c>
      <c r="G353" s="12">
        <f t="shared" si="35"/>
        <v>60</v>
      </c>
      <c r="H353" s="12">
        <f t="shared" si="36"/>
        <v>0</v>
      </c>
      <c r="I353" s="12">
        <f t="shared" si="41"/>
        <v>67.055648834782559</v>
      </c>
      <c r="J353" s="12">
        <f>I353+E353*(G353*原始输入与口径!$B$5-H353/原始输入与口径!$B$5)</f>
        <v>75.92865454906827</v>
      </c>
      <c r="K353" s="12">
        <v>67.055648834782531</v>
      </c>
      <c r="L353" s="12">
        <v>75.928654549068241</v>
      </c>
      <c r="M353" s="19">
        <f t="shared" si="37"/>
        <v>0</v>
      </c>
      <c r="N353" s="12">
        <f>E353*(G353*原始输入与口径!$B$5+H353/原始输入与口径!$B$5)/原始输入与口径!$H$5</f>
        <v>2.4647238095238094E-2</v>
      </c>
      <c r="O353" s="12">
        <v>2.4647238095238094E-2</v>
      </c>
      <c r="P353" s="19">
        <f t="shared" si="38"/>
        <v>0</v>
      </c>
      <c r="Q353" s="12">
        <f t="shared" si="39"/>
        <v>9.6445714285714281</v>
      </c>
      <c r="R353" s="12">
        <f t="shared" si="40"/>
        <v>0</v>
      </c>
      <c r="S353" s="1">
        <v>145</v>
      </c>
      <c r="T353" s="14">
        <v>46235</v>
      </c>
    </row>
    <row r="354" spans="1:20" ht="21" customHeight="1" x14ac:dyDescent="0.45">
      <c r="A354" s="31">
        <v>46236.50669761905</v>
      </c>
      <c r="B354" s="31">
        <v>46236.510416666664</v>
      </c>
      <c r="C354" s="31">
        <v>46236.5</v>
      </c>
      <c r="D354" s="1" t="s">
        <v>102</v>
      </c>
      <c r="E354" s="12">
        <v>8.9257142857142868E-2</v>
      </c>
      <c r="F354" s="12">
        <f>IF(D354="d",两日求解价格与决策!K153-两日求解价格与决策!N153,IF(D354="u",两日求解价格与决策!K153+两日求解价格与决策!M153,两日求解价格与决策!K153))</f>
        <v>-36</v>
      </c>
      <c r="G354" s="12">
        <f t="shared" si="35"/>
        <v>36</v>
      </c>
      <c r="H354" s="12">
        <f t="shared" si="36"/>
        <v>0</v>
      </c>
      <c r="I354" s="12">
        <f t="shared" si="41"/>
        <v>75.92865454906827</v>
      </c>
      <c r="J354" s="12">
        <f>I354+E354*(G354*原始输入与口径!$B$5-H354/原始输入与口径!$B$5)</f>
        <v>78.884851120496847</v>
      </c>
      <c r="K354" s="12">
        <v>75.928654549068241</v>
      </c>
      <c r="L354" s="12">
        <v>78.884851120496819</v>
      </c>
      <c r="M354" s="19">
        <f t="shared" si="37"/>
        <v>0</v>
      </c>
      <c r="N354" s="12">
        <f>E354*(G354*原始输入与口径!$B$5+H354/原始输入与口径!$B$5)/原始输入与口径!$H$5</f>
        <v>8.2116571428571452E-3</v>
      </c>
      <c r="O354" s="12">
        <v>8.2116571428571452E-3</v>
      </c>
      <c r="P354" s="19">
        <f t="shared" si="38"/>
        <v>0</v>
      </c>
      <c r="Q354" s="12">
        <f t="shared" si="39"/>
        <v>3.2132571428571435</v>
      </c>
      <c r="R354" s="12">
        <f t="shared" si="40"/>
        <v>0</v>
      </c>
      <c r="S354" s="1">
        <v>145</v>
      </c>
      <c r="T354" s="14">
        <v>46235</v>
      </c>
    </row>
    <row r="355" spans="1:20" ht="21" customHeight="1" x14ac:dyDescent="0.45">
      <c r="A355" s="31">
        <v>46236.510416666664</v>
      </c>
      <c r="B355" s="31">
        <v>46236.515375476185</v>
      </c>
      <c r="C355" s="31">
        <v>46236.510416666664</v>
      </c>
      <c r="D355" s="1" t="s">
        <v>103</v>
      </c>
      <c r="E355" s="12">
        <v>0.11901142857142859</v>
      </c>
      <c r="F355" s="12">
        <f>IF(D355="d",两日求解价格与决策!K154-两日求解价格与决策!N154,IF(D355="u",两日求解价格与决策!K154+两日求解价格与决策!M154,两日求解价格与决策!K154))</f>
        <v>-60</v>
      </c>
      <c r="G355" s="12">
        <f t="shared" si="35"/>
        <v>60</v>
      </c>
      <c r="H355" s="12">
        <f t="shared" si="36"/>
        <v>0</v>
      </c>
      <c r="I355" s="12">
        <f t="shared" si="41"/>
        <v>78.884851120496847</v>
      </c>
      <c r="J355" s="12">
        <f>I355+E355*(G355*原始输入与口径!$B$5-H355/原始输入与口径!$B$5)</f>
        <v>85.45428197763971</v>
      </c>
      <c r="K355" s="12">
        <v>78.884851120496819</v>
      </c>
      <c r="L355" s="12">
        <v>85.454281977639681</v>
      </c>
      <c r="M355" s="19">
        <f t="shared" si="37"/>
        <v>0</v>
      </c>
      <c r="N355" s="12">
        <f>E355*(G355*原始输入与口径!$B$5+H355/原始输入与口径!$B$5)/原始输入与口径!$H$5</f>
        <v>1.8248419047619053E-2</v>
      </c>
      <c r="O355" s="12">
        <v>1.8248419047619053E-2</v>
      </c>
      <c r="P355" s="19">
        <f t="shared" si="38"/>
        <v>0</v>
      </c>
      <c r="Q355" s="12">
        <f t="shared" si="39"/>
        <v>7.1406857142857154</v>
      </c>
      <c r="R355" s="12">
        <f t="shared" si="40"/>
        <v>0</v>
      </c>
      <c r="S355" s="1">
        <v>146</v>
      </c>
      <c r="T355" s="14">
        <v>46235</v>
      </c>
    </row>
    <row r="356" spans="1:20" ht="21" customHeight="1" x14ac:dyDescent="0.45">
      <c r="A356" s="31">
        <v>46236.515375476185</v>
      </c>
      <c r="B356" s="31">
        <v>46236.520833333328</v>
      </c>
      <c r="C356" s="31">
        <v>46236.510416666664</v>
      </c>
      <c r="D356" s="1" t="s">
        <v>102</v>
      </c>
      <c r="E356" s="12">
        <v>0.1309885714285714</v>
      </c>
      <c r="F356" s="12">
        <f>IF(D356="d",两日求解价格与决策!K154-两日求解价格与决策!N154,IF(D356="u",两日求解价格与决策!K154+两日求解价格与决策!M154,两日求解价格与决策!K154))</f>
        <v>-36</v>
      </c>
      <c r="G356" s="12">
        <f t="shared" si="35"/>
        <v>36</v>
      </c>
      <c r="H356" s="12">
        <f t="shared" si="36"/>
        <v>0</v>
      </c>
      <c r="I356" s="12">
        <f t="shared" si="41"/>
        <v>85.45428197763971</v>
      </c>
      <c r="J356" s="12">
        <f>I356+E356*(G356*原始输入与口径!$B$5-H356/原始输入与口径!$B$5)</f>
        <v>89.792623463353991</v>
      </c>
      <c r="K356" s="12">
        <v>85.454281977639681</v>
      </c>
      <c r="L356" s="12">
        <v>89.792623463353962</v>
      </c>
      <c r="M356" s="19">
        <f t="shared" si="37"/>
        <v>0</v>
      </c>
      <c r="N356" s="12">
        <f>E356*(G356*原始输入与口径!$B$5+H356/原始输入与口径!$B$5)/原始输入与口径!$H$5</f>
        <v>1.205094857142857E-2</v>
      </c>
      <c r="O356" s="12">
        <v>1.205094857142857E-2</v>
      </c>
      <c r="P356" s="19">
        <f t="shared" si="38"/>
        <v>0</v>
      </c>
      <c r="Q356" s="12">
        <f t="shared" si="39"/>
        <v>4.7155885714285706</v>
      </c>
      <c r="R356" s="12">
        <f t="shared" si="40"/>
        <v>0</v>
      </c>
      <c r="S356" s="1">
        <v>146</v>
      </c>
      <c r="T356" s="14">
        <v>46235</v>
      </c>
    </row>
    <row r="357" spans="1:20" ht="21" customHeight="1" x14ac:dyDescent="0.45">
      <c r="A357" s="31">
        <v>46236.520833333336</v>
      </c>
      <c r="B357" s="31">
        <v>46236.523133571434</v>
      </c>
      <c r="C357" s="31">
        <v>46236.520833333336</v>
      </c>
      <c r="D357" s="1" t="s">
        <v>103</v>
      </c>
      <c r="E357" s="12">
        <v>5.5205714285714282E-2</v>
      </c>
      <c r="F357" s="12">
        <f>IF(D357="d",两日求解价格与决策!K155-两日求解价格与决策!N155,IF(D357="u",两日求解价格与决策!K155+两日求解价格与决策!M155,两日求解价格与决策!K155))</f>
        <v>-60</v>
      </c>
      <c r="G357" s="12">
        <f t="shared" si="35"/>
        <v>60</v>
      </c>
      <c r="H357" s="12">
        <f t="shared" si="36"/>
        <v>0</v>
      </c>
      <c r="I357" s="12">
        <f t="shared" si="41"/>
        <v>89.792623463353991</v>
      </c>
      <c r="J357" s="12">
        <f>I357+E357*(G357*原始输入与口径!$B$5-H357/原始输入与口径!$B$5)</f>
        <v>92.839978891925426</v>
      </c>
      <c r="K357" s="12">
        <v>89.792623463353962</v>
      </c>
      <c r="L357" s="12">
        <v>92.839978891925398</v>
      </c>
      <c r="M357" s="19">
        <f t="shared" si="37"/>
        <v>0</v>
      </c>
      <c r="N357" s="12">
        <f>E357*(G357*原始输入与口径!$B$5+H357/原始输入与口径!$B$5)/原始输入与口径!$H$5</f>
        <v>8.46487619047619E-3</v>
      </c>
      <c r="O357" s="12">
        <v>8.46487619047619E-3</v>
      </c>
      <c r="P357" s="19">
        <f t="shared" si="38"/>
        <v>0</v>
      </c>
      <c r="Q357" s="12">
        <f t="shared" si="39"/>
        <v>3.3123428571428568</v>
      </c>
      <c r="R357" s="12">
        <f t="shared" si="40"/>
        <v>0</v>
      </c>
      <c r="S357" s="1">
        <v>147</v>
      </c>
      <c r="T357" s="14">
        <v>46235</v>
      </c>
    </row>
    <row r="358" spans="1:20" ht="21" customHeight="1" x14ac:dyDescent="0.45">
      <c r="A358" s="31">
        <v>46236.523133571434</v>
      </c>
      <c r="B358" s="31">
        <v>46236.53125</v>
      </c>
      <c r="C358" s="31">
        <v>46236.520833333336</v>
      </c>
      <c r="D358" s="1" t="s">
        <v>102</v>
      </c>
      <c r="E358" s="12">
        <v>0.19479428571428573</v>
      </c>
      <c r="F358" s="12">
        <f>IF(D358="d",两日求解价格与决策!K155-两日求解价格与决策!N155,IF(D358="u",两日求解价格与决策!K155+两日求解价格与决策!M155,两日求解价格与决策!K155))</f>
        <v>-36</v>
      </c>
      <c r="G358" s="12">
        <f t="shared" si="35"/>
        <v>36</v>
      </c>
      <c r="H358" s="12">
        <f t="shared" si="36"/>
        <v>0</v>
      </c>
      <c r="I358" s="12">
        <f t="shared" si="41"/>
        <v>92.839978891925426</v>
      </c>
      <c r="J358" s="12">
        <f>I358+E358*(G358*原始输入与口径!$B$5-H358/原始输入与口径!$B$5)</f>
        <v>99.291565634782572</v>
      </c>
      <c r="K358" s="12">
        <v>92.839978891925398</v>
      </c>
      <c r="L358" s="12">
        <v>99.291565634782543</v>
      </c>
      <c r="M358" s="19">
        <f t="shared" si="37"/>
        <v>0</v>
      </c>
      <c r="N358" s="12">
        <f>E358*(G358*原始输入与口径!$B$5+H358/原始输入与口径!$B$5)/原始输入与口径!$H$5</f>
        <v>1.7921074285714291E-2</v>
      </c>
      <c r="O358" s="12">
        <v>1.7921074285714288E-2</v>
      </c>
      <c r="P358" s="19">
        <f t="shared" si="38"/>
        <v>0</v>
      </c>
      <c r="Q358" s="12">
        <f t="shared" si="39"/>
        <v>7.012594285714286</v>
      </c>
      <c r="R358" s="12">
        <f t="shared" si="40"/>
        <v>0</v>
      </c>
      <c r="S358" s="1">
        <v>147</v>
      </c>
      <c r="T358" s="14">
        <v>46235</v>
      </c>
    </row>
    <row r="359" spans="1:20" ht="21" customHeight="1" x14ac:dyDescent="0.45">
      <c r="A359" s="31">
        <v>46236.53125</v>
      </c>
      <c r="B359" s="31">
        <v>46236.534878333332</v>
      </c>
      <c r="C359" s="31">
        <v>46236.53125</v>
      </c>
      <c r="D359" s="1" t="s">
        <v>103</v>
      </c>
      <c r="E359" s="12">
        <v>8.7080000000000005E-2</v>
      </c>
      <c r="F359" s="12">
        <f>IF(D359="d",两日求解价格与决策!K156-两日求解价格与决策!N156,IF(D359="u",两日求解价格与决策!K156+两日求解价格与决策!M156,两日求解价格与决策!K156))</f>
        <v>-60</v>
      </c>
      <c r="G359" s="12">
        <f t="shared" si="35"/>
        <v>60</v>
      </c>
      <c r="H359" s="12">
        <f t="shared" si="36"/>
        <v>0</v>
      </c>
      <c r="I359" s="12">
        <f t="shared" si="41"/>
        <v>99.291565634782572</v>
      </c>
      <c r="J359" s="12">
        <f>I359+E359*(G359*原始输入与口径!$B$5-H359/原始输入与口径!$B$5)</f>
        <v>104.09838163478257</v>
      </c>
      <c r="K359" s="12">
        <v>99.291565634782543</v>
      </c>
      <c r="L359" s="12">
        <v>104.09838163478254</v>
      </c>
      <c r="M359" s="19">
        <f t="shared" si="37"/>
        <v>0</v>
      </c>
      <c r="N359" s="12">
        <f>E359*(G359*原始输入与口径!$B$5+H359/原始输入与口径!$B$5)/原始输入与口径!$H$5</f>
        <v>1.3352266666666668E-2</v>
      </c>
      <c r="O359" s="12">
        <v>1.3352266666666668E-2</v>
      </c>
      <c r="P359" s="19">
        <f t="shared" si="38"/>
        <v>0</v>
      </c>
      <c r="Q359" s="12">
        <f t="shared" si="39"/>
        <v>5.2248000000000001</v>
      </c>
      <c r="R359" s="12">
        <f t="shared" si="40"/>
        <v>0</v>
      </c>
      <c r="S359" s="1">
        <v>148</v>
      </c>
      <c r="T359" s="14">
        <v>46235</v>
      </c>
    </row>
    <row r="360" spans="1:20" ht="21" customHeight="1" x14ac:dyDescent="0.45">
      <c r="A360" s="31">
        <v>46236.534878333332</v>
      </c>
      <c r="B360" s="31">
        <v>46236.541666666664</v>
      </c>
      <c r="C360" s="31">
        <v>46236.53125</v>
      </c>
      <c r="D360" s="1" t="s">
        <v>102</v>
      </c>
      <c r="E360" s="12">
        <v>0.16292000000000001</v>
      </c>
      <c r="F360" s="12">
        <f>IF(D360="d",两日求解价格与决策!K156-两日求解价格与决策!N156,IF(D360="u",两日求解价格与决策!K156+两日求解价格与决策!M156,两日求解价格与决策!K156))</f>
        <v>-36</v>
      </c>
      <c r="G360" s="12">
        <f t="shared" si="35"/>
        <v>36</v>
      </c>
      <c r="H360" s="12">
        <f t="shared" si="36"/>
        <v>0</v>
      </c>
      <c r="I360" s="12">
        <f t="shared" si="41"/>
        <v>104.09838163478257</v>
      </c>
      <c r="J360" s="12">
        <f>I360+E360*(G360*原始输入与口径!$B$5-H360/原始输入与口径!$B$5)</f>
        <v>109.49429203478257</v>
      </c>
      <c r="K360" s="12">
        <v>104.09838163478254</v>
      </c>
      <c r="L360" s="12">
        <v>109.49429203478255</v>
      </c>
      <c r="M360" s="19">
        <f t="shared" si="37"/>
        <v>0</v>
      </c>
      <c r="N360" s="12">
        <f>E360*(G360*原始输入与口径!$B$5+H360/原始输入与口径!$B$5)/原始输入与口径!$H$5</f>
        <v>1.4988640000000003E-2</v>
      </c>
      <c r="O360" s="12">
        <v>1.4988639999999999E-2</v>
      </c>
      <c r="P360" s="19">
        <f t="shared" si="38"/>
        <v>0</v>
      </c>
      <c r="Q360" s="12">
        <f t="shared" si="39"/>
        <v>5.8651200000000001</v>
      </c>
      <c r="R360" s="12">
        <f t="shared" si="40"/>
        <v>0</v>
      </c>
      <c r="S360" s="1">
        <v>148</v>
      </c>
      <c r="T360" s="14">
        <v>46235</v>
      </c>
    </row>
    <row r="361" spans="1:20" ht="21" customHeight="1" x14ac:dyDescent="0.45">
      <c r="A361" s="31">
        <v>46236.541666666664</v>
      </c>
      <c r="B361" s="31">
        <v>46236.542612619043</v>
      </c>
      <c r="C361" s="31">
        <v>46236.541666666664</v>
      </c>
      <c r="D361" s="1" t="s">
        <v>103</v>
      </c>
      <c r="E361" s="12">
        <v>2.2702857142857143E-2</v>
      </c>
      <c r="F361" s="12">
        <f>IF(D361="d",两日求解价格与决策!K157-两日求解价格与决策!N157,IF(D361="u",两日求解价格与决策!K157+两日求解价格与决策!M157,两日求解价格与决策!K157))</f>
        <v>-60</v>
      </c>
      <c r="G361" s="12">
        <f t="shared" si="35"/>
        <v>60</v>
      </c>
      <c r="H361" s="12">
        <f t="shared" si="36"/>
        <v>0</v>
      </c>
      <c r="I361" s="12">
        <f t="shared" si="41"/>
        <v>109.49429203478257</v>
      </c>
      <c r="J361" s="12">
        <f>I361+E361*(G361*原始输入与口径!$B$5-H361/原始输入与口径!$B$5)</f>
        <v>110.74748974906829</v>
      </c>
      <c r="K361" s="12">
        <v>109.49429203478255</v>
      </c>
      <c r="L361" s="12">
        <v>110.74748974906827</v>
      </c>
      <c r="M361" s="19">
        <f t="shared" si="37"/>
        <v>0</v>
      </c>
      <c r="N361" s="12">
        <f>E361*(G361*原始输入与口径!$B$5+H361/原始输入与口径!$B$5)/原始输入与口径!$H$5</f>
        <v>3.481104761904762E-3</v>
      </c>
      <c r="O361" s="12">
        <v>3.481104761904762E-3</v>
      </c>
      <c r="P361" s="19">
        <f t="shared" si="38"/>
        <v>0</v>
      </c>
      <c r="Q361" s="12">
        <f t="shared" si="39"/>
        <v>1.3621714285714286</v>
      </c>
      <c r="R361" s="12">
        <f t="shared" si="40"/>
        <v>0</v>
      </c>
      <c r="S361" s="1">
        <v>149</v>
      </c>
      <c r="T361" s="14">
        <v>46235</v>
      </c>
    </row>
    <row r="362" spans="1:20" ht="21" customHeight="1" x14ac:dyDescent="0.45">
      <c r="A362" s="31">
        <v>46236.542612619043</v>
      </c>
      <c r="B362" s="31">
        <v>46236.552083333328</v>
      </c>
      <c r="C362" s="31">
        <v>46236.541666666664</v>
      </c>
      <c r="D362" s="1" t="s">
        <v>102</v>
      </c>
      <c r="E362" s="12">
        <v>0.22729714285714286</v>
      </c>
      <c r="F362" s="12">
        <f>IF(D362="d",两日求解价格与决策!K157-两日求解价格与决策!N157,IF(D362="u",两日求解价格与决策!K157+两日求解价格与决策!M157,两日求解价格与决策!K157))</f>
        <v>-36</v>
      </c>
      <c r="G362" s="12">
        <f t="shared" si="35"/>
        <v>36</v>
      </c>
      <c r="H362" s="12">
        <f t="shared" si="36"/>
        <v>0</v>
      </c>
      <c r="I362" s="12">
        <f t="shared" si="41"/>
        <v>110.74748974906829</v>
      </c>
      <c r="J362" s="12">
        <f>I362+E362*(G362*原始输入与口径!$B$5-H362/原始输入与口径!$B$5)</f>
        <v>118.27557112049686</v>
      </c>
      <c r="K362" s="12">
        <v>110.74748974906827</v>
      </c>
      <c r="L362" s="12">
        <v>118.27557112049683</v>
      </c>
      <c r="M362" s="19">
        <f t="shared" si="37"/>
        <v>0</v>
      </c>
      <c r="N362" s="12">
        <f>E362*(G362*原始输入与口径!$B$5+H362/原始输入与口径!$B$5)/原始输入与口径!$H$5</f>
        <v>2.0911337142857145E-2</v>
      </c>
      <c r="O362" s="12">
        <v>2.0911337142857145E-2</v>
      </c>
      <c r="P362" s="19">
        <f t="shared" si="38"/>
        <v>0</v>
      </c>
      <c r="Q362" s="12">
        <f t="shared" si="39"/>
        <v>8.182697142857144</v>
      </c>
      <c r="R362" s="12">
        <f t="shared" si="40"/>
        <v>0</v>
      </c>
      <c r="S362" s="1">
        <v>149</v>
      </c>
      <c r="T362" s="14">
        <v>46235</v>
      </c>
    </row>
    <row r="363" spans="1:20" ht="21" customHeight="1" x14ac:dyDescent="0.45">
      <c r="A363" s="31">
        <v>46236.552083333336</v>
      </c>
      <c r="B363" s="31">
        <v>46236.55282928572</v>
      </c>
      <c r="C363" s="31">
        <v>46236.552083333336</v>
      </c>
      <c r="D363" s="1" t="s">
        <v>103</v>
      </c>
      <c r="E363" s="12">
        <v>1.7902857142857144E-2</v>
      </c>
      <c r="F363" s="12">
        <f>IF(D363="d",两日求解价格与决策!K158-两日求解价格与决策!N158,IF(D363="u",两日求解价格与决策!K158+两日求解价格与决策!M158,两日求解价格与决策!K158))</f>
        <v>-60</v>
      </c>
      <c r="G363" s="12">
        <f t="shared" si="35"/>
        <v>60</v>
      </c>
      <c r="H363" s="12">
        <f t="shared" si="36"/>
        <v>0</v>
      </c>
      <c r="I363" s="12">
        <f t="shared" si="41"/>
        <v>118.27557112049686</v>
      </c>
      <c r="J363" s="12">
        <f>I363+E363*(G363*原始输入与口径!$B$5-H363/原始输入与口径!$B$5)</f>
        <v>119.26380883478258</v>
      </c>
      <c r="K363" s="12">
        <v>118.27557112049683</v>
      </c>
      <c r="L363" s="12">
        <v>119.26380883478255</v>
      </c>
      <c r="M363" s="19">
        <f t="shared" si="37"/>
        <v>0</v>
      </c>
      <c r="N363" s="12">
        <f>E363*(G363*原始输入与口径!$B$5+H363/原始输入与口径!$B$5)/原始输入与口径!$H$5</f>
        <v>2.7451047619047623E-3</v>
      </c>
      <c r="O363" s="12">
        <v>2.7451047619047619E-3</v>
      </c>
      <c r="P363" s="19">
        <f t="shared" si="38"/>
        <v>0</v>
      </c>
      <c r="Q363" s="12">
        <f t="shared" si="39"/>
        <v>1.0741714285714286</v>
      </c>
      <c r="R363" s="12">
        <f t="shared" si="40"/>
        <v>0</v>
      </c>
      <c r="S363" s="1">
        <v>150</v>
      </c>
      <c r="T363" s="14">
        <v>46235</v>
      </c>
    </row>
    <row r="364" spans="1:20" ht="21" customHeight="1" x14ac:dyDescent="0.45">
      <c r="A364" s="31">
        <v>46236.55282928572</v>
      </c>
      <c r="B364" s="31">
        <v>46236.552839285716</v>
      </c>
      <c r="C364" s="31">
        <v>46236.552083333336</v>
      </c>
      <c r="D364" s="1" t="s">
        <v>101</v>
      </c>
      <c r="E364" s="12">
        <v>2.4000000000000001E-4</v>
      </c>
      <c r="F364" s="12">
        <f>IF(D364="d",两日求解价格与决策!K158-两日求解价格与决策!N158,IF(D364="u",两日求解价格与决策!K158+两日求解价格与决策!M158,两日求解价格与决策!K158))</f>
        <v>-12</v>
      </c>
      <c r="G364" s="12">
        <f t="shared" si="35"/>
        <v>12</v>
      </c>
      <c r="H364" s="12">
        <f t="shared" si="36"/>
        <v>0</v>
      </c>
      <c r="I364" s="12">
        <f t="shared" si="41"/>
        <v>119.26380883478258</v>
      </c>
      <c r="J364" s="12">
        <f>I364+E364*(G364*原始输入与口径!$B$5-H364/原始输入与口径!$B$5)</f>
        <v>119.26645843478258</v>
      </c>
      <c r="K364" s="12">
        <v>119.26380883478255</v>
      </c>
      <c r="L364" s="12">
        <v>119.26645843478255</v>
      </c>
      <c r="M364" s="19">
        <f t="shared" si="37"/>
        <v>0</v>
      </c>
      <c r="N364" s="12">
        <f>E364*(G364*原始输入与口径!$B$5+H364/原始输入与口径!$B$5)/原始输入与口径!$H$5</f>
        <v>7.3600000000000007E-6</v>
      </c>
      <c r="O364" s="12">
        <v>7.3600000000000007E-6</v>
      </c>
      <c r="P364" s="19">
        <f t="shared" si="38"/>
        <v>0</v>
      </c>
      <c r="Q364" s="12">
        <f t="shared" si="39"/>
        <v>2.8800000000000002E-3</v>
      </c>
      <c r="R364" s="12">
        <f t="shared" si="40"/>
        <v>0</v>
      </c>
      <c r="S364" s="1">
        <v>150</v>
      </c>
      <c r="T364" s="14">
        <v>46235</v>
      </c>
    </row>
    <row r="365" spans="1:20" ht="21" customHeight="1" x14ac:dyDescent="0.45">
      <c r="A365" s="31">
        <v>46236.552839285716</v>
      </c>
      <c r="B365" s="31">
        <v>46236.5625</v>
      </c>
      <c r="C365" s="31">
        <v>46236.552083333336</v>
      </c>
      <c r="D365" s="1" t="s">
        <v>102</v>
      </c>
      <c r="E365" s="12">
        <v>0.23185714285714287</v>
      </c>
      <c r="F365" s="12">
        <f>IF(D365="d",两日求解价格与决策!K158-两日求解价格与决策!N158,IF(D365="u",两日求解价格与决策!K158+两日求解价格与决策!M158,两日求解价格与决策!K158))</f>
        <v>-36</v>
      </c>
      <c r="G365" s="12">
        <f t="shared" si="35"/>
        <v>36</v>
      </c>
      <c r="H365" s="12">
        <f t="shared" si="36"/>
        <v>0</v>
      </c>
      <c r="I365" s="12">
        <f t="shared" si="41"/>
        <v>119.26645843478258</v>
      </c>
      <c r="J365" s="12">
        <f>I365+E365*(G365*原始输入与口径!$B$5-H365/原始输入与口径!$B$5)</f>
        <v>126.94556700621115</v>
      </c>
      <c r="K365" s="12">
        <v>119.26645843478255</v>
      </c>
      <c r="L365" s="12">
        <v>126.94556700621112</v>
      </c>
      <c r="M365" s="19">
        <f t="shared" si="37"/>
        <v>0</v>
      </c>
      <c r="N365" s="12">
        <f>E365*(G365*原始输入与口径!$B$5+H365/原始输入与口径!$B$5)/原始输入与口径!$H$5</f>
        <v>2.1330857142857148E-2</v>
      </c>
      <c r="O365" s="12">
        <v>2.1330857142857144E-2</v>
      </c>
      <c r="P365" s="19">
        <f t="shared" si="38"/>
        <v>0</v>
      </c>
      <c r="Q365" s="12">
        <f t="shared" si="39"/>
        <v>8.346857142857143</v>
      </c>
      <c r="R365" s="12">
        <f t="shared" si="40"/>
        <v>0</v>
      </c>
      <c r="S365" s="1">
        <v>150</v>
      </c>
      <c r="T365" s="14">
        <v>46235</v>
      </c>
    </row>
    <row r="366" spans="1:20" ht="21" customHeight="1" x14ac:dyDescent="0.45">
      <c r="A366" s="31">
        <v>46236.5625</v>
      </c>
      <c r="B366" s="31">
        <v>46236.563453333336</v>
      </c>
      <c r="C366" s="31">
        <v>46236.5625</v>
      </c>
      <c r="D366" s="1" t="s">
        <v>103</v>
      </c>
      <c r="E366" s="12">
        <v>2.2879999999999998E-2</v>
      </c>
      <c r="F366" s="12">
        <f>IF(D366="d",两日求解价格与决策!K159-两日求解价格与决策!N159,IF(D366="u",两日求解价格与决策!K159+两日求解价格与决策!M159,两日求解价格与决策!K159))</f>
        <v>-60</v>
      </c>
      <c r="G366" s="12">
        <f t="shared" si="35"/>
        <v>60</v>
      </c>
      <c r="H366" s="12">
        <f t="shared" si="36"/>
        <v>0</v>
      </c>
      <c r="I366" s="12">
        <f t="shared" si="41"/>
        <v>126.94556700621115</v>
      </c>
      <c r="J366" s="12">
        <f>I366+E366*(G366*原始输入与口径!$B$5-H366/原始输入与口径!$B$5)</f>
        <v>128.20854300621116</v>
      </c>
      <c r="K366" s="12">
        <v>126.94556700621112</v>
      </c>
      <c r="L366" s="12">
        <v>128.20854300621113</v>
      </c>
      <c r="M366" s="19">
        <f t="shared" si="37"/>
        <v>0</v>
      </c>
      <c r="N366" s="12">
        <f>E366*(G366*原始输入与口径!$B$5+H366/原始输入与口径!$B$5)/原始输入与口径!$H$5</f>
        <v>3.5082666666666662E-3</v>
      </c>
      <c r="O366" s="12">
        <v>3.5082666666666662E-3</v>
      </c>
      <c r="P366" s="19">
        <f t="shared" si="38"/>
        <v>0</v>
      </c>
      <c r="Q366" s="12">
        <f t="shared" si="39"/>
        <v>1.3727999999999998</v>
      </c>
      <c r="R366" s="12">
        <f t="shared" si="40"/>
        <v>0</v>
      </c>
      <c r="S366" s="1">
        <v>151</v>
      </c>
      <c r="T366" s="14">
        <v>46235</v>
      </c>
    </row>
    <row r="367" spans="1:20" ht="21" customHeight="1" x14ac:dyDescent="0.45">
      <c r="A367" s="31">
        <v>46236.563453333336</v>
      </c>
      <c r="B367" s="31">
        <v>46236.563457380951</v>
      </c>
      <c r="C367" s="31">
        <v>46236.5625</v>
      </c>
      <c r="D367" s="1" t="s">
        <v>101</v>
      </c>
      <c r="E367" s="12">
        <v>9.7142857142857152E-5</v>
      </c>
      <c r="F367" s="12">
        <f>IF(D367="d",两日求解价格与决策!K159-两日求解价格与决策!N159,IF(D367="u",两日求解价格与决策!K159+两日求解价格与决策!M159,两日求解价格与决策!K159))</f>
        <v>-12</v>
      </c>
      <c r="G367" s="12">
        <f t="shared" si="35"/>
        <v>12</v>
      </c>
      <c r="H367" s="12">
        <f t="shared" si="36"/>
        <v>0</v>
      </c>
      <c r="I367" s="12">
        <f t="shared" si="41"/>
        <v>128.20854300621116</v>
      </c>
      <c r="J367" s="12">
        <f>I367+E367*(G367*原始输入与口径!$B$5-H367/原始输入与口径!$B$5)</f>
        <v>128.20961546335403</v>
      </c>
      <c r="K367" s="12">
        <v>128.20854300621113</v>
      </c>
      <c r="L367" s="12">
        <v>128.209615463354</v>
      </c>
      <c r="M367" s="19">
        <f t="shared" si="37"/>
        <v>0</v>
      </c>
      <c r="N367" s="12">
        <f>E367*(G367*原始输入与口径!$B$5+H367/原始输入与口径!$B$5)/原始输入与口径!$H$5</f>
        <v>2.9790476190476192E-6</v>
      </c>
      <c r="O367" s="12">
        <v>2.9790476190476192E-6</v>
      </c>
      <c r="P367" s="19">
        <f t="shared" si="38"/>
        <v>0</v>
      </c>
      <c r="Q367" s="12">
        <f t="shared" si="39"/>
        <v>1.1657142857142858E-3</v>
      </c>
      <c r="R367" s="12">
        <f t="shared" si="40"/>
        <v>0</v>
      </c>
      <c r="S367" s="1">
        <v>151</v>
      </c>
      <c r="T367" s="14">
        <v>46235</v>
      </c>
    </row>
    <row r="368" spans="1:20" ht="21" customHeight="1" x14ac:dyDescent="0.45">
      <c r="A368" s="31">
        <v>46236.563457380951</v>
      </c>
      <c r="B368" s="31">
        <v>46236.572916666664</v>
      </c>
      <c r="C368" s="31">
        <v>46236.5625</v>
      </c>
      <c r="D368" s="1" t="s">
        <v>102</v>
      </c>
      <c r="E368" s="12">
        <v>0.22702285714285714</v>
      </c>
      <c r="F368" s="12">
        <f>IF(D368="d",两日求解价格与决策!K159-两日求解价格与决策!N159,IF(D368="u",两日求解价格与决策!K159+两日求解价格与决策!M159,两日求解价格与决策!K159))</f>
        <v>-36</v>
      </c>
      <c r="G368" s="12">
        <f t="shared" si="35"/>
        <v>36</v>
      </c>
      <c r="H368" s="12">
        <f t="shared" si="36"/>
        <v>0</v>
      </c>
      <c r="I368" s="12">
        <f t="shared" si="41"/>
        <v>128.20961546335403</v>
      </c>
      <c r="J368" s="12">
        <f>I368+E368*(G368*原始输入与口径!$B$5-H368/原始输入与口径!$B$5)</f>
        <v>135.72861249192545</v>
      </c>
      <c r="K368" s="12">
        <v>128.209615463354</v>
      </c>
      <c r="L368" s="12">
        <v>135.72861249192542</v>
      </c>
      <c r="M368" s="19">
        <f t="shared" si="37"/>
        <v>0</v>
      </c>
      <c r="N368" s="12">
        <f>E368*(G368*原始输入与口径!$B$5+H368/原始输入与口径!$B$5)/原始输入与口径!$H$5</f>
        <v>2.088610285714286E-2</v>
      </c>
      <c r="O368" s="12">
        <v>2.0886102857142857E-2</v>
      </c>
      <c r="P368" s="19">
        <f t="shared" si="38"/>
        <v>0</v>
      </c>
      <c r="Q368" s="12">
        <f t="shared" si="39"/>
        <v>8.1728228571428563</v>
      </c>
      <c r="R368" s="12">
        <f t="shared" si="40"/>
        <v>0</v>
      </c>
      <c r="S368" s="1">
        <v>151</v>
      </c>
      <c r="T368" s="14">
        <v>46235</v>
      </c>
    </row>
    <row r="369" spans="1:20" ht="21" customHeight="1" x14ac:dyDescent="0.45">
      <c r="A369" s="31">
        <v>46236.572916666664</v>
      </c>
      <c r="B369" s="31">
        <v>46236.575699761903</v>
      </c>
      <c r="C369" s="31">
        <v>46236.572916666664</v>
      </c>
      <c r="D369" s="1" t="s">
        <v>103</v>
      </c>
      <c r="E369" s="12">
        <v>6.6794285714285709E-2</v>
      </c>
      <c r="F369" s="12">
        <f>IF(D369="d",两日求解价格与决策!K160-两日求解价格与决策!N160,IF(D369="u",两日求解价格与决策!K160+两日求解价格与决策!M160,两日求解价格与决策!K160))</f>
        <v>-24</v>
      </c>
      <c r="G369" s="12">
        <f t="shared" si="35"/>
        <v>24</v>
      </c>
      <c r="H369" s="12">
        <f t="shared" si="36"/>
        <v>0</v>
      </c>
      <c r="I369" s="12">
        <f t="shared" si="41"/>
        <v>135.72861249192545</v>
      </c>
      <c r="J369" s="12">
        <f>I369+E369*(G369*原始输入与口径!$B$5-H369/原始输入与口径!$B$5)</f>
        <v>137.20343032049686</v>
      </c>
      <c r="K369" s="12">
        <v>135.72861249192542</v>
      </c>
      <c r="L369" s="12">
        <v>137.20343032049684</v>
      </c>
      <c r="M369" s="19">
        <f t="shared" si="37"/>
        <v>0</v>
      </c>
      <c r="N369" s="12">
        <f>E369*(G369*原始输入与口径!$B$5+H369/原始输入与口径!$B$5)/原始输入与口径!$H$5</f>
        <v>4.0967161904761906E-3</v>
      </c>
      <c r="O369" s="12">
        <v>4.0967161904761906E-3</v>
      </c>
      <c r="P369" s="19">
        <f t="shared" si="38"/>
        <v>0</v>
      </c>
      <c r="Q369" s="12">
        <f t="shared" si="39"/>
        <v>1.6030628571428571</v>
      </c>
      <c r="R369" s="12">
        <f t="shared" si="40"/>
        <v>0</v>
      </c>
      <c r="S369" s="1">
        <v>152</v>
      </c>
      <c r="T369" s="14">
        <v>46235</v>
      </c>
    </row>
    <row r="370" spans="1:20" ht="21" customHeight="1" x14ac:dyDescent="0.45">
      <c r="A370" s="31">
        <v>46236.575699761903</v>
      </c>
      <c r="B370" s="31">
        <v>46236.583333333328</v>
      </c>
      <c r="C370" s="31">
        <v>46236.572916666664</v>
      </c>
      <c r="D370" s="1" t="s">
        <v>102</v>
      </c>
      <c r="E370" s="12">
        <v>0.18320571428571431</v>
      </c>
      <c r="F370" s="12">
        <f>IF(D370="d",两日求解价格与决策!K160-两日求解价格与决策!N160,IF(D370="u",两日求解价格与决策!K160+两日求解价格与决策!M160,两日求解价格与决策!K160))</f>
        <v>0</v>
      </c>
      <c r="G370" s="12">
        <f t="shared" si="35"/>
        <v>0</v>
      </c>
      <c r="H370" s="12">
        <f t="shared" si="36"/>
        <v>0</v>
      </c>
      <c r="I370" s="12">
        <f t="shared" si="41"/>
        <v>137.20343032049686</v>
      </c>
      <c r="J370" s="12">
        <f>I370+E370*(G370*原始输入与口径!$B$5-H370/原始输入与口径!$B$5)</f>
        <v>137.20343032049686</v>
      </c>
      <c r="K370" s="12">
        <v>137.20343032049684</v>
      </c>
      <c r="L370" s="12">
        <v>137.20343032049684</v>
      </c>
      <c r="M370" s="19">
        <f t="shared" si="37"/>
        <v>0</v>
      </c>
      <c r="N370" s="12">
        <f>E370*(G370*原始输入与口径!$B$5+H370/原始输入与口径!$B$5)/原始输入与口径!$H$5</f>
        <v>0</v>
      </c>
      <c r="O370" s="12">
        <v>0</v>
      </c>
      <c r="P370" s="19">
        <f t="shared" si="38"/>
        <v>0</v>
      </c>
      <c r="Q370" s="12">
        <f t="shared" si="39"/>
        <v>0</v>
      </c>
      <c r="R370" s="12">
        <f t="shared" si="40"/>
        <v>0</v>
      </c>
      <c r="S370" s="1">
        <v>152</v>
      </c>
      <c r="T370" s="14">
        <v>46235</v>
      </c>
    </row>
    <row r="371" spans="1:20" ht="21" customHeight="1" x14ac:dyDescent="0.45">
      <c r="A371" s="31">
        <v>46236.583333333336</v>
      </c>
      <c r="B371" s="31">
        <v>46236.589177857146</v>
      </c>
      <c r="C371" s="31">
        <v>46236.583333333336</v>
      </c>
      <c r="D371" s="1" t="s">
        <v>103</v>
      </c>
      <c r="E371" s="12">
        <v>0.14026857142857144</v>
      </c>
      <c r="F371" s="12">
        <f>IF(D371="d",两日求解价格与决策!K161-两日求解价格与决策!N161,IF(D371="u",两日求解价格与决策!K161+两日求解价格与决策!M161,两日求解价格与决策!K161))</f>
        <v>-33.721503213610504</v>
      </c>
      <c r="G371" s="12">
        <f t="shared" si="35"/>
        <v>33.721503213610504</v>
      </c>
      <c r="H371" s="12">
        <f t="shared" si="36"/>
        <v>0</v>
      </c>
      <c r="I371" s="12">
        <f t="shared" si="41"/>
        <v>137.20343032049686</v>
      </c>
      <c r="J371" s="12">
        <f>I371+E371*(G371*原始输入与口径!$B$5-H371/原始输入与口径!$B$5)</f>
        <v>141.55509203611822</v>
      </c>
      <c r="K371" s="12">
        <v>137.20343032049684</v>
      </c>
      <c r="L371" s="12">
        <v>141.5550920361182</v>
      </c>
      <c r="M371" s="19">
        <f t="shared" si="37"/>
        <v>0</v>
      </c>
      <c r="N371" s="12">
        <f>E371*(G371*原始输入与口径!$B$5+H371/原始输入与口径!$B$5)/原始输入与口径!$H$5</f>
        <v>1.2087949210059321E-2</v>
      </c>
      <c r="O371" s="12">
        <v>1.2087949210059325E-2</v>
      </c>
      <c r="P371" s="19">
        <f t="shared" si="38"/>
        <v>0</v>
      </c>
      <c r="Q371" s="12">
        <f t="shared" si="39"/>
        <v>4.7300670821971265</v>
      </c>
      <c r="R371" s="12">
        <f t="shared" si="40"/>
        <v>0</v>
      </c>
      <c r="S371" s="1">
        <v>153</v>
      </c>
      <c r="T371" s="14">
        <v>46235</v>
      </c>
    </row>
    <row r="372" spans="1:20" ht="21" customHeight="1" x14ac:dyDescent="0.45">
      <c r="A372" s="31">
        <v>46236.589177857146</v>
      </c>
      <c r="B372" s="31">
        <v>46236.59375</v>
      </c>
      <c r="C372" s="31">
        <v>46236.583333333336</v>
      </c>
      <c r="D372" s="1" t="s">
        <v>102</v>
      </c>
      <c r="E372" s="12">
        <v>0.10973142857142856</v>
      </c>
      <c r="F372" s="12">
        <f>IF(D372="d",两日求解价格与决策!K161-两日求解价格与决策!N161,IF(D372="u",两日求解价格与决策!K161+两日求解价格与决策!M161,两日求解价格与决策!K161))</f>
        <v>-9.7215032136105002</v>
      </c>
      <c r="G372" s="12">
        <f t="shared" si="35"/>
        <v>9.7215032136105002</v>
      </c>
      <c r="H372" s="12">
        <f t="shared" si="36"/>
        <v>0</v>
      </c>
      <c r="I372" s="12">
        <f t="shared" si="41"/>
        <v>141.55509203611822</v>
      </c>
      <c r="J372" s="12">
        <f>I372+E372*(G372*原始输入与口径!$B$5-H372/原始输入与口径!$B$5)</f>
        <v>142.53650611677014</v>
      </c>
      <c r="K372" s="12">
        <v>141.5550920361182</v>
      </c>
      <c r="L372" s="12">
        <v>142.53650611677011</v>
      </c>
      <c r="M372" s="19">
        <f t="shared" si="37"/>
        <v>0</v>
      </c>
      <c r="N372" s="12">
        <f>E372*(G372*原始输入与口径!$B$5+H372/原始输入与口径!$B$5)/原始输入与口径!$H$5</f>
        <v>2.7261502240331021E-3</v>
      </c>
      <c r="O372" s="12">
        <v>2.7261502240331021E-3</v>
      </c>
      <c r="P372" s="19">
        <f t="shared" si="38"/>
        <v>0</v>
      </c>
      <c r="Q372" s="12">
        <f t="shared" si="39"/>
        <v>1.0667544354912137</v>
      </c>
      <c r="R372" s="12">
        <f t="shared" si="40"/>
        <v>0</v>
      </c>
      <c r="S372" s="1">
        <v>153</v>
      </c>
      <c r="T372" s="14">
        <v>46235</v>
      </c>
    </row>
    <row r="373" spans="1:20" ht="21" customHeight="1" x14ac:dyDescent="0.45">
      <c r="A373" s="31">
        <v>46236.59375</v>
      </c>
      <c r="B373" s="31">
        <v>46236.597261904761</v>
      </c>
      <c r="C373" s="31">
        <v>46236.59375</v>
      </c>
      <c r="D373" s="1" t="s">
        <v>103</v>
      </c>
      <c r="E373" s="12">
        <v>8.4285714285714283E-2</v>
      </c>
      <c r="F373" s="12">
        <f>IF(D373="d",两日求解价格与决策!K162-两日求解价格与决策!N162,IF(D373="u",两日求解价格与决策!K162+两日求解价格与决策!M162,两日求解价格与决策!K162))</f>
        <v>-60</v>
      </c>
      <c r="G373" s="12">
        <f t="shared" si="35"/>
        <v>60</v>
      </c>
      <c r="H373" s="12">
        <f t="shared" si="36"/>
        <v>0</v>
      </c>
      <c r="I373" s="12">
        <f t="shared" si="41"/>
        <v>142.53650611677014</v>
      </c>
      <c r="J373" s="12">
        <f>I373+E373*(G373*原始输入与口径!$B$5-H373/原始输入与口径!$B$5)</f>
        <v>147.18907754534158</v>
      </c>
      <c r="K373" s="12">
        <v>142.53650611677011</v>
      </c>
      <c r="L373" s="12">
        <v>147.18907754534155</v>
      </c>
      <c r="M373" s="19">
        <f t="shared" si="37"/>
        <v>0</v>
      </c>
      <c r="N373" s="12">
        <f>E373*(G373*原始输入与口径!$B$5+H373/原始输入与口径!$B$5)/原始输入与口径!$H$5</f>
        <v>1.2923809523809525E-2</v>
      </c>
      <c r="O373" s="12">
        <v>1.2923809523809525E-2</v>
      </c>
      <c r="P373" s="19">
        <f t="shared" si="38"/>
        <v>0</v>
      </c>
      <c r="Q373" s="12">
        <f t="shared" si="39"/>
        <v>5.0571428571428569</v>
      </c>
      <c r="R373" s="12">
        <f t="shared" si="40"/>
        <v>0</v>
      </c>
      <c r="S373" s="1">
        <v>154</v>
      </c>
      <c r="T373" s="14">
        <v>46235</v>
      </c>
    </row>
    <row r="374" spans="1:20" ht="21" customHeight="1" x14ac:dyDescent="0.45">
      <c r="A374" s="31">
        <v>46236.597261904761</v>
      </c>
      <c r="B374" s="31">
        <v>46236.604166666664</v>
      </c>
      <c r="C374" s="31">
        <v>46236.59375</v>
      </c>
      <c r="D374" s="1" t="s">
        <v>102</v>
      </c>
      <c r="E374" s="12">
        <v>0.1657142857142857</v>
      </c>
      <c r="F374" s="12">
        <f>IF(D374="d",两日求解价格与决策!K162-两日求解价格与决策!N162,IF(D374="u",两日求解价格与决策!K162+两日求解价格与决策!M162,两日求解价格与决策!K162))</f>
        <v>-36</v>
      </c>
      <c r="G374" s="12">
        <f t="shared" si="35"/>
        <v>36</v>
      </c>
      <c r="H374" s="12">
        <f t="shared" si="36"/>
        <v>0</v>
      </c>
      <c r="I374" s="12">
        <f t="shared" si="41"/>
        <v>147.18907754534158</v>
      </c>
      <c r="J374" s="12">
        <f>I374+E374*(G374*原始输入与口径!$B$5-H374/原始输入与口径!$B$5)</f>
        <v>152.6775346881987</v>
      </c>
      <c r="K374" s="12">
        <v>147.18907754534155</v>
      </c>
      <c r="L374" s="12">
        <v>152.67753468819868</v>
      </c>
      <c r="M374" s="19">
        <f t="shared" si="37"/>
        <v>0</v>
      </c>
      <c r="N374" s="12">
        <f>E374*(G374*原始输入与口径!$B$5+H374/原始输入与口径!$B$5)/原始输入与口径!$H$5</f>
        <v>1.5245714285714288E-2</v>
      </c>
      <c r="O374" s="12">
        <v>1.5245714285714284E-2</v>
      </c>
      <c r="P374" s="19">
        <f t="shared" si="38"/>
        <v>0</v>
      </c>
      <c r="Q374" s="12">
        <f t="shared" si="39"/>
        <v>5.9657142857142853</v>
      </c>
      <c r="R374" s="12">
        <f t="shared" si="40"/>
        <v>0</v>
      </c>
      <c r="S374" s="1">
        <v>154</v>
      </c>
      <c r="T374" s="14">
        <v>46235</v>
      </c>
    </row>
    <row r="375" spans="1:20" ht="21" customHeight="1" x14ac:dyDescent="0.45">
      <c r="A375" s="31">
        <v>46236.604166666664</v>
      </c>
      <c r="B375" s="31">
        <v>46236.604979285708</v>
      </c>
      <c r="C375" s="31">
        <v>46236.604166666664</v>
      </c>
      <c r="D375" s="1" t="s">
        <v>103</v>
      </c>
      <c r="E375" s="12">
        <v>1.9502857142857141E-2</v>
      </c>
      <c r="F375" s="12">
        <f>IF(D375="d",两日求解价格与决策!K163-两日求解价格与决策!N163,IF(D375="u",两日求解价格与决策!K163+两日求解价格与决策!M163,两日求解价格与决策!K163))</f>
        <v>-60</v>
      </c>
      <c r="G375" s="12">
        <f t="shared" si="35"/>
        <v>60</v>
      </c>
      <c r="H375" s="12">
        <f t="shared" si="36"/>
        <v>0</v>
      </c>
      <c r="I375" s="12">
        <f t="shared" si="41"/>
        <v>152.6775346881987</v>
      </c>
      <c r="J375" s="12">
        <f>I375+E375*(G375*原始输入与口径!$B$5-H375/原始输入与口径!$B$5)</f>
        <v>153.75409240248442</v>
      </c>
      <c r="K375" s="12">
        <v>152.67753468819868</v>
      </c>
      <c r="L375" s="12">
        <v>153.75409240248439</v>
      </c>
      <c r="M375" s="19">
        <f t="shared" si="37"/>
        <v>0</v>
      </c>
      <c r="N375" s="12">
        <f>E375*(G375*原始输入与口径!$B$5+H375/原始输入与口径!$B$5)/原始输入与口径!$H$5</f>
        <v>2.9904380952380954E-3</v>
      </c>
      <c r="O375" s="12">
        <v>2.990438095238095E-3</v>
      </c>
      <c r="P375" s="19">
        <f t="shared" si="38"/>
        <v>0</v>
      </c>
      <c r="Q375" s="12">
        <f t="shared" si="39"/>
        <v>1.1701714285714284</v>
      </c>
      <c r="R375" s="12">
        <f t="shared" si="40"/>
        <v>0</v>
      </c>
      <c r="S375" s="1">
        <v>155</v>
      </c>
      <c r="T375" s="14">
        <v>46235</v>
      </c>
    </row>
    <row r="376" spans="1:20" ht="21" customHeight="1" x14ac:dyDescent="0.45">
      <c r="A376" s="31">
        <v>46236.604979285708</v>
      </c>
      <c r="B376" s="31">
        <v>46236.614583333328</v>
      </c>
      <c r="C376" s="31">
        <v>46236.604166666664</v>
      </c>
      <c r="D376" s="1" t="s">
        <v>102</v>
      </c>
      <c r="E376" s="12">
        <v>0.23049714285714284</v>
      </c>
      <c r="F376" s="12">
        <f>IF(D376="d",两日求解价格与决策!K163-两日求解价格与决策!N163,IF(D376="u",两日求解价格与决策!K163+两日求解价格与决策!M163,两日求解价格与决策!K163))</f>
        <v>-36</v>
      </c>
      <c r="G376" s="12">
        <f t="shared" si="35"/>
        <v>36</v>
      </c>
      <c r="H376" s="12">
        <f t="shared" si="36"/>
        <v>0</v>
      </c>
      <c r="I376" s="12">
        <f t="shared" si="41"/>
        <v>153.75409240248442</v>
      </c>
      <c r="J376" s="12">
        <f>I376+E376*(G376*原始输入与口径!$B$5-H376/原始输入与口径!$B$5)</f>
        <v>161.38815777391298</v>
      </c>
      <c r="K376" s="12">
        <v>153.75409240248439</v>
      </c>
      <c r="L376" s="12">
        <v>161.38815777391295</v>
      </c>
      <c r="M376" s="19">
        <f t="shared" si="37"/>
        <v>0</v>
      </c>
      <c r="N376" s="12">
        <f>E376*(G376*原始输入与口径!$B$5+H376/原始输入与口径!$B$5)/原始输入与口径!$H$5</f>
        <v>2.1205737142857145E-2</v>
      </c>
      <c r="O376" s="12">
        <v>2.1205737142857142E-2</v>
      </c>
      <c r="P376" s="19">
        <f t="shared" si="38"/>
        <v>0</v>
      </c>
      <c r="Q376" s="12">
        <f t="shared" si="39"/>
        <v>8.297897142857142</v>
      </c>
      <c r="R376" s="12">
        <f t="shared" si="40"/>
        <v>0</v>
      </c>
      <c r="S376" s="1">
        <v>155</v>
      </c>
      <c r="T376" s="14">
        <v>46235</v>
      </c>
    </row>
    <row r="377" spans="1:20" ht="21" customHeight="1" x14ac:dyDescent="0.45">
      <c r="A377" s="31">
        <v>46236.614583333336</v>
      </c>
      <c r="B377" s="31">
        <v>46236.616615476196</v>
      </c>
      <c r="C377" s="31">
        <v>46236.614583333336</v>
      </c>
      <c r="D377" s="1" t="s">
        <v>103</v>
      </c>
      <c r="E377" s="12">
        <v>4.877142857142857E-2</v>
      </c>
      <c r="F377" s="12">
        <f>IF(D377="d",两日求解价格与决策!K164-两日求解价格与决策!N164,IF(D377="u",两日求解价格与决策!K164+两日求解价格与决策!M164,两日求解价格与决策!K164))</f>
        <v>-60</v>
      </c>
      <c r="G377" s="12">
        <f t="shared" si="35"/>
        <v>60</v>
      </c>
      <c r="H377" s="12">
        <f t="shared" si="36"/>
        <v>0</v>
      </c>
      <c r="I377" s="12">
        <f t="shared" si="41"/>
        <v>161.38815777391298</v>
      </c>
      <c r="J377" s="12">
        <f>I377+E377*(G377*原始输入与口径!$B$5-H377/原始输入与口径!$B$5)</f>
        <v>164.08034063105583</v>
      </c>
      <c r="K377" s="12">
        <v>161.38815777391295</v>
      </c>
      <c r="L377" s="12">
        <v>164.0803406310558</v>
      </c>
      <c r="M377" s="19">
        <f t="shared" si="37"/>
        <v>0</v>
      </c>
      <c r="N377" s="12">
        <f>E377*(G377*原始输入与口径!$B$5+H377/原始输入与口径!$B$5)/原始输入与口径!$H$5</f>
        <v>7.4782857142857142E-3</v>
      </c>
      <c r="O377" s="12">
        <v>7.4782857142857142E-3</v>
      </c>
      <c r="P377" s="19">
        <f t="shared" si="38"/>
        <v>0</v>
      </c>
      <c r="Q377" s="12">
        <f t="shared" si="39"/>
        <v>2.9262857142857142</v>
      </c>
      <c r="R377" s="12">
        <f t="shared" si="40"/>
        <v>0</v>
      </c>
      <c r="S377" s="1">
        <v>156</v>
      </c>
      <c r="T377" s="14">
        <v>46235</v>
      </c>
    </row>
    <row r="378" spans="1:20" ht="21" customHeight="1" x14ac:dyDescent="0.45">
      <c r="A378" s="31">
        <v>46236.616615476196</v>
      </c>
      <c r="B378" s="31">
        <v>46236.616622380956</v>
      </c>
      <c r="C378" s="31">
        <v>46236.614583333336</v>
      </c>
      <c r="D378" s="1" t="s">
        <v>101</v>
      </c>
      <c r="E378" s="12">
        <v>1.6571428571428572E-4</v>
      </c>
      <c r="F378" s="12">
        <f>IF(D378="d",两日求解价格与决策!K164-两日求解价格与决策!N164,IF(D378="u",两日求解价格与决策!K164+两日求解价格与决策!M164,两日求解价格与决策!K164))</f>
        <v>-12</v>
      </c>
      <c r="G378" s="12">
        <f t="shared" si="35"/>
        <v>12</v>
      </c>
      <c r="H378" s="12">
        <f t="shared" si="36"/>
        <v>0</v>
      </c>
      <c r="I378" s="12">
        <f t="shared" si="41"/>
        <v>164.08034063105583</v>
      </c>
      <c r="J378" s="12">
        <f>I378+E378*(G378*原始输入与口径!$B$5-H378/原始输入与口径!$B$5)</f>
        <v>164.08217011677013</v>
      </c>
      <c r="K378" s="12">
        <v>164.0803406310558</v>
      </c>
      <c r="L378" s="12">
        <v>164.0821701167701</v>
      </c>
      <c r="M378" s="19">
        <f t="shared" si="37"/>
        <v>0</v>
      </c>
      <c r="N378" s="12">
        <f>E378*(G378*原始输入与口径!$B$5+H378/原始输入与口径!$B$5)/原始输入与口径!$H$5</f>
        <v>5.0819047619047619E-6</v>
      </c>
      <c r="O378" s="12">
        <v>5.0819047619047619E-6</v>
      </c>
      <c r="P378" s="19">
        <f t="shared" si="38"/>
        <v>0</v>
      </c>
      <c r="Q378" s="12">
        <f t="shared" si="39"/>
        <v>1.9885714285714285E-3</v>
      </c>
      <c r="R378" s="12">
        <f t="shared" si="40"/>
        <v>0</v>
      </c>
      <c r="S378" s="1">
        <v>156</v>
      </c>
      <c r="T378" s="14">
        <v>46235</v>
      </c>
    </row>
    <row r="379" spans="1:20" ht="21" customHeight="1" x14ac:dyDescent="0.45">
      <c r="A379" s="31">
        <v>46236.616622380956</v>
      </c>
      <c r="B379" s="31">
        <v>46236.625</v>
      </c>
      <c r="C379" s="31">
        <v>46236.614583333336</v>
      </c>
      <c r="D379" s="1" t="s">
        <v>102</v>
      </c>
      <c r="E379" s="12">
        <v>0.20106285714285713</v>
      </c>
      <c r="F379" s="12">
        <f>IF(D379="d",两日求解价格与决策!K164-两日求解价格与决策!N164,IF(D379="u",两日求解价格与决策!K164+两日求解价格与决策!M164,两日求解价格与决策!K164))</f>
        <v>-36</v>
      </c>
      <c r="G379" s="12">
        <f t="shared" si="35"/>
        <v>36</v>
      </c>
      <c r="H379" s="12">
        <f t="shared" si="36"/>
        <v>0</v>
      </c>
      <c r="I379" s="12">
        <f t="shared" si="41"/>
        <v>164.08217011677013</v>
      </c>
      <c r="J379" s="12">
        <f>I379+E379*(G379*原始输入与口径!$B$5-H379/原始输入与口径!$B$5)</f>
        <v>170.74137194534157</v>
      </c>
      <c r="K379" s="12">
        <v>164.0821701167701</v>
      </c>
      <c r="L379" s="12">
        <v>170.74137194534154</v>
      </c>
      <c r="M379" s="19">
        <f t="shared" si="37"/>
        <v>0</v>
      </c>
      <c r="N379" s="12">
        <f>E379*(G379*原始输入与口径!$B$5+H379/原始输入与口径!$B$5)/原始输入与口径!$H$5</f>
        <v>1.8497782857142857E-2</v>
      </c>
      <c r="O379" s="12">
        <v>1.8497782857142857E-2</v>
      </c>
      <c r="P379" s="19">
        <f t="shared" si="38"/>
        <v>0</v>
      </c>
      <c r="Q379" s="12">
        <f t="shared" si="39"/>
        <v>7.2382628571428569</v>
      </c>
      <c r="R379" s="12">
        <f t="shared" si="40"/>
        <v>0</v>
      </c>
      <c r="S379" s="1">
        <v>156</v>
      </c>
      <c r="T379" s="14">
        <v>46235</v>
      </c>
    </row>
    <row r="380" spans="1:20" ht="21" customHeight="1" x14ac:dyDescent="0.45">
      <c r="A380" s="31">
        <v>46236.625</v>
      </c>
      <c r="B380" s="31">
        <v>46236.630641904761</v>
      </c>
      <c r="C380" s="31">
        <v>46236.625</v>
      </c>
      <c r="D380" s="1" t="s">
        <v>103</v>
      </c>
      <c r="E380" s="12">
        <v>0.1354057142857143</v>
      </c>
      <c r="F380" s="12">
        <f>IF(D380="d",两日求解价格与决策!K165-两日求解价格与决策!N165,IF(D380="u",两日求解价格与决策!K165+两日求解价格与决策!M165,两日求解价格与决策!K165))</f>
        <v>11.999999999999993</v>
      </c>
      <c r="G380" s="12">
        <f t="shared" si="35"/>
        <v>0</v>
      </c>
      <c r="H380" s="12">
        <f t="shared" si="36"/>
        <v>11.999999999999993</v>
      </c>
      <c r="I380" s="12">
        <f t="shared" si="41"/>
        <v>170.74137194534157</v>
      </c>
      <c r="J380" s="12">
        <f>I380+E380*(G380*原始输入与口径!$B$5-H380/原始输入与口径!$B$5)</f>
        <v>168.97521045465834</v>
      </c>
      <c r="K380" s="12">
        <v>170.74137194534154</v>
      </c>
      <c r="L380" s="12">
        <v>168.97521045465831</v>
      </c>
      <c r="M380" s="19">
        <f t="shared" si="37"/>
        <v>0</v>
      </c>
      <c r="N380" s="12">
        <f>E380*(G380*原始输入与口径!$B$5+H380/原始输入与口径!$B$5)/原始输入与口径!$H$5</f>
        <v>4.9060041407867471E-3</v>
      </c>
      <c r="O380" s="12">
        <v>4.9060041407867471E-3</v>
      </c>
      <c r="P380" s="19">
        <f t="shared" si="38"/>
        <v>0</v>
      </c>
      <c r="Q380" s="12">
        <f t="shared" si="39"/>
        <v>0</v>
      </c>
      <c r="R380" s="12">
        <f t="shared" si="40"/>
        <v>1.6248685714285707</v>
      </c>
      <c r="S380" s="1">
        <v>157</v>
      </c>
      <c r="T380" s="14">
        <v>46235</v>
      </c>
    </row>
    <row r="381" spans="1:20" ht="21" customHeight="1" x14ac:dyDescent="0.45">
      <c r="A381" s="31">
        <v>46236.630641904761</v>
      </c>
      <c r="B381" s="31">
        <v>46236.635416666664</v>
      </c>
      <c r="C381" s="31">
        <v>46236.625</v>
      </c>
      <c r="D381" s="1" t="s">
        <v>102</v>
      </c>
      <c r="E381" s="12">
        <v>0.1145942857142857</v>
      </c>
      <c r="F381" s="12">
        <f>IF(D381="d",两日求解价格与决策!K165-两日求解价格与决策!N165,IF(D381="u",两日求解价格与决策!K165+两日求解价格与决策!M165,两日求解价格与决策!K165))</f>
        <v>35.999999999999993</v>
      </c>
      <c r="G381" s="12">
        <f t="shared" si="35"/>
        <v>0</v>
      </c>
      <c r="H381" s="12">
        <f t="shared" si="36"/>
        <v>35.999999999999993</v>
      </c>
      <c r="I381" s="12">
        <f t="shared" si="41"/>
        <v>168.97521045465834</v>
      </c>
      <c r="J381" s="12">
        <f>I381+E381*(G381*原始输入与口径!$B$5-H381/原始输入与口径!$B$5)</f>
        <v>164.49108623105585</v>
      </c>
      <c r="K381" s="12">
        <v>168.97521045465831</v>
      </c>
      <c r="L381" s="12">
        <v>164.49108623105582</v>
      </c>
      <c r="M381" s="19">
        <f t="shared" si="37"/>
        <v>0</v>
      </c>
      <c r="N381" s="12">
        <f>E381*(G381*原始输入与口径!$B$5+H381/原始输入与口径!$B$5)/原始输入与口径!$H$5</f>
        <v>1.245590062111801E-2</v>
      </c>
      <c r="O381" s="12">
        <v>1.2455900621118008E-2</v>
      </c>
      <c r="P381" s="19">
        <f t="shared" si="38"/>
        <v>0</v>
      </c>
      <c r="Q381" s="12">
        <f t="shared" si="39"/>
        <v>0</v>
      </c>
      <c r="R381" s="12">
        <f t="shared" si="40"/>
        <v>4.1253942857142842</v>
      </c>
      <c r="S381" s="1">
        <v>157</v>
      </c>
      <c r="T381" s="14">
        <v>46235</v>
      </c>
    </row>
    <row r="382" spans="1:20" ht="21" customHeight="1" x14ac:dyDescent="0.45">
      <c r="A382" s="31">
        <v>46236.635416666664</v>
      </c>
      <c r="B382" s="31">
        <v>46236.637483095234</v>
      </c>
      <c r="C382" s="31">
        <v>46236.635416666664</v>
      </c>
      <c r="D382" s="1" t="s">
        <v>103</v>
      </c>
      <c r="E382" s="12">
        <v>4.9594285714285716E-2</v>
      </c>
      <c r="F382" s="12">
        <f>IF(D382="d",两日求解价格与决策!K166-两日求解价格与决策!N166,IF(D382="u",两日求解价格与决策!K166+两日求解价格与决策!M166,两日求解价格与决策!K166))</f>
        <v>11.999999999999993</v>
      </c>
      <c r="G382" s="12">
        <f t="shared" si="35"/>
        <v>0</v>
      </c>
      <c r="H382" s="12">
        <f t="shared" si="36"/>
        <v>11.999999999999993</v>
      </c>
      <c r="I382" s="12">
        <f t="shared" si="41"/>
        <v>164.49108623105585</v>
      </c>
      <c r="J382" s="12">
        <f>I382+E382*(G382*原始输入与口径!$B$5-H382/原始输入与口径!$B$5)</f>
        <v>163.8442042434782</v>
      </c>
      <c r="K382" s="12">
        <v>164.49108623105582</v>
      </c>
      <c r="L382" s="12">
        <v>163.84420424347817</v>
      </c>
      <c r="M382" s="19">
        <f t="shared" si="37"/>
        <v>0</v>
      </c>
      <c r="N382" s="12">
        <f>E382*(G382*原始输入与口径!$B$5+H382/原始输入与口径!$B$5)/原始输入与口径!$H$5</f>
        <v>1.7968944099378871E-3</v>
      </c>
      <c r="O382" s="12">
        <v>1.7968944099378871E-3</v>
      </c>
      <c r="P382" s="19">
        <f t="shared" si="38"/>
        <v>0</v>
      </c>
      <c r="Q382" s="12">
        <f t="shared" si="39"/>
        <v>0</v>
      </c>
      <c r="R382" s="12">
        <f t="shared" si="40"/>
        <v>0.5951314285714282</v>
      </c>
      <c r="S382" s="1">
        <v>158</v>
      </c>
      <c r="T382" s="14">
        <v>46235</v>
      </c>
    </row>
    <row r="383" spans="1:20" ht="21" customHeight="1" x14ac:dyDescent="0.45">
      <c r="A383" s="31">
        <v>46236.637483095234</v>
      </c>
      <c r="B383" s="31">
        <v>46236.63766738095</v>
      </c>
      <c r="C383" s="31">
        <v>46236.635416666664</v>
      </c>
      <c r="D383" s="1" t="s">
        <v>101</v>
      </c>
      <c r="E383" s="12">
        <v>4.4228571428571433E-3</v>
      </c>
      <c r="F383" s="12">
        <f>IF(D383="d",两日求解价格与决策!K166-两日求解价格与决策!N166,IF(D383="u",两日求解价格与决策!K166+两日求解价格与决策!M166,两日求解价格与决策!K166))</f>
        <v>59.999999999999993</v>
      </c>
      <c r="G383" s="12">
        <f t="shared" si="35"/>
        <v>0</v>
      </c>
      <c r="H383" s="12">
        <f t="shared" si="36"/>
        <v>59.999999999999993</v>
      </c>
      <c r="I383" s="12">
        <f t="shared" si="41"/>
        <v>163.8442042434782</v>
      </c>
      <c r="J383" s="12">
        <f>I383+E383*(G383*原始输入与口径!$B$5-H383/原始输入与口径!$B$5)</f>
        <v>163.55575703850926</v>
      </c>
      <c r="K383" s="12">
        <v>163.84420424347817</v>
      </c>
      <c r="L383" s="12">
        <v>163.55575703850923</v>
      </c>
      <c r="M383" s="19">
        <f t="shared" si="37"/>
        <v>0</v>
      </c>
      <c r="N383" s="12">
        <f>E383*(G383*原始输入与口径!$B$5+H383/原始输入与口径!$B$5)/原始输入与口径!$H$5</f>
        <v>8.012422360248446E-4</v>
      </c>
      <c r="O383" s="12">
        <v>8.0124223602484471E-4</v>
      </c>
      <c r="P383" s="19">
        <f t="shared" si="38"/>
        <v>0</v>
      </c>
      <c r="Q383" s="12">
        <f t="shared" si="39"/>
        <v>0</v>
      </c>
      <c r="R383" s="12">
        <f t="shared" si="40"/>
        <v>0.26537142857142859</v>
      </c>
      <c r="S383" s="1">
        <v>158</v>
      </c>
      <c r="T383" s="14">
        <v>46235</v>
      </c>
    </row>
    <row r="384" spans="1:20" ht="21" customHeight="1" x14ac:dyDescent="0.45">
      <c r="A384" s="31">
        <v>46236.63766738095</v>
      </c>
      <c r="B384" s="31">
        <v>46236.645833333328</v>
      </c>
      <c r="C384" s="31">
        <v>46236.635416666664</v>
      </c>
      <c r="D384" s="1" t="s">
        <v>102</v>
      </c>
      <c r="E384" s="12">
        <v>0.19598285714285713</v>
      </c>
      <c r="F384" s="12">
        <f>IF(D384="d",两日求解价格与决策!K166-两日求解价格与决策!N166,IF(D384="u",两日求解价格与决策!K166+两日求解价格与决策!M166,两日求解价格与决策!K166))</f>
        <v>35.999999999999993</v>
      </c>
      <c r="G384" s="12">
        <f t="shared" si="35"/>
        <v>0</v>
      </c>
      <c r="H384" s="12">
        <f t="shared" si="36"/>
        <v>35.999999999999993</v>
      </c>
      <c r="I384" s="12">
        <f t="shared" si="41"/>
        <v>163.55575703850926</v>
      </c>
      <c r="J384" s="12">
        <f>I384+E384*(G384*原始输入与口径!$B$5-H384/原始输入与口径!$B$5)</f>
        <v>155.88686262857138</v>
      </c>
      <c r="K384" s="12">
        <v>163.55575703850923</v>
      </c>
      <c r="L384" s="12">
        <v>155.88686262857135</v>
      </c>
      <c r="M384" s="19">
        <f t="shared" si="37"/>
        <v>0</v>
      </c>
      <c r="N384" s="12">
        <f>E384*(G384*原始输入与口径!$B$5+H384/原始输入与口径!$B$5)/原始输入与口径!$H$5</f>
        <v>2.1302484472049684E-2</v>
      </c>
      <c r="O384" s="12">
        <v>2.1302484472049681E-2</v>
      </c>
      <c r="P384" s="19">
        <f t="shared" si="38"/>
        <v>0</v>
      </c>
      <c r="Q384" s="12">
        <f t="shared" si="39"/>
        <v>0</v>
      </c>
      <c r="R384" s="12">
        <f t="shared" si="40"/>
        <v>7.0553828571428552</v>
      </c>
      <c r="S384" s="1">
        <v>158</v>
      </c>
      <c r="T384" s="14">
        <v>46235</v>
      </c>
    </row>
    <row r="385" spans="1:20" ht="21" customHeight="1" x14ac:dyDescent="0.45">
      <c r="A385" s="31">
        <v>46236.645833333336</v>
      </c>
      <c r="B385" s="31">
        <v>46236.646230238097</v>
      </c>
      <c r="C385" s="31">
        <v>46236.645833333336</v>
      </c>
      <c r="D385" s="1" t="s">
        <v>101</v>
      </c>
      <c r="E385" s="12">
        <v>9.5257142857142867E-3</v>
      </c>
      <c r="F385" s="12">
        <f>IF(D385="d",两日求解价格与决策!K167-两日求解价格与决策!N167,IF(D385="u",两日求解价格与决策!K167+两日求解价格与决策!M167,两日求解价格与决策!K167))</f>
        <v>-12</v>
      </c>
      <c r="G385" s="12">
        <f t="shared" si="35"/>
        <v>12</v>
      </c>
      <c r="H385" s="12">
        <f t="shared" si="36"/>
        <v>0</v>
      </c>
      <c r="I385" s="12">
        <f t="shared" si="41"/>
        <v>155.88686262857138</v>
      </c>
      <c r="J385" s="12">
        <f>I385+E385*(G385*原始输入与口径!$B$5-H385/原始输入与口径!$B$5)</f>
        <v>155.99202651428567</v>
      </c>
      <c r="K385" s="12">
        <v>155.88686262857135</v>
      </c>
      <c r="L385" s="12">
        <v>155.99202651428564</v>
      </c>
      <c r="M385" s="19">
        <f t="shared" si="37"/>
        <v>0</v>
      </c>
      <c r="N385" s="12">
        <f>E385*(G385*原始输入与口径!$B$5+H385/原始输入与口径!$B$5)/原始输入与口径!$H$5</f>
        <v>2.9212190476190483E-4</v>
      </c>
      <c r="O385" s="12">
        <v>2.9212190476190478E-4</v>
      </c>
      <c r="P385" s="19">
        <f t="shared" si="38"/>
        <v>0</v>
      </c>
      <c r="Q385" s="12">
        <f t="shared" si="39"/>
        <v>0.11430857142857144</v>
      </c>
      <c r="R385" s="12">
        <f t="shared" si="40"/>
        <v>0</v>
      </c>
      <c r="S385" s="1">
        <v>159</v>
      </c>
      <c r="T385" s="14">
        <v>46235</v>
      </c>
    </row>
    <row r="386" spans="1:20" ht="21" customHeight="1" x14ac:dyDescent="0.45">
      <c r="A386" s="31">
        <v>46236.646230238097</v>
      </c>
      <c r="B386" s="31">
        <v>46236.65625</v>
      </c>
      <c r="C386" s="31">
        <v>46236.645833333336</v>
      </c>
      <c r="D386" s="1" t="s">
        <v>102</v>
      </c>
      <c r="E386" s="12">
        <v>0.24047428571428572</v>
      </c>
      <c r="F386" s="12">
        <f>IF(D386="d",两日求解价格与决策!K167-两日求解价格与决策!N167,IF(D386="u",两日求解价格与决策!K167+两日求解价格与决策!M167,两日求解价格与决策!K167))</f>
        <v>-36</v>
      </c>
      <c r="G386" s="12">
        <f t="shared" si="35"/>
        <v>36</v>
      </c>
      <c r="H386" s="12">
        <f t="shared" si="36"/>
        <v>0</v>
      </c>
      <c r="I386" s="12">
        <f t="shared" si="41"/>
        <v>155.99202651428567</v>
      </c>
      <c r="J386" s="12">
        <f>I386+E386*(G386*原始输入与口径!$B$5-H386/原始输入与口径!$B$5)</f>
        <v>163.9565348571428</v>
      </c>
      <c r="K386" s="12">
        <v>155.99202651428564</v>
      </c>
      <c r="L386" s="12">
        <v>163.95653485714277</v>
      </c>
      <c r="M386" s="19">
        <f t="shared" si="37"/>
        <v>0</v>
      </c>
      <c r="N386" s="12">
        <f>E386*(G386*原始输入与口径!$B$5+H386/原始输入与口径!$B$5)/原始输入与口径!$H$5</f>
        <v>2.2123634285714289E-2</v>
      </c>
      <c r="O386" s="12">
        <v>2.2123634285714285E-2</v>
      </c>
      <c r="P386" s="19">
        <f t="shared" si="38"/>
        <v>0</v>
      </c>
      <c r="Q386" s="12">
        <f t="shared" si="39"/>
        <v>8.6570742857142857</v>
      </c>
      <c r="R386" s="12">
        <f t="shared" si="40"/>
        <v>0</v>
      </c>
      <c r="S386" s="1">
        <v>159</v>
      </c>
      <c r="T386" s="14">
        <v>46235</v>
      </c>
    </row>
    <row r="387" spans="1:20" ht="21" customHeight="1" x14ac:dyDescent="0.45">
      <c r="A387" s="31">
        <v>46236.65625</v>
      </c>
      <c r="B387" s="31">
        <v>46236.657461904761</v>
      </c>
      <c r="C387" s="31">
        <v>46236.65625</v>
      </c>
      <c r="D387" s="1" t="s">
        <v>101</v>
      </c>
      <c r="E387" s="12">
        <v>2.9085714285714284E-2</v>
      </c>
      <c r="F387" s="12">
        <f>IF(D387="d",两日求解价格与决策!K168-两日求解价格与决策!N168,IF(D387="u",两日求解价格与决策!K168+两日求解价格与决策!M168,两日求解价格与决策!K168))</f>
        <v>-12</v>
      </c>
      <c r="G387" s="12">
        <f t="shared" si="35"/>
        <v>12</v>
      </c>
      <c r="H387" s="12">
        <f t="shared" si="36"/>
        <v>0</v>
      </c>
      <c r="I387" s="12">
        <f t="shared" si="41"/>
        <v>163.9565348571428</v>
      </c>
      <c r="J387" s="12">
        <f>I387+E387*(G387*原始输入与口径!$B$5-H387/原始输入与口径!$B$5)</f>
        <v>164.27764114285708</v>
      </c>
      <c r="K387" s="12">
        <v>163.95653485714277</v>
      </c>
      <c r="L387" s="12">
        <v>164.27764114285705</v>
      </c>
      <c r="M387" s="19">
        <f t="shared" si="37"/>
        <v>0</v>
      </c>
      <c r="N387" s="12">
        <f>E387*(G387*原始输入与口径!$B$5+H387/原始输入与口径!$B$5)/原始输入与口径!$H$5</f>
        <v>8.9196190476190486E-4</v>
      </c>
      <c r="O387" s="12">
        <v>8.9196190476190486E-4</v>
      </c>
      <c r="P387" s="19">
        <f t="shared" si="38"/>
        <v>0</v>
      </c>
      <c r="Q387" s="12">
        <f t="shared" si="39"/>
        <v>0.34902857142857141</v>
      </c>
      <c r="R387" s="12">
        <f t="shared" si="40"/>
        <v>0</v>
      </c>
      <c r="S387" s="1">
        <v>160</v>
      </c>
      <c r="T387" s="14">
        <v>46235</v>
      </c>
    </row>
    <row r="388" spans="1:20" ht="21" customHeight="1" x14ac:dyDescent="0.45">
      <c r="A388" s="31">
        <v>46236.657461904761</v>
      </c>
      <c r="B388" s="31">
        <v>46236.666666666664</v>
      </c>
      <c r="C388" s="31">
        <v>46236.65625</v>
      </c>
      <c r="D388" s="1" t="s">
        <v>102</v>
      </c>
      <c r="E388" s="12">
        <v>0.22091428571428573</v>
      </c>
      <c r="F388" s="12">
        <f>IF(D388="d",两日求解价格与决策!K168-两日求解价格与决策!N168,IF(D388="u",两日求解价格与决策!K168+两日求解价格与决策!M168,两日求解价格与决策!K168))</f>
        <v>-36</v>
      </c>
      <c r="G388" s="12">
        <f t="shared" si="35"/>
        <v>36</v>
      </c>
      <c r="H388" s="12">
        <f t="shared" si="36"/>
        <v>0</v>
      </c>
      <c r="I388" s="12">
        <f t="shared" si="41"/>
        <v>164.27764114285708</v>
      </c>
      <c r="J388" s="12">
        <f>I388+E388*(G388*原始输入与口径!$B$5-H388/原始输入与口径!$B$5)</f>
        <v>171.59432228571421</v>
      </c>
      <c r="K388" s="12">
        <v>164.27764114285705</v>
      </c>
      <c r="L388" s="12">
        <v>171.59432228571418</v>
      </c>
      <c r="M388" s="19">
        <f t="shared" si="37"/>
        <v>0</v>
      </c>
      <c r="N388" s="12">
        <f>E388*(G388*原始输入与口径!$B$5+H388/原始输入与口径!$B$5)/原始输入与口径!$H$5</f>
        <v>2.032411428571429E-2</v>
      </c>
      <c r="O388" s="12">
        <v>2.0324114285714286E-2</v>
      </c>
      <c r="P388" s="19">
        <f t="shared" si="38"/>
        <v>0</v>
      </c>
      <c r="Q388" s="12">
        <f t="shared" si="39"/>
        <v>7.9529142857142858</v>
      </c>
      <c r="R388" s="12">
        <f t="shared" si="40"/>
        <v>0</v>
      </c>
      <c r="S388" s="1">
        <v>160</v>
      </c>
      <c r="T388" s="14">
        <v>46235</v>
      </c>
    </row>
    <row r="389" spans="1:20" ht="21" customHeight="1" x14ac:dyDescent="0.45">
      <c r="A389" s="31">
        <v>46236.666666666664</v>
      </c>
      <c r="B389" s="31">
        <v>46236.666677380948</v>
      </c>
      <c r="C389" s="31">
        <v>46236.666666666664</v>
      </c>
      <c r="D389" s="1" t="s">
        <v>103</v>
      </c>
      <c r="E389" s="12">
        <v>2.5714285714285715E-4</v>
      </c>
      <c r="F389" s="12">
        <f>IF(D389="d",两日求解价格与决策!K169-两日求解价格与决策!N169,IF(D389="u",两日求解价格与决策!K169+两日求解价格与决策!M169,两日求解价格与决策!K169))</f>
        <v>-24</v>
      </c>
      <c r="G389" s="12">
        <f t="shared" si="35"/>
        <v>24</v>
      </c>
      <c r="H389" s="12">
        <f t="shared" si="36"/>
        <v>0</v>
      </c>
      <c r="I389" s="12">
        <f t="shared" si="41"/>
        <v>171.59432228571421</v>
      </c>
      <c r="J389" s="12">
        <f>I389+E389*(G389*原始输入与口径!$B$5-H389/原始输入与口径!$B$5)</f>
        <v>171.59999999999994</v>
      </c>
      <c r="K389" s="12">
        <v>171.59432228571418</v>
      </c>
      <c r="L389" s="12">
        <v>171.59999999999991</v>
      </c>
      <c r="M389" s="19">
        <f t="shared" si="37"/>
        <v>0</v>
      </c>
      <c r="N389" s="12">
        <f>E389*(G389*原始输入与口径!$B$5+H389/原始输入与口径!$B$5)/原始输入与口径!$H$5</f>
        <v>1.5771428571428575E-5</v>
      </c>
      <c r="O389" s="12">
        <v>1.5771428571428571E-5</v>
      </c>
      <c r="P389" s="19">
        <f t="shared" si="38"/>
        <v>0</v>
      </c>
      <c r="Q389" s="12">
        <f t="shared" si="39"/>
        <v>6.1714285714285716E-3</v>
      </c>
      <c r="R389" s="12">
        <f t="shared" si="40"/>
        <v>0</v>
      </c>
      <c r="S389" s="1">
        <v>161</v>
      </c>
      <c r="T389" s="14">
        <v>46235</v>
      </c>
    </row>
    <row r="390" spans="1:20" ht="21" customHeight="1" x14ac:dyDescent="0.45">
      <c r="A390" s="31">
        <v>46236.666677380948</v>
      </c>
      <c r="B390" s="31">
        <v>46236.667259999995</v>
      </c>
      <c r="C390" s="31">
        <v>46236.666666666664</v>
      </c>
      <c r="D390" s="1" t="s">
        <v>101</v>
      </c>
      <c r="E390" s="12">
        <v>1.3982857142857142E-2</v>
      </c>
      <c r="F390" s="12">
        <f>IF(D390="d",两日求解价格与决策!K169-两日求解价格与决策!N169,IF(D390="u",两日求解价格与决策!K169+两日求解价格与决策!M169,两日求解价格与决策!K169))</f>
        <v>24</v>
      </c>
      <c r="G390" s="12">
        <f t="shared" si="35"/>
        <v>0</v>
      </c>
      <c r="H390" s="12">
        <f t="shared" si="36"/>
        <v>24</v>
      </c>
      <c r="I390" s="12">
        <f t="shared" si="41"/>
        <v>171.59999999999994</v>
      </c>
      <c r="J390" s="12">
        <f>I390+E390*(G390*原始输入与口径!$B$5-H390/原始输入与口径!$B$5)</f>
        <v>171.23522981366455</v>
      </c>
      <c r="K390" s="12">
        <v>171.59999999999991</v>
      </c>
      <c r="L390" s="12">
        <v>171.23522981366452</v>
      </c>
      <c r="M390" s="19">
        <f t="shared" si="37"/>
        <v>0</v>
      </c>
      <c r="N390" s="12">
        <f>E390*(G390*原始输入与口径!$B$5+H390/原始输入与口径!$B$5)/原始输入与口径!$H$5</f>
        <v>1.0132505175983436E-3</v>
      </c>
      <c r="O390" s="12">
        <v>1.0132505175983436E-3</v>
      </c>
      <c r="P390" s="19">
        <f t="shared" si="38"/>
        <v>0</v>
      </c>
      <c r="Q390" s="12">
        <f t="shared" si="39"/>
        <v>0</v>
      </c>
      <c r="R390" s="12">
        <f t="shared" si="40"/>
        <v>0.3355885714285714</v>
      </c>
      <c r="S390" s="1">
        <v>161</v>
      </c>
      <c r="T390" s="14">
        <v>46235</v>
      </c>
    </row>
    <row r="391" spans="1:20" ht="21" customHeight="1" x14ac:dyDescent="0.45">
      <c r="A391" s="31">
        <v>46236.667259999995</v>
      </c>
      <c r="B391" s="31">
        <v>46236.677083333328</v>
      </c>
      <c r="C391" s="31">
        <v>46236.666666666664</v>
      </c>
      <c r="D391" s="1" t="s">
        <v>102</v>
      </c>
      <c r="E391" s="12">
        <v>0.23576000000000003</v>
      </c>
      <c r="F391" s="12">
        <f>IF(D391="d",两日求解价格与决策!K169-两日求解价格与决策!N169,IF(D391="u",两日求解价格与决策!K169+两日求解价格与决策!M169,两日求解价格与决策!K169))</f>
        <v>0</v>
      </c>
      <c r="G391" s="12">
        <f t="shared" si="35"/>
        <v>0</v>
      </c>
      <c r="H391" s="12">
        <f t="shared" si="36"/>
        <v>0</v>
      </c>
      <c r="I391" s="12">
        <f t="shared" si="41"/>
        <v>171.23522981366455</v>
      </c>
      <c r="J391" s="12">
        <f>I391+E391*(G391*原始输入与口径!$B$5-H391/原始输入与口径!$B$5)</f>
        <v>171.23522981366455</v>
      </c>
      <c r="K391" s="12">
        <v>171.23522981366452</v>
      </c>
      <c r="L391" s="12">
        <v>171.23522981366452</v>
      </c>
      <c r="M391" s="19">
        <f t="shared" si="37"/>
        <v>0</v>
      </c>
      <c r="N391" s="12">
        <f>E391*(G391*原始输入与口径!$B$5+H391/原始输入与口径!$B$5)/原始输入与口径!$H$5</f>
        <v>0</v>
      </c>
      <c r="O391" s="12">
        <v>0</v>
      </c>
      <c r="P391" s="19">
        <f t="shared" si="38"/>
        <v>0</v>
      </c>
      <c r="Q391" s="12">
        <f t="shared" si="39"/>
        <v>0</v>
      </c>
      <c r="R391" s="12">
        <f t="shared" si="40"/>
        <v>0</v>
      </c>
      <c r="S391" s="1">
        <v>161</v>
      </c>
      <c r="T391" s="14">
        <v>46235</v>
      </c>
    </row>
    <row r="392" spans="1:20" ht="21" customHeight="1" x14ac:dyDescent="0.45">
      <c r="A392" s="31">
        <v>46236.677083333336</v>
      </c>
      <c r="B392" s="31">
        <v>46236.67713309524</v>
      </c>
      <c r="C392" s="31">
        <v>46236.677083333336</v>
      </c>
      <c r="D392" s="1" t="s">
        <v>103</v>
      </c>
      <c r="E392" s="12">
        <v>1.1942857142857141E-3</v>
      </c>
      <c r="F392" s="12">
        <f>IF(D392="d",两日求解价格与决策!K170-两日求解价格与决策!N170,IF(D392="u",两日求解价格与决策!K170+两日求解价格与决策!M170,两日求解价格与决策!K170))</f>
        <v>-25.513646080067296</v>
      </c>
      <c r="G392" s="12">
        <f t="shared" si="35"/>
        <v>25.513646080067296</v>
      </c>
      <c r="H392" s="12">
        <f t="shared" si="36"/>
        <v>0</v>
      </c>
      <c r="I392" s="12">
        <f t="shared" si="41"/>
        <v>171.23522981366455</v>
      </c>
      <c r="J392" s="12">
        <f>I392+E392*(G392*原始输入与口径!$B$5-H392/原始输入与口径!$B$5)</f>
        <v>171.26326275005468</v>
      </c>
      <c r="K392" s="12">
        <v>171.23522981366452</v>
      </c>
      <c r="L392" s="12">
        <v>171.26326275005465</v>
      </c>
      <c r="M392" s="19">
        <f t="shared" si="37"/>
        <v>0</v>
      </c>
      <c r="N392" s="12">
        <f>E392*(G392*原始输入与口径!$B$5+H392/原始输入与口径!$B$5)/原始输入与口径!$H$5</f>
        <v>7.7869267750402209E-5</v>
      </c>
      <c r="O392" s="12">
        <v>7.7869267750402209E-5</v>
      </c>
      <c r="P392" s="19">
        <f t="shared" si="38"/>
        <v>0</v>
      </c>
      <c r="Q392" s="12">
        <f t="shared" si="39"/>
        <v>3.0470583032766081E-2</v>
      </c>
      <c r="R392" s="12">
        <f t="shared" si="40"/>
        <v>0</v>
      </c>
      <c r="S392" s="1">
        <v>162</v>
      </c>
      <c r="T392" s="14">
        <v>46235</v>
      </c>
    </row>
    <row r="393" spans="1:20" ht="21" customHeight="1" x14ac:dyDescent="0.45">
      <c r="A393" s="31">
        <v>46236.67713309524</v>
      </c>
      <c r="B393" s="31">
        <v>46236.677164047622</v>
      </c>
      <c r="C393" s="31">
        <v>46236.677083333336</v>
      </c>
      <c r="D393" s="1" t="s">
        <v>101</v>
      </c>
      <c r="E393" s="12">
        <v>7.4285714285714287E-4</v>
      </c>
      <c r="F393" s="12">
        <f>IF(D393="d",两日求解价格与决策!K170-两日求解价格与决策!N170,IF(D393="u",两日求解价格与决策!K170+两日求解价格与决策!M170,两日求解价格与决策!K170))</f>
        <v>22.486353919932704</v>
      </c>
      <c r="G393" s="12">
        <f t="shared" ref="G393:G456" si="42">MAX(-F393,0)</f>
        <v>0</v>
      </c>
      <c r="H393" s="12">
        <f t="shared" ref="H393:H456" si="43">MAX(F393,0)</f>
        <v>22.486353919932704</v>
      </c>
      <c r="I393" s="12">
        <f t="shared" si="41"/>
        <v>171.26326275005468</v>
      </c>
      <c r="J393" s="12">
        <f>I393+E393*(G393*原始输入与口径!$B$5-H393/原始输入与口径!$B$5)</f>
        <v>171.24510606676529</v>
      </c>
      <c r="K393" s="12">
        <v>171.26326275005465</v>
      </c>
      <c r="L393" s="12">
        <v>171.24510606676526</v>
      </c>
      <c r="M393" s="19">
        <f t="shared" ref="M393:M456" si="44">J393-L393</f>
        <v>0</v>
      </c>
      <c r="N393" s="12">
        <f>E393*(G393*原始输入与口径!$B$5+H393/原始输入与口径!$B$5)/原始输入与口径!$H$5</f>
        <v>5.0435231359407382E-5</v>
      </c>
      <c r="O393" s="12">
        <v>5.0435231359407368E-5</v>
      </c>
      <c r="P393" s="19">
        <f t="shared" ref="P393:P456" si="45">N393-O393</f>
        <v>0</v>
      </c>
      <c r="Q393" s="12">
        <f t="shared" ref="Q393:Q456" si="46">E393*G393</f>
        <v>0</v>
      </c>
      <c r="R393" s="12">
        <f t="shared" ref="R393:R456" si="47">E393*H393</f>
        <v>1.6704148626235722E-2</v>
      </c>
      <c r="S393" s="1">
        <v>162</v>
      </c>
      <c r="T393" s="14">
        <v>46235</v>
      </c>
    </row>
    <row r="394" spans="1:20" ht="21" customHeight="1" x14ac:dyDescent="0.45">
      <c r="A394" s="31">
        <v>46236.677164047622</v>
      </c>
      <c r="B394" s="31">
        <v>46236.6875</v>
      </c>
      <c r="C394" s="31">
        <v>46236.677083333336</v>
      </c>
      <c r="D394" s="1" t="s">
        <v>102</v>
      </c>
      <c r="E394" s="12">
        <v>0.24806285714285714</v>
      </c>
      <c r="F394" s="12">
        <f>IF(D394="d",两日求解价格与决策!K170-两日求解价格与决策!N170,IF(D394="u",两日求解价格与决策!K170+两日求解价格与决策!M170,两日求解价格与决策!K170))</f>
        <v>-1.513646080067296</v>
      </c>
      <c r="G394" s="12">
        <f t="shared" si="42"/>
        <v>1.513646080067296</v>
      </c>
      <c r="H394" s="12">
        <f t="shared" si="43"/>
        <v>0</v>
      </c>
      <c r="I394" s="12">
        <f t="shared" ref="I394:I457" si="48">J393</f>
        <v>171.24510606676529</v>
      </c>
      <c r="J394" s="12">
        <f>I394+E394*(G394*原始输入与口径!$B$5-H394/原始输入与口径!$B$5)</f>
        <v>171.59054708838391</v>
      </c>
      <c r="K394" s="12">
        <v>171.24510606676526</v>
      </c>
      <c r="L394" s="12">
        <v>171.59054708838389</v>
      </c>
      <c r="M394" s="19">
        <f t="shared" si="44"/>
        <v>0</v>
      </c>
      <c r="N394" s="12">
        <f>E394*(G394*原始输入与口径!$B$5+H394/原始输入与口径!$B$5)/原始输入与口径!$H$5</f>
        <v>9.5955839338503614E-4</v>
      </c>
      <c r="O394" s="12">
        <v>9.5955839338503614E-4</v>
      </c>
      <c r="P394" s="19">
        <f t="shared" si="45"/>
        <v>0</v>
      </c>
      <c r="Q394" s="12">
        <f t="shared" si="46"/>
        <v>0.37547937132457931</v>
      </c>
      <c r="R394" s="12">
        <f t="shared" si="47"/>
        <v>0</v>
      </c>
      <c r="S394" s="1">
        <v>162</v>
      </c>
      <c r="T394" s="14">
        <v>46235</v>
      </c>
    </row>
    <row r="395" spans="1:20" ht="21" customHeight="1" x14ac:dyDescent="0.45">
      <c r="A395" s="31">
        <v>46236.6875</v>
      </c>
      <c r="B395" s="31">
        <v>46236.687515952384</v>
      </c>
      <c r="C395" s="31">
        <v>46236.6875</v>
      </c>
      <c r="D395" s="1" t="s">
        <v>103</v>
      </c>
      <c r="E395" s="12">
        <v>3.828571428571429E-4</v>
      </c>
      <c r="F395" s="12">
        <f>IF(D395="d",两日求解价格与决策!K171-两日求解价格与决策!N171,IF(D395="u",两日求解价格与决策!K171+两日求解价格与决策!M171,两日求解价格与决策!K171))</f>
        <v>-26.83743563935445</v>
      </c>
      <c r="G395" s="12">
        <f t="shared" si="42"/>
        <v>26.83743563935445</v>
      </c>
      <c r="H395" s="12">
        <f t="shared" si="43"/>
        <v>0</v>
      </c>
      <c r="I395" s="12">
        <f t="shared" si="48"/>
        <v>171.59054708838391</v>
      </c>
      <c r="J395" s="12">
        <f>I395+E395*(G395*原始输入与口径!$B$5-H395/原始输入与口径!$B$5)</f>
        <v>171.59999999999997</v>
      </c>
      <c r="K395" s="12">
        <v>171.59054708838389</v>
      </c>
      <c r="L395" s="12">
        <v>171.59999999999994</v>
      </c>
      <c r="M395" s="19">
        <f t="shared" si="44"/>
        <v>0</v>
      </c>
      <c r="N395" s="12">
        <f>E395*(G395*原始输入与口径!$B$5+H395/原始输入与口径!$B$5)/原始输入与口径!$H$5</f>
        <v>2.6258087822377912E-5</v>
      </c>
      <c r="O395" s="12">
        <v>2.6258087822377915E-5</v>
      </c>
      <c r="P395" s="19">
        <f t="shared" si="45"/>
        <v>0</v>
      </c>
      <c r="Q395" s="12">
        <f t="shared" si="46"/>
        <v>1.0274903930495705E-2</v>
      </c>
      <c r="R395" s="12">
        <f t="shared" si="47"/>
        <v>0</v>
      </c>
      <c r="S395" s="1">
        <v>163</v>
      </c>
      <c r="T395" s="14">
        <v>46235</v>
      </c>
    </row>
    <row r="396" spans="1:20" ht="21" customHeight="1" x14ac:dyDescent="0.45">
      <c r="A396" s="31">
        <v>46236.687515952384</v>
      </c>
      <c r="B396" s="31">
        <v>46236.688584761905</v>
      </c>
      <c r="C396" s="31">
        <v>46236.6875</v>
      </c>
      <c r="D396" s="1" t="s">
        <v>101</v>
      </c>
      <c r="E396" s="12">
        <v>2.5651428571428572E-2</v>
      </c>
      <c r="F396" s="12">
        <f>IF(D396="d",两日求解价格与决策!K171-两日求解价格与决策!N171,IF(D396="u",两日求解价格与决策!K171+两日求解价格与决策!M171,两日求解价格与决策!K171))</f>
        <v>21.16256436064555</v>
      </c>
      <c r="G396" s="12">
        <f t="shared" si="42"/>
        <v>0</v>
      </c>
      <c r="H396" s="12">
        <f t="shared" si="43"/>
        <v>21.16256436064555</v>
      </c>
      <c r="I396" s="12">
        <f t="shared" si="48"/>
        <v>171.59999999999997</v>
      </c>
      <c r="J396" s="12">
        <f>I396+E396*(G396*原始输入与口径!$B$5-H396/原始输入与口径!$B$5)</f>
        <v>171.00994564338544</v>
      </c>
      <c r="K396" s="12">
        <v>171.59999999999994</v>
      </c>
      <c r="L396" s="12">
        <v>171.00994564338541</v>
      </c>
      <c r="M396" s="19">
        <f t="shared" si="44"/>
        <v>0</v>
      </c>
      <c r="N396" s="12">
        <f>E396*(G396*原始输入与口径!$B$5+H396/原始输入与口径!$B$5)/原始输入与口径!$H$5</f>
        <v>1.6390398794847805E-3</v>
      </c>
      <c r="O396" s="12">
        <v>1.6390398794847805E-3</v>
      </c>
      <c r="P396" s="19">
        <f t="shared" si="45"/>
        <v>0</v>
      </c>
      <c r="Q396" s="12">
        <f t="shared" si="46"/>
        <v>0</v>
      </c>
      <c r="R396" s="12">
        <f t="shared" si="47"/>
        <v>0.54285000808535933</v>
      </c>
      <c r="S396" s="1">
        <v>163</v>
      </c>
      <c r="T396" s="14">
        <v>46235</v>
      </c>
    </row>
    <row r="397" spans="1:20" ht="21" customHeight="1" x14ac:dyDescent="0.45">
      <c r="A397" s="31">
        <v>46236.688584761905</v>
      </c>
      <c r="B397" s="31">
        <v>46236.697916666664</v>
      </c>
      <c r="C397" s="31">
        <v>46236.6875</v>
      </c>
      <c r="D397" s="1" t="s">
        <v>102</v>
      </c>
      <c r="E397" s="12">
        <v>0.2239657142857143</v>
      </c>
      <c r="F397" s="12">
        <f>IF(D397="d",两日求解价格与决策!K171-两日求解价格与决策!N171,IF(D397="u",两日求解价格与决策!K171+两日求解价格与决策!M171,两日求解价格与决策!K171))</f>
        <v>-2.8374356393544509</v>
      </c>
      <c r="G397" s="12">
        <f t="shared" si="42"/>
        <v>2.8374356393544509</v>
      </c>
      <c r="H397" s="12">
        <f t="shared" si="43"/>
        <v>0</v>
      </c>
      <c r="I397" s="12">
        <f t="shared" si="48"/>
        <v>171.00994564338544</v>
      </c>
      <c r="J397" s="12">
        <f>I397+E397*(G397*原始输入与口径!$B$5-H397/原始输入与口径!$B$5)</f>
        <v>171.59459487911658</v>
      </c>
      <c r="K397" s="12">
        <v>171.00994564338541</v>
      </c>
      <c r="L397" s="12">
        <v>171.59459487911656</v>
      </c>
      <c r="M397" s="19">
        <f t="shared" si="44"/>
        <v>0</v>
      </c>
      <c r="N397" s="12">
        <f>E397*(G397*原始输入与口径!$B$5+H397/原始输入与口径!$B$5)/原始输入与口径!$H$5</f>
        <v>1.6240256548087251E-3</v>
      </c>
      <c r="O397" s="12">
        <v>1.6240256548087251E-3</v>
      </c>
      <c r="P397" s="19">
        <f t="shared" si="45"/>
        <v>0</v>
      </c>
      <c r="Q397" s="12">
        <f t="shared" si="46"/>
        <v>0.63548829970776199</v>
      </c>
      <c r="R397" s="12">
        <f t="shared" si="47"/>
        <v>0</v>
      </c>
      <c r="S397" s="1">
        <v>163</v>
      </c>
      <c r="T397" s="14">
        <v>46235</v>
      </c>
    </row>
    <row r="398" spans="1:20" ht="21" customHeight="1" x14ac:dyDescent="0.45">
      <c r="A398" s="31">
        <v>46236.697916666664</v>
      </c>
      <c r="B398" s="31">
        <v>46236.697926666668</v>
      </c>
      <c r="C398" s="31">
        <v>46236.697916666664</v>
      </c>
      <c r="D398" s="1" t="s">
        <v>103</v>
      </c>
      <c r="E398" s="12">
        <v>2.4000000000000001E-4</v>
      </c>
      <c r="F398" s="12">
        <f>IF(D398="d",两日求解价格与决策!K172-两日求解价格与决策!N172,IF(D398="u",两日求解价格与决策!K172+两日求解价格与决策!M172,两日求解价格与决策!K172))</f>
        <v>-24.479714145699276</v>
      </c>
      <c r="G398" s="12">
        <f t="shared" si="42"/>
        <v>24.479714145699276</v>
      </c>
      <c r="H398" s="12">
        <f t="shared" si="43"/>
        <v>0</v>
      </c>
      <c r="I398" s="12">
        <f t="shared" si="48"/>
        <v>171.59459487911658</v>
      </c>
      <c r="J398" s="12">
        <f>I398+E398*(G398*原始输入与口径!$B$5-H398/原始输入与口径!$B$5)</f>
        <v>171.59999999999997</v>
      </c>
      <c r="K398" s="12">
        <v>171.59459487911656</v>
      </c>
      <c r="L398" s="12">
        <v>171.59999999999994</v>
      </c>
      <c r="M398" s="19">
        <f t="shared" si="44"/>
        <v>0</v>
      </c>
      <c r="N398" s="12">
        <f>E398*(G398*原始输入与口径!$B$5+H398/原始输入与口径!$B$5)/原始输入与口径!$H$5</f>
        <v>1.5014224676028891E-5</v>
      </c>
      <c r="O398" s="12">
        <v>1.5014224676028891E-5</v>
      </c>
      <c r="P398" s="19">
        <f t="shared" si="45"/>
        <v>0</v>
      </c>
      <c r="Q398" s="12">
        <f t="shared" si="46"/>
        <v>5.8751313949678263E-3</v>
      </c>
      <c r="R398" s="12">
        <f t="shared" si="47"/>
        <v>0</v>
      </c>
      <c r="S398" s="1">
        <v>164</v>
      </c>
      <c r="T398" s="14">
        <v>46235</v>
      </c>
    </row>
    <row r="399" spans="1:20" ht="21" customHeight="1" x14ac:dyDescent="0.45">
      <c r="A399" s="31">
        <v>46236.697926666668</v>
      </c>
      <c r="B399" s="31">
        <v>46236.698149761905</v>
      </c>
      <c r="C399" s="31">
        <v>46236.697916666664</v>
      </c>
      <c r="D399" s="1" t="s">
        <v>101</v>
      </c>
      <c r="E399" s="12">
        <v>5.3542857142857142E-3</v>
      </c>
      <c r="F399" s="12">
        <f>IF(D399="d",两日求解价格与决策!K172-两日求解价格与决策!N172,IF(D399="u",两日求解价格与决策!K172+两日求解价格与决策!M172,两日求解价格与决策!K172))</f>
        <v>23.520285854300724</v>
      </c>
      <c r="G399" s="12">
        <f t="shared" si="42"/>
        <v>0</v>
      </c>
      <c r="H399" s="12">
        <f t="shared" si="43"/>
        <v>23.520285854300724</v>
      </c>
      <c r="I399" s="12">
        <f t="shared" si="48"/>
        <v>171.59999999999997</v>
      </c>
      <c r="J399" s="12">
        <f>I399+E399*(G399*原始输入与口径!$B$5-H399/原始输入与口径!$B$5)</f>
        <v>171.46311485810259</v>
      </c>
      <c r="K399" s="12">
        <v>171.59999999999994</v>
      </c>
      <c r="L399" s="12">
        <v>171.46311485810256</v>
      </c>
      <c r="M399" s="19">
        <f t="shared" si="44"/>
        <v>0</v>
      </c>
      <c r="N399" s="12">
        <f>E399*(G399*原始输入与口径!$B$5+H399/原始输入与口径!$B$5)/原始输入与口径!$H$5</f>
        <v>3.8023650527052756E-4</v>
      </c>
      <c r="O399" s="12">
        <v>3.8023650527052756E-4</v>
      </c>
      <c r="P399" s="19">
        <f t="shared" si="45"/>
        <v>0</v>
      </c>
      <c r="Q399" s="12">
        <f t="shared" si="46"/>
        <v>0</v>
      </c>
      <c r="R399" s="12">
        <f t="shared" si="47"/>
        <v>0.12593433054559874</v>
      </c>
      <c r="S399" s="1">
        <v>164</v>
      </c>
      <c r="T399" s="14">
        <v>46235</v>
      </c>
    </row>
    <row r="400" spans="1:20" ht="21" customHeight="1" x14ac:dyDescent="0.45">
      <c r="A400" s="31">
        <v>46236.698149761905</v>
      </c>
      <c r="B400" s="31">
        <v>46236.708333333328</v>
      </c>
      <c r="C400" s="31">
        <v>46236.697916666664</v>
      </c>
      <c r="D400" s="1" t="s">
        <v>102</v>
      </c>
      <c r="E400" s="12">
        <v>0.24440571428571431</v>
      </c>
      <c r="F400" s="12">
        <f>IF(D400="d",两日求解价格与决策!K172-两日求解价格与决策!N172,IF(D400="u",两日求解价格与决策!K172+两日求解价格与决策!M172,两日求解价格与决策!K172))</f>
        <v>-0.47971414569927678</v>
      </c>
      <c r="G400" s="12">
        <f t="shared" si="42"/>
        <v>0.47971414569927678</v>
      </c>
      <c r="H400" s="12">
        <f t="shared" si="43"/>
        <v>0</v>
      </c>
      <c r="I400" s="12">
        <f t="shared" si="48"/>
        <v>171.46311485810259</v>
      </c>
      <c r="J400" s="12">
        <f>I400+E400*(G400*原始输入与口径!$B$5-H400/原始输入与口径!$B$5)</f>
        <v>171.57098014626058</v>
      </c>
      <c r="K400" s="12">
        <v>171.46311485810256</v>
      </c>
      <c r="L400" s="12">
        <v>171.57098014626055</v>
      </c>
      <c r="M400" s="19">
        <f t="shared" si="44"/>
        <v>0</v>
      </c>
      <c r="N400" s="12">
        <f>E400*(G400*原始输入与口径!$B$5+H400/原始输入与口径!$B$5)/原始输入与口径!$H$5</f>
        <v>2.996258004388487E-4</v>
      </c>
      <c r="O400" s="12">
        <v>2.9962580043884875E-4</v>
      </c>
      <c r="P400" s="19">
        <f t="shared" si="45"/>
        <v>0</v>
      </c>
      <c r="Q400" s="12">
        <f t="shared" si="46"/>
        <v>0.11724487843259297</v>
      </c>
      <c r="R400" s="12">
        <f t="shared" si="47"/>
        <v>0</v>
      </c>
      <c r="S400" s="1">
        <v>164</v>
      </c>
      <c r="T400" s="14">
        <v>46235</v>
      </c>
    </row>
    <row r="401" spans="1:20" ht="21" customHeight="1" x14ac:dyDescent="0.45">
      <c r="A401" s="31">
        <v>46236.708333333336</v>
      </c>
      <c r="B401" s="31">
        <v>46236.708388571431</v>
      </c>
      <c r="C401" s="31">
        <v>46236.708333333336</v>
      </c>
      <c r="D401" s="1" t="s">
        <v>103</v>
      </c>
      <c r="E401" s="12">
        <v>1.3257142857142858E-3</v>
      </c>
      <c r="F401" s="12">
        <f>IF(D401="d",两日求解价格与决策!K173-两日求解价格与决策!N173,IF(D401="u",两日求解价格与决策!K173+两日求解价格与决策!M173,两日求解价格与决策!K173))</f>
        <v>-23.793452044574686</v>
      </c>
      <c r="G401" s="12">
        <f t="shared" si="42"/>
        <v>23.793452044574686</v>
      </c>
      <c r="H401" s="12">
        <f t="shared" si="43"/>
        <v>0</v>
      </c>
      <c r="I401" s="12">
        <f t="shared" si="48"/>
        <v>171.57098014626058</v>
      </c>
      <c r="J401" s="12">
        <f>I401+E401*(G401*原始输入与口径!$B$5-H401/原始输入与口径!$B$5)</f>
        <v>171.59999999999997</v>
      </c>
      <c r="K401" s="12">
        <v>171.57098014626055</v>
      </c>
      <c r="L401" s="12">
        <v>171.59999999999994</v>
      </c>
      <c r="M401" s="19">
        <f t="shared" si="44"/>
        <v>0</v>
      </c>
      <c r="N401" s="12">
        <f>E401*(G401*原始输入与口径!$B$5+H401/原始输入与口径!$B$5)/原始输入与口径!$H$5</f>
        <v>8.0610704831651135E-5</v>
      </c>
      <c r="O401" s="12">
        <v>8.0610704831651135E-5</v>
      </c>
      <c r="P401" s="19">
        <f t="shared" si="45"/>
        <v>0</v>
      </c>
      <c r="Q401" s="12">
        <f t="shared" si="46"/>
        <v>3.1543319281950442E-2</v>
      </c>
      <c r="R401" s="12">
        <f t="shared" si="47"/>
        <v>0</v>
      </c>
      <c r="S401" s="1">
        <v>165</v>
      </c>
      <c r="T401" s="14">
        <v>46235</v>
      </c>
    </row>
    <row r="402" spans="1:20" ht="21" customHeight="1" x14ac:dyDescent="0.45">
      <c r="A402" s="31">
        <v>46236.708388571431</v>
      </c>
      <c r="B402" s="31">
        <v>46236.708408095241</v>
      </c>
      <c r="C402" s="31">
        <v>46236.708333333336</v>
      </c>
      <c r="D402" s="1" t="s">
        <v>101</v>
      </c>
      <c r="E402" s="12">
        <v>4.685714285714286E-4</v>
      </c>
      <c r="F402" s="12">
        <f>IF(D402="d",两日求解价格与决策!K173-两日求解价格与决策!N173,IF(D402="u",两日求解价格与决策!K173+两日求解价格与决策!M173,两日求解价格与决策!K173))</f>
        <v>24.206547955425314</v>
      </c>
      <c r="G402" s="12">
        <f t="shared" si="42"/>
        <v>0</v>
      </c>
      <c r="H402" s="12">
        <f t="shared" si="43"/>
        <v>24.206547955425314</v>
      </c>
      <c r="I402" s="12">
        <f t="shared" si="48"/>
        <v>171.59999999999997</v>
      </c>
      <c r="J402" s="12">
        <f>I402+E402*(G402*原始输入与口径!$B$5-H402/原始输入与口径!$B$5)</f>
        <v>171.58767119917795</v>
      </c>
      <c r="K402" s="12">
        <v>171.59999999999994</v>
      </c>
      <c r="L402" s="12">
        <v>171.58767119917792</v>
      </c>
      <c r="M402" s="19">
        <f t="shared" si="44"/>
        <v>0</v>
      </c>
      <c r="N402" s="12">
        <f>E402*(G402*原始输入与口径!$B$5+H402/原始输入与口径!$B$5)/原始输入与口径!$H$5</f>
        <v>3.4246668950049621E-5</v>
      </c>
      <c r="O402" s="12">
        <v>3.4246668950049614E-5</v>
      </c>
      <c r="P402" s="19">
        <f t="shared" si="45"/>
        <v>0</v>
      </c>
      <c r="Q402" s="12">
        <f t="shared" si="46"/>
        <v>0</v>
      </c>
      <c r="R402" s="12">
        <f t="shared" si="47"/>
        <v>1.1342496756256433E-2</v>
      </c>
      <c r="S402" s="1">
        <v>165</v>
      </c>
      <c r="T402" s="14">
        <v>46235</v>
      </c>
    </row>
    <row r="403" spans="1:20" ht="21" customHeight="1" x14ac:dyDescent="0.45">
      <c r="A403" s="31">
        <v>46236.708408095241</v>
      </c>
      <c r="B403" s="31">
        <v>46236.71875</v>
      </c>
      <c r="C403" s="31">
        <v>46236.708333333336</v>
      </c>
      <c r="D403" s="1" t="s">
        <v>102</v>
      </c>
      <c r="E403" s="12">
        <v>0.24820571428571428</v>
      </c>
      <c r="F403" s="12">
        <f>IF(D403="d",两日求解价格与决策!K173-两日求解价格与决策!N173,IF(D403="u",两日求解价格与决策!K173+两日求解价格与决策!M173,两日求解价格与决策!K173))</f>
        <v>0.20654795542531273</v>
      </c>
      <c r="G403" s="12">
        <f t="shared" si="42"/>
        <v>0</v>
      </c>
      <c r="H403" s="12">
        <f t="shared" si="43"/>
        <v>0.20654795542531273</v>
      </c>
      <c r="I403" s="12">
        <f t="shared" si="48"/>
        <v>171.58767119917795</v>
      </c>
      <c r="J403" s="12">
        <f>I403+E403*(G403*原始输入与口径!$B$5-H403/原始输入与口径!$B$5)</f>
        <v>171.53194687003599</v>
      </c>
      <c r="K403" s="12">
        <v>171.58767119917792</v>
      </c>
      <c r="L403" s="12">
        <v>171.53194687003597</v>
      </c>
      <c r="M403" s="19">
        <f t="shared" si="44"/>
        <v>0</v>
      </c>
      <c r="N403" s="12">
        <f>E403*(G403*原始输入与口径!$B$5+H403/原始输入与口径!$B$5)/原始输入与口径!$H$5</f>
        <v>1.5478980317208218E-4</v>
      </c>
      <c r="O403" s="12">
        <v>1.5478980317208218E-4</v>
      </c>
      <c r="P403" s="19">
        <f t="shared" si="45"/>
        <v>0</v>
      </c>
      <c r="Q403" s="12">
        <f t="shared" si="46"/>
        <v>0</v>
      </c>
      <c r="R403" s="12">
        <f t="shared" si="47"/>
        <v>5.1266382810593619E-2</v>
      </c>
      <c r="S403" s="1">
        <v>165</v>
      </c>
      <c r="T403" s="14">
        <v>46235</v>
      </c>
    </row>
    <row r="404" spans="1:20" ht="21" customHeight="1" x14ac:dyDescent="0.45">
      <c r="A404" s="31">
        <v>46236.71875</v>
      </c>
      <c r="B404" s="31">
        <v>46236.718863333335</v>
      </c>
      <c r="C404" s="31">
        <v>46236.71875</v>
      </c>
      <c r="D404" s="1" t="s">
        <v>103</v>
      </c>
      <c r="E404" s="12">
        <v>2.7199999999999998E-3</v>
      </c>
      <c r="F404" s="12">
        <f>IF(D404="d",两日求解价格与决策!K174-两日求解价格与决策!N174,IF(D404="u",两日求解价格与决策!K174+两日求解价格与决策!M174,两日求解价格与决策!K174))</f>
        <v>-27.195144646727062</v>
      </c>
      <c r="G404" s="12">
        <f t="shared" si="42"/>
        <v>27.195144646727062</v>
      </c>
      <c r="H404" s="12">
        <f t="shared" si="43"/>
        <v>0</v>
      </c>
      <c r="I404" s="12">
        <f t="shared" si="48"/>
        <v>171.53194687003599</v>
      </c>
      <c r="J404" s="12">
        <f>I404+E404*(G404*原始输入与口径!$B$5-H404/原始输入与口径!$B$5)</f>
        <v>171.59999999999997</v>
      </c>
      <c r="K404" s="12">
        <v>171.53194687003597</v>
      </c>
      <c r="L404" s="12">
        <v>171.59999999999994</v>
      </c>
      <c r="M404" s="19">
        <f t="shared" si="44"/>
        <v>0</v>
      </c>
      <c r="N404" s="12">
        <f>E404*(G404*原始输入与口径!$B$5+H404/原始输入与口径!$B$5)/原始输入与口径!$H$5</f>
        <v>1.8903647212213832E-4</v>
      </c>
      <c r="O404" s="12">
        <v>1.8903647212213832E-4</v>
      </c>
      <c r="P404" s="19">
        <f t="shared" si="45"/>
        <v>0</v>
      </c>
      <c r="Q404" s="12">
        <f t="shared" si="46"/>
        <v>7.3970793439097599E-2</v>
      </c>
      <c r="R404" s="12">
        <f t="shared" si="47"/>
        <v>0</v>
      </c>
      <c r="S404" s="1">
        <v>166</v>
      </c>
      <c r="T404" s="14">
        <v>46235</v>
      </c>
    </row>
    <row r="405" spans="1:20" ht="21" customHeight="1" x14ac:dyDescent="0.45">
      <c r="A405" s="31">
        <v>46236.718863333335</v>
      </c>
      <c r="B405" s="31">
        <v>46236.720048571427</v>
      </c>
      <c r="C405" s="31">
        <v>46236.71875</v>
      </c>
      <c r="D405" s="1" t="s">
        <v>101</v>
      </c>
      <c r="E405" s="12">
        <v>2.8445714285714286E-2</v>
      </c>
      <c r="F405" s="12">
        <f>IF(D405="d",两日求解价格与决策!K174-两日求解价格与决策!N174,IF(D405="u",两日求解价格与决策!K174+两日求解价格与决策!M174,两日求解价格与决策!K174))</f>
        <v>20.804855353272938</v>
      </c>
      <c r="G405" s="12">
        <f t="shared" si="42"/>
        <v>0</v>
      </c>
      <c r="H405" s="12">
        <f t="shared" si="43"/>
        <v>20.804855353272938</v>
      </c>
      <c r="I405" s="12">
        <f t="shared" si="48"/>
        <v>171.59999999999997</v>
      </c>
      <c r="J405" s="12">
        <f>I405+E405*(G405*原始输入与口径!$B$5-H405/原始输入与口径!$B$5)</f>
        <v>170.95672937920125</v>
      </c>
      <c r="K405" s="12">
        <v>171.59999999999994</v>
      </c>
      <c r="L405" s="12">
        <v>170.95672937920122</v>
      </c>
      <c r="M405" s="19">
        <f t="shared" si="44"/>
        <v>0</v>
      </c>
      <c r="N405" s="12">
        <f>E405*(G405*原始输入与口径!$B$5+H405/原始输入与口径!$B$5)/原始输入与口径!$H$5</f>
        <v>1.7868628355519787E-3</v>
      </c>
      <c r="O405" s="12">
        <v>1.7868628355519787E-3</v>
      </c>
      <c r="P405" s="19">
        <f t="shared" si="45"/>
        <v>0</v>
      </c>
      <c r="Q405" s="12">
        <f t="shared" si="46"/>
        <v>0</v>
      </c>
      <c r="R405" s="12">
        <f t="shared" si="47"/>
        <v>0.59180897113481534</v>
      </c>
      <c r="S405" s="1">
        <v>166</v>
      </c>
      <c r="T405" s="14">
        <v>46235</v>
      </c>
    </row>
    <row r="406" spans="1:20" ht="21" customHeight="1" x14ac:dyDescent="0.45">
      <c r="A406" s="31">
        <v>46236.720048571427</v>
      </c>
      <c r="B406" s="31">
        <v>46236.729166666664</v>
      </c>
      <c r="C406" s="31">
        <v>46236.71875</v>
      </c>
      <c r="D406" s="1" t="s">
        <v>102</v>
      </c>
      <c r="E406" s="12">
        <v>0.2188342857142857</v>
      </c>
      <c r="F406" s="12">
        <f>IF(D406="d",两日求解价格与决策!K174-两日求解价格与决策!N174,IF(D406="u",两日求解价格与决策!K174+两日求解价格与决策!M174,两日求解价格与决策!K174))</f>
        <v>-3.195144646727063</v>
      </c>
      <c r="G406" s="12">
        <f t="shared" si="42"/>
        <v>3.195144646727063</v>
      </c>
      <c r="H406" s="12">
        <f t="shared" si="43"/>
        <v>0</v>
      </c>
      <c r="I406" s="12">
        <f t="shared" si="48"/>
        <v>170.95672937920125</v>
      </c>
      <c r="J406" s="12">
        <f>I406+E406*(G406*原始输入与口径!$B$5-H406/原始输入与口径!$B$5)</f>
        <v>171.59999999999997</v>
      </c>
      <c r="K406" s="12">
        <v>170.95672937920122</v>
      </c>
      <c r="L406" s="12">
        <v>171.59999999999994</v>
      </c>
      <c r="M406" s="19">
        <f t="shared" si="44"/>
        <v>0</v>
      </c>
      <c r="N406" s="12">
        <f>E406*(G406*原始输入与口径!$B$5+H406/原始输入与口径!$B$5)/原始输入与口径!$H$5</f>
        <v>1.7868628355519815E-3</v>
      </c>
      <c r="O406" s="12">
        <v>1.7868628355519815E-3</v>
      </c>
      <c r="P406" s="19">
        <f t="shared" si="45"/>
        <v>0</v>
      </c>
      <c r="Q406" s="12">
        <f t="shared" si="46"/>
        <v>0.69920719652034058</v>
      </c>
      <c r="R406" s="12">
        <f t="shared" si="47"/>
        <v>0</v>
      </c>
      <c r="S406" s="1">
        <v>166</v>
      </c>
      <c r="T406" s="14">
        <v>46235</v>
      </c>
    </row>
    <row r="407" spans="1:20" ht="21" customHeight="1" x14ac:dyDescent="0.45">
      <c r="A407" s="31">
        <v>46236.729166666664</v>
      </c>
      <c r="B407" s="31">
        <v>46236.732727142851</v>
      </c>
      <c r="C407" s="31">
        <v>46236.729166666664</v>
      </c>
      <c r="D407" s="1" t="s">
        <v>101</v>
      </c>
      <c r="E407" s="12">
        <v>8.5451428571428581E-2</v>
      </c>
      <c r="F407" s="12">
        <f>IF(D407="d",两日求解价格与决策!K175-两日求解价格与决策!N175,IF(D407="u",两日求解价格与决策!K175+两日求解价格与决策!M175,两日求解价格与决策!K175))</f>
        <v>18.672175223235151</v>
      </c>
      <c r="G407" s="12">
        <f t="shared" si="42"/>
        <v>0</v>
      </c>
      <c r="H407" s="12">
        <f t="shared" si="43"/>
        <v>18.672175223235151</v>
      </c>
      <c r="I407" s="12">
        <f t="shared" si="48"/>
        <v>171.59999999999997</v>
      </c>
      <c r="J407" s="12">
        <f>I407+E407*(G407*原始输入与口径!$B$5-H407/原始输入与口径!$B$5)</f>
        <v>169.86569125286792</v>
      </c>
      <c r="K407" s="12">
        <v>171.59999999999994</v>
      </c>
      <c r="L407" s="12">
        <v>169.86569125286789</v>
      </c>
      <c r="M407" s="19">
        <f t="shared" si="44"/>
        <v>0</v>
      </c>
      <c r="N407" s="12">
        <f>E407*(G407*原始输入与口径!$B$5+H407/原始输入与口径!$B$5)/原始输入与口径!$H$5</f>
        <v>4.8175242975889996E-3</v>
      </c>
      <c r="O407" s="12">
        <v>4.8175242975889996E-3</v>
      </c>
      <c r="P407" s="19">
        <f t="shared" si="45"/>
        <v>0</v>
      </c>
      <c r="Q407" s="12">
        <f t="shared" si="46"/>
        <v>0</v>
      </c>
      <c r="R407" s="12">
        <f t="shared" si="47"/>
        <v>1.5955640473614769</v>
      </c>
      <c r="S407" s="1">
        <v>167</v>
      </c>
      <c r="T407" s="14">
        <v>46235</v>
      </c>
    </row>
    <row r="408" spans="1:20" ht="21" customHeight="1" x14ac:dyDescent="0.45">
      <c r="A408" s="31">
        <v>46236.732727142851</v>
      </c>
      <c r="B408" s="31">
        <v>46236.739583333328</v>
      </c>
      <c r="C408" s="31">
        <v>46236.729166666664</v>
      </c>
      <c r="D408" s="1" t="s">
        <v>102</v>
      </c>
      <c r="E408" s="12">
        <v>0.16454857142857143</v>
      </c>
      <c r="F408" s="12">
        <f>IF(D408="d",两日求解价格与决策!K175-两日求解价格与决策!N175,IF(D408="u",两日求解价格与决策!K175+两日求解价格与决策!M175,两日求解价格与决策!K175))</f>
        <v>-5.3278247767648477</v>
      </c>
      <c r="G408" s="12">
        <f t="shared" si="42"/>
        <v>5.3278247767648477</v>
      </c>
      <c r="H408" s="12">
        <f t="shared" si="43"/>
        <v>0</v>
      </c>
      <c r="I408" s="12">
        <f t="shared" si="48"/>
        <v>169.86569125286792</v>
      </c>
      <c r="J408" s="12">
        <f>I408+E408*(G408*原始输入与口径!$B$5-H408/原始输入与口径!$B$5)</f>
        <v>170.67224233223925</v>
      </c>
      <c r="K408" s="12">
        <v>169.86569125286789</v>
      </c>
      <c r="L408" s="12">
        <v>170.67224233223922</v>
      </c>
      <c r="M408" s="19">
        <f t="shared" si="44"/>
        <v>0</v>
      </c>
      <c r="N408" s="12">
        <f>E408*(G408*原始输入与口径!$B$5+H408/原始输入与口径!$B$5)/原始输入与口径!$H$5</f>
        <v>2.240419664920364E-3</v>
      </c>
      <c r="O408" s="12">
        <v>2.240419664920364E-3</v>
      </c>
      <c r="P408" s="19">
        <f t="shared" si="45"/>
        <v>0</v>
      </c>
      <c r="Q408" s="12">
        <f t="shared" si="46"/>
        <v>0.87668595583840314</v>
      </c>
      <c r="R408" s="12">
        <f t="shared" si="47"/>
        <v>0</v>
      </c>
      <c r="S408" s="1">
        <v>167</v>
      </c>
      <c r="T408" s="14">
        <v>46235</v>
      </c>
    </row>
    <row r="409" spans="1:20" ht="21" customHeight="1" x14ac:dyDescent="0.45">
      <c r="A409" s="31">
        <v>46236.739583333336</v>
      </c>
      <c r="B409" s="31">
        <v>46236.73959404762</v>
      </c>
      <c r="C409" s="31">
        <v>46236.739583333336</v>
      </c>
      <c r="D409" s="1" t="s">
        <v>103</v>
      </c>
      <c r="E409" s="12">
        <v>2.5714285714285715E-4</v>
      </c>
      <c r="F409" s="12">
        <f>IF(D409="d",两日求解价格与决策!K176-两日求解价格与决策!N176,IF(D409="u",两日求解价格与决策!K176+两日求解价格与决策!M176,两日求解价格与决策!K176))</f>
        <v>11.999999999999993</v>
      </c>
      <c r="G409" s="12">
        <f t="shared" si="42"/>
        <v>0</v>
      </c>
      <c r="H409" s="12">
        <f t="shared" si="43"/>
        <v>11.999999999999993</v>
      </c>
      <c r="I409" s="12">
        <f t="shared" si="48"/>
        <v>170.67224233223925</v>
      </c>
      <c r="J409" s="12">
        <f>I409+E409*(G409*原始输入与口径!$B$5-H409/原始输入与口径!$B$5)</f>
        <v>170.66888829497216</v>
      </c>
      <c r="K409" s="12">
        <v>170.67224233223922</v>
      </c>
      <c r="L409" s="12">
        <v>170.66888829497213</v>
      </c>
      <c r="M409" s="19">
        <f t="shared" si="44"/>
        <v>0</v>
      </c>
      <c r="N409" s="12">
        <f>E409*(G409*原始输入与口径!$B$5+H409/原始输入与口径!$B$5)/原始输入与口径!$H$5</f>
        <v>9.3167701863353983E-6</v>
      </c>
      <c r="O409" s="12">
        <v>9.3167701863353983E-6</v>
      </c>
      <c r="P409" s="19">
        <f t="shared" si="45"/>
        <v>0</v>
      </c>
      <c r="Q409" s="12">
        <f t="shared" si="46"/>
        <v>0</v>
      </c>
      <c r="R409" s="12">
        <f t="shared" si="47"/>
        <v>3.0857142857142841E-3</v>
      </c>
      <c r="S409" s="1">
        <v>168</v>
      </c>
      <c r="T409" s="14">
        <v>46235</v>
      </c>
    </row>
    <row r="410" spans="1:20" ht="21" customHeight="1" x14ac:dyDescent="0.45">
      <c r="A410" s="31">
        <v>46236.73959404762</v>
      </c>
      <c r="B410" s="31">
        <v>46236.744468333338</v>
      </c>
      <c r="C410" s="31">
        <v>46236.739583333336</v>
      </c>
      <c r="D410" s="1" t="s">
        <v>101</v>
      </c>
      <c r="E410" s="12">
        <v>0.11698285714285715</v>
      </c>
      <c r="F410" s="12">
        <f>IF(D410="d",两日求解价格与决策!K176-两日求解价格与决策!N176,IF(D410="u",两日求解价格与决策!K176+两日求解价格与决策!M176,两日求解价格与决策!K176))</f>
        <v>59.999999999999993</v>
      </c>
      <c r="G410" s="12">
        <f t="shared" si="42"/>
        <v>0</v>
      </c>
      <c r="H410" s="12">
        <f t="shared" si="43"/>
        <v>59.999999999999993</v>
      </c>
      <c r="I410" s="12">
        <f t="shared" si="48"/>
        <v>170.66888829497216</v>
      </c>
      <c r="J410" s="12">
        <f>I410+E410*(G410*原始输入与口径!$B$5-H410/原始输入与口径!$B$5)</f>
        <v>163.03957152478583</v>
      </c>
      <c r="K410" s="12">
        <v>170.66888829497213</v>
      </c>
      <c r="L410" s="12">
        <v>163.0395715247858</v>
      </c>
      <c r="M410" s="19">
        <f t="shared" si="44"/>
        <v>0</v>
      </c>
      <c r="N410" s="12">
        <f>E410*(G410*原始输入与口径!$B$5+H410/原始输入与口径!$B$5)/原始输入与口径!$H$5</f>
        <v>2.1192546583850929E-2</v>
      </c>
      <c r="O410" s="12">
        <v>2.1192546583850932E-2</v>
      </c>
      <c r="P410" s="19">
        <f t="shared" si="45"/>
        <v>0</v>
      </c>
      <c r="Q410" s="12">
        <f t="shared" si="46"/>
        <v>0</v>
      </c>
      <c r="R410" s="12">
        <f t="shared" si="47"/>
        <v>7.0189714285714286</v>
      </c>
      <c r="S410" s="1">
        <v>168</v>
      </c>
      <c r="T410" s="14">
        <v>46235</v>
      </c>
    </row>
    <row r="411" spans="1:20" ht="21" customHeight="1" x14ac:dyDescent="0.45">
      <c r="A411" s="31">
        <v>46236.744468333338</v>
      </c>
      <c r="B411" s="31">
        <v>46236.75</v>
      </c>
      <c r="C411" s="31">
        <v>46236.739583333336</v>
      </c>
      <c r="D411" s="1" t="s">
        <v>102</v>
      </c>
      <c r="E411" s="12">
        <v>0.13275999999999999</v>
      </c>
      <c r="F411" s="12">
        <f>IF(D411="d",两日求解价格与决策!K176-两日求解价格与决策!N176,IF(D411="u",两日求解价格与决策!K176+两日求解价格与决策!M176,两日求解价格与决策!K176))</f>
        <v>35.999999999999993</v>
      </c>
      <c r="G411" s="12">
        <f t="shared" si="42"/>
        <v>0</v>
      </c>
      <c r="H411" s="12">
        <f t="shared" si="43"/>
        <v>35.999999999999993</v>
      </c>
      <c r="I411" s="12">
        <f t="shared" si="48"/>
        <v>163.03957152478583</v>
      </c>
      <c r="J411" s="12">
        <f>I411+E411*(G411*原始输入与口径!$B$5-H411/原始输入与口径!$B$5)</f>
        <v>157.8446150030467</v>
      </c>
      <c r="K411" s="12">
        <v>163.0395715247858</v>
      </c>
      <c r="L411" s="12">
        <v>157.84461500304667</v>
      </c>
      <c r="M411" s="19">
        <f t="shared" si="44"/>
        <v>0</v>
      </c>
      <c r="N411" s="12">
        <f>E411*(G411*原始输入与口径!$B$5+H411/原始输入与口径!$B$5)/原始输入与口径!$H$5</f>
        <v>1.443043478260869E-2</v>
      </c>
      <c r="O411" s="12">
        <v>1.443043478260869E-2</v>
      </c>
      <c r="P411" s="19">
        <f t="shared" si="45"/>
        <v>0</v>
      </c>
      <c r="Q411" s="12">
        <f t="shared" si="46"/>
        <v>0</v>
      </c>
      <c r="R411" s="12">
        <f t="shared" si="47"/>
        <v>4.7793599999999987</v>
      </c>
      <c r="S411" s="1">
        <v>168</v>
      </c>
      <c r="T411" s="14">
        <v>46235</v>
      </c>
    </row>
    <row r="412" spans="1:20" ht="21" customHeight="1" x14ac:dyDescent="0.45">
      <c r="A412" s="31">
        <v>46236.75</v>
      </c>
      <c r="B412" s="31">
        <v>46236.75016261905</v>
      </c>
      <c r="C412" s="31">
        <v>46236.75</v>
      </c>
      <c r="D412" s="1" t="s">
        <v>103</v>
      </c>
      <c r="E412" s="12">
        <v>3.9028571428571432E-3</v>
      </c>
      <c r="F412" s="12">
        <f>IF(D412="d",两日求解价格与决策!K177-两日求解价格与决策!N177,IF(D412="u",两日求解价格与决策!K177+两日求解价格与决策!M177,两日求解价格与决策!K177))</f>
        <v>-60</v>
      </c>
      <c r="G412" s="12">
        <f t="shared" si="42"/>
        <v>60</v>
      </c>
      <c r="H412" s="12">
        <f t="shared" si="43"/>
        <v>0</v>
      </c>
      <c r="I412" s="12">
        <f t="shared" si="48"/>
        <v>157.8446150030467</v>
      </c>
      <c r="J412" s="12">
        <f>I412+E412*(G412*原始输入与口径!$B$5-H412/原始输入与口径!$B$5)</f>
        <v>158.06005271733241</v>
      </c>
      <c r="K412" s="12">
        <v>157.84461500304667</v>
      </c>
      <c r="L412" s="12">
        <v>158.06005271733238</v>
      </c>
      <c r="M412" s="19">
        <f t="shared" si="44"/>
        <v>0</v>
      </c>
      <c r="N412" s="12">
        <f>E412*(G412*原始输入与口径!$B$5+H412/原始输入与口径!$B$5)/原始输入与口径!$H$5</f>
        <v>5.9843809523809537E-4</v>
      </c>
      <c r="O412" s="12">
        <v>5.9843809523809537E-4</v>
      </c>
      <c r="P412" s="19">
        <f t="shared" si="45"/>
        <v>0</v>
      </c>
      <c r="Q412" s="12">
        <f t="shared" si="46"/>
        <v>0.23417142857142859</v>
      </c>
      <c r="R412" s="12">
        <f t="shared" si="47"/>
        <v>0</v>
      </c>
      <c r="S412" s="1">
        <v>169</v>
      </c>
      <c r="T412" s="14">
        <v>46235</v>
      </c>
    </row>
    <row r="413" spans="1:20" ht="21" customHeight="1" x14ac:dyDescent="0.45">
      <c r="A413" s="31">
        <v>46236.75016261905</v>
      </c>
      <c r="B413" s="31">
        <v>46236.750256190477</v>
      </c>
      <c r="C413" s="31">
        <v>46236.75</v>
      </c>
      <c r="D413" s="1" t="s">
        <v>101</v>
      </c>
      <c r="E413" s="12">
        <v>2.2457142857142858E-3</v>
      </c>
      <c r="F413" s="12">
        <f>IF(D413="d",两日求解价格与决策!K177-两日求解价格与决策!N177,IF(D413="u",两日求解价格与决策!K177+两日求解价格与决策!M177,两日求解价格与决策!K177))</f>
        <v>-36</v>
      </c>
      <c r="G413" s="12">
        <f t="shared" si="42"/>
        <v>36</v>
      </c>
      <c r="H413" s="12">
        <f t="shared" si="43"/>
        <v>0</v>
      </c>
      <c r="I413" s="12">
        <f t="shared" si="48"/>
        <v>158.06005271733241</v>
      </c>
      <c r="J413" s="12">
        <f>I413+E413*(G413*原始输入与口径!$B$5-H413/原始输入与口径!$B$5)</f>
        <v>158.13443077447528</v>
      </c>
      <c r="K413" s="12">
        <v>158.06005271733238</v>
      </c>
      <c r="L413" s="12">
        <v>158.13443077447525</v>
      </c>
      <c r="M413" s="19">
        <f t="shared" si="44"/>
        <v>0</v>
      </c>
      <c r="N413" s="12">
        <f>E413*(G413*原始输入与口径!$B$5+H413/原始输入与口径!$B$5)/原始输入与口径!$H$5</f>
        <v>2.0660571428571432E-4</v>
      </c>
      <c r="O413" s="12">
        <v>2.0660571428571427E-4</v>
      </c>
      <c r="P413" s="19">
        <f t="shared" si="45"/>
        <v>0</v>
      </c>
      <c r="Q413" s="12">
        <f t="shared" si="46"/>
        <v>8.0845714285714285E-2</v>
      </c>
      <c r="R413" s="12">
        <f t="shared" si="47"/>
        <v>0</v>
      </c>
      <c r="S413" s="1">
        <v>169</v>
      </c>
      <c r="T413" s="14">
        <v>46235</v>
      </c>
    </row>
    <row r="414" spans="1:20" ht="21" customHeight="1" x14ac:dyDescent="0.45">
      <c r="A414" s="31">
        <v>46236.750256190477</v>
      </c>
      <c r="B414" s="31">
        <v>46236.760416666664</v>
      </c>
      <c r="C414" s="31">
        <v>46236.75</v>
      </c>
      <c r="D414" s="1" t="s">
        <v>102</v>
      </c>
      <c r="E414" s="12">
        <v>0.24385142857142855</v>
      </c>
      <c r="F414" s="12">
        <f>IF(D414="d",两日求解价格与决策!K177-两日求解价格与决策!N177,IF(D414="u",两日求解价格与决策!K177+两日求解价格与决策!M177,两日求解价格与决策!K177))</f>
        <v>-60</v>
      </c>
      <c r="G414" s="12">
        <f t="shared" si="42"/>
        <v>60</v>
      </c>
      <c r="H414" s="12">
        <f t="shared" si="43"/>
        <v>0</v>
      </c>
      <c r="I414" s="12">
        <f t="shared" si="48"/>
        <v>158.13443077447528</v>
      </c>
      <c r="J414" s="12">
        <f>I414+E414*(G414*原始输入与口径!$B$5-H414/原始输入与口径!$B$5)</f>
        <v>171.59502963161813</v>
      </c>
      <c r="K414" s="12">
        <v>158.13443077447525</v>
      </c>
      <c r="L414" s="12">
        <v>171.5950296316181</v>
      </c>
      <c r="M414" s="19">
        <f t="shared" si="44"/>
        <v>0</v>
      </c>
      <c r="N414" s="12">
        <f>E414*(G414*原始输入与口径!$B$5+H414/原始输入与口径!$B$5)/原始输入与口径!$H$5</f>
        <v>3.7390552380952381E-2</v>
      </c>
      <c r="O414" s="12">
        <v>3.7390552380952381E-2</v>
      </c>
      <c r="P414" s="19">
        <f t="shared" si="45"/>
        <v>0</v>
      </c>
      <c r="Q414" s="12">
        <f t="shared" si="46"/>
        <v>14.631085714285714</v>
      </c>
      <c r="R414" s="12">
        <f t="shared" si="47"/>
        <v>0</v>
      </c>
      <c r="S414" s="1">
        <v>169</v>
      </c>
      <c r="T414" s="14">
        <v>46235</v>
      </c>
    </row>
    <row r="415" spans="1:20" ht="21" customHeight="1" x14ac:dyDescent="0.45">
      <c r="A415" s="31">
        <v>46236.760416666664</v>
      </c>
      <c r="B415" s="31">
        <v>46236.760462857143</v>
      </c>
      <c r="C415" s="31">
        <v>46236.760416666664</v>
      </c>
      <c r="D415" s="1" t="s">
        <v>103</v>
      </c>
      <c r="E415" s="12">
        <v>1.1085714285714286E-3</v>
      </c>
      <c r="F415" s="12">
        <f>IF(D415="d",两日求解价格与决策!K178-两日求解价格与决策!N178,IF(D415="u",两日求解价格与决策!K178+两日求解价格与决策!M178,两日求解价格与决策!K178))</f>
        <v>-4.8734562237868522</v>
      </c>
      <c r="G415" s="12">
        <f t="shared" si="42"/>
        <v>4.8734562237868522</v>
      </c>
      <c r="H415" s="12">
        <f t="shared" si="43"/>
        <v>0</v>
      </c>
      <c r="I415" s="12">
        <f t="shared" si="48"/>
        <v>171.59502963161813</v>
      </c>
      <c r="J415" s="12">
        <f>I415+E415*(G415*原始输入与口径!$B$5-H415/原始输入与口径!$B$5)</f>
        <v>171.59999999999997</v>
      </c>
      <c r="K415" s="12">
        <v>171.5950296316181</v>
      </c>
      <c r="L415" s="12">
        <v>171.59999999999994</v>
      </c>
      <c r="M415" s="19">
        <f t="shared" si="44"/>
        <v>0</v>
      </c>
      <c r="N415" s="12">
        <f>E415*(G415*原始输入与口径!$B$5+H415/原始输入与口径!$B$5)/原始输入与口径!$H$5</f>
        <v>1.3806578838436148E-5</v>
      </c>
      <c r="O415" s="12">
        <v>1.3806578838436148E-5</v>
      </c>
      <c r="P415" s="19">
        <f t="shared" si="45"/>
        <v>0</v>
      </c>
      <c r="Q415" s="12">
        <f t="shared" si="46"/>
        <v>5.4025743280837106E-3</v>
      </c>
      <c r="R415" s="12">
        <f t="shared" si="47"/>
        <v>0</v>
      </c>
      <c r="S415" s="1">
        <v>170</v>
      </c>
      <c r="T415" s="14">
        <v>46235</v>
      </c>
    </row>
    <row r="416" spans="1:20" ht="21" customHeight="1" x14ac:dyDescent="0.45">
      <c r="A416" s="31">
        <v>46236.760462857143</v>
      </c>
      <c r="B416" s="31">
        <v>46236.762302619049</v>
      </c>
      <c r="C416" s="31">
        <v>46236.760416666664</v>
      </c>
      <c r="D416" s="1" t="s">
        <v>101</v>
      </c>
      <c r="E416" s="12">
        <v>4.4154285714285715E-2</v>
      </c>
      <c r="F416" s="12">
        <f>IF(D416="d",两日求解价格与决策!K178-两日求解价格与决策!N178,IF(D416="u",两日求解价格与决策!K178+两日求解价格与决策!M178,两日求解价格与决策!K178))</f>
        <v>19.126543776213147</v>
      </c>
      <c r="G416" s="12">
        <f t="shared" si="42"/>
        <v>0</v>
      </c>
      <c r="H416" s="12">
        <f t="shared" si="43"/>
        <v>19.126543776213147</v>
      </c>
      <c r="I416" s="12">
        <f t="shared" si="48"/>
        <v>171.59999999999997</v>
      </c>
      <c r="J416" s="12">
        <f>I416+E416*(G416*原始输入与口径!$B$5-H416/原始输入与口径!$B$5)</f>
        <v>170.68204469715027</v>
      </c>
      <c r="K416" s="12">
        <v>171.59999999999994</v>
      </c>
      <c r="L416" s="12">
        <v>170.68204469715025</v>
      </c>
      <c r="M416" s="19">
        <f t="shared" si="44"/>
        <v>0</v>
      </c>
      <c r="N416" s="12">
        <f>E416*(G416*原始输入与口径!$B$5+H416/原始输入与口径!$B$5)/原始输入与口径!$H$5</f>
        <v>2.5498758412491195E-3</v>
      </c>
      <c r="O416" s="12">
        <v>2.5498758412491195E-3</v>
      </c>
      <c r="P416" s="19">
        <f t="shared" si="45"/>
        <v>0</v>
      </c>
      <c r="Q416" s="12">
        <f t="shared" si="46"/>
        <v>0</v>
      </c>
      <c r="R416" s="12">
        <f t="shared" si="47"/>
        <v>0.84451887862170849</v>
      </c>
      <c r="S416" s="1">
        <v>170</v>
      </c>
      <c r="T416" s="14">
        <v>46235</v>
      </c>
    </row>
    <row r="417" spans="1:20" ht="21" customHeight="1" x14ac:dyDescent="0.45">
      <c r="A417" s="31">
        <v>46236.762302619049</v>
      </c>
      <c r="B417" s="31">
        <v>46236.770833333328</v>
      </c>
      <c r="C417" s="31">
        <v>46236.760416666664</v>
      </c>
      <c r="D417" s="1" t="s">
        <v>102</v>
      </c>
      <c r="E417" s="12">
        <v>0.20473714285714287</v>
      </c>
      <c r="F417" s="12">
        <f>IF(D417="d",两日求解价格与决策!K178-两日求解价格与决策!N178,IF(D417="u",两日求解价格与决策!K178+两日求解价格与决策!M178,两日求解价格与决策!K178))</f>
        <v>-4.8734562237868522</v>
      </c>
      <c r="G417" s="12">
        <f t="shared" si="42"/>
        <v>4.8734562237868522</v>
      </c>
      <c r="H417" s="12">
        <f t="shared" si="43"/>
        <v>0</v>
      </c>
      <c r="I417" s="12">
        <f t="shared" si="48"/>
        <v>170.68204469715027</v>
      </c>
      <c r="J417" s="12">
        <f>I417+E417*(G417*原始输入与口径!$B$5-H417/原始输入与口径!$B$5)</f>
        <v>171.59999999999997</v>
      </c>
      <c r="K417" s="12">
        <v>170.68204469715025</v>
      </c>
      <c r="L417" s="12">
        <v>171.59999999999994</v>
      </c>
      <c r="M417" s="19">
        <f t="shared" si="44"/>
        <v>0</v>
      </c>
      <c r="N417" s="12">
        <f>E417*(G417*原始输入与口径!$B$5+H417/原始输入与口径!$B$5)/原始输入与口径!$H$5</f>
        <v>2.5498758412491173E-3</v>
      </c>
      <c r="O417" s="12">
        <v>2.5498758412491177E-3</v>
      </c>
      <c r="P417" s="19">
        <f t="shared" si="45"/>
        <v>0</v>
      </c>
      <c r="Q417" s="12">
        <f t="shared" si="46"/>
        <v>0.99777750309748081</v>
      </c>
      <c r="R417" s="12">
        <f t="shared" si="47"/>
        <v>0</v>
      </c>
      <c r="S417" s="1">
        <v>170</v>
      </c>
      <c r="T417" s="14">
        <v>46235</v>
      </c>
    </row>
    <row r="418" spans="1:20" ht="21" customHeight="1" x14ac:dyDescent="0.45">
      <c r="A418" s="31">
        <v>46236.770833333336</v>
      </c>
      <c r="B418" s="31">
        <v>46236.776357380957</v>
      </c>
      <c r="C418" s="31">
        <v>46236.770833333336</v>
      </c>
      <c r="D418" s="1" t="s">
        <v>101</v>
      </c>
      <c r="E418" s="12">
        <v>0.13257714285714287</v>
      </c>
      <c r="F418" s="12">
        <f>IF(D418="d",两日求解价格与决策!K179-两日求解价格与决策!N179,IF(D418="u",两日求解价格与决策!K179+两日求解价格与决策!M179,两日求解价格与决策!K179))</f>
        <v>10.282985731057364</v>
      </c>
      <c r="G418" s="12">
        <f t="shared" si="42"/>
        <v>0</v>
      </c>
      <c r="H418" s="12">
        <f t="shared" si="43"/>
        <v>10.282985731057364</v>
      </c>
      <c r="I418" s="12">
        <f t="shared" si="48"/>
        <v>171.59999999999997</v>
      </c>
      <c r="J418" s="12">
        <f>I418+E418*(G418*原始输入与口径!$B$5-H418/原始输入与口径!$B$5)</f>
        <v>170.11816427362567</v>
      </c>
      <c r="K418" s="12">
        <v>171.59999999999994</v>
      </c>
      <c r="L418" s="12">
        <v>170.11816427362564</v>
      </c>
      <c r="M418" s="19">
        <f t="shared" si="44"/>
        <v>0</v>
      </c>
      <c r="N418" s="12">
        <f>E418*(G418*原始输入与口径!$B$5+H418/原始输入与口径!$B$5)/原始输入与口径!$H$5</f>
        <v>4.116210351039715E-3</v>
      </c>
      <c r="O418" s="12">
        <v>4.1162103510397159E-3</v>
      </c>
      <c r="P418" s="19">
        <f t="shared" si="45"/>
        <v>0</v>
      </c>
      <c r="Q418" s="12">
        <f t="shared" si="46"/>
        <v>0</v>
      </c>
      <c r="R418" s="12">
        <f t="shared" si="47"/>
        <v>1.3632888682643538</v>
      </c>
      <c r="S418" s="1">
        <v>171</v>
      </c>
      <c r="T418" s="14">
        <v>46235</v>
      </c>
    </row>
    <row r="419" spans="1:20" ht="21" customHeight="1" x14ac:dyDescent="0.45">
      <c r="A419" s="31">
        <v>46236.776357380957</v>
      </c>
      <c r="B419" s="31">
        <v>46236.78125</v>
      </c>
      <c r="C419" s="31">
        <v>46236.770833333336</v>
      </c>
      <c r="D419" s="1" t="s">
        <v>102</v>
      </c>
      <c r="E419" s="12">
        <v>0.11742285714285713</v>
      </c>
      <c r="F419" s="12">
        <f>IF(D419="d",两日求解价格与决策!K179-两日求解价格与决策!N179,IF(D419="u",两日求解价格与决策!K179+两日求解价格与决策!M179,两日求解价格与决策!K179))</f>
        <v>-13.717014268942636</v>
      </c>
      <c r="G419" s="12">
        <f t="shared" si="42"/>
        <v>13.717014268942636</v>
      </c>
      <c r="H419" s="12">
        <f t="shared" si="43"/>
        <v>0</v>
      </c>
      <c r="I419" s="12">
        <f t="shared" si="48"/>
        <v>170.11816427362567</v>
      </c>
      <c r="J419" s="12">
        <f>I419+E419*(G419*原始输入与口径!$B$5-H419/原始输入与口径!$B$5)</f>
        <v>171.59999999999997</v>
      </c>
      <c r="K419" s="12">
        <v>170.11816427362564</v>
      </c>
      <c r="L419" s="12">
        <v>171.59999999999994</v>
      </c>
      <c r="M419" s="19">
        <f t="shared" si="44"/>
        <v>0</v>
      </c>
      <c r="N419" s="12">
        <f>E419*(G419*原始输入与口径!$B$5+H419/原始输入与口径!$B$5)/原始输入与口径!$H$5</f>
        <v>4.116210351039715E-3</v>
      </c>
      <c r="O419" s="12">
        <v>4.116210351039715E-3</v>
      </c>
      <c r="P419" s="19">
        <f t="shared" si="45"/>
        <v>0</v>
      </c>
      <c r="Q419" s="12">
        <f t="shared" si="46"/>
        <v>1.610691006928584</v>
      </c>
      <c r="R419" s="12">
        <f t="shared" si="47"/>
        <v>0</v>
      </c>
      <c r="S419" s="1">
        <v>171</v>
      </c>
      <c r="T419" s="14">
        <v>46235</v>
      </c>
    </row>
    <row r="420" spans="1:20" ht="21" customHeight="1" x14ac:dyDescent="0.45">
      <c r="A420" s="31">
        <v>46236.78125</v>
      </c>
      <c r="B420" s="31">
        <v>46236.784173571432</v>
      </c>
      <c r="C420" s="31">
        <v>46236.78125</v>
      </c>
      <c r="D420" s="1" t="s">
        <v>101</v>
      </c>
      <c r="E420" s="12">
        <v>7.016571428571429E-2</v>
      </c>
      <c r="F420" s="12">
        <f>IF(D420="d",两日求解价格与决策!K180-两日求解价格与决策!N180,IF(D420="u",两日求解价格与决策!K180+两日求解价格与决策!M180,两日求解价格与决策!K180))</f>
        <v>16.488986879409886</v>
      </c>
      <c r="G420" s="12">
        <f t="shared" si="42"/>
        <v>0</v>
      </c>
      <c r="H420" s="12">
        <f t="shared" si="43"/>
        <v>16.488986879409886</v>
      </c>
      <c r="I420" s="12">
        <f t="shared" si="48"/>
        <v>171.59999999999997</v>
      </c>
      <c r="J420" s="12">
        <f>I420+E420*(G420*原始输入与口径!$B$5-H420/原始输入与口径!$B$5)</f>
        <v>170.34243310625914</v>
      </c>
      <c r="K420" s="12">
        <v>171.59999999999994</v>
      </c>
      <c r="L420" s="12">
        <v>170.34243310625911</v>
      </c>
      <c r="M420" s="19">
        <f t="shared" si="44"/>
        <v>0</v>
      </c>
      <c r="N420" s="12">
        <f>E420*(G420*原始输入与口径!$B$5+H420/原始输入与口径!$B$5)/原始输入与口径!$H$5</f>
        <v>3.4932413715023118E-3</v>
      </c>
      <c r="O420" s="12">
        <v>3.4932413715023122E-3</v>
      </c>
      <c r="P420" s="19">
        <f t="shared" si="45"/>
        <v>0</v>
      </c>
      <c r="Q420" s="12">
        <f t="shared" si="46"/>
        <v>0</v>
      </c>
      <c r="R420" s="12">
        <f t="shared" si="47"/>
        <v>1.1569615422415658</v>
      </c>
      <c r="S420" s="1">
        <v>172</v>
      </c>
      <c r="T420" s="14">
        <v>46235</v>
      </c>
    </row>
    <row r="421" spans="1:20" ht="21" customHeight="1" x14ac:dyDescent="0.45">
      <c r="A421" s="31">
        <v>46236.784173571432</v>
      </c>
      <c r="B421" s="31">
        <v>46236.791666666664</v>
      </c>
      <c r="C421" s="31">
        <v>46236.78125</v>
      </c>
      <c r="D421" s="1" t="s">
        <v>102</v>
      </c>
      <c r="E421" s="12">
        <v>0.17983428571428572</v>
      </c>
      <c r="F421" s="12">
        <f>IF(D421="d",两日求解价格与决策!K180-两日求解价格与决策!N180,IF(D421="u",两日求解价格与决策!K180+两日求解价格与决策!M180,两日求解价格与决策!K180))</f>
        <v>-7.5110131205901158</v>
      </c>
      <c r="G421" s="12">
        <f t="shared" si="42"/>
        <v>7.5110131205901158</v>
      </c>
      <c r="H421" s="12">
        <f t="shared" si="43"/>
        <v>0</v>
      </c>
      <c r="I421" s="12">
        <f t="shared" si="48"/>
        <v>170.34243310625914</v>
      </c>
      <c r="J421" s="12">
        <f>I421+E421*(G421*原始输入与口径!$B$5-H421/原始输入与口径!$B$5)</f>
        <v>171.58511177142853</v>
      </c>
      <c r="K421" s="12">
        <v>170.34243310625911</v>
      </c>
      <c r="L421" s="12">
        <v>171.5851117714285</v>
      </c>
      <c r="M421" s="19">
        <f t="shared" si="44"/>
        <v>0</v>
      </c>
      <c r="N421" s="12">
        <f>E421*(G421*原始输入与口径!$B$5+H421/原始输入与口径!$B$5)/原始输入与口径!$H$5</f>
        <v>3.4518851810260986E-3</v>
      </c>
      <c r="O421" s="12">
        <v>3.4518851810260986E-3</v>
      </c>
      <c r="P421" s="19">
        <f t="shared" si="45"/>
        <v>0</v>
      </c>
      <c r="Q421" s="12">
        <f t="shared" si="46"/>
        <v>1.3507376795319517</v>
      </c>
      <c r="R421" s="12">
        <f t="shared" si="47"/>
        <v>0</v>
      </c>
      <c r="S421" s="1">
        <v>172</v>
      </c>
      <c r="T421" s="14">
        <v>46235</v>
      </c>
    </row>
    <row r="422" spans="1:20" ht="21" customHeight="1" x14ac:dyDescent="0.45">
      <c r="A422" s="31">
        <v>46236.791666666664</v>
      </c>
      <c r="B422" s="31">
        <v>46236.791694761901</v>
      </c>
      <c r="C422" s="31">
        <v>46236.791666666664</v>
      </c>
      <c r="D422" s="1" t="s">
        <v>103</v>
      </c>
      <c r="E422" s="12">
        <v>6.7428571428571429E-4</v>
      </c>
      <c r="F422" s="12">
        <f>IF(D422="d",两日求解价格与决策!K181-两日求解价格与决策!N181,IF(D422="u",两日求解价格与决策!K181+两日求解价格与决策!M181,两日求解价格与决策!K181))</f>
        <v>-24</v>
      </c>
      <c r="G422" s="12">
        <f t="shared" si="42"/>
        <v>24</v>
      </c>
      <c r="H422" s="12">
        <f t="shared" si="43"/>
        <v>0</v>
      </c>
      <c r="I422" s="12">
        <f t="shared" si="48"/>
        <v>171.58511177142853</v>
      </c>
      <c r="J422" s="12">
        <f>I422+E422*(G422*原始输入与口径!$B$5-H422/原始输入与口径!$B$5)</f>
        <v>171.59999999999997</v>
      </c>
      <c r="K422" s="12">
        <v>171.5851117714285</v>
      </c>
      <c r="L422" s="12">
        <v>171.59999999999994</v>
      </c>
      <c r="M422" s="19">
        <f t="shared" si="44"/>
        <v>0</v>
      </c>
      <c r="N422" s="12">
        <f>E422*(G422*原始输入与口径!$B$5+H422/原始输入与口径!$B$5)/原始输入与口径!$H$5</f>
        <v>4.1356190476190479E-5</v>
      </c>
      <c r="O422" s="12">
        <v>4.1356190476190486E-5</v>
      </c>
      <c r="P422" s="19">
        <f t="shared" si="45"/>
        <v>0</v>
      </c>
      <c r="Q422" s="12">
        <f t="shared" si="46"/>
        <v>1.6182857142857145E-2</v>
      </c>
      <c r="R422" s="12">
        <f t="shared" si="47"/>
        <v>0</v>
      </c>
      <c r="S422" s="1">
        <v>173</v>
      </c>
      <c r="T422" s="14">
        <v>46235</v>
      </c>
    </row>
    <row r="423" spans="1:20" ht="21" customHeight="1" x14ac:dyDescent="0.45">
      <c r="A423" s="31">
        <v>46236.791694761901</v>
      </c>
      <c r="B423" s="31">
        <v>46236.792166904757</v>
      </c>
      <c r="C423" s="31">
        <v>46236.791666666664</v>
      </c>
      <c r="D423" s="1" t="s">
        <v>101</v>
      </c>
      <c r="E423" s="12">
        <v>1.1331428571428572E-2</v>
      </c>
      <c r="F423" s="12">
        <f>IF(D423="d",两日求解价格与决策!K181-两日求解价格与决策!N181,IF(D423="u",两日求解价格与决策!K181+两日求解价格与决策!M181,两日求解价格与决策!K181))</f>
        <v>24</v>
      </c>
      <c r="G423" s="12">
        <f t="shared" si="42"/>
        <v>0</v>
      </c>
      <c r="H423" s="12">
        <f t="shared" si="43"/>
        <v>24</v>
      </c>
      <c r="I423" s="12">
        <f t="shared" si="48"/>
        <v>171.59999999999997</v>
      </c>
      <c r="J423" s="12">
        <f>I423+E423*(G423*原始输入与口径!$B$5-H423/原始输入与口径!$B$5)</f>
        <v>171.30439751552791</v>
      </c>
      <c r="K423" s="12">
        <v>171.59999999999994</v>
      </c>
      <c r="L423" s="12">
        <v>171.30439751552788</v>
      </c>
      <c r="M423" s="19">
        <f t="shared" si="44"/>
        <v>0</v>
      </c>
      <c r="N423" s="12">
        <f>E423*(G423*原始输入与口径!$B$5+H423/原始输入与口径!$B$5)/原始输入与口径!$H$5</f>
        <v>8.2111801242236025E-4</v>
      </c>
      <c r="O423" s="12">
        <v>8.2111801242236025E-4</v>
      </c>
      <c r="P423" s="19">
        <f t="shared" si="45"/>
        <v>0</v>
      </c>
      <c r="Q423" s="12">
        <f t="shared" si="46"/>
        <v>0</v>
      </c>
      <c r="R423" s="12">
        <f t="shared" si="47"/>
        <v>0.2719542857142857</v>
      </c>
      <c r="S423" s="1">
        <v>173</v>
      </c>
      <c r="T423" s="14">
        <v>46235</v>
      </c>
    </row>
    <row r="424" spans="1:20" ht="21" customHeight="1" x14ac:dyDescent="0.45">
      <c r="A424" s="31">
        <v>46236.792166904757</v>
      </c>
      <c r="B424" s="31">
        <v>46236.802083333328</v>
      </c>
      <c r="C424" s="31">
        <v>46236.791666666664</v>
      </c>
      <c r="D424" s="1" t="s">
        <v>102</v>
      </c>
      <c r="E424" s="12">
        <v>0.23799428571428571</v>
      </c>
      <c r="F424" s="12">
        <f>IF(D424="d",两日求解价格与决策!K181-两日求解价格与决策!N181,IF(D424="u",两日求解价格与决策!K181+两日求解价格与决策!M181,两日求解价格与决策!K181))</f>
        <v>0</v>
      </c>
      <c r="G424" s="12">
        <f t="shared" si="42"/>
        <v>0</v>
      </c>
      <c r="H424" s="12">
        <f t="shared" si="43"/>
        <v>0</v>
      </c>
      <c r="I424" s="12">
        <f t="shared" si="48"/>
        <v>171.30439751552791</v>
      </c>
      <c r="J424" s="12">
        <f>I424+E424*(G424*原始输入与口径!$B$5-H424/原始输入与口径!$B$5)</f>
        <v>171.30439751552791</v>
      </c>
      <c r="K424" s="12">
        <v>171.30439751552788</v>
      </c>
      <c r="L424" s="12">
        <v>171.30439751552788</v>
      </c>
      <c r="M424" s="19">
        <f t="shared" si="44"/>
        <v>0</v>
      </c>
      <c r="N424" s="12">
        <f>E424*(G424*原始输入与口径!$B$5+H424/原始输入与口径!$B$5)/原始输入与口径!$H$5</f>
        <v>0</v>
      </c>
      <c r="O424" s="12">
        <v>0</v>
      </c>
      <c r="P424" s="19">
        <f t="shared" si="45"/>
        <v>0</v>
      </c>
      <c r="Q424" s="12">
        <f t="shared" si="46"/>
        <v>0</v>
      </c>
      <c r="R424" s="12">
        <f t="shared" si="47"/>
        <v>0</v>
      </c>
      <c r="S424" s="1">
        <v>173</v>
      </c>
      <c r="T424" s="14">
        <v>46235</v>
      </c>
    </row>
    <row r="425" spans="1:20" ht="21" customHeight="1" x14ac:dyDescent="0.45">
      <c r="A425" s="31">
        <v>46236.802083333336</v>
      </c>
      <c r="B425" s="31">
        <v>46236.802089047618</v>
      </c>
      <c r="C425" s="31">
        <v>46236.802083333336</v>
      </c>
      <c r="D425" s="1" t="s">
        <v>103</v>
      </c>
      <c r="E425" s="12">
        <v>1.3714285714285713E-4</v>
      </c>
      <c r="F425" s="12">
        <f>IF(D425="d",两日求解价格与决策!K182-两日求解价格与决策!N182,IF(D425="u",两日求解价格与决策!K182+两日求解价格与决策!M182,两日求解价格与决策!K182))</f>
        <v>12</v>
      </c>
      <c r="G425" s="12">
        <f t="shared" si="42"/>
        <v>0</v>
      </c>
      <c r="H425" s="12">
        <f t="shared" si="43"/>
        <v>12</v>
      </c>
      <c r="I425" s="12">
        <f t="shared" si="48"/>
        <v>171.30439751552791</v>
      </c>
      <c r="J425" s="12">
        <f>I425+E425*(G425*原始输入与口径!$B$5-H425/原始输入与口径!$B$5)</f>
        <v>171.30260869565214</v>
      </c>
      <c r="K425" s="12">
        <v>171.30439751552788</v>
      </c>
      <c r="L425" s="12">
        <v>171.30260869565211</v>
      </c>
      <c r="M425" s="19">
        <f t="shared" si="44"/>
        <v>0</v>
      </c>
      <c r="N425" s="12">
        <f>E425*(G425*原始输入与口径!$B$5+H425/原始输入与口径!$B$5)/原始输入与口径!$H$5</f>
        <v>4.9689440993788812E-6</v>
      </c>
      <c r="O425" s="12">
        <v>4.9689440993788812E-6</v>
      </c>
      <c r="P425" s="19">
        <f t="shared" si="45"/>
        <v>0</v>
      </c>
      <c r="Q425" s="12">
        <f t="shared" si="46"/>
        <v>0</v>
      </c>
      <c r="R425" s="12">
        <f t="shared" si="47"/>
        <v>1.6457142857142855E-3</v>
      </c>
      <c r="S425" s="1">
        <v>174</v>
      </c>
      <c r="T425" s="14">
        <v>46235</v>
      </c>
    </row>
    <row r="426" spans="1:20" ht="21" customHeight="1" x14ac:dyDescent="0.45">
      <c r="A426" s="31">
        <v>46236.802089047618</v>
      </c>
      <c r="B426" s="31">
        <v>46236.803083571431</v>
      </c>
      <c r="C426" s="31">
        <v>46236.802083333336</v>
      </c>
      <c r="D426" s="1" t="s">
        <v>101</v>
      </c>
      <c r="E426" s="12">
        <v>2.3868571428571426E-2</v>
      </c>
      <c r="F426" s="12">
        <f>IF(D426="d",两日求解价格与决策!K182-两日求解价格与决策!N182,IF(D426="u",两日求解价格与决策!K182+两日求解价格与决策!M182,两日求解价格与决策!K182))</f>
        <v>60</v>
      </c>
      <c r="G426" s="12">
        <f t="shared" si="42"/>
        <v>0</v>
      </c>
      <c r="H426" s="12">
        <f t="shared" si="43"/>
        <v>60</v>
      </c>
      <c r="I426" s="12">
        <f t="shared" si="48"/>
        <v>171.30260869565214</v>
      </c>
      <c r="J426" s="12">
        <f>I426+E426*(G426*原始输入与口径!$B$5-H426/原始输入与口径!$B$5)</f>
        <v>169.74596273291922</v>
      </c>
      <c r="K426" s="12">
        <v>171.30260869565211</v>
      </c>
      <c r="L426" s="12">
        <v>169.7459627329192</v>
      </c>
      <c r="M426" s="19">
        <f t="shared" si="44"/>
        <v>0</v>
      </c>
      <c r="N426" s="12">
        <f>E426*(G426*原始输入与口径!$B$5+H426/原始输入与口径!$B$5)/原始输入与口径!$H$5</f>
        <v>4.3240165631469978E-3</v>
      </c>
      <c r="O426" s="12">
        <v>4.3240165631469978E-3</v>
      </c>
      <c r="P426" s="19">
        <f t="shared" si="45"/>
        <v>0</v>
      </c>
      <c r="Q426" s="12">
        <f t="shared" si="46"/>
        <v>0</v>
      </c>
      <c r="R426" s="12">
        <f t="shared" si="47"/>
        <v>1.4321142857142857</v>
      </c>
      <c r="S426" s="1">
        <v>174</v>
      </c>
      <c r="T426" s="14">
        <v>46235</v>
      </c>
    </row>
    <row r="427" spans="1:20" ht="21" customHeight="1" x14ac:dyDescent="0.45">
      <c r="A427" s="31">
        <v>46236.803083571431</v>
      </c>
      <c r="B427" s="31">
        <v>46236.8125</v>
      </c>
      <c r="C427" s="31">
        <v>46236.802083333336</v>
      </c>
      <c r="D427" s="1" t="s">
        <v>102</v>
      </c>
      <c r="E427" s="12">
        <v>0.2259942857142857</v>
      </c>
      <c r="F427" s="12">
        <f>IF(D427="d",两日求解价格与决策!K182-两日求解价格与决策!N182,IF(D427="u",两日求解价格与决策!K182+两日求解价格与决策!M182,两日求解价格与决策!K182))</f>
        <v>36</v>
      </c>
      <c r="G427" s="12">
        <f t="shared" si="42"/>
        <v>0</v>
      </c>
      <c r="H427" s="12">
        <f t="shared" si="43"/>
        <v>36</v>
      </c>
      <c r="I427" s="12">
        <f t="shared" si="48"/>
        <v>169.74596273291922</v>
      </c>
      <c r="J427" s="12">
        <f>I427+E427*(G427*原始输入与口径!$B$5-H427/原始输入与口径!$B$5)</f>
        <v>160.90270807453413</v>
      </c>
      <c r="K427" s="12">
        <v>169.7459627329192</v>
      </c>
      <c r="L427" s="12">
        <v>160.9027080745341</v>
      </c>
      <c r="M427" s="19">
        <f t="shared" si="44"/>
        <v>0</v>
      </c>
      <c r="N427" s="12">
        <f>E427*(G427*原始输入与口径!$B$5+H427/原始输入与口径!$B$5)/原始输入与口径!$H$5</f>
        <v>2.4564596273291921E-2</v>
      </c>
      <c r="O427" s="12">
        <v>2.4564596273291921E-2</v>
      </c>
      <c r="P427" s="19">
        <f t="shared" si="45"/>
        <v>0</v>
      </c>
      <c r="Q427" s="12">
        <f t="shared" si="46"/>
        <v>0</v>
      </c>
      <c r="R427" s="12">
        <f t="shared" si="47"/>
        <v>8.1357942857142849</v>
      </c>
      <c r="S427" s="1">
        <v>174</v>
      </c>
      <c r="T427" s="14">
        <v>46235</v>
      </c>
    </row>
    <row r="428" spans="1:20" ht="21" customHeight="1" x14ac:dyDescent="0.45">
      <c r="A428" s="31">
        <v>46236.8125</v>
      </c>
      <c r="B428" s="31">
        <v>46236.81454595238</v>
      </c>
      <c r="C428" s="31">
        <v>46236.8125</v>
      </c>
      <c r="D428" s="1" t="s">
        <v>101</v>
      </c>
      <c r="E428" s="12">
        <v>4.9102857142857143E-2</v>
      </c>
      <c r="F428" s="12">
        <f>IF(D428="d",两日求解价格与决策!K183-两日求解价格与决策!N183,IF(D428="u",两日求解价格与决策!K183+两日求解价格与决策!M183,两日求解价格与决策!K183))</f>
        <v>24</v>
      </c>
      <c r="G428" s="12">
        <f t="shared" si="42"/>
        <v>0</v>
      </c>
      <c r="H428" s="12">
        <f t="shared" si="43"/>
        <v>24</v>
      </c>
      <c r="I428" s="12">
        <f t="shared" si="48"/>
        <v>160.90270807453413</v>
      </c>
      <c r="J428" s="12">
        <f>I428+E428*(G428*原始输入与口径!$B$5-H428/原始输入与口径!$B$5)</f>
        <v>159.62176397515526</v>
      </c>
      <c r="K428" s="12">
        <v>160.9027080745341</v>
      </c>
      <c r="L428" s="12">
        <v>159.62176397515523</v>
      </c>
      <c r="M428" s="19">
        <f t="shared" si="44"/>
        <v>0</v>
      </c>
      <c r="N428" s="12">
        <f>E428*(G428*原始输入与口径!$B$5+H428/原始输入与口径!$B$5)/原始输入与口径!$H$5</f>
        <v>3.5581780538302276E-3</v>
      </c>
      <c r="O428" s="12">
        <v>3.5581780538302276E-3</v>
      </c>
      <c r="P428" s="19">
        <f t="shared" si="45"/>
        <v>0</v>
      </c>
      <c r="Q428" s="12">
        <f t="shared" si="46"/>
        <v>0</v>
      </c>
      <c r="R428" s="12">
        <f t="shared" si="47"/>
        <v>1.1784685714285714</v>
      </c>
      <c r="S428" s="1">
        <v>175</v>
      </c>
      <c r="T428" s="14">
        <v>46235</v>
      </c>
    </row>
    <row r="429" spans="1:20" ht="21" customHeight="1" x14ac:dyDescent="0.45">
      <c r="A429" s="31">
        <v>46236.81454595238</v>
      </c>
      <c r="B429" s="31">
        <v>46236.822916666664</v>
      </c>
      <c r="C429" s="31">
        <v>46236.8125</v>
      </c>
      <c r="D429" s="1" t="s">
        <v>102</v>
      </c>
      <c r="E429" s="12">
        <v>0.20089714285714286</v>
      </c>
      <c r="F429" s="12">
        <f>IF(D429="d",两日求解价格与决策!K183-两日求解价格与决策!N183,IF(D429="u",两日求解价格与决策!K183+两日求解价格与决策!M183,两日求解价格与决策!K183))</f>
        <v>0</v>
      </c>
      <c r="G429" s="12">
        <f t="shared" si="42"/>
        <v>0</v>
      </c>
      <c r="H429" s="12">
        <f t="shared" si="43"/>
        <v>0</v>
      </c>
      <c r="I429" s="12">
        <f t="shared" si="48"/>
        <v>159.62176397515526</v>
      </c>
      <c r="J429" s="12">
        <f>I429+E429*(G429*原始输入与口径!$B$5-H429/原始输入与口径!$B$5)</f>
        <v>159.62176397515526</v>
      </c>
      <c r="K429" s="12">
        <v>159.62176397515523</v>
      </c>
      <c r="L429" s="12">
        <v>159.62176397515523</v>
      </c>
      <c r="M429" s="19">
        <f t="shared" si="44"/>
        <v>0</v>
      </c>
      <c r="N429" s="12">
        <f>E429*(G429*原始输入与口径!$B$5+H429/原始输入与口径!$B$5)/原始输入与口径!$H$5</f>
        <v>0</v>
      </c>
      <c r="O429" s="12">
        <v>0</v>
      </c>
      <c r="P429" s="19">
        <f t="shared" si="45"/>
        <v>0</v>
      </c>
      <c r="Q429" s="12">
        <f t="shared" si="46"/>
        <v>0</v>
      </c>
      <c r="R429" s="12">
        <f t="shared" si="47"/>
        <v>0</v>
      </c>
      <c r="S429" s="1">
        <v>175</v>
      </c>
      <c r="T429" s="14">
        <v>46235</v>
      </c>
    </row>
    <row r="430" spans="1:20" ht="21" customHeight="1" x14ac:dyDescent="0.45">
      <c r="A430" s="31">
        <v>46236.822916666664</v>
      </c>
      <c r="B430" s="31">
        <v>46236.825596190472</v>
      </c>
      <c r="C430" s="31">
        <v>46236.822916666664</v>
      </c>
      <c r="D430" s="1" t="s">
        <v>101</v>
      </c>
      <c r="E430" s="12">
        <v>6.4308571428571423E-2</v>
      </c>
      <c r="F430" s="12">
        <f>IF(D430="d",两日求解价格与决策!K184-两日求解价格与决策!N184,IF(D430="u",两日求解价格与决策!K184+两日求解价格与决策!M184,两日求解价格与决策!K184))</f>
        <v>60</v>
      </c>
      <c r="G430" s="12">
        <f t="shared" si="42"/>
        <v>0</v>
      </c>
      <c r="H430" s="12">
        <f t="shared" si="43"/>
        <v>60</v>
      </c>
      <c r="I430" s="12">
        <f t="shared" si="48"/>
        <v>159.62176397515526</v>
      </c>
      <c r="J430" s="12">
        <f>I430+E430*(G430*原始输入与口径!$B$5-H430/原始输入与口径!$B$5)</f>
        <v>155.42772670807452</v>
      </c>
      <c r="K430" s="12">
        <v>159.62176397515523</v>
      </c>
      <c r="L430" s="12">
        <v>155.42772670807449</v>
      </c>
      <c r="M430" s="19">
        <f t="shared" si="44"/>
        <v>0</v>
      </c>
      <c r="N430" s="12">
        <f>E430*(G430*原始输入与口径!$B$5+H430/原始输入与口径!$B$5)/原始输入与口径!$H$5</f>
        <v>1.1650103519668735E-2</v>
      </c>
      <c r="O430" s="12">
        <v>1.1650103519668735E-2</v>
      </c>
      <c r="P430" s="19">
        <f t="shared" si="45"/>
        <v>0</v>
      </c>
      <c r="Q430" s="12">
        <f t="shared" si="46"/>
        <v>0</v>
      </c>
      <c r="R430" s="12">
        <f t="shared" si="47"/>
        <v>3.8585142857142856</v>
      </c>
      <c r="S430" s="1">
        <v>176</v>
      </c>
      <c r="T430" s="14">
        <v>46235</v>
      </c>
    </row>
    <row r="431" spans="1:20" ht="21" customHeight="1" x14ac:dyDescent="0.45">
      <c r="A431" s="31">
        <v>46236.825596190472</v>
      </c>
      <c r="B431" s="31">
        <v>46236.833333333328</v>
      </c>
      <c r="C431" s="31">
        <v>46236.822916666664</v>
      </c>
      <c r="D431" s="1" t="s">
        <v>102</v>
      </c>
      <c r="E431" s="12">
        <v>0.18569142857142856</v>
      </c>
      <c r="F431" s="12">
        <f>IF(D431="d",两日求解价格与决策!K184-两日求解价格与决策!N184,IF(D431="u",两日求解价格与决策!K184+两日求解价格与决策!M184,两日求解价格与决策!K184))</f>
        <v>36</v>
      </c>
      <c r="G431" s="12">
        <f t="shared" si="42"/>
        <v>0</v>
      </c>
      <c r="H431" s="12">
        <f t="shared" si="43"/>
        <v>36</v>
      </c>
      <c r="I431" s="12">
        <f t="shared" si="48"/>
        <v>155.42772670807452</v>
      </c>
      <c r="J431" s="12">
        <f>I431+E431*(G431*原始输入与口径!$B$5-H431/原始输入与口径!$B$5)</f>
        <v>148.1615403726708</v>
      </c>
      <c r="K431" s="12">
        <v>155.42772670807449</v>
      </c>
      <c r="L431" s="12">
        <v>148.16154037267077</v>
      </c>
      <c r="M431" s="19">
        <f t="shared" si="44"/>
        <v>0</v>
      </c>
      <c r="N431" s="12">
        <f>E431*(G431*原始输入与口径!$B$5+H431/原始输入与口径!$B$5)/原始输入与口径!$H$5</f>
        <v>2.0183850931677016E-2</v>
      </c>
      <c r="O431" s="12">
        <v>2.0183850931677016E-2</v>
      </c>
      <c r="P431" s="19">
        <f t="shared" si="45"/>
        <v>0</v>
      </c>
      <c r="Q431" s="12">
        <f t="shared" si="46"/>
        <v>0</v>
      </c>
      <c r="R431" s="12">
        <f t="shared" si="47"/>
        <v>6.6848914285714285</v>
      </c>
      <c r="S431" s="1">
        <v>176</v>
      </c>
      <c r="T431" s="14">
        <v>46235</v>
      </c>
    </row>
    <row r="432" spans="1:20" ht="21" customHeight="1" x14ac:dyDescent="0.45">
      <c r="A432" s="31">
        <v>46236.833333333336</v>
      </c>
      <c r="B432" s="31">
        <v>46236.833339761906</v>
      </c>
      <c r="C432" s="31">
        <v>46236.833333333336</v>
      </c>
      <c r="D432" s="1" t="s">
        <v>103</v>
      </c>
      <c r="E432" s="12">
        <v>1.5428571428571428E-4</v>
      </c>
      <c r="F432" s="12">
        <f>IF(D432="d",两日求解价格与决策!K185-两日求解价格与决策!N185,IF(D432="u",两日求解价格与决策!K185+两日求解价格与决策!M185,两日求解价格与决策!K185))</f>
        <v>36</v>
      </c>
      <c r="G432" s="12">
        <f t="shared" si="42"/>
        <v>0</v>
      </c>
      <c r="H432" s="12">
        <f t="shared" si="43"/>
        <v>36</v>
      </c>
      <c r="I432" s="12">
        <f t="shared" si="48"/>
        <v>148.1615403726708</v>
      </c>
      <c r="J432" s="12">
        <f>I432+E432*(G432*原始输入与口径!$B$5-H432/原始输入与口径!$B$5)</f>
        <v>148.15550310559004</v>
      </c>
      <c r="K432" s="12">
        <v>148.16154037267077</v>
      </c>
      <c r="L432" s="12">
        <v>148.15550310559001</v>
      </c>
      <c r="M432" s="19">
        <f t="shared" si="44"/>
        <v>0</v>
      </c>
      <c r="N432" s="12">
        <f>E432*(G432*原始输入与口径!$B$5+H432/原始输入与口径!$B$5)/原始输入与口径!$H$5</f>
        <v>1.6770186335403728E-5</v>
      </c>
      <c r="O432" s="12">
        <v>1.6770186335403725E-5</v>
      </c>
      <c r="P432" s="19">
        <f t="shared" si="45"/>
        <v>0</v>
      </c>
      <c r="Q432" s="12">
        <f t="shared" si="46"/>
        <v>0</v>
      </c>
      <c r="R432" s="12">
        <f t="shared" si="47"/>
        <v>5.5542857142857139E-3</v>
      </c>
      <c r="S432" s="1">
        <v>177</v>
      </c>
      <c r="T432" s="14">
        <v>46235</v>
      </c>
    </row>
    <row r="433" spans="1:20" ht="21" customHeight="1" x14ac:dyDescent="0.45">
      <c r="A433" s="31">
        <v>46236.833339761906</v>
      </c>
      <c r="B433" s="31">
        <v>46236.833927857144</v>
      </c>
      <c r="C433" s="31">
        <v>46236.833333333336</v>
      </c>
      <c r="D433" s="1" t="s">
        <v>101</v>
      </c>
      <c r="E433" s="12">
        <v>1.4114285714285715E-2</v>
      </c>
      <c r="F433" s="12">
        <f>IF(D433="d",两日求解价格与决策!K185-两日求解价格与决策!N185,IF(D433="u",两日求解价格与决策!K185+两日求解价格与决策!M185,两日求解价格与决策!K185))</f>
        <v>60</v>
      </c>
      <c r="G433" s="12">
        <f t="shared" si="42"/>
        <v>0</v>
      </c>
      <c r="H433" s="12">
        <f t="shared" si="43"/>
        <v>60</v>
      </c>
      <c r="I433" s="12">
        <f t="shared" si="48"/>
        <v>148.15550310559004</v>
      </c>
      <c r="J433" s="12">
        <f>I433+E433*(G433*原始输入与口径!$B$5-H433/原始输入与口径!$B$5)</f>
        <v>147.23500621118009</v>
      </c>
      <c r="K433" s="12">
        <v>148.15550310559001</v>
      </c>
      <c r="L433" s="12">
        <v>147.23500621118006</v>
      </c>
      <c r="M433" s="19">
        <f t="shared" si="44"/>
        <v>0</v>
      </c>
      <c r="N433" s="12">
        <f>E433*(G433*原始输入与口径!$B$5+H433/原始输入与口径!$B$5)/原始输入与口径!$H$5</f>
        <v>2.5569358178053831E-3</v>
      </c>
      <c r="O433" s="12">
        <v>2.5569358178053831E-3</v>
      </c>
      <c r="P433" s="19">
        <f t="shared" si="45"/>
        <v>0</v>
      </c>
      <c r="Q433" s="12">
        <f t="shared" si="46"/>
        <v>0</v>
      </c>
      <c r="R433" s="12">
        <f t="shared" si="47"/>
        <v>0.84685714285714286</v>
      </c>
      <c r="S433" s="1">
        <v>177</v>
      </c>
      <c r="T433" s="14">
        <v>46235</v>
      </c>
    </row>
    <row r="434" spans="1:20" ht="21" customHeight="1" x14ac:dyDescent="0.45">
      <c r="A434" s="31">
        <v>46236.833927857144</v>
      </c>
      <c r="B434" s="31">
        <v>46236.84375</v>
      </c>
      <c r="C434" s="31">
        <v>46236.833333333336</v>
      </c>
      <c r="D434" s="1" t="s">
        <v>102</v>
      </c>
      <c r="E434" s="12">
        <v>0.23573142857142856</v>
      </c>
      <c r="F434" s="12">
        <f>IF(D434="d",两日求解价格与决策!K185-两日求解价格与决策!N185,IF(D434="u",两日求解价格与决策!K185+两日求解价格与决策!M185,两日求解价格与决策!K185))</f>
        <v>60</v>
      </c>
      <c r="G434" s="12">
        <f t="shared" si="42"/>
        <v>0</v>
      </c>
      <c r="H434" s="12">
        <f t="shared" si="43"/>
        <v>60</v>
      </c>
      <c r="I434" s="12">
        <f t="shared" si="48"/>
        <v>147.23500621118009</v>
      </c>
      <c r="J434" s="12">
        <f>I434+E434*(G434*原始输入与口径!$B$5-H434/原始输入与口径!$B$5)</f>
        <v>131.86121739130431</v>
      </c>
      <c r="K434" s="12">
        <v>147.23500621118006</v>
      </c>
      <c r="L434" s="12">
        <v>131.86121739130428</v>
      </c>
      <c r="M434" s="19">
        <f t="shared" si="44"/>
        <v>0</v>
      </c>
      <c r="N434" s="12">
        <f>E434*(G434*原始输入与口径!$B$5+H434/原始输入与口径!$B$5)/原始输入与口径!$H$5</f>
        <v>4.2704968944099378E-2</v>
      </c>
      <c r="O434" s="12">
        <v>4.2704968944099378E-2</v>
      </c>
      <c r="P434" s="19">
        <f t="shared" si="45"/>
        <v>0</v>
      </c>
      <c r="Q434" s="12">
        <f t="shared" si="46"/>
        <v>0</v>
      </c>
      <c r="R434" s="12">
        <f t="shared" si="47"/>
        <v>14.143885714285714</v>
      </c>
      <c r="S434" s="1">
        <v>177</v>
      </c>
      <c r="T434" s="14">
        <v>46235</v>
      </c>
    </row>
    <row r="435" spans="1:20" ht="21" customHeight="1" x14ac:dyDescent="0.45">
      <c r="A435" s="31">
        <v>46236.84375</v>
      </c>
      <c r="B435" s="31">
        <v>46236.844500476189</v>
      </c>
      <c r="C435" s="31">
        <v>46236.84375</v>
      </c>
      <c r="D435" s="1" t="s">
        <v>103</v>
      </c>
      <c r="E435" s="12">
        <v>1.8011428571428571E-2</v>
      </c>
      <c r="F435" s="12">
        <f>IF(D435="d",两日求解价格与决策!K186-两日求解价格与决策!N186,IF(D435="u",两日求解价格与决策!K186+两日求解价格与决策!M186,两日求解价格与决策!K186))</f>
        <v>36</v>
      </c>
      <c r="G435" s="12">
        <f t="shared" si="42"/>
        <v>0</v>
      </c>
      <c r="H435" s="12">
        <f t="shared" si="43"/>
        <v>36</v>
      </c>
      <c r="I435" s="12">
        <f t="shared" si="48"/>
        <v>131.86121739130431</v>
      </c>
      <c r="J435" s="12">
        <f>I435+E435*(G435*原始输入与口径!$B$5-H435/原始输入与口径!$B$5)</f>
        <v>131.1564223602484</v>
      </c>
      <c r="K435" s="12">
        <v>131.86121739130428</v>
      </c>
      <c r="L435" s="12">
        <v>131.15642236024837</v>
      </c>
      <c r="M435" s="19">
        <f t="shared" si="44"/>
        <v>0</v>
      </c>
      <c r="N435" s="12">
        <f>E435*(G435*原始输入与口径!$B$5+H435/原始输入与口径!$B$5)/原始输入与口径!$H$5</f>
        <v>1.9577639751552794E-3</v>
      </c>
      <c r="O435" s="12">
        <v>1.9577639751552794E-3</v>
      </c>
      <c r="P435" s="19">
        <f t="shared" si="45"/>
        <v>0</v>
      </c>
      <c r="Q435" s="12">
        <f t="shared" si="46"/>
        <v>0</v>
      </c>
      <c r="R435" s="12">
        <f t="shared" si="47"/>
        <v>0.64841142857142853</v>
      </c>
      <c r="S435" s="1">
        <v>178</v>
      </c>
      <c r="T435" s="14">
        <v>46235</v>
      </c>
    </row>
    <row r="436" spans="1:20" ht="21" customHeight="1" x14ac:dyDescent="0.45">
      <c r="A436" s="31">
        <v>46236.844500476189</v>
      </c>
      <c r="B436" s="31">
        <v>46236.844774999998</v>
      </c>
      <c r="C436" s="31">
        <v>46236.84375</v>
      </c>
      <c r="D436" s="1" t="s">
        <v>101</v>
      </c>
      <c r="E436" s="12">
        <v>6.5885714285714289E-3</v>
      </c>
      <c r="F436" s="12">
        <f>IF(D436="d",两日求解价格与决策!K186-两日求解价格与决策!N186,IF(D436="u",两日求解价格与决策!K186+两日求解价格与决策!M186,两日求解价格与决策!K186))</f>
        <v>60</v>
      </c>
      <c r="G436" s="12">
        <f t="shared" si="42"/>
        <v>0</v>
      </c>
      <c r="H436" s="12">
        <f t="shared" si="43"/>
        <v>60</v>
      </c>
      <c r="I436" s="12">
        <f t="shared" si="48"/>
        <v>131.1564223602484</v>
      </c>
      <c r="J436" s="12">
        <f>I436+E436*(G436*原始输入与口径!$B$5-H436/原始输入与口径!$B$5)</f>
        <v>130.7267329192546</v>
      </c>
      <c r="K436" s="12">
        <v>131.15642236024837</v>
      </c>
      <c r="L436" s="12">
        <v>130.72673291925457</v>
      </c>
      <c r="M436" s="19">
        <f t="shared" si="44"/>
        <v>0</v>
      </c>
      <c r="N436" s="12">
        <f>E436*(G436*原始输入与口径!$B$5+H436/原始输入与口径!$B$5)/原始输入与口径!$H$5</f>
        <v>1.1935817805383024E-3</v>
      </c>
      <c r="O436" s="12">
        <v>1.1935817805383022E-3</v>
      </c>
      <c r="P436" s="19">
        <f t="shared" si="45"/>
        <v>0</v>
      </c>
      <c r="Q436" s="12">
        <f t="shared" si="46"/>
        <v>0</v>
      </c>
      <c r="R436" s="12">
        <f t="shared" si="47"/>
        <v>0.39531428571428573</v>
      </c>
      <c r="S436" s="1">
        <v>178</v>
      </c>
      <c r="T436" s="14">
        <v>46235</v>
      </c>
    </row>
    <row r="437" spans="1:20" ht="21" customHeight="1" x14ac:dyDescent="0.45">
      <c r="A437" s="31">
        <v>46236.844774999998</v>
      </c>
      <c r="B437" s="31">
        <v>46236.854166666664</v>
      </c>
      <c r="C437" s="31">
        <v>46236.84375</v>
      </c>
      <c r="D437" s="1" t="s">
        <v>102</v>
      </c>
      <c r="E437" s="12">
        <v>0.22540000000000002</v>
      </c>
      <c r="F437" s="12">
        <f>IF(D437="d",两日求解价格与决策!K186-两日求解价格与决策!N186,IF(D437="u",两日求解价格与决策!K186+两日求解价格与决策!M186,两日求解价格与决策!K186))</f>
        <v>60</v>
      </c>
      <c r="G437" s="12">
        <f t="shared" si="42"/>
        <v>0</v>
      </c>
      <c r="H437" s="12">
        <f t="shared" si="43"/>
        <v>60</v>
      </c>
      <c r="I437" s="12">
        <f t="shared" si="48"/>
        <v>130.7267329192546</v>
      </c>
      <c r="J437" s="12">
        <f>I437+E437*(G437*原始输入与口径!$B$5-H437/原始输入与口径!$B$5)</f>
        <v>116.0267329192546</v>
      </c>
      <c r="K437" s="12">
        <v>130.72673291925457</v>
      </c>
      <c r="L437" s="12">
        <v>116.02673291925457</v>
      </c>
      <c r="M437" s="19">
        <f t="shared" si="44"/>
        <v>0</v>
      </c>
      <c r="N437" s="12">
        <f>E437*(G437*原始输入与口径!$B$5+H437/原始输入与口径!$B$5)/原始输入与口径!$H$5</f>
        <v>4.083333333333334E-2</v>
      </c>
      <c r="O437" s="12">
        <v>4.083333333333334E-2</v>
      </c>
      <c r="P437" s="19">
        <f t="shared" si="45"/>
        <v>0</v>
      </c>
      <c r="Q437" s="12">
        <f t="shared" si="46"/>
        <v>0</v>
      </c>
      <c r="R437" s="12">
        <f t="shared" si="47"/>
        <v>13.524000000000001</v>
      </c>
      <c r="S437" s="1">
        <v>178</v>
      </c>
      <c r="T437" s="14">
        <v>46235</v>
      </c>
    </row>
    <row r="438" spans="1:20" ht="21" customHeight="1" x14ac:dyDescent="0.45">
      <c r="A438" s="31">
        <v>46236.854166666664</v>
      </c>
      <c r="B438" s="31">
        <v>46236.8541697619</v>
      </c>
      <c r="C438" s="31">
        <v>46236.854166666664</v>
      </c>
      <c r="D438" s="1" t="s">
        <v>103</v>
      </c>
      <c r="E438" s="12">
        <v>7.4285714285714287E-5</v>
      </c>
      <c r="F438" s="12">
        <f>IF(D438="d",两日求解价格与决策!K187-两日求解价格与决策!N187,IF(D438="u",两日求解价格与决策!K187+两日求解价格与决策!M187,两日求解价格与决策!K187))</f>
        <v>36</v>
      </c>
      <c r="G438" s="12">
        <f t="shared" si="42"/>
        <v>0</v>
      </c>
      <c r="H438" s="12">
        <f t="shared" si="43"/>
        <v>36</v>
      </c>
      <c r="I438" s="12">
        <f t="shared" si="48"/>
        <v>116.0267329192546</v>
      </c>
      <c r="J438" s="12">
        <f>I438+E438*(G438*原始输入与口径!$B$5-H438/原始输入与口径!$B$5)</f>
        <v>116.02382608695646</v>
      </c>
      <c r="K438" s="12">
        <v>116.02673291925457</v>
      </c>
      <c r="L438" s="12">
        <v>116.02382608695643</v>
      </c>
      <c r="M438" s="19">
        <f t="shared" si="44"/>
        <v>0</v>
      </c>
      <c r="N438" s="12">
        <f>E438*(G438*原始输入与口径!$B$5+H438/原始输入与口径!$B$5)/原始输入与口径!$H$5</f>
        <v>8.074534161490682E-6</v>
      </c>
      <c r="O438" s="12">
        <v>8.074534161490682E-6</v>
      </c>
      <c r="P438" s="19">
        <f t="shared" si="45"/>
        <v>0</v>
      </c>
      <c r="Q438" s="12">
        <f t="shared" si="46"/>
        <v>0</v>
      </c>
      <c r="R438" s="12">
        <f t="shared" si="47"/>
        <v>2.6742857142857141E-3</v>
      </c>
      <c r="S438" s="1">
        <v>179</v>
      </c>
      <c r="T438" s="14">
        <v>46235</v>
      </c>
    </row>
    <row r="439" spans="1:20" ht="21" customHeight="1" x14ac:dyDescent="0.45">
      <c r="A439" s="31">
        <v>46236.8541697619</v>
      </c>
      <c r="B439" s="31">
        <v>46236.854287380949</v>
      </c>
      <c r="C439" s="31">
        <v>46236.854166666664</v>
      </c>
      <c r="D439" s="1" t="s">
        <v>101</v>
      </c>
      <c r="E439" s="12">
        <v>2.822857142857143E-3</v>
      </c>
      <c r="F439" s="12">
        <f>IF(D439="d",两日求解价格与决策!K187-两日求解价格与决策!N187,IF(D439="u",两日求解价格与决策!K187+两日求解价格与决策!M187,两日求解价格与决策!K187))</f>
        <v>60</v>
      </c>
      <c r="G439" s="12">
        <f t="shared" si="42"/>
        <v>0</v>
      </c>
      <c r="H439" s="12">
        <f t="shared" si="43"/>
        <v>60</v>
      </c>
      <c r="I439" s="12">
        <f t="shared" si="48"/>
        <v>116.02382608695646</v>
      </c>
      <c r="J439" s="12">
        <f>I439+E439*(G439*原始输入与口径!$B$5-H439/原始输入与口径!$B$5)</f>
        <v>115.83972670807448</v>
      </c>
      <c r="K439" s="12">
        <v>116.02382608695643</v>
      </c>
      <c r="L439" s="12">
        <v>115.83972670807445</v>
      </c>
      <c r="M439" s="19">
        <f t="shared" si="44"/>
        <v>0</v>
      </c>
      <c r="N439" s="12">
        <f>E439*(G439*原始输入与口径!$B$5+H439/原始输入与口径!$B$5)/原始输入与口径!$H$5</f>
        <v>5.1138716356107666E-4</v>
      </c>
      <c r="O439" s="12">
        <v>5.1138716356107666E-4</v>
      </c>
      <c r="P439" s="19">
        <f t="shared" si="45"/>
        <v>0</v>
      </c>
      <c r="Q439" s="12">
        <f t="shared" si="46"/>
        <v>0</v>
      </c>
      <c r="R439" s="12">
        <f t="shared" si="47"/>
        <v>0.16937142857142859</v>
      </c>
      <c r="S439" s="1">
        <v>179</v>
      </c>
      <c r="T439" s="14">
        <v>46235</v>
      </c>
    </row>
    <row r="440" spans="1:20" ht="21" customHeight="1" x14ac:dyDescent="0.45">
      <c r="A440" s="31">
        <v>46236.854287380949</v>
      </c>
      <c r="B440" s="31">
        <v>46236.864583333328</v>
      </c>
      <c r="C440" s="31">
        <v>46236.854166666664</v>
      </c>
      <c r="D440" s="1" t="s">
        <v>102</v>
      </c>
      <c r="E440" s="12">
        <v>0.24710285714285712</v>
      </c>
      <c r="F440" s="12">
        <f>IF(D440="d",两日求解价格与决策!K187-两日求解价格与决策!N187,IF(D440="u",两日求解价格与决策!K187+两日求解价格与决策!M187,两日求解价格与决策!K187))</f>
        <v>60</v>
      </c>
      <c r="G440" s="12">
        <f t="shared" si="42"/>
        <v>0</v>
      </c>
      <c r="H440" s="12">
        <f t="shared" si="43"/>
        <v>60</v>
      </c>
      <c r="I440" s="12">
        <f t="shared" si="48"/>
        <v>115.83972670807448</v>
      </c>
      <c r="J440" s="12">
        <f>I440+E440*(G440*原始输入与口径!$B$5-H440/原始输入与口径!$B$5)</f>
        <v>99.724322981366413</v>
      </c>
      <c r="K440" s="12">
        <v>115.83972670807445</v>
      </c>
      <c r="L440" s="12">
        <v>99.724322981366385</v>
      </c>
      <c r="M440" s="19">
        <f t="shared" si="44"/>
        <v>0</v>
      </c>
      <c r="N440" s="12">
        <f>E440*(G440*原始输入与口径!$B$5+H440/原始输入与口径!$B$5)/原始输入与口径!$H$5</f>
        <v>4.4765010351966873E-2</v>
      </c>
      <c r="O440" s="12">
        <v>4.4765010351966873E-2</v>
      </c>
      <c r="P440" s="19">
        <f t="shared" si="45"/>
        <v>0</v>
      </c>
      <c r="Q440" s="12">
        <f t="shared" si="46"/>
        <v>0</v>
      </c>
      <c r="R440" s="12">
        <f t="shared" si="47"/>
        <v>14.826171428571428</v>
      </c>
      <c r="S440" s="1">
        <v>179</v>
      </c>
      <c r="T440" s="14">
        <v>46235</v>
      </c>
    </row>
    <row r="441" spans="1:20" ht="21" customHeight="1" x14ac:dyDescent="0.45">
      <c r="A441" s="31">
        <v>46236.864583333336</v>
      </c>
      <c r="B441" s="31">
        <v>46236.864590714285</v>
      </c>
      <c r="C441" s="31">
        <v>46236.864583333336</v>
      </c>
      <c r="D441" s="1" t="s">
        <v>103</v>
      </c>
      <c r="E441" s="12">
        <v>1.7714285714285713E-4</v>
      </c>
      <c r="F441" s="12">
        <f>IF(D441="d",两日求解价格与决策!K188-两日求解价格与决策!N188,IF(D441="u",两日求解价格与决策!K188+两日求解价格与决策!M188,两日求解价格与决策!K188))</f>
        <v>36</v>
      </c>
      <c r="G441" s="12">
        <f t="shared" si="42"/>
        <v>0</v>
      </c>
      <c r="H441" s="12">
        <f t="shared" si="43"/>
        <v>36</v>
      </c>
      <c r="I441" s="12">
        <f t="shared" si="48"/>
        <v>99.724322981366413</v>
      </c>
      <c r="J441" s="12">
        <f>I441+E441*(G441*原始输入与口径!$B$5-H441/原始输入与口径!$B$5)</f>
        <v>99.717391304347785</v>
      </c>
      <c r="K441" s="12">
        <v>99.724322981366385</v>
      </c>
      <c r="L441" s="12">
        <v>99.717391304347757</v>
      </c>
      <c r="M441" s="19">
        <f t="shared" si="44"/>
        <v>0</v>
      </c>
      <c r="N441" s="12">
        <f>E441*(G441*原始输入与口径!$B$5+H441/原始输入与口径!$B$5)/原始输入与口径!$H$5</f>
        <v>1.9254658385093167E-5</v>
      </c>
      <c r="O441" s="12">
        <v>1.9254658385093164E-5</v>
      </c>
      <c r="P441" s="19">
        <f t="shared" si="45"/>
        <v>0</v>
      </c>
      <c r="Q441" s="12">
        <f t="shared" si="46"/>
        <v>0</v>
      </c>
      <c r="R441" s="12">
        <f t="shared" si="47"/>
        <v>6.3771428571428564E-3</v>
      </c>
      <c r="S441" s="1">
        <v>180</v>
      </c>
      <c r="T441" s="14">
        <v>46235</v>
      </c>
    </row>
    <row r="442" spans="1:20" ht="21" customHeight="1" x14ac:dyDescent="0.45">
      <c r="A442" s="31">
        <v>46236.864590714285</v>
      </c>
      <c r="B442" s="31">
        <v>46236.865156904765</v>
      </c>
      <c r="C442" s="31">
        <v>46236.864583333336</v>
      </c>
      <c r="D442" s="1" t="s">
        <v>101</v>
      </c>
      <c r="E442" s="12">
        <v>1.3588571428571429E-2</v>
      </c>
      <c r="F442" s="12">
        <f>IF(D442="d",两日求解价格与决策!K188-两日求解价格与决策!N188,IF(D442="u",两日求解价格与决策!K188+两日求解价格与决策!M188,两日求解价格与决策!K188))</f>
        <v>60</v>
      </c>
      <c r="G442" s="12">
        <f t="shared" si="42"/>
        <v>0</v>
      </c>
      <c r="H442" s="12">
        <f t="shared" si="43"/>
        <v>60</v>
      </c>
      <c r="I442" s="12">
        <f t="shared" si="48"/>
        <v>99.717391304347785</v>
      </c>
      <c r="J442" s="12">
        <f>I442+E442*(G442*原始输入与口径!$B$5-H442/原始输入与口径!$B$5)</f>
        <v>98.831180124223565</v>
      </c>
      <c r="K442" s="12">
        <v>99.717391304347757</v>
      </c>
      <c r="L442" s="12">
        <v>98.831180124223536</v>
      </c>
      <c r="M442" s="19">
        <f t="shared" si="44"/>
        <v>0</v>
      </c>
      <c r="N442" s="12">
        <f>E442*(G442*原始输入与口径!$B$5+H442/原始输入与口径!$B$5)/原始输入与口径!$H$5</f>
        <v>2.4616977225672878E-3</v>
      </c>
      <c r="O442" s="12">
        <v>2.4616977225672878E-3</v>
      </c>
      <c r="P442" s="19">
        <f t="shared" si="45"/>
        <v>0</v>
      </c>
      <c r="Q442" s="12">
        <f t="shared" si="46"/>
        <v>0</v>
      </c>
      <c r="R442" s="12">
        <f t="shared" si="47"/>
        <v>0.81531428571428577</v>
      </c>
      <c r="S442" s="1">
        <v>180</v>
      </c>
      <c r="T442" s="14">
        <v>46235</v>
      </c>
    </row>
    <row r="443" spans="1:20" ht="21" customHeight="1" x14ac:dyDescent="0.45">
      <c r="A443" s="31">
        <v>46236.865156904765</v>
      </c>
      <c r="B443" s="31">
        <v>46236.875</v>
      </c>
      <c r="C443" s="31">
        <v>46236.864583333336</v>
      </c>
      <c r="D443" s="1" t="s">
        <v>102</v>
      </c>
      <c r="E443" s="12">
        <v>0.23623428571428573</v>
      </c>
      <c r="F443" s="12">
        <f>IF(D443="d",两日求解价格与决策!K188-两日求解价格与决策!N188,IF(D443="u",两日求解价格与决策!K188+两日求解价格与决策!M188,两日求解价格与决策!K188))</f>
        <v>60</v>
      </c>
      <c r="G443" s="12">
        <f t="shared" si="42"/>
        <v>0</v>
      </c>
      <c r="H443" s="12">
        <f t="shared" si="43"/>
        <v>60</v>
      </c>
      <c r="I443" s="12">
        <f t="shared" si="48"/>
        <v>98.831180124223565</v>
      </c>
      <c r="J443" s="12">
        <f>I443+E443*(G443*原始输入与口径!$B$5-H443/原始输入与口径!$B$5)</f>
        <v>83.424596273291883</v>
      </c>
      <c r="K443" s="12">
        <v>98.831180124223536</v>
      </c>
      <c r="L443" s="12">
        <v>83.424596273291854</v>
      </c>
      <c r="M443" s="19">
        <f t="shared" si="44"/>
        <v>0</v>
      </c>
      <c r="N443" s="12">
        <f>E443*(G443*原始输入与口径!$B$5+H443/原始输入与口径!$B$5)/原始输入与口径!$H$5</f>
        <v>4.2796066252587993E-2</v>
      </c>
      <c r="O443" s="12">
        <v>4.2796066252587993E-2</v>
      </c>
      <c r="P443" s="19">
        <f t="shared" si="45"/>
        <v>0</v>
      </c>
      <c r="Q443" s="12">
        <f t="shared" si="46"/>
        <v>0</v>
      </c>
      <c r="R443" s="12">
        <f t="shared" si="47"/>
        <v>14.174057142857144</v>
      </c>
      <c r="S443" s="1">
        <v>180</v>
      </c>
      <c r="T443" s="14">
        <v>46235</v>
      </c>
    </row>
    <row r="444" spans="1:20" ht="21" customHeight="1" x14ac:dyDescent="0.45">
      <c r="A444" s="31">
        <v>46236.875</v>
      </c>
      <c r="B444" s="31">
        <v>46236.876611904765</v>
      </c>
      <c r="C444" s="31">
        <v>46236.875</v>
      </c>
      <c r="D444" s="1" t="s">
        <v>101</v>
      </c>
      <c r="E444" s="12">
        <v>3.8685714285714282E-2</v>
      </c>
      <c r="F444" s="12">
        <f>IF(D444="d",两日求解价格与决策!K189-两日求解价格与决策!N189,IF(D444="u",两日求解价格与决策!K189+两日求解价格与决策!M189,两日求解价格与决策!K189))</f>
        <v>60</v>
      </c>
      <c r="G444" s="12">
        <f t="shared" si="42"/>
        <v>0</v>
      </c>
      <c r="H444" s="12">
        <f t="shared" si="43"/>
        <v>60</v>
      </c>
      <c r="I444" s="12">
        <f t="shared" si="48"/>
        <v>83.424596273291883</v>
      </c>
      <c r="J444" s="12">
        <f>I444+E444*(G444*原始输入与口径!$B$5-H444/原始输入与口径!$B$5)</f>
        <v>80.901614906832251</v>
      </c>
      <c r="K444" s="12">
        <v>83.424596273291854</v>
      </c>
      <c r="L444" s="12">
        <v>80.901614906832222</v>
      </c>
      <c r="M444" s="19">
        <f t="shared" si="44"/>
        <v>0</v>
      </c>
      <c r="N444" s="12">
        <f>E444*(G444*原始输入与口径!$B$5+H444/原始输入与口径!$B$5)/原始输入与口径!$H$5</f>
        <v>7.0082815734989643E-3</v>
      </c>
      <c r="O444" s="12">
        <v>7.0082815734989635E-3</v>
      </c>
      <c r="P444" s="19">
        <f t="shared" si="45"/>
        <v>0</v>
      </c>
      <c r="Q444" s="12">
        <f t="shared" si="46"/>
        <v>0</v>
      </c>
      <c r="R444" s="12">
        <f t="shared" si="47"/>
        <v>2.3211428571428567</v>
      </c>
      <c r="S444" s="1">
        <v>181</v>
      </c>
      <c r="T444" s="14">
        <v>46235</v>
      </c>
    </row>
    <row r="445" spans="1:20" ht="21" customHeight="1" x14ac:dyDescent="0.45">
      <c r="A445" s="31">
        <v>46236.876611904765</v>
      </c>
      <c r="B445" s="31">
        <v>46236.885416666664</v>
      </c>
      <c r="C445" s="31">
        <v>46236.875</v>
      </c>
      <c r="D445" s="1" t="s">
        <v>102</v>
      </c>
      <c r="E445" s="12">
        <v>0.21131428571428573</v>
      </c>
      <c r="F445" s="12">
        <f>IF(D445="d",两日求解价格与决策!K189-两日求解价格与决策!N189,IF(D445="u",两日求解价格与决策!K189+两日求解价格与决策!M189,两日求解价格与决策!K189))</f>
        <v>36</v>
      </c>
      <c r="G445" s="12">
        <f t="shared" si="42"/>
        <v>0</v>
      </c>
      <c r="H445" s="12">
        <f t="shared" si="43"/>
        <v>36</v>
      </c>
      <c r="I445" s="12">
        <f t="shared" si="48"/>
        <v>80.901614906832251</v>
      </c>
      <c r="J445" s="12">
        <f>I445+E445*(G445*原始输入与口径!$B$5-H445/原始输入与口径!$B$5)</f>
        <v>72.632795031055849</v>
      </c>
      <c r="K445" s="12">
        <v>80.901614906832222</v>
      </c>
      <c r="L445" s="12">
        <v>72.632795031055821</v>
      </c>
      <c r="M445" s="19">
        <f t="shared" si="44"/>
        <v>0</v>
      </c>
      <c r="N445" s="12">
        <f>E445*(G445*原始输入与口径!$B$5+H445/原始输入与口径!$B$5)/原始输入与口径!$H$5</f>
        <v>2.2968944099378882E-2</v>
      </c>
      <c r="O445" s="12">
        <v>2.2968944099378882E-2</v>
      </c>
      <c r="P445" s="19">
        <f t="shared" si="45"/>
        <v>0</v>
      </c>
      <c r="Q445" s="12">
        <f t="shared" si="46"/>
        <v>0</v>
      </c>
      <c r="R445" s="12">
        <f t="shared" si="47"/>
        <v>7.6073142857142866</v>
      </c>
      <c r="S445" s="1">
        <v>181</v>
      </c>
      <c r="T445" s="14">
        <v>46235</v>
      </c>
    </row>
    <row r="446" spans="1:20" ht="21" customHeight="1" x14ac:dyDescent="0.45">
      <c r="A446" s="31">
        <v>46236.885416666664</v>
      </c>
      <c r="B446" s="31">
        <v>46236.888070000001</v>
      </c>
      <c r="C446" s="31">
        <v>46236.885416666664</v>
      </c>
      <c r="D446" s="1" t="s">
        <v>101</v>
      </c>
      <c r="E446" s="12">
        <v>6.368E-2</v>
      </c>
      <c r="F446" s="12">
        <f>IF(D446="d",两日求解价格与决策!K190-两日求解价格与决策!N190,IF(D446="u",两日求解价格与决策!K190+两日求解价格与决策!M190,两日求解价格与决策!K190))</f>
        <v>60</v>
      </c>
      <c r="G446" s="12">
        <f t="shared" si="42"/>
        <v>0</v>
      </c>
      <c r="H446" s="12">
        <f t="shared" si="43"/>
        <v>60</v>
      </c>
      <c r="I446" s="12">
        <f t="shared" si="48"/>
        <v>72.632795031055849</v>
      </c>
      <c r="J446" s="12">
        <f>I446+E446*(G446*原始输入与口径!$B$5-H446/原始输入与口径!$B$5)</f>
        <v>68.47975155279498</v>
      </c>
      <c r="K446" s="12">
        <v>72.632795031055821</v>
      </c>
      <c r="L446" s="12">
        <v>68.479751552794951</v>
      </c>
      <c r="M446" s="19">
        <f t="shared" si="44"/>
        <v>0</v>
      </c>
      <c r="N446" s="12">
        <f>E446*(G446*原始输入与口径!$B$5+H446/原始输入与口径!$B$5)/原始输入与口径!$H$5</f>
        <v>1.153623188405797E-2</v>
      </c>
      <c r="O446" s="12">
        <v>1.153623188405797E-2</v>
      </c>
      <c r="P446" s="19">
        <f t="shared" si="45"/>
        <v>0</v>
      </c>
      <c r="Q446" s="12">
        <f t="shared" si="46"/>
        <v>0</v>
      </c>
      <c r="R446" s="12">
        <f t="shared" si="47"/>
        <v>3.8208000000000002</v>
      </c>
      <c r="S446" s="1">
        <v>182</v>
      </c>
      <c r="T446" s="14">
        <v>46235</v>
      </c>
    </row>
    <row r="447" spans="1:20" ht="21" customHeight="1" x14ac:dyDescent="0.45">
      <c r="A447" s="31">
        <v>46236.888070000001</v>
      </c>
      <c r="B447" s="31">
        <v>46236.895833333328</v>
      </c>
      <c r="C447" s="31">
        <v>46236.885416666664</v>
      </c>
      <c r="D447" s="1" t="s">
        <v>102</v>
      </c>
      <c r="E447" s="12">
        <v>0.18631999999999999</v>
      </c>
      <c r="F447" s="12">
        <f>IF(D447="d",两日求解价格与决策!K190-两日求解价格与决策!N190,IF(D447="u",两日求解价格与决策!K190+两日求解价格与决策!M190,两日求解价格与决策!K190))</f>
        <v>36</v>
      </c>
      <c r="G447" s="12">
        <f t="shared" si="42"/>
        <v>0</v>
      </c>
      <c r="H447" s="12">
        <f t="shared" si="43"/>
        <v>36</v>
      </c>
      <c r="I447" s="12">
        <f t="shared" si="48"/>
        <v>68.47975155279498</v>
      </c>
      <c r="J447" s="12">
        <f>I447+E447*(G447*原始输入与口径!$B$5-H447/原始输入与口径!$B$5)</f>
        <v>61.188968944099329</v>
      </c>
      <c r="K447" s="12">
        <v>68.479751552794951</v>
      </c>
      <c r="L447" s="12">
        <v>61.188968944099301</v>
      </c>
      <c r="M447" s="19">
        <f t="shared" si="44"/>
        <v>0</v>
      </c>
      <c r="N447" s="12">
        <f>E447*(G447*原始输入与口径!$B$5+H447/原始输入与口径!$B$5)/原始输入与口径!$H$5</f>
        <v>2.0252173913043476E-2</v>
      </c>
      <c r="O447" s="12">
        <v>2.0252173913043476E-2</v>
      </c>
      <c r="P447" s="19">
        <f t="shared" si="45"/>
        <v>0</v>
      </c>
      <c r="Q447" s="12">
        <f t="shared" si="46"/>
        <v>0</v>
      </c>
      <c r="R447" s="12">
        <f t="shared" si="47"/>
        <v>6.7075199999999997</v>
      </c>
      <c r="S447" s="1">
        <v>182</v>
      </c>
      <c r="T447" s="14">
        <v>46235</v>
      </c>
    </row>
    <row r="448" spans="1:20" ht="21" customHeight="1" x14ac:dyDescent="0.45">
      <c r="A448" s="31">
        <v>46236.895833333336</v>
      </c>
      <c r="B448" s="31">
        <v>46236.895834285715</v>
      </c>
      <c r="C448" s="31">
        <v>46236.895833333336</v>
      </c>
      <c r="D448" s="1" t="s">
        <v>103</v>
      </c>
      <c r="E448" s="12">
        <v>2.2857142857142858E-5</v>
      </c>
      <c r="F448" s="12">
        <f>IF(D448="d",两日求解价格与决策!K191-两日求解价格与决策!N191,IF(D448="u",两日求解价格与决策!K191+两日求解价格与决策!M191,两日求解价格与决策!K191))</f>
        <v>12</v>
      </c>
      <c r="G448" s="12">
        <f t="shared" si="42"/>
        <v>0</v>
      </c>
      <c r="H448" s="12">
        <f t="shared" si="43"/>
        <v>12</v>
      </c>
      <c r="I448" s="12">
        <f t="shared" si="48"/>
        <v>61.188968944099329</v>
      </c>
      <c r="J448" s="12">
        <f>I448+E448*(G448*原始输入与口径!$B$5-H448/原始输入与口径!$B$5)</f>
        <v>61.18867080745337</v>
      </c>
      <c r="K448" s="12">
        <v>61.188968944099301</v>
      </c>
      <c r="L448" s="12">
        <v>61.188670807453342</v>
      </c>
      <c r="M448" s="19">
        <f t="shared" si="44"/>
        <v>0</v>
      </c>
      <c r="N448" s="12">
        <f>E448*(G448*原始输入与口径!$B$5+H448/原始输入与口径!$B$5)/原始输入与口径!$H$5</f>
        <v>8.2815734989648034E-7</v>
      </c>
      <c r="O448" s="12">
        <v>8.2815734989648045E-7</v>
      </c>
      <c r="P448" s="19">
        <f t="shared" si="45"/>
        <v>0</v>
      </c>
      <c r="Q448" s="12">
        <f t="shared" si="46"/>
        <v>0</v>
      </c>
      <c r="R448" s="12">
        <f t="shared" si="47"/>
        <v>2.7428571428571432E-4</v>
      </c>
      <c r="S448" s="1">
        <v>183</v>
      </c>
      <c r="T448" s="14">
        <v>46235</v>
      </c>
    </row>
    <row r="449" spans="1:20" ht="21" customHeight="1" x14ac:dyDescent="0.45">
      <c r="A449" s="31">
        <v>46236.895834285715</v>
      </c>
      <c r="B449" s="31">
        <v>46236.896657619051</v>
      </c>
      <c r="C449" s="31">
        <v>46236.895833333336</v>
      </c>
      <c r="D449" s="1" t="s">
        <v>101</v>
      </c>
      <c r="E449" s="12">
        <v>1.976E-2</v>
      </c>
      <c r="F449" s="12">
        <f>IF(D449="d",两日求解价格与决策!K191-两日求解价格与决策!N191,IF(D449="u",两日求解价格与决策!K191+两日求解价格与决策!M191,两日求解价格与决策!K191))</f>
        <v>60</v>
      </c>
      <c r="G449" s="12">
        <f t="shared" si="42"/>
        <v>0</v>
      </c>
      <c r="H449" s="12">
        <f t="shared" si="43"/>
        <v>60</v>
      </c>
      <c r="I449" s="12">
        <f t="shared" si="48"/>
        <v>61.18867080745337</v>
      </c>
      <c r="J449" s="12">
        <f>I449+E449*(G449*原始输入与口径!$B$5-H449/原始输入与口径!$B$5)</f>
        <v>59.899975155279456</v>
      </c>
      <c r="K449" s="12">
        <v>61.188670807453342</v>
      </c>
      <c r="L449" s="12">
        <v>59.899975155279428</v>
      </c>
      <c r="M449" s="19">
        <f t="shared" si="44"/>
        <v>0</v>
      </c>
      <c r="N449" s="12">
        <f>E449*(G449*原始输入与口径!$B$5+H449/原始输入与口径!$B$5)/原始输入与口径!$H$5</f>
        <v>3.579710144927536E-3</v>
      </c>
      <c r="O449" s="12">
        <v>3.579710144927536E-3</v>
      </c>
      <c r="P449" s="19">
        <f t="shared" si="45"/>
        <v>0</v>
      </c>
      <c r="Q449" s="12">
        <f t="shared" si="46"/>
        <v>0</v>
      </c>
      <c r="R449" s="12">
        <f t="shared" si="47"/>
        <v>1.1856</v>
      </c>
      <c r="S449" s="1">
        <v>183</v>
      </c>
      <c r="T449" s="14">
        <v>46235</v>
      </c>
    </row>
    <row r="450" spans="1:20" ht="21" customHeight="1" x14ac:dyDescent="0.45">
      <c r="A450" s="31">
        <v>46236.896657619051</v>
      </c>
      <c r="B450" s="31">
        <v>46236.90625</v>
      </c>
      <c r="C450" s="31">
        <v>46236.895833333336</v>
      </c>
      <c r="D450" s="1" t="s">
        <v>102</v>
      </c>
      <c r="E450" s="12">
        <v>0.23021714285714287</v>
      </c>
      <c r="F450" s="12">
        <f>IF(D450="d",两日求解价格与决策!K191-两日求解价格与决策!N191,IF(D450="u",两日求解价格与决策!K191+两日求解价格与决策!M191,两日求解价格与决策!K191))</f>
        <v>36</v>
      </c>
      <c r="G450" s="12">
        <f t="shared" si="42"/>
        <v>0</v>
      </c>
      <c r="H450" s="12">
        <f t="shared" si="43"/>
        <v>36</v>
      </c>
      <c r="I450" s="12">
        <f t="shared" si="48"/>
        <v>59.899975155279456</v>
      </c>
      <c r="J450" s="12">
        <f>I450+E450*(G450*原始输入与口径!$B$5-H450/原始输入与口径!$B$5)</f>
        <v>50.891478260869519</v>
      </c>
      <c r="K450" s="12">
        <v>59.899975155279428</v>
      </c>
      <c r="L450" s="12">
        <v>50.891478260869491</v>
      </c>
      <c r="M450" s="19">
        <f t="shared" si="44"/>
        <v>0</v>
      </c>
      <c r="N450" s="12">
        <f>E450*(G450*原始输入与口径!$B$5+H450/原始输入与口径!$B$5)/原始输入与口径!$H$5</f>
        <v>2.5023602484472052E-2</v>
      </c>
      <c r="O450" s="12">
        <v>2.5023602484472048E-2</v>
      </c>
      <c r="P450" s="19">
        <f t="shared" si="45"/>
        <v>0</v>
      </c>
      <c r="Q450" s="12">
        <f t="shared" si="46"/>
        <v>0</v>
      </c>
      <c r="R450" s="12">
        <f t="shared" si="47"/>
        <v>8.2878171428571434</v>
      </c>
      <c r="S450" s="1">
        <v>183</v>
      </c>
      <c r="T450" s="14">
        <v>46235</v>
      </c>
    </row>
    <row r="451" spans="1:20" ht="21" customHeight="1" x14ac:dyDescent="0.45">
      <c r="A451" s="31">
        <v>46236.90625</v>
      </c>
      <c r="B451" s="31">
        <v>46236.906838571427</v>
      </c>
      <c r="C451" s="31">
        <v>46236.90625</v>
      </c>
      <c r="D451" s="1" t="s">
        <v>103</v>
      </c>
      <c r="E451" s="12">
        <v>1.4125714285714285E-2</v>
      </c>
      <c r="F451" s="12">
        <f>IF(D451="d",两日求解价格与决策!K192-两日求解价格与决策!N192,IF(D451="u",两日求解价格与决策!K192+两日求解价格与决策!M192,两日求解价格与决策!K192))</f>
        <v>-24</v>
      </c>
      <c r="G451" s="12">
        <f t="shared" si="42"/>
        <v>24</v>
      </c>
      <c r="H451" s="12">
        <f t="shared" si="43"/>
        <v>0</v>
      </c>
      <c r="I451" s="12">
        <f t="shared" si="48"/>
        <v>50.891478260869519</v>
      </c>
      <c r="J451" s="12">
        <f>I451+E451*(G451*原始输入与口径!$B$5-H451/原始输入与口径!$B$5)</f>
        <v>51.203374032298093</v>
      </c>
      <c r="K451" s="12">
        <v>50.891478260869491</v>
      </c>
      <c r="L451" s="12">
        <v>51.203374032298065</v>
      </c>
      <c r="M451" s="19">
        <f t="shared" si="44"/>
        <v>0</v>
      </c>
      <c r="N451" s="12">
        <f>E451*(G451*原始输入与口径!$B$5+H451/原始输入与口径!$B$5)/原始输入与口径!$H$5</f>
        <v>8.6637714285714288E-4</v>
      </c>
      <c r="O451" s="12">
        <v>8.6637714285714288E-4</v>
      </c>
      <c r="P451" s="19">
        <f t="shared" si="45"/>
        <v>0</v>
      </c>
      <c r="Q451" s="12">
        <f t="shared" si="46"/>
        <v>0.33901714285714285</v>
      </c>
      <c r="R451" s="12">
        <f t="shared" si="47"/>
        <v>0</v>
      </c>
      <c r="S451" s="1">
        <v>184</v>
      </c>
      <c r="T451" s="14">
        <v>46235</v>
      </c>
    </row>
    <row r="452" spans="1:20" ht="21" customHeight="1" x14ac:dyDescent="0.45">
      <c r="A452" s="31">
        <v>46236.906838571427</v>
      </c>
      <c r="B452" s="31">
        <v>46236.906959523811</v>
      </c>
      <c r="C452" s="31">
        <v>46236.90625</v>
      </c>
      <c r="D452" s="1" t="s">
        <v>101</v>
      </c>
      <c r="E452" s="12">
        <v>2.9028571428571428E-3</v>
      </c>
      <c r="F452" s="12">
        <f>IF(D452="d",两日求解价格与决策!K192-两日求解价格与决策!N192,IF(D452="u",两日求解价格与决策!K192+两日求解价格与决策!M192,两日求解价格与决策!K192))</f>
        <v>24</v>
      </c>
      <c r="G452" s="12">
        <f t="shared" si="42"/>
        <v>0</v>
      </c>
      <c r="H452" s="12">
        <f t="shared" si="43"/>
        <v>24</v>
      </c>
      <c r="I452" s="12">
        <f t="shared" si="48"/>
        <v>51.203374032298093</v>
      </c>
      <c r="J452" s="12">
        <f>I452+E452*(G452*原始输入与口径!$B$5-H452/原始输入与口径!$B$5)</f>
        <v>51.12764732422356</v>
      </c>
      <c r="K452" s="12">
        <v>51.203374032298065</v>
      </c>
      <c r="L452" s="12">
        <v>51.127647324223531</v>
      </c>
      <c r="M452" s="19">
        <f t="shared" si="44"/>
        <v>0</v>
      </c>
      <c r="N452" s="12">
        <f>E452*(G452*原始输入与口径!$B$5+H452/原始输入与口径!$B$5)/原始输入与口径!$H$5</f>
        <v>2.10351966873706E-4</v>
      </c>
      <c r="O452" s="12">
        <v>2.10351966873706E-4</v>
      </c>
      <c r="P452" s="19">
        <f t="shared" si="45"/>
        <v>0</v>
      </c>
      <c r="Q452" s="12">
        <f t="shared" si="46"/>
        <v>0</v>
      </c>
      <c r="R452" s="12">
        <f t="shared" si="47"/>
        <v>6.9668571428571427E-2</v>
      </c>
      <c r="S452" s="1">
        <v>184</v>
      </c>
      <c r="T452" s="14">
        <v>46235</v>
      </c>
    </row>
    <row r="453" spans="1:20" ht="21" customHeight="1" x14ac:dyDescent="0.45">
      <c r="A453" s="31">
        <v>46236.906959523811</v>
      </c>
      <c r="B453" s="31">
        <v>46236.916666666664</v>
      </c>
      <c r="C453" s="31">
        <v>46236.90625</v>
      </c>
      <c r="D453" s="1" t="s">
        <v>102</v>
      </c>
      <c r="E453" s="12">
        <v>0.23297142857142855</v>
      </c>
      <c r="F453" s="12">
        <f>IF(D453="d",两日求解价格与决策!K192-两日求解价格与决策!N192,IF(D453="u",两日求解价格与决策!K192+两日求解价格与决策!M192,两日求解价格与决策!K192))</f>
        <v>0</v>
      </c>
      <c r="G453" s="12">
        <f t="shared" si="42"/>
        <v>0</v>
      </c>
      <c r="H453" s="12">
        <f t="shared" si="43"/>
        <v>0</v>
      </c>
      <c r="I453" s="12">
        <f t="shared" si="48"/>
        <v>51.12764732422356</v>
      </c>
      <c r="J453" s="12">
        <f>I453+E453*(G453*原始输入与口径!$B$5-H453/原始输入与口径!$B$5)</f>
        <v>51.12764732422356</v>
      </c>
      <c r="K453" s="12">
        <v>51.127647324223531</v>
      </c>
      <c r="L453" s="12">
        <v>51.127647324223531</v>
      </c>
      <c r="M453" s="19">
        <f t="shared" si="44"/>
        <v>0</v>
      </c>
      <c r="N453" s="12">
        <f>E453*(G453*原始输入与口径!$B$5+H453/原始输入与口径!$B$5)/原始输入与口径!$H$5</f>
        <v>0</v>
      </c>
      <c r="O453" s="12">
        <v>0</v>
      </c>
      <c r="P453" s="19">
        <f t="shared" si="45"/>
        <v>0</v>
      </c>
      <c r="Q453" s="12">
        <f t="shared" si="46"/>
        <v>0</v>
      </c>
      <c r="R453" s="12">
        <f t="shared" si="47"/>
        <v>0</v>
      </c>
      <c r="S453" s="1">
        <v>184</v>
      </c>
      <c r="T453" s="14">
        <v>46235</v>
      </c>
    </row>
    <row r="454" spans="1:20" ht="21" customHeight="1" x14ac:dyDescent="0.45">
      <c r="A454" s="31">
        <v>46236.916666666664</v>
      </c>
      <c r="B454" s="31">
        <v>46236.917069523806</v>
      </c>
      <c r="C454" s="31">
        <v>46236.916666666664</v>
      </c>
      <c r="D454" s="1" t="s">
        <v>103</v>
      </c>
      <c r="E454" s="12">
        <v>9.6685714285714274E-3</v>
      </c>
      <c r="F454" s="12">
        <f>IF(D454="d",两日求解价格与决策!K193-两日求解价格与决策!N193,IF(D454="u",两日求解价格与决策!K193+两日求解价格与决策!M193,两日求解价格与决策!K193))</f>
        <v>-24</v>
      </c>
      <c r="G454" s="12">
        <f t="shared" si="42"/>
        <v>24</v>
      </c>
      <c r="H454" s="12">
        <f t="shared" si="43"/>
        <v>0</v>
      </c>
      <c r="I454" s="12">
        <f t="shared" si="48"/>
        <v>51.12764732422356</v>
      </c>
      <c r="J454" s="12">
        <f>I454+E454*(G454*原始输入与口径!$B$5-H454/原始输入与口径!$B$5)</f>
        <v>51.341129381366414</v>
      </c>
      <c r="K454" s="12">
        <v>51.127647324223531</v>
      </c>
      <c r="L454" s="12">
        <v>51.341129381366386</v>
      </c>
      <c r="M454" s="19">
        <f t="shared" si="44"/>
        <v>0</v>
      </c>
      <c r="N454" s="12">
        <f>E454*(G454*原始输入与口径!$B$5+H454/原始输入与口径!$B$5)/原始输入与口径!$H$5</f>
        <v>5.9300571428571431E-4</v>
      </c>
      <c r="O454" s="12">
        <v>5.930057142857142E-4</v>
      </c>
      <c r="P454" s="19">
        <f t="shared" si="45"/>
        <v>0</v>
      </c>
      <c r="Q454" s="12">
        <f t="shared" si="46"/>
        <v>0.23204571428571424</v>
      </c>
      <c r="R454" s="12">
        <f t="shared" si="47"/>
        <v>0</v>
      </c>
      <c r="S454" s="1">
        <v>185</v>
      </c>
      <c r="T454" s="14">
        <v>46235</v>
      </c>
    </row>
    <row r="455" spans="1:20" ht="21" customHeight="1" x14ac:dyDescent="0.45">
      <c r="A455" s="31">
        <v>46236.917069523806</v>
      </c>
      <c r="B455" s="31">
        <v>46236.917120476188</v>
      </c>
      <c r="C455" s="31">
        <v>46236.916666666664</v>
      </c>
      <c r="D455" s="1" t="s">
        <v>101</v>
      </c>
      <c r="E455" s="12">
        <v>1.2228571428571429E-3</v>
      </c>
      <c r="F455" s="12">
        <f>IF(D455="d",两日求解价格与决策!K193-两日求解价格与决策!N193,IF(D455="u",两日求解价格与决策!K193+两日求解价格与决策!M193,两日求解价格与决策!K193))</f>
        <v>24</v>
      </c>
      <c r="G455" s="12">
        <f t="shared" si="42"/>
        <v>0</v>
      </c>
      <c r="H455" s="12">
        <f t="shared" si="43"/>
        <v>24</v>
      </c>
      <c r="I455" s="12">
        <f t="shared" si="48"/>
        <v>51.341129381366414</v>
      </c>
      <c r="J455" s="12">
        <f>I455+E455*(G455*原始输入与口径!$B$5-H455/原始输入与口径!$B$5)</f>
        <v>51.309228760248402</v>
      </c>
      <c r="K455" s="12">
        <v>51.341129381366386</v>
      </c>
      <c r="L455" s="12">
        <v>51.309228760248374</v>
      </c>
      <c r="M455" s="19">
        <f t="shared" si="44"/>
        <v>0</v>
      </c>
      <c r="N455" s="12">
        <f>E455*(G455*原始输入与口径!$B$5+H455/原始输入与口径!$B$5)/原始输入与口径!$H$5</f>
        <v>8.8612836438923398E-5</v>
      </c>
      <c r="O455" s="12">
        <v>8.8612836438923398E-5</v>
      </c>
      <c r="P455" s="19">
        <f t="shared" si="45"/>
        <v>0</v>
      </c>
      <c r="Q455" s="12">
        <f t="shared" si="46"/>
        <v>0</v>
      </c>
      <c r="R455" s="12">
        <f t="shared" si="47"/>
        <v>2.9348571428571432E-2</v>
      </c>
      <c r="S455" s="1">
        <v>185</v>
      </c>
      <c r="T455" s="14">
        <v>46235</v>
      </c>
    </row>
    <row r="456" spans="1:20" ht="21" customHeight="1" x14ac:dyDescent="0.45">
      <c r="A456" s="31">
        <v>46236.917120476188</v>
      </c>
      <c r="B456" s="31">
        <v>46236.927083333328</v>
      </c>
      <c r="C456" s="31">
        <v>46236.916666666664</v>
      </c>
      <c r="D456" s="1" t="s">
        <v>102</v>
      </c>
      <c r="E456" s="12">
        <v>0.23910857142857145</v>
      </c>
      <c r="F456" s="12">
        <f>IF(D456="d",两日求解价格与决策!K193-两日求解价格与决策!N193,IF(D456="u",两日求解价格与决策!K193+两日求解价格与决策!M193,两日求解价格与决策!K193))</f>
        <v>0</v>
      </c>
      <c r="G456" s="12">
        <f t="shared" si="42"/>
        <v>0</v>
      </c>
      <c r="H456" s="12">
        <f t="shared" si="43"/>
        <v>0</v>
      </c>
      <c r="I456" s="12">
        <f t="shared" si="48"/>
        <v>51.309228760248402</v>
      </c>
      <c r="J456" s="12">
        <f>I456+E456*(G456*原始输入与口径!$B$5-H456/原始输入与口径!$B$5)</f>
        <v>51.309228760248402</v>
      </c>
      <c r="K456" s="12">
        <v>51.309228760248374</v>
      </c>
      <c r="L456" s="12">
        <v>51.309228760248374</v>
      </c>
      <c r="M456" s="19">
        <f t="shared" si="44"/>
        <v>0</v>
      </c>
      <c r="N456" s="12">
        <f>E456*(G456*原始输入与口径!$B$5+H456/原始输入与口径!$B$5)/原始输入与口径!$H$5</f>
        <v>0</v>
      </c>
      <c r="O456" s="12">
        <v>0</v>
      </c>
      <c r="P456" s="19">
        <f t="shared" si="45"/>
        <v>0</v>
      </c>
      <c r="Q456" s="12">
        <f t="shared" si="46"/>
        <v>0</v>
      </c>
      <c r="R456" s="12">
        <f t="shared" si="47"/>
        <v>0</v>
      </c>
      <c r="S456" s="1">
        <v>185</v>
      </c>
      <c r="T456" s="14">
        <v>46235</v>
      </c>
    </row>
    <row r="457" spans="1:20" ht="21" customHeight="1" x14ac:dyDescent="0.45">
      <c r="A457" s="31">
        <v>46236.927083333336</v>
      </c>
      <c r="B457" s="31">
        <v>46236.927871428576</v>
      </c>
      <c r="C457" s="31">
        <v>46236.927083333336</v>
      </c>
      <c r="D457" s="1" t="s">
        <v>103</v>
      </c>
      <c r="E457" s="12">
        <v>1.8914285714285713E-2</v>
      </c>
      <c r="F457" s="12">
        <f>IF(D457="d",两日求解价格与决策!K194-两日求解价格与决策!N194,IF(D457="u",两日求解价格与决策!K194+两日求解价格与决策!M194,两日求解价格与决策!K194))</f>
        <v>-24</v>
      </c>
      <c r="G457" s="12">
        <f t="shared" ref="G457:G520" si="49">MAX(-F457,0)</f>
        <v>24</v>
      </c>
      <c r="H457" s="12">
        <f t="shared" ref="H457:H520" si="50">MAX(F457,0)</f>
        <v>0</v>
      </c>
      <c r="I457" s="12">
        <f t="shared" si="48"/>
        <v>51.309228760248402</v>
      </c>
      <c r="J457" s="12">
        <f>I457+E457*(G457*原始输入与口径!$B$5-H457/原始输入与口径!$B$5)</f>
        <v>51.726856188819831</v>
      </c>
      <c r="K457" s="12">
        <v>51.309228760248374</v>
      </c>
      <c r="L457" s="12">
        <v>51.726856188819802</v>
      </c>
      <c r="M457" s="19">
        <f t="shared" ref="M457:M520" si="51">J457-L457</f>
        <v>0</v>
      </c>
      <c r="N457" s="12">
        <f>E457*(G457*原始输入与口径!$B$5+H457/原始输入与口径!$B$5)/原始输入与口径!$H$5</f>
        <v>1.1600761904761905E-3</v>
      </c>
      <c r="O457" s="12">
        <v>1.1600761904761903E-3</v>
      </c>
      <c r="P457" s="19">
        <f t="shared" ref="P457:P520" si="52">N457-O457</f>
        <v>0</v>
      </c>
      <c r="Q457" s="12">
        <f t="shared" ref="Q457:Q520" si="53">E457*G457</f>
        <v>0.45394285714285709</v>
      </c>
      <c r="R457" s="12">
        <f t="shared" ref="R457:R520" si="54">E457*H457</f>
        <v>0</v>
      </c>
      <c r="S457" s="1">
        <v>186</v>
      </c>
      <c r="T457" s="14">
        <v>46235</v>
      </c>
    </row>
    <row r="458" spans="1:20" ht="21" customHeight="1" x14ac:dyDescent="0.45">
      <c r="A458" s="31">
        <v>46236.927871428576</v>
      </c>
      <c r="B458" s="31">
        <v>46236.927877380956</v>
      </c>
      <c r="C458" s="31">
        <v>46236.927083333336</v>
      </c>
      <c r="D458" s="1" t="s">
        <v>101</v>
      </c>
      <c r="E458" s="12">
        <v>1.4285714285714287E-4</v>
      </c>
      <c r="F458" s="12">
        <f>IF(D458="d",两日求解价格与决策!K194-两日求解价格与决策!N194,IF(D458="u",两日求解价格与决策!K194+两日求解价格与决策!M194,两日求解价格与决策!K194))</f>
        <v>24</v>
      </c>
      <c r="G458" s="12">
        <f t="shared" si="49"/>
        <v>0</v>
      </c>
      <c r="H458" s="12">
        <f t="shared" si="50"/>
        <v>24</v>
      </c>
      <c r="I458" s="12">
        <f t="shared" ref="I458:I475" si="55">J457</f>
        <v>51.726856188819831</v>
      </c>
      <c r="J458" s="12">
        <f>I458+E458*(G458*原始输入与口径!$B$5-H458/原始输入与口径!$B$5)</f>
        <v>51.7231294807453</v>
      </c>
      <c r="K458" s="12">
        <v>51.726856188819802</v>
      </c>
      <c r="L458" s="12">
        <v>51.723129480745271</v>
      </c>
      <c r="M458" s="19">
        <f t="shared" si="51"/>
        <v>0</v>
      </c>
      <c r="N458" s="12">
        <f>E458*(G458*原始输入与口径!$B$5+H458/原始输入与口径!$B$5)/原始输入与口径!$H$5</f>
        <v>1.0351966873706003E-5</v>
      </c>
      <c r="O458" s="12">
        <v>1.0351966873706003E-5</v>
      </c>
      <c r="P458" s="19">
        <f t="shared" si="52"/>
        <v>0</v>
      </c>
      <c r="Q458" s="12">
        <f t="shared" si="53"/>
        <v>0</v>
      </c>
      <c r="R458" s="12">
        <f t="shared" si="54"/>
        <v>3.4285714285714288E-3</v>
      </c>
      <c r="S458" s="1">
        <v>186</v>
      </c>
      <c r="T458" s="14">
        <v>46235</v>
      </c>
    </row>
    <row r="459" spans="1:20" ht="21" customHeight="1" x14ac:dyDescent="0.45">
      <c r="A459" s="31">
        <v>46236.927877380956</v>
      </c>
      <c r="B459" s="31">
        <v>46236.9375</v>
      </c>
      <c r="C459" s="31">
        <v>46236.927083333336</v>
      </c>
      <c r="D459" s="1" t="s">
        <v>102</v>
      </c>
      <c r="E459" s="12">
        <v>0.23094285714285714</v>
      </c>
      <c r="F459" s="12">
        <f>IF(D459="d",两日求解价格与决策!K194-两日求解价格与决策!N194,IF(D459="u",两日求解价格与决策!K194+两日求解价格与决策!M194,两日求解价格与决策!K194))</f>
        <v>0</v>
      </c>
      <c r="G459" s="12">
        <f t="shared" si="49"/>
        <v>0</v>
      </c>
      <c r="H459" s="12">
        <f t="shared" si="50"/>
        <v>0</v>
      </c>
      <c r="I459" s="12">
        <f t="shared" si="55"/>
        <v>51.7231294807453</v>
      </c>
      <c r="J459" s="12">
        <f>I459+E459*(G459*原始输入与口径!$B$5-H459/原始输入与口径!$B$5)</f>
        <v>51.7231294807453</v>
      </c>
      <c r="K459" s="12">
        <v>51.723129480745271</v>
      </c>
      <c r="L459" s="12">
        <v>51.723129480745271</v>
      </c>
      <c r="M459" s="19">
        <f t="shared" si="51"/>
        <v>0</v>
      </c>
      <c r="N459" s="12">
        <f>E459*(G459*原始输入与口径!$B$5+H459/原始输入与口径!$B$5)/原始输入与口径!$H$5</f>
        <v>0</v>
      </c>
      <c r="O459" s="12">
        <v>0</v>
      </c>
      <c r="P459" s="19">
        <f t="shared" si="52"/>
        <v>0</v>
      </c>
      <c r="Q459" s="12">
        <f t="shared" si="53"/>
        <v>0</v>
      </c>
      <c r="R459" s="12">
        <f t="shared" si="54"/>
        <v>0</v>
      </c>
      <c r="S459" s="1">
        <v>186</v>
      </c>
      <c r="T459" s="14">
        <v>46235</v>
      </c>
    </row>
    <row r="460" spans="1:20" ht="21" customHeight="1" x14ac:dyDescent="0.45">
      <c r="A460" s="31">
        <v>46236.9375</v>
      </c>
      <c r="B460" s="31">
        <v>46236.937645714286</v>
      </c>
      <c r="C460" s="31">
        <v>46236.9375</v>
      </c>
      <c r="D460" s="1" t="s">
        <v>103</v>
      </c>
      <c r="E460" s="12">
        <v>3.4971428571428571E-3</v>
      </c>
      <c r="F460" s="12">
        <f>IF(D460="d",两日求解价格与决策!K195-两日求解价格与决策!N195,IF(D460="u",两日求解价格与决策!K195+两日求解价格与决策!M195,两日求解价格与决策!K195))</f>
        <v>-24</v>
      </c>
      <c r="G460" s="12">
        <f t="shared" si="49"/>
        <v>24</v>
      </c>
      <c r="H460" s="12">
        <f t="shared" si="50"/>
        <v>0</v>
      </c>
      <c r="I460" s="12">
        <f t="shared" si="55"/>
        <v>51.7231294807453</v>
      </c>
      <c r="J460" s="12">
        <f>I460+E460*(G460*原始输入与口径!$B$5-H460/原始输入与口径!$B$5)</f>
        <v>51.800346395031013</v>
      </c>
      <c r="K460" s="12">
        <v>51.723129480745271</v>
      </c>
      <c r="L460" s="12">
        <v>51.800346395030985</v>
      </c>
      <c r="M460" s="19">
        <f t="shared" si="51"/>
        <v>0</v>
      </c>
      <c r="N460" s="12">
        <f>E460*(G460*原始输入与口径!$B$5+H460/原始输入与口径!$B$5)/原始输入与口径!$H$5</f>
        <v>2.1449142857142859E-4</v>
      </c>
      <c r="O460" s="12">
        <v>2.1449142857142859E-4</v>
      </c>
      <c r="P460" s="19">
        <f t="shared" si="52"/>
        <v>0</v>
      </c>
      <c r="Q460" s="12">
        <f t="shared" si="53"/>
        <v>8.3931428571428573E-2</v>
      </c>
      <c r="R460" s="12">
        <f t="shared" si="54"/>
        <v>0</v>
      </c>
      <c r="S460" s="1">
        <v>187</v>
      </c>
      <c r="T460" s="14">
        <v>46235</v>
      </c>
    </row>
    <row r="461" spans="1:20" ht="21" customHeight="1" x14ac:dyDescent="0.45">
      <c r="A461" s="31">
        <v>46236.937645714286</v>
      </c>
      <c r="B461" s="31">
        <v>46236.937912380956</v>
      </c>
      <c r="C461" s="31">
        <v>46236.9375</v>
      </c>
      <c r="D461" s="1" t="s">
        <v>101</v>
      </c>
      <c r="E461" s="12">
        <v>6.4000000000000003E-3</v>
      </c>
      <c r="F461" s="12">
        <f>IF(D461="d",两日求解价格与决策!K195-两日求解价格与决策!N195,IF(D461="u",两日求解价格与决策!K195+两日求解价格与决策!M195,两日求解价格与决策!K195))</f>
        <v>24</v>
      </c>
      <c r="G461" s="12">
        <f t="shared" si="49"/>
        <v>0</v>
      </c>
      <c r="H461" s="12">
        <f t="shared" si="50"/>
        <v>24</v>
      </c>
      <c r="I461" s="12">
        <f t="shared" si="55"/>
        <v>51.800346395031013</v>
      </c>
      <c r="J461" s="12">
        <f>I461+E461*(G461*原始输入与口径!$B$5-H461/原始输入与口径!$B$5)</f>
        <v>51.633389873291883</v>
      </c>
      <c r="K461" s="12">
        <v>51.800346395030985</v>
      </c>
      <c r="L461" s="12">
        <v>51.633389873291854</v>
      </c>
      <c r="M461" s="19">
        <f t="shared" si="51"/>
        <v>0</v>
      </c>
      <c r="N461" s="12">
        <f>E461*(G461*原始输入与口径!$B$5+H461/原始输入与口径!$B$5)/原始输入与口径!$H$5</f>
        <v>4.6376811594202896E-4</v>
      </c>
      <c r="O461" s="12">
        <v>4.6376811594202902E-4</v>
      </c>
      <c r="P461" s="19">
        <f t="shared" si="52"/>
        <v>0</v>
      </c>
      <c r="Q461" s="12">
        <f t="shared" si="53"/>
        <v>0</v>
      </c>
      <c r="R461" s="12">
        <f t="shared" si="54"/>
        <v>0.15360000000000001</v>
      </c>
      <c r="S461" s="1">
        <v>187</v>
      </c>
      <c r="T461" s="14">
        <v>46235</v>
      </c>
    </row>
    <row r="462" spans="1:20" ht="21" customHeight="1" x14ac:dyDescent="0.45">
      <c r="A462" s="31">
        <v>46236.937912380956</v>
      </c>
      <c r="B462" s="31">
        <v>46236.947916666664</v>
      </c>
      <c r="C462" s="31">
        <v>46236.9375</v>
      </c>
      <c r="D462" s="1" t="s">
        <v>102</v>
      </c>
      <c r="E462" s="12">
        <v>0.24010285714285715</v>
      </c>
      <c r="F462" s="12">
        <f>IF(D462="d",两日求解价格与决策!K195-两日求解价格与决策!N195,IF(D462="u",两日求解价格与决策!K195+两日求解价格与决策!M195,两日求解价格与决策!K195))</f>
        <v>0</v>
      </c>
      <c r="G462" s="12">
        <f t="shared" si="49"/>
        <v>0</v>
      </c>
      <c r="H462" s="12">
        <f t="shared" si="50"/>
        <v>0</v>
      </c>
      <c r="I462" s="12">
        <f t="shared" si="55"/>
        <v>51.633389873291883</v>
      </c>
      <c r="J462" s="12">
        <f>I462+E462*(G462*原始输入与口径!$B$5-H462/原始输入与口径!$B$5)</f>
        <v>51.633389873291883</v>
      </c>
      <c r="K462" s="12">
        <v>51.633389873291854</v>
      </c>
      <c r="L462" s="12">
        <v>51.633389873291854</v>
      </c>
      <c r="M462" s="19">
        <f t="shared" si="51"/>
        <v>0</v>
      </c>
      <c r="N462" s="12">
        <f>E462*(G462*原始输入与口径!$B$5+H462/原始输入与口径!$B$5)/原始输入与口径!$H$5</f>
        <v>0</v>
      </c>
      <c r="O462" s="12">
        <v>0</v>
      </c>
      <c r="P462" s="19">
        <f t="shared" si="52"/>
        <v>0</v>
      </c>
      <c r="Q462" s="12">
        <f t="shared" si="53"/>
        <v>0</v>
      </c>
      <c r="R462" s="12">
        <f t="shared" si="54"/>
        <v>0</v>
      </c>
      <c r="S462" s="1">
        <v>187</v>
      </c>
      <c r="T462" s="14">
        <v>46235</v>
      </c>
    </row>
    <row r="463" spans="1:20" ht="21" customHeight="1" x14ac:dyDescent="0.45">
      <c r="A463" s="31">
        <v>46236.947916666664</v>
      </c>
      <c r="B463" s="31">
        <v>46236.94805547619</v>
      </c>
      <c r="C463" s="31">
        <v>46236.947916666664</v>
      </c>
      <c r="D463" s="1" t="s">
        <v>103</v>
      </c>
      <c r="E463" s="12">
        <v>3.3314285714285711E-3</v>
      </c>
      <c r="F463" s="12">
        <f>IF(D463="d",两日求解价格与决策!K196-两日求解价格与决策!N196,IF(D463="u",两日求解价格与决策!K196+两日求解价格与决策!M196,两日求解价格与决策!K196))</f>
        <v>-11.70613720089084</v>
      </c>
      <c r="G463" s="12">
        <f t="shared" si="49"/>
        <v>11.70613720089084</v>
      </c>
      <c r="H463" s="12">
        <f t="shared" si="50"/>
        <v>0</v>
      </c>
      <c r="I463" s="12">
        <f t="shared" si="55"/>
        <v>51.633389873291883</v>
      </c>
      <c r="J463" s="12">
        <f>I463+E463*(G463*原始输入与口径!$B$5-H463/原始输入与口径!$B$5)</f>
        <v>51.669268180429427</v>
      </c>
      <c r="K463" s="12">
        <v>51.633389873291854</v>
      </c>
      <c r="L463" s="12">
        <v>51.669268180429398</v>
      </c>
      <c r="M463" s="19">
        <f t="shared" si="51"/>
        <v>0</v>
      </c>
      <c r="N463" s="12">
        <f>E463*(G463*原始输入与口径!$B$5+H463/原始输入与口径!$B$5)/原始输入与口径!$H$5</f>
        <v>9.9661964270949377E-5</v>
      </c>
      <c r="O463" s="12">
        <v>9.9661964270949377E-5</v>
      </c>
      <c r="P463" s="19">
        <f t="shared" si="52"/>
        <v>0</v>
      </c>
      <c r="Q463" s="12">
        <f t="shared" si="53"/>
        <v>3.8998159932110622E-2</v>
      </c>
      <c r="R463" s="12">
        <f t="shared" si="54"/>
        <v>0</v>
      </c>
      <c r="S463" s="1">
        <v>188</v>
      </c>
      <c r="T463" s="14">
        <v>46235</v>
      </c>
    </row>
    <row r="464" spans="1:20" ht="21" customHeight="1" x14ac:dyDescent="0.45">
      <c r="A464" s="31">
        <v>46236.94805547619</v>
      </c>
      <c r="B464" s="31">
        <v>46236.95008238095</v>
      </c>
      <c r="C464" s="31">
        <v>46236.947916666664</v>
      </c>
      <c r="D464" s="1" t="s">
        <v>101</v>
      </c>
      <c r="E464" s="12">
        <v>4.8645714285714285E-2</v>
      </c>
      <c r="F464" s="12">
        <f>IF(D464="d",两日求解价格与决策!K196-两日求解价格与决策!N196,IF(D464="u",两日求解价格与决策!K196+两日求解价格与决策!M196,两日求解价格与决策!K196))</f>
        <v>36.293862799109164</v>
      </c>
      <c r="G464" s="12">
        <f t="shared" si="49"/>
        <v>0</v>
      </c>
      <c r="H464" s="12">
        <f t="shared" si="50"/>
        <v>36.293862799109164</v>
      </c>
      <c r="I464" s="12">
        <f t="shared" si="55"/>
        <v>51.669268180429427</v>
      </c>
      <c r="J464" s="12">
        <f>I464+E464*(G464*原始输入与口径!$B$5-H464/原始输入与口径!$B$5)</f>
        <v>49.75020200646162</v>
      </c>
      <c r="K464" s="12">
        <v>51.669268180429398</v>
      </c>
      <c r="L464" s="12">
        <v>49.750202006461592</v>
      </c>
      <c r="M464" s="19">
        <f t="shared" si="51"/>
        <v>0</v>
      </c>
      <c r="N464" s="12">
        <f>E464*(G464*原始输入与口径!$B$5+H464/原始输入与口径!$B$5)/原始输入与口径!$H$5</f>
        <v>5.3307393721327865E-3</v>
      </c>
      <c r="O464" s="12">
        <v>5.3307393721327857E-3</v>
      </c>
      <c r="P464" s="19">
        <f t="shared" si="52"/>
        <v>0</v>
      </c>
      <c r="Q464" s="12">
        <f t="shared" si="53"/>
        <v>0</v>
      </c>
      <c r="R464" s="12">
        <f t="shared" si="54"/>
        <v>1.7655408800503789</v>
      </c>
      <c r="S464" s="1">
        <v>188</v>
      </c>
      <c r="T464" s="14">
        <v>46235</v>
      </c>
    </row>
    <row r="465" spans="1:20" ht="21" customHeight="1" x14ac:dyDescent="0.45">
      <c r="A465" s="31">
        <v>46236.95008238095</v>
      </c>
      <c r="B465" s="31">
        <v>46236.958333333328</v>
      </c>
      <c r="C465" s="31">
        <v>46236.947916666664</v>
      </c>
      <c r="D465" s="1" t="s">
        <v>102</v>
      </c>
      <c r="E465" s="12">
        <v>0.19802285714285714</v>
      </c>
      <c r="F465" s="12">
        <f>IF(D465="d",两日求解价格与决策!K196-两日求解价格与决策!N196,IF(D465="u",两日求解价格与决策!K196+两日求解价格与决策!M196,两日求解价格与决策!K196))</f>
        <v>12.29386279910916</v>
      </c>
      <c r="G465" s="12">
        <f t="shared" si="49"/>
        <v>0</v>
      </c>
      <c r="H465" s="12">
        <f t="shared" si="50"/>
        <v>12.29386279910916</v>
      </c>
      <c r="I465" s="12">
        <f t="shared" si="55"/>
        <v>49.75020200646162</v>
      </c>
      <c r="J465" s="12">
        <f>I465+E465*(G465*原始输入与口径!$B$5-H465/原始输入与口径!$B$5)</f>
        <v>47.104043488198705</v>
      </c>
      <c r="K465" s="12">
        <v>49.750202006461592</v>
      </c>
      <c r="L465" s="12">
        <v>47.104043488198684</v>
      </c>
      <c r="M465" s="19">
        <f t="shared" si="51"/>
        <v>0</v>
      </c>
      <c r="N465" s="12">
        <f>E465*(G465*原始输入与口径!$B$5+H465/原始输入与口径!$B$5)/原始输入与口径!$H$5</f>
        <v>7.3504403285080885E-3</v>
      </c>
      <c r="O465" s="12">
        <v>7.3504403285080877E-3</v>
      </c>
      <c r="P465" s="19">
        <f t="shared" si="52"/>
        <v>0</v>
      </c>
      <c r="Q465" s="12">
        <f t="shared" si="53"/>
        <v>0</v>
      </c>
      <c r="R465" s="12">
        <f t="shared" si="54"/>
        <v>2.4344658368018788</v>
      </c>
      <c r="S465" s="1">
        <v>188</v>
      </c>
      <c r="T465" s="14">
        <v>46235</v>
      </c>
    </row>
    <row r="466" spans="1:20" ht="21" customHeight="1" x14ac:dyDescent="0.45">
      <c r="A466" s="31">
        <v>46236.958333333336</v>
      </c>
      <c r="B466" s="31">
        <v>46236.95836357143</v>
      </c>
      <c r="C466" s="31">
        <v>46236.958333333336</v>
      </c>
      <c r="D466" s="1" t="s">
        <v>103</v>
      </c>
      <c r="E466" s="12">
        <v>7.257142857142857E-4</v>
      </c>
      <c r="F466" s="12">
        <f>IF(D466="d",两日求解价格与决策!K197-两日求解价格与决策!N197,IF(D466="u",两日求解价格与决策!K197+两日求解价格与决策!M197,两日求解价格与决策!K197))</f>
        <v>-24</v>
      </c>
      <c r="G466" s="12">
        <f t="shared" si="49"/>
        <v>24</v>
      </c>
      <c r="H466" s="12">
        <f t="shared" si="50"/>
        <v>0</v>
      </c>
      <c r="I466" s="12">
        <f t="shared" si="55"/>
        <v>47.104043488198705</v>
      </c>
      <c r="J466" s="12">
        <f>I466+E466*(G466*原始输入与口径!$B$5-H466/原始输入与口径!$B$5)</f>
        <v>47.120067259627277</v>
      </c>
      <c r="K466" s="12">
        <v>47.104043488198684</v>
      </c>
      <c r="L466" s="12">
        <v>47.120067259627255</v>
      </c>
      <c r="M466" s="19">
        <f t="shared" si="51"/>
        <v>0</v>
      </c>
      <c r="N466" s="12">
        <f>E466*(G466*原始输入与口径!$B$5+H466/原始输入与口径!$B$5)/原始输入与口径!$H$5</f>
        <v>4.4510476190476196E-5</v>
      </c>
      <c r="O466" s="12">
        <v>4.451047619047619E-5</v>
      </c>
      <c r="P466" s="19">
        <f t="shared" si="52"/>
        <v>0</v>
      </c>
      <c r="Q466" s="12">
        <f t="shared" si="53"/>
        <v>1.7417142857142857E-2</v>
      </c>
      <c r="R466" s="12">
        <f t="shared" si="54"/>
        <v>0</v>
      </c>
      <c r="S466" s="1">
        <v>189</v>
      </c>
      <c r="T466" s="14">
        <v>46235</v>
      </c>
    </row>
    <row r="467" spans="1:20" ht="21" customHeight="1" x14ac:dyDescent="0.45">
      <c r="A467" s="31">
        <v>46236.95836357143</v>
      </c>
      <c r="B467" s="31">
        <v>46236.961122142857</v>
      </c>
      <c r="C467" s="31">
        <v>46236.958333333336</v>
      </c>
      <c r="D467" s="1" t="s">
        <v>101</v>
      </c>
      <c r="E467" s="12">
        <v>6.6205714285714284E-2</v>
      </c>
      <c r="F467" s="12">
        <f>IF(D467="d",两日求解价格与决策!K197-两日求解价格与决策!N197,IF(D467="u",两日求解价格与决策!K197+两日求解价格与决策!M197,两日求解价格与决策!K197))</f>
        <v>24</v>
      </c>
      <c r="G467" s="12">
        <f t="shared" si="49"/>
        <v>0</v>
      </c>
      <c r="H467" s="12">
        <f t="shared" si="50"/>
        <v>24</v>
      </c>
      <c r="I467" s="12">
        <f t="shared" si="55"/>
        <v>47.120067259627277</v>
      </c>
      <c r="J467" s="12">
        <f>I467+E467*(G467*原始输入与口径!$B$5-H467/原始输入与口径!$B$5)</f>
        <v>45.392961669565167</v>
      </c>
      <c r="K467" s="12">
        <v>47.120067259627255</v>
      </c>
      <c r="L467" s="12">
        <v>45.392961669565146</v>
      </c>
      <c r="M467" s="19">
        <f t="shared" si="51"/>
        <v>0</v>
      </c>
      <c r="N467" s="12">
        <f>E467*(G467*原始输入与口径!$B$5+H467/原始输入与口径!$B$5)/原始输入与口径!$H$5</f>
        <v>4.7975155279503107E-3</v>
      </c>
      <c r="O467" s="12">
        <v>4.7975155279503107E-3</v>
      </c>
      <c r="P467" s="19">
        <f t="shared" si="52"/>
        <v>0</v>
      </c>
      <c r="Q467" s="12">
        <f t="shared" si="53"/>
        <v>0</v>
      </c>
      <c r="R467" s="12">
        <f t="shared" si="54"/>
        <v>1.5889371428571428</v>
      </c>
      <c r="S467" s="1">
        <v>189</v>
      </c>
      <c r="T467" s="14">
        <v>46235</v>
      </c>
    </row>
    <row r="468" spans="1:20" ht="21" customHeight="1" x14ac:dyDescent="0.45">
      <c r="A468" s="31">
        <v>46236.961122142857</v>
      </c>
      <c r="B468" s="31">
        <v>46236.96875</v>
      </c>
      <c r="C468" s="31">
        <v>46236.958333333336</v>
      </c>
      <c r="D468" s="1" t="s">
        <v>102</v>
      </c>
      <c r="E468" s="12">
        <v>0.18306857142857144</v>
      </c>
      <c r="F468" s="12">
        <f>IF(D468="d",两日求解价格与决策!K197-两日求解价格与决策!N197,IF(D468="u",两日求解价格与决策!K197+两日求解价格与决策!M197,两日求解价格与决策!K197))</f>
        <v>0</v>
      </c>
      <c r="G468" s="12">
        <f t="shared" si="49"/>
        <v>0</v>
      </c>
      <c r="H468" s="12">
        <f t="shared" si="50"/>
        <v>0</v>
      </c>
      <c r="I468" s="12">
        <f t="shared" si="55"/>
        <v>45.392961669565167</v>
      </c>
      <c r="J468" s="12">
        <f>I468+E468*(G468*原始输入与口径!$B$5-H468/原始输入与口径!$B$5)</f>
        <v>45.392961669565167</v>
      </c>
      <c r="K468" s="12">
        <v>45.392961669565146</v>
      </c>
      <c r="L468" s="12">
        <v>45.392961669565146</v>
      </c>
      <c r="M468" s="19">
        <f t="shared" si="51"/>
        <v>0</v>
      </c>
      <c r="N468" s="12">
        <f>E468*(G468*原始输入与口径!$B$5+H468/原始输入与口径!$B$5)/原始输入与口径!$H$5</f>
        <v>0</v>
      </c>
      <c r="O468" s="12">
        <v>0</v>
      </c>
      <c r="P468" s="19">
        <f t="shared" si="52"/>
        <v>0</v>
      </c>
      <c r="Q468" s="12">
        <f t="shared" si="53"/>
        <v>0</v>
      </c>
      <c r="R468" s="12">
        <f t="shared" si="54"/>
        <v>0</v>
      </c>
      <c r="S468" s="1">
        <v>189</v>
      </c>
      <c r="T468" s="14">
        <v>46235</v>
      </c>
    </row>
    <row r="469" spans="1:20" ht="21" customHeight="1" x14ac:dyDescent="0.45">
      <c r="A469" s="31">
        <v>46236.96875</v>
      </c>
      <c r="B469" s="31">
        <v>46236.972096904763</v>
      </c>
      <c r="C469" s="31">
        <v>46236.96875</v>
      </c>
      <c r="D469" s="1" t="s">
        <v>101</v>
      </c>
      <c r="E469" s="12">
        <v>8.0325714285714292E-2</v>
      </c>
      <c r="F469" s="12">
        <f>IF(D469="d",两日求解价格与决策!K198-两日求解价格与决策!N198,IF(D469="u",两日求解价格与决策!K198+两日求解价格与决策!M198,两日求解价格与决策!K198))</f>
        <v>60</v>
      </c>
      <c r="G469" s="12">
        <f t="shared" si="49"/>
        <v>0</v>
      </c>
      <c r="H469" s="12">
        <f t="shared" si="50"/>
        <v>60</v>
      </c>
      <c r="I469" s="12">
        <f t="shared" si="55"/>
        <v>45.392961669565167</v>
      </c>
      <c r="J469" s="12">
        <f>I469+E469*(G469*原始输入与口径!$B$5-H469/原始输入与口径!$B$5)</f>
        <v>40.154328129192493</v>
      </c>
      <c r="K469" s="12">
        <v>45.392961669565146</v>
      </c>
      <c r="L469" s="12">
        <v>40.154328129192479</v>
      </c>
      <c r="M469" s="19">
        <f t="shared" si="51"/>
        <v>0</v>
      </c>
      <c r="N469" s="12">
        <f>E469*(G469*原始输入与口径!$B$5+H469/原始输入与口径!$B$5)/原始输入与口径!$H$5</f>
        <v>1.4551759834368532E-2</v>
      </c>
      <c r="O469" s="12">
        <v>1.4551759834368532E-2</v>
      </c>
      <c r="P469" s="19">
        <f t="shared" si="52"/>
        <v>0</v>
      </c>
      <c r="Q469" s="12">
        <f t="shared" si="53"/>
        <v>0</v>
      </c>
      <c r="R469" s="12">
        <f t="shared" si="54"/>
        <v>4.8195428571428574</v>
      </c>
      <c r="S469" s="1">
        <v>190</v>
      </c>
      <c r="T469" s="14">
        <v>46235</v>
      </c>
    </row>
    <row r="470" spans="1:20" ht="21" customHeight="1" x14ac:dyDescent="0.45">
      <c r="A470" s="31">
        <v>46236.972096904763</v>
      </c>
      <c r="B470" s="31">
        <v>46236.979166666664</v>
      </c>
      <c r="C470" s="31">
        <v>46236.96875</v>
      </c>
      <c r="D470" s="1" t="s">
        <v>102</v>
      </c>
      <c r="E470" s="12">
        <v>0.16967428571428572</v>
      </c>
      <c r="F470" s="12">
        <f>IF(D470="d",两日求解价格与决策!K198-两日求解价格与决策!N198,IF(D470="u",两日求解价格与决策!K198+两日求解价格与决策!M198,两日求解价格与决策!K198))</f>
        <v>36</v>
      </c>
      <c r="G470" s="12">
        <f t="shared" si="49"/>
        <v>0</v>
      </c>
      <c r="H470" s="12">
        <f t="shared" si="50"/>
        <v>36</v>
      </c>
      <c r="I470" s="12">
        <f t="shared" si="55"/>
        <v>40.154328129192493</v>
      </c>
      <c r="J470" s="12">
        <f>I470+E470*(G470*原始输入与口径!$B$5-H470/原始输入与口径!$B$5)</f>
        <v>33.514899557763918</v>
      </c>
      <c r="K470" s="12">
        <v>40.154328129192479</v>
      </c>
      <c r="L470" s="12">
        <v>33.514899557763911</v>
      </c>
      <c r="M470" s="19">
        <f t="shared" si="51"/>
        <v>0</v>
      </c>
      <c r="N470" s="12">
        <f>E470*(G470*原始输入与口径!$B$5+H470/原始输入与口径!$B$5)/原始输入与口径!$H$5</f>
        <v>1.8442857142857143E-2</v>
      </c>
      <c r="O470" s="12">
        <v>1.8442857142857143E-2</v>
      </c>
      <c r="P470" s="19">
        <f t="shared" si="52"/>
        <v>0</v>
      </c>
      <c r="Q470" s="12">
        <f t="shared" si="53"/>
        <v>0</v>
      </c>
      <c r="R470" s="12">
        <f t="shared" si="54"/>
        <v>6.1082742857142858</v>
      </c>
      <c r="S470" s="1">
        <v>190</v>
      </c>
      <c r="T470" s="14">
        <v>46235</v>
      </c>
    </row>
    <row r="471" spans="1:20" ht="21" customHeight="1" x14ac:dyDescent="0.45">
      <c r="A471" s="31">
        <v>46236.979166666664</v>
      </c>
      <c r="B471" s="31">
        <v>46236.980532380949</v>
      </c>
      <c r="C471" s="31">
        <v>46236.979166666664</v>
      </c>
      <c r="D471" s="1" t="s">
        <v>101</v>
      </c>
      <c r="E471" s="12">
        <v>3.2777142857142859E-2</v>
      </c>
      <c r="F471" s="12">
        <f>IF(D471="d",两日求解价格与决策!K199-两日求解价格与决策!N199,IF(D471="u",两日求解价格与决策!K199+两日求解价格与决策!M199,两日求解价格与决策!K199))</f>
        <v>24</v>
      </c>
      <c r="G471" s="12">
        <f t="shared" si="49"/>
        <v>0</v>
      </c>
      <c r="H471" s="12">
        <f t="shared" si="50"/>
        <v>24</v>
      </c>
      <c r="I471" s="12">
        <f t="shared" si="55"/>
        <v>33.514899557763918</v>
      </c>
      <c r="J471" s="12">
        <f>I471+E471*(G471*原始输入与口径!$B$5-H471/原始输入与口径!$B$5)</f>
        <v>32.659843657142801</v>
      </c>
      <c r="K471" s="12">
        <v>33.514899557763911</v>
      </c>
      <c r="L471" s="12">
        <v>32.659843657142794</v>
      </c>
      <c r="M471" s="19">
        <f t="shared" si="51"/>
        <v>0</v>
      </c>
      <c r="N471" s="12">
        <f>E471*(G471*原始输入与口径!$B$5+H471/原始输入与口径!$B$5)/原始输入与口径!$H$5</f>
        <v>2.3751552795031054E-3</v>
      </c>
      <c r="O471" s="12">
        <v>2.3751552795031054E-3</v>
      </c>
      <c r="P471" s="19">
        <f t="shared" si="52"/>
        <v>0</v>
      </c>
      <c r="Q471" s="12">
        <f t="shared" si="53"/>
        <v>0</v>
      </c>
      <c r="R471" s="12">
        <f t="shared" si="54"/>
        <v>0.78665142857142856</v>
      </c>
      <c r="S471" s="1">
        <v>191</v>
      </c>
      <c r="T471" s="14">
        <v>46235</v>
      </c>
    </row>
    <row r="472" spans="1:20" ht="21" customHeight="1" x14ac:dyDescent="0.45">
      <c r="A472" s="31">
        <v>46236.980532380949</v>
      </c>
      <c r="B472" s="31">
        <v>46236.989583333328</v>
      </c>
      <c r="C472" s="31">
        <v>46236.979166666664</v>
      </c>
      <c r="D472" s="1" t="s">
        <v>102</v>
      </c>
      <c r="E472" s="12">
        <v>0.21722285714285713</v>
      </c>
      <c r="F472" s="12">
        <f>IF(D472="d",两日求解价格与决策!K199-两日求解价格与决策!N199,IF(D472="u",两日求解价格与决策!K199+两日求解价格与决策!M199,两日求解价格与决策!K199))</f>
        <v>0</v>
      </c>
      <c r="G472" s="12">
        <f t="shared" si="49"/>
        <v>0</v>
      </c>
      <c r="H472" s="12">
        <f t="shared" si="50"/>
        <v>0</v>
      </c>
      <c r="I472" s="12">
        <f t="shared" si="55"/>
        <v>32.659843657142801</v>
      </c>
      <c r="J472" s="12">
        <f>I472+E472*(G472*原始输入与口径!$B$5-H472/原始输入与口径!$B$5)</f>
        <v>32.659843657142801</v>
      </c>
      <c r="K472" s="12">
        <v>32.659843657142794</v>
      </c>
      <c r="L472" s="12">
        <v>32.659843657142794</v>
      </c>
      <c r="M472" s="19">
        <f t="shared" si="51"/>
        <v>0</v>
      </c>
      <c r="N472" s="12">
        <f>E472*(G472*原始输入与口径!$B$5+H472/原始输入与口径!$B$5)/原始输入与口径!$H$5</f>
        <v>0</v>
      </c>
      <c r="O472" s="12">
        <v>0</v>
      </c>
      <c r="P472" s="19">
        <f t="shared" si="52"/>
        <v>0</v>
      </c>
      <c r="Q472" s="12">
        <f t="shared" si="53"/>
        <v>0</v>
      </c>
      <c r="R472" s="12">
        <f t="shared" si="54"/>
        <v>0</v>
      </c>
      <c r="S472" s="1">
        <v>191</v>
      </c>
      <c r="T472" s="14">
        <v>46235</v>
      </c>
    </row>
    <row r="473" spans="1:20" ht="21" customHeight="1" x14ac:dyDescent="0.45">
      <c r="A473" s="31">
        <v>46236.989583333336</v>
      </c>
      <c r="B473" s="31">
        <v>46236.989593333339</v>
      </c>
      <c r="C473" s="31">
        <v>46236.989583333336</v>
      </c>
      <c r="D473" s="1" t="s">
        <v>103</v>
      </c>
      <c r="E473" s="12">
        <v>2.4000000000000001E-4</v>
      </c>
      <c r="F473" s="12">
        <f>IF(D473="d",两日求解价格与决策!K200-两日求解价格与决策!N200,IF(D473="u",两日求解价格与决策!K200+两日求解价格与决策!M200,两日求解价格与决策!K200))</f>
        <v>-24</v>
      </c>
      <c r="G473" s="12">
        <f t="shared" si="49"/>
        <v>24</v>
      </c>
      <c r="H473" s="12">
        <f t="shared" si="50"/>
        <v>0</v>
      </c>
      <c r="I473" s="12">
        <f t="shared" si="55"/>
        <v>32.659843657142801</v>
      </c>
      <c r="J473" s="12">
        <f>I473+E473*(G473*原始输入与口径!$B$5-H473/原始输入与口径!$B$5)</f>
        <v>32.665142857142804</v>
      </c>
      <c r="K473" s="12">
        <v>32.659843657142794</v>
      </c>
      <c r="L473" s="12">
        <v>32.665142857142797</v>
      </c>
      <c r="M473" s="19">
        <f t="shared" si="51"/>
        <v>0</v>
      </c>
      <c r="N473" s="12">
        <f>E473*(G473*原始输入与口径!$B$5+H473/原始输入与口径!$B$5)/原始输入与口径!$H$5</f>
        <v>1.4720000000000001E-5</v>
      </c>
      <c r="O473" s="12">
        <v>1.4720000000000001E-5</v>
      </c>
      <c r="P473" s="19">
        <f t="shared" si="52"/>
        <v>0</v>
      </c>
      <c r="Q473" s="12">
        <f t="shared" si="53"/>
        <v>5.7600000000000004E-3</v>
      </c>
      <c r="R473" s="12">
        <f t="shared" si="54"/>
        <v>0</v>
      </c>
      <c r="S473" s="1">
        <v>192</v>
      </c>
      <c r="T473" s="14">
        <v>46235</v>
      </c>
    </row>
    <row r="474" spans="1:20" ht="21" customHeight="1" x14ac:dyDescent="0.45">
      <c r="A474" s="31">
        <v>46236.989593333339</v>
      </c>
      <c r="B474" s="31">
        <v>46236.991072380952</v>
      </c>
      <c r="C474" s="31">
        <v>46236.989583333336</v>
      </c>
      <c r="D474" s="1" t="s">
        <v>101</v>
      </c>
      <c r="E474" s="12">
        <v>3.5497142857142859E-2</v>
      </c>
      <c r="F474" s="12">
        <f>IF(D474="d",两日求解价格与决策!K200-两日求解价格与决策!N200,IF(D474="u",两日求解价格与决策!K200+两日求解价格与决策!M200,两日求解价格与决策!K200))</f>
        <v>24</v>
      </c>
      <c r="G474" s="12">
        <f t="shared" si="49"/>
        <v>0</v>
      </c>
      <c r="H474" s="12">
        <f t="shared" si="50"/>
        <v>24</v>
      </c>
      <c r="I474" s="12">
        <f t="shared" si="55"/>
        <v>32.665142857142804</v>
      </c>
      <c r="J474" s="12">
        <f>I474+E474*(G474*原始输入与口径!$B$5-H474/原始输入与口径!$B$5)</f>
        <v>31.739130434782556</v>
      </c>
      <c r="K474" s="12">
        <v>32.665142857142797</v>
      </c>
      <c r="L474" s="12">
        <v>31.739130434782549</v>
      </c>
      <c r="M474" s="19">
        <f t="shared" si="51"/>
        <v>0</v>
      </c>
      <c r="N474" s="12">
        <f>E474*(G474*原始输入与口径!$B$5+H474/原始输入与口径!$B$5)/原始输入与口径!$H$5</f>
        <v>2.5722567287784679E-3</v>
      </c>
      <c r="O474" s="12">
        <v>2.5722567287784679E-3</v>
      </c>
      <c r="P474" s="19">
        <f t="shared" si="52"/>
        <v>0</v>
      </c>
      <c r="Q474" s="12">
        <f t="shared" si="53"/>
        <v>0</v>
      </c>
      <c r="R474" s="12">
        <f t="shared" si="54"/>
        <v>0.85193142857142856</v>
      </c>
      <c r="S474" s="1">
        <v>192</v>
      </c>
      <c r="T474" s="14">
        <v>46235</v>
      </c>
    </row>
    <row r="475" spans="1:20" ht="21" customHeight="1" x14ac:dyDescent="0.45">
      <c r="A475" s="31">
        <v>46236.991072380952</v>
      </c>
      <c r="B475" s="31">
        <v>46237</v>
      </c>
      <c r="C475" s="31">
        <v>46236.989583333336</v>
      </c>
      <c r="D475" s="1" t="s">
        <v>102</v>
      </c>
      <c r="E475" s="12">
        <v>0.21426285714285714</v>
      </c>
      <c r="F475" s="12">
        <f>IF(D475="d",两日求解价格与决策!K200-两日求解价格与决策!N200,IF(D475="u",两日求解价格与决策!K200+两日求解价格与决策!M200,两日求解价格与决策!K200))</f>
        <v>0</v>
      </c>
      <c r="G475" s="12">
        <f t="shared" si="49"/>
        <v>0</v>
      </c>
      <c r="H475" s="12">
        <f t="shared" si="50"/>
        <v>0</v>
      </c>
      <c r="I475" s="12">
        <f t="shared" si="55"/>
        <v>31.739130434782556</v>
      </c>
      <c r="J475" s="12">
        <f>I475+E475*(G475*原始输入与口径!$B$5-H475/原始输入与口径!$B$5)</f>
        <v>31.739130434782556</v>
      </c>
      <c r="K475" s="12">
        <v>31.739130434782549</v>
      </c>
      <c r="L475" s="12">
        <v>31.739130434782549</v>
      </c>
      <c r="M475" s="19">
        <f t="shared" si="51"/>
        <v>0</v>
      </c>
      <c r="N475" s="12">
        <f>E475*(G475*原始输入与口径!$B$5+H475/原始输入与口径!$B$5)/原始输入与口径!$H$5</f>
        <v>0</v>
      </c>
      <c r="O475" s="12">
        <v>0</v>
      </c>
      <c r="P475" s="19">
        <f t="shared" si="52"/>
        <v>0</v>
      </c>
      <c r="Q475" s="12">
        <f t="shared" si="53"/>
        <v>0</v>
      </c>
      <c r="R475" s="12">
        <f t="shared" si="54"/>
        <v>0</v>
      </c>
      <c r="S475" s="1">
        <v>192</v>
      </c>
      <c r="T475" s="14">
        <v>46235</v>
      </c>
    </row>
    <row r="476" spans="1:20" ht="21" customHeight="1" x14ac:dyDescent="0.45">
      <c r="A476" s="31">
        <v>46236</v>
      </c>
      <c r="B476" s="31">
        <v>46236.00008404762</v>
      </c>
      <c r="C476" s="31">
        <v>46236</v>
      </c>
      <c r="D476" s="1" t="s">
        <v>103</v>
      </c>
      <c r="E476" s="12">
        <v>2.0171428571428571E-3</v>
      </c>
      <c r="F476" s="12">
        <f>IF(D476="d",两日求解价格与决策!K201-两日求解价格与决策!N201,IF(D476="u",两日求解价格与决策!K201+两日求解价格与决策!M201,两日求解价格与决策!K201))</f>
        <v>-42.458027330911214</v>
      </c>
      <c r="G476" s="12">
        <f t="shared" si="49"/>
        <v>42.458027330911214</v>
      </c>
      <c r="H476" s="12">
        <f t="shared" si="50"/>
        <v>0</v>
      </c>
      <c r="I476" s="12">
        <f>订单与窗口!C7</f>
        <v>31.739130434782815</v>
      </c>
      <c r="J476" s="12">
        <f>I476+E476*(G476*原始输入与口径!$B$5-H476/原始输入与口径!$B$5)</f>
        <v>31.817922828817025</v>
      </c>
      <c r="K476" s="12">
        <v>31.739130434782815</v>
      </c>
      <c r="L476" s="12">
        <v>31.817922828817025</v>
      </c>
      <c r="M476" s="19">
        <f t="shared" si="51"/>
        <v>0</v>
      </c>
      <c r="N476" s="12">
        <f>E476*(G476*原始输入与口径!$B$5+H476/原始输入与口径!$B$5)/原始输入与口径!$H$5</f>
        <v>2.1886776120613849E-4</v>
      </c>
      <c r="O476" s="12">
        <v>2.1886776120613849E-4</v>
      </c>
      <c r="P476" s="19">
        <f t="shared" si="52"/>
        <v>0</v>
      </c>
      <c r="Q476" s="12">
        <f t="shared" si="53"/>
        <v>8.564390655892376E-2</v>
      </c>
      <c r="R476" s="12">
        <f t="shared" si="54"/>
        <v>0</v>
      </c>
      <c r="S476" s="1">
        <v>193</v>
      </c>
      <c r="T476" s="14">
        <v>46236</v>
      </c>
    </row>
    <row r="477" spans="1:20" ht="21" customHeight="1" x14ac:dyDescent="0.45">
      <c r="A477" s="31">
        <v>46236.00008404762</v>
      </c>
      <c r="B477" s="31">
        <v>46236.000629047616</v>
      </c>
      <c r="C477" s="31">
        <v>46236</v>
      </c>
      <c r="D477" s="1" t="s">
        <v>101</v>
      </c>
      <c r="E477" s="12">
        <v>1.3080000000000001E-2</v>
      </c>
      <c r="F477" s="12">
        <f>IF(D477="d",两日求解价格与决策!K201-两日求解价格与决策!N201,IF(D477="u",两日求解价格与决策!K201+两日求解价格与决策!M201,两日求解价格与决策!K201))</f>
        <v>5.5419726690887856</v>
      </c>
      <c r="G477" s="12">
        <f t="shared" si="49"/>
        <v>0</v>
      </c>
      <c r="H477" s="12">
        <f t="shared" si="50"/>
        <v>5.5419726690887856</v>
      </c>
      <c r="I477" s="12">
        <f t="shared" ref="I477:I540" si="56">J476</f>
        <v>31.817922828817025</v>
      </c>
      <c r="J477" s="12">
        <f>I477+E477*(G477*原始输入与口径!$B$5-H477/原始输入与口径!$B$5)</f>
        <v>31.739130434782588</v>
      </c>
      <c r="K477" s="12">
        <v>31.817922828817025</v>
      </c>
      <c r="L477" s="12">
        <v>31.739130434782588</v>
      </c>
      <c r="M477" s="19">
        <f t="shared" si="51"/>
        <v>0</v>
      </c>
      <c r="N477" s="12">
        <f>E477*(G477*原始输入与口径!$B$5+H477/原始输入与口径!$B$5)/原始输入与口径!$H$5</f>
        <v>2.1886776120676725E-4</v>
      </c>
      <c r="O477" s="12">
        <v>2.1886776120676727E-4</v>
      </c>
      <c r="P477" s="19">
        <f t="shared" si="52"/>
        <v>0</v>
      </c>
      <c r="Q477" s="12">
        <f t="shared" si="53"/>
        <v>0</v>
      </c>
      <c r="R477" s="12">
        <f t="shared" si="54"/>
        <v>7.2489002511681319E-2</v>
      </c>
      <c r="S477" s="1">
        <v>193</v>
      </c>
      <c r="T477" s="14">
        <v>46236</v>
      </c>
    </row>
    <row r="478" spans="1:20" ht="21" customHeight="1" x14ac:dyDescent="0.45">
      <c r="A478" s="31">
        <v>46236.000629047616</v>
      </c>
      <c r="B478" s="31">
        <v>46236.010416666664</v>
      </c>
      <c r="C478" s="31">
        <v>46236</v>
      </c>
      <c r="D478" s="1" t="s">
        <v>102</v>
      </c>
      <c r="E478" s="12">
        <v>0.23490285714285714</v>
      </c>
      <c r="F478" s="12">
        <f>IF(D478="d",两日求解价格与决策!K201-两日求解价格与决策!N201,IF(D478="u",两日求解价格与决策!K201+两日求解价格与决策!M201,两日求解价格与决策!K201))</f>
        <v>-18.458027330911214</v>
      </c>
      <c r="G478" s="12">
        <f t="shared" si="49"/>
        <v>18.458027330911214</v>
      </c>
      <c r="H478" s="12">
        <f t="shared" si="50"/>
        <v>0</v>
      </c>
      <c r="I478" s="12">
        <f t="shared" si="56"/>
        <v>31.739130434782588</v>
      </c>
      <c r="J478" s="12">
        <f>I478+E478*(G478*原始输入与口径!$B$5-H478/原始输入与口径!$B$5)</f>
        <v>35.728106323454419</v>
      </c>
      <c r="K478" s="12">
        <v>31.739130434782588</v>
      </c>
      <c r="L478" s="12">
        <v>35.728106323454419</v>
      </c>
      <c r="M478" s="19">
        <f t="shared" si="51"/>
        <v>0</v>
      </c>
      <c r="N478" s="12">
        <f>E478*(G478*原始输入与口径!$B$5+H478/原始输入与口径!$B$5)/原始输入与口径!$H$5</f>
        <v>1.1080488579643973E-2</v>
      </c>
      <c r="O478" s="12">
        <v>1.1080488579643973E-2</v>
      </c>
      <c r="P478" s="19">
        <f t="shared" si="52"/>
        <v>0</v>
      </c>
      <c r="Q478" s="12">
        <f t="shared" si="53"/>
        <v>4.3358433572519894</v>
      </c>
      <c r="R478" s="12">
        <f t="shared" si="54"/>
        <v>0</v>
      </c>
      <c r="S478" s="1">
        <v>193</v>
      </c>
      <c r="T478" s="14">
        <v>46236</v>
      </c>
    </row>
    <row r="479" spans="1:20" ht="21" customHeight="1" x14ac:dyDescent="0.45">
      <c r="A479" s="31">
        <v>46236.010416666664</v>
      </c>
      <c r="B479" s="31">
        <v>46236.011753809522</v>
      </c>
      <c r="C479" s="31">
        <v>46236.010416666664</v>
      </c>
      <c r="D479" s="1" t="s">
        <v>103</v>
      </c>
      <c r="E479" s="12">
        <v>3.2091428571428569E-2</v>
      </c>
      <c r="F479" s="12">
        <f>IF(D479="d",两日求解价格与决策!K202-两日求解价格与决策!N202,IF(D479="u",两日求解价格与决策!K202+两日求解价格与决策!M202,两日求解价格与决策!K202))</f>
        <v>-24</v>
      </c>
      <c r="G479" s="12">
        <f t="shared" si="49"/>
        <v>24</v>
      </c>
      <c r="H479" s="12">
        <f t="shared" si="50"/>
        <v>0</v>
      </c>
      <c r="I479" s="12">
        <f t="shared" si="56"/>
        <v>35.728106323454419</v>
      </c>
      <c r="J479" s="12">
        <f>I479+E479*(G479*原始输入与口径!$B$5-H479/原始输入与口径!$B$5)</f>
        <v>36.436685066311561</v>
      </c>
      <c r="K479" s="12">
        <v>35.728106323454419</v>
      </c>
      <c r="L479" s="12">
        <v>36.436685066311561</v>
      </c>
      <c r="M479" s="19">
        <f t="shared" si="51"/>
        <v>0</v>
      </c>
      <c r="N479" s="12">
        <f>E479*(G479*原始输入与口径!$B$5+H479/原始输入与口径!$B$5)/原始输入与口径!$H$5</f>
        <v>1.9682742857142855E-3</v>
      </c>
      <c r="O479" s="12">
        <v>1.9682742857142855E-3</v>
      </c>
      <c r="P479" s="19">
        <f t="shared" si="52"/>
        <v>0</v>
      </c>
      <c r="Q479" s="12">
        <f t="shared" si="53"/>
        <v>0.77019428571428561</v>
      </c>
      <c r="R479" s="12">
        <f t="shared" si="54"/>
        <v>0</v>
      </c>
      <c r="S479" s="1">
        <v>194</v>
      </c>
      <c r="T479" s="14">
        <v>46236</v>
      </c>
    </row>
    <row r="480" spans="1:20" ht="21" customHeight="1" x14ac:dyDescent="0.45">
      <c r="A480" s="31">
        <v>46236.011753809522</v>
      </c>
      <c r="B480" s="31">
        <v>46236.020833333328</v>
      </c>
      <c r="C480" s="31">
        <v>46236.010416666664</v>
      </c>
      <c r="D480" s="1" t="s">
        <v>102</v>
      </c>
      <c r="E480" s="12">
        <v>0.21790857142857142</v>
      </c>
      <c r="F480" s="12">
        <f>IF(D480="d",两日求解价格与决策!K202-两日求解价格与决策!N202,IF(D480="u",两日求解价格与决策!K202+两日求解价格与决策!M202,两日求解价格与决策!K202))</f>
        <v>0</v>
      </c>
      <c r="G480" s="12">
        <f t="shared" si="49"/>
        <v>0</v>
      </c>
      <c r="H480" s="12">
        <f t="shared" si="50"/>
        <v>0</v>
      </c>
      <c r="I480" s="12">
        <f t="shared" si="56"/>
        <v>36.436685066311561</v>
      </c>
      <c r="J480" s="12">
        <f>I480+E480*(G480*原始输入与口径!$B$5-H480/原始输入与口径!$B$5)</f>
        <v>36.436685066311561</v>
      </c>
      <c r="K480" s="12">
        <v>36.436685066311561</v>
      </c>
      <c r="L480" s="12">
        <v>36.436685066311561</v>
      </c>
      <c r="M480" s="19">
        <f t="shared" si="51"/>
        <v>0</v>
      </c>
      <c r="N480" s="12">
        <f>E480*(G480*原始输入与口径!$B$5+H480/原始输入与口径!$B$5)/原始输入与口径!$H$5</f>
        <v>0</v>
      </c>
      <c r="O480" s="12">
        <v>0</v>
      </c>
      <c r="P480" s="19">
        <f t="shared" si="52"/>
        <v>0</v>
      </c>
      <c r="Q480" s="12">
        <f t="shared" si="53"/>
        <v>0</v>
      </c>
      <c r="R480" s="12">
        <f t="shared" si="54"/>
        <v>0</v>
      </c>
      <c r="S480" s="1">
        <v>194</v>
      </c>
      <c r="T480" s="14">
        <v>46236</v>
      </c>
    </row>
    <row r="481" spans="1:20" ht="21" customHeight="1" x14ac:dyDescent="0.45">
      <c r="A481" s="31">
        <v>46236.020833333336</v>
      </c>
      <c r="B481" s="31">
        <v>46236.021128333334</v>
      </c>
      <c r="C481" s="31">
        <v>46236.020833333336</v>
      </c>
      <c r="D481" s="1" t="s">
        <v>103</v>
      </c>
      <c r="E481" s="12">
        <v>7.0800000000000004E-3</v>
      </c>
      <c r="F481" s="12">
        <f>IF(D481="d",两日求解价格与决策!K203-两日求解价格与决策!N203,IF(D481="u",两日求解价格与决策!K203+两日求解价格与决策!M203,两日求解价格与决策!K203))</f>
        <v>-24</v>
      </c>
      <c r="G481" s="12">
        <f t="shared" si="49"/>
        <v>24</v>
      </c>
      <c r="H481" s="12">
        <f t="shared" si="50"/>
        <v>0</v>
      </c>
      <c r="I481" s="12">
        <f t="shared" si="56"/>
        <v>36.436685066311561</v>
      </c>
      <c r="J481" s="12">
        <f>I481+E481*(G481*原始输入与口径!$B$5-H481/原始输入与口径!$B$5)</f>
        <v>36.593011466311559</v>
      </c>
      <c r="K481" s="12">
        <v>36.436685066311561</v>
      </c>
      <c r="L481" s="12">
        <v>36.593011466311559</v>
      </c>
      <c r="M481" s="19">
        <f t="shared" si="51"/>
        <v>0</v>
      </c>
      <c r="N481" s="12">
        <f>E481*(G481*原始输入与口径!$B$5+H481/原始输入与口径!$B$5)/原始输入与口径!$H$5</f>
        <v>4.3424000000000007E-4</v>
      </c>
      <c r="O481" s="12">
        <v>4.3424000000000007E-4</v>
      </c>
      <c r="P481" s="19">
        <f t="shared" si="52"/>
        <v>0</v>
      </c>
      <c r="Q481" s="12">
        <f t="shared" si="53"/>
        <v>0.16992000000000002</v>
      </c>
      <c r="R481" s="12">
        <f t="shared" si="54"/>
        <v>0</v>
      </c>
      <c r="S481" s="1">
        <v>195</v>
      </c>
      <c r="T481" s="14">
        <v>46236</v>
      </c>
    </row>
    <row r="482" spans="1:20" ht="21" customHeight="1" x14ac:dyDescent="0.45">
      <c r="A482" s="31">
        <v>46236.021128333334</v>
      </c>
      <c r="B482" s="31">
        <v>46236.021335714286</v>
      </c>
      <c r="C482" s="31">
        <v>46236.020833333336</v>
      </c>
      <c r="D482" s="1" t="s">
        <v>101</v>
      </c>
      <c r="E482" s="12">
        <v>4.9771428571428571E-3</v>
      </c>
      <c r="F482" s="12">
        <f>IF(D482="d",两日求解价格与决策!K203-两日求解价格与决策!N203,IF(D482="u",两日求解价格与决策!K203+两日求解价格与决策!M203,两日求解价格与决策!K203))</f>
        <v>24</v>
      </c>
      <c r="G482" s="12">
        <f t="shared" si="49"/>
        <v>0</v>
      </c>
      <c r="H482" s="12">
        <f t="shared" si="50"/>
        <v>24</v>
      </c>
      <c r="I482" s="12">
        <f t="shared" si="56"/>
        <v>36.593011466311559</v>
      </c>
      <c r="J482" s="12">
        <f>I482+E482*(G482*原始输入与口径!$B$5-H482/原始输入与口径!$B$5)</f>
        <v>36.463172956994789</v>
      </c>
      <c r="K482" s="12">
        <v>36.593011466311559</v>
      </c>
      <c r="L482" s="12">
        <v>36.463172956994789</v>
      </c>
      <c r="M482" s="19">
        <f t="shared" si="51"/>
        <v>0</v>
      </c>
      <c r="N482" s="12">
        <f>E482*(G482*原始输入与口径!$B$5+H482/原始输入与口径!$B$5)/原始输入与口径!$H$5</f>
        <v>3.6066252587991718E-4</v>
      </c>
      <c r="O482" s="12">
        <v>3.6066252587991718E-4</v>
      </c>
      <c r="P482" s="19">
        <f t="shared" si="52"/>
        <v>0</v>
      </c>
      <c r="Q482" s="12">
        <f t="shared" si="53"/>
        <v>0</v>
      </c>
      <c r="R482" s="12">
        <f t="shared" si="54"/>
        <v>0.11945142857142857</v>
      </c>
      <c r="S482" s="1">
        <v>195</v>
      </c>
      <c r="T482" s="14">
        <v>46236</v>
      </c>
    </row>
    <row r="483" spans="1:20" ht="21" customHeight="1" x14ac:dyDescent="0.45">
      <c r="A483" s="31">
        <v>46236.021335714286</v>
      </c>
      <c r="B483" s="31">
        <v>46236.03125</v>
      </c>
      <c r="C483" s="31">
        <v>46236.020833333336</v>
      </c>
      <c r="D483" s="1" t="s">
        <v>102</v>
      </c>
      <c r="E483" s="12">
        <v>0.23794285714285715</v>
      </c>
      <c r="F483" s="12">
        <f>IF(D483="d",两日求解价格与决策!K203-两日求解价格与决策!N203,IF(D483="u",两日求解价格与决策!K203+两日求解价格与决策!M203,两日求解价格与决策!K203))</f>
        <v>0</v>
      </c>
      <c r="G483" s="12">
        <f t="shared" si="49"/>
        <v>0</v>
      </c>
      <c r="H483" s="12">
        <f t="shared" si="50"/>
        <v>0</v>
      </c>
      <c r="I483" s="12">
        <f t="shared" si="56"/>
        <v>36.463172956994789</v>
      </c>
      <c r="J483" s="12">
        <f>I483+E483*(G483*原始输入与口径!$B$5-H483/原始输入与口径!$B$5)</f>
        <v>36.463172956994789</v>
      </c>
      <c r="K483" s="12">
        <v>36.463172956994789</v>
      </c>
      <c r="L483" s="12">
        <v>36.463172956994789</v>
      </c>
      <c r="M483" s="19">
        <f t="shared" si="51"/>
        <v>0</v>
      </c>
      <c r="N483" s="12">
        <f>E483*(G483*原始输入与口径!$B$5+H483/原始输入与口径!$B$5)/原始输入与口径!$H$5</f>
        <v>0</v>
      </c>
      <c r="O483" s="12">
        <v>0</v>
      </c>
      <c r="P483" s="19">
        <f t="shared" si="52"/>
        <v>0</v>
      </c>
      <c r="Q483" s="12">
        <f t="shared" si="53"/>
        <v>0</v>
      </c>
      <c r="R483" s="12">
        <f t="shared" si="54"/>
        <v>0</v>
      </c>
      <c r="S483" s="1">
        <v>195</v>
      </c>
      <c r="T483" s="14">
        <v>46236</v>
      </c>
    </row>
    <row r="484" spans="1:20" ht="21" customHeight="1" x14ac:dyDescent="0.45">
      <c r="A484" s="31">
        <v>46236.03125</v>
      </c>
      <c r="B484" s="31">
        <v>46236.031490476191</v>
      </c>
      <c r="C484" s="31">
        <v>46236.03125</v>
      </c>
      <c r="D484" s="1" t="s">
        <v>103</v>
      </c>
      <c r="E484" s="12">
        <v>5.7714285714285714E-3</v>
      </c>
      <c r="F484" s="12">
        <f>IF(D484="d",两日求解价格与决策!K204-两日求解价格与决策!N204,IF(D484="u",两日求解价格与决策!K204+两日求解价格与决策!M204,两日求解价格与决策!K204))</f>
        <v>-24</v>
      </c>
      <c r="G484" s="12">
        <f t="shared" si="49"/>
        <v>24</v>
      </c>
      <c r="H484" s="12">
        <f t="shared" si="50"/>
        <v>0</v>
      </c>
      <c r="I484" s="12">
        <f t="shared" si="56"/>
        <v>36.463172956994789</v>
      </c>
      <c r="J484" s="12">
        <f>I484+E484*(G484*原始输入与口径!$B$5-H484/原始输入与口径!$B$5)</f>
        <v>36.590606099851932</v>
      </c>
      <c r="K484" s="12">
        <v>36.463172956994789</v>
      </c>
      <c r="L484" s="12">
        <v>36.590606099851932</v>
      </c>
      <c r="M484" s="19">
        <f t="shared" si="51"/>
        <v>0</v>
      </c>
      <c r="N484" s="12">
        <f>E484*(G484*原始输入与口径!$B$5+H484/原始输入与口径!$B$5)/原始输入与口径!$H$5</f>
        <v>3.5398095238095236E-4</v>
      </c>
      <c r="O484" s="12">
        <v>3.5398095238095236E-4</v>
      </c>
      <c r="P484" s="19">
        <f t="shared" si="52"/>
        <v>0</v>
      </c>
      <c r="Q484" s="12">
        <f t="shared" si="53"/>
        <v>0.1385142857142857</v>
      </c>
      <c r="R484" s="12">
        <f t="shared" si="54"/>
        <v>0</v>
      </c>
      <c r="S484" s="1">
        <v>196</v>
      </c>
      <c r="T484" s="14">
        <v>46236</v>
      </c>
    </row>
    <row r="485" spans="1:20" ht="21" customHeight="1" x14ac:dyDescent="0.45">
      <c r="A485" s="31">
        <v>46236.031490476191</v>
      </c>
      <c r="B485" s="31">
        <v>46236.031525476188</v>
      </c>
      <c r="C485" s="31">
        <v>46236.03125</v>
      </c>
      <c r="D485" s="1" t="s">
        <v>101</v>
      </c>
      <c r="E485" s="12">
        <v>8.3999999999999993E-4</v>
      </c>
      <c r="F485" s="12">
        <f>IF(D485="d",两日求解价格与决策!K204-两日求解价格与决策!N204,IF(D485="u",两日求解价格与决策!K204+两日求解价格与决策!M204,两日求解价格与决策!K204))</f>
        <v>24</v>
      </c>
      <c r="G485" s="12">
        <f t="shared" si="49"/>
        <v>0</v>
      </c>
      <c r="H485" s="12">
        <f t="shared" si="50"/>
        <v>24</v>
      </c>
      <c r="I485" s="12">
        <f t="shared" si="56"/>
        <v>36.590606099851932</v>
      </c>
      <c r="J485" s="12">
        <f>I485+E485*(G485*原始输入与口径!$B$5-H485/原始输入与口径!$B$5)</f>
        <v>36.568693056373668</v>
      </c>
      <c r="K485" s="12">
        <v>36.590606099851932</v>
      </c>
      <c r="L485" s="12">
        <v>36.568693056373668</v>
      </c>
      <c r="M485" s="19">
        <f t="shared" si="51"/>
        <v>0</v>
      </c>
      <c r="N485" s="12">
        <f>E485*(G485*原始输入与口径!$B$5+H485/原始输入与口径!$B$5)/原始输入与口径!$H$5</f>
        <v>6.0869565217391292E-5</v>
      </c>
      <c r="O485" s="12">
        <v>6.0869565217391292E-5</v>
      </c>
      <c r="P485" s="19">
        <f t="shared" si="52"/>
        <v>0</v>
      </c>
      <c r="Q485" s="12">
        <f t="shared" si="53"/>
        <v>0</v>
      </c>
      <c r="R485" s="12">
        <f t="shared" si="54"/>
        <v>2.0159999999999997E-2</v>
      </c>
      <c r="S485" s="1">
        <v>196</v>
      </c>
      <c r="T485" s="14">
        <v>46236</v>
      </c>
    </row>
    <row r="486" spans="1:20" ht="21" customHeight="1" x14ac:dyDescent="0.45">
      <c r="A486" s="31">
        <v>46236.031525476188</v>
      </c>
      <c r="B486" s="31">
        <v>46236.041666666664</v>
      </c>
      <c r="C486" s="31">
        <v>46236.03125</v>
      </c>
      <c r="D486" s="1" t="s">
        <v>102</v>
      </c>
      <c r="E486" s="12">
        <v>0.24338857142857143</v>
      </c>
      <c r="F486" s="12">
        <f>IF(D486="d",两日求解价格与决策!K204-两日求解价格与决策!N204,IF(D486="u",两日求解价格与决策!K204+两日求解价格与决策!M204,两日求解价格与决策!K204))</f>
        <v>0</v>
      </c>
      <c r="G486" s="12">
        <f t="shared" si="49"/>
        <v>0</v>
      </c>
      <c r="H486" s="12">
        <f t="shared" si="50"/>
        <v>0</v>
      </c>
      <c r="I486" s="12">
        <f t="shared" si="56"/>
        <v>36.568693056373668</v>
      </c>
      <c r="J486" s="12">
        <f>I486+E486*(G486*原始输入与口径!$B$5-H486/原始输入与口径!$B$5)</f>
        <v>36.568693056373668</v>
      </c>
      <c r="K486" s="12">
        <v>36.568693056373668</v>
      </c>
      <c r="L486" s="12">
        <v>36.568693056373668</v>
      </c>
      <c r="M486" s="19">
        <f t="shared" si="51"/>
        <v>0</v>
      </c>
      <c r="N486" s="12">
        <f>E486*(G486*原始输入与口径!$B$5+H486/原始输入与口径!$B$5)/原始输入与口径!$H$5</f>
        <v>0</v>
      </c>
      <c r="O486" s="12">
        <v>0</v>
      </c>
      <c r="P486" s="19">
        <f t="shared" si="52"/>
        <v>0</v>
      </c>
      <c r="Q486" s="12">
        <f t="shared" si="53"/>
        <v>0</v>
      </c>
      <c r="R486" s="12">
        <f t="shared" si="54"/>
        <v>0</v>
      </c>
      <c r="S486" s="1">
        <v>196</v>
      </c>
      <c r="T486" s="14">
        <v>46236</v>
      </c>
    </row>
    <row r="487" spans="1:20" ht="21" customHeight="1" x14ac:dyDescent="0.45">
      <c r="A487" s="31">
        <v>46236.041666666664</v>
      </c>
      <c r="B487" s="31">
        <v>46236.043159761903</v>
      </c>
      <c r="C487" s="31">
        <v>46236.041666666664</v>
      </c>
      <c r="D487" s="1" t="s">
        <v>103</v>
      </c>
      <c r="E487" s="12">
        <v>3.5834285714285714E-2</v>
      </c>
      <c r="F487" s="12">
        <f>IF(D487="d",两日求解价格与决策!K205-两日求解价格与决策!N205,IF(D487="u",两日求解价格与决策!K205+两日求解价格与决策!M205,两日求解价格与决策!K205))</f>
        <v>-2.849862361296303</v>
      </c>
      <c r="G487" s="12">
        <f t="shared" si="49"/>
        <v>2.849862361296303</v>
      </c>
      <c r="H487" s="12">
        <f t="shared" si="50"/>
        <v>0</v>
      </c>
      <c r="I487" s="12">
        <f t="shared" si="56"/>
        <v>36.568693056373668</v>
      </c>
      <c r="J487" s="12">
        <f>I487+E487*(G487*原始输入与口径!$B$5-H487/原始输入与口径!$B$5)</f>
        <v>36.66264601590666</v>
      </c>
      <c r="K487" s="12">
        <v>36.568693056373668</v>
      </c>
      <c r="L487" s="12">
        <v>36.66264601590666</v>
      </c>
      <c r="M487" s="19">
        <f t="shared" si="51"/>
        <v>0</v>
      </c>
      <c r="N487" s="12">
        <f>E487*(G487*原始输入与口径!$B$5+H487/原始输入与口径!$B$5)/原始输入与口径!$H$5</f>
        <v>2.6098044314720617E-4</v>
      </c>
      <c r="O487" s="12">
        <v>2.6098044314720617E-4</v>
      </c>
      <c r="P487" s="19">
        <f t="shared" si="52"/>
        <v>0</v>
      </c>
      <c r="Q487" s="12">
        <f t="shared" si="53"/>
        <v>0.10212278210108067</v>
      </c>
      <c r="R487" s="12">
        <f t="shared" si="54"/>
        <v>0</v>
      </c>
      <c r="S487" s="1">
        <v>197</v>
      </c>
      <c r="T487" s="14">
        <v>46236</v>
      </c>
    </row>
    <row r="488" spans="1:20" ht="21" customHeight="1" x14ac:dyDescent="0.45">
      <c r="A488" s="31">
        <v>46236.043159761903</v>
      </c>
      <c r="B488" s="31">
        <v>46236.052083333328</v>
      </c>
      <c r="C488" s="31">
        <v>46236.041666666664</v>
      </c>
      <c r="D488" s="1" t="s">
        <v>102</v>
      </c>
      <c r="E488" s="12">
        <v>0.21416571428571429</v>
      </c>
      <c r="F488" s="12">
        <f>IF(D488="d",两日求解价格与决策!K205-两日求解价格与决策!N205,IF(D488="u",两日求解价格与决策!K205+两日求解价格与决策!M205,两日求解价格与决策!K205))</f>
        <v>21.150137638703697</v>
      </c>
      <c r="G488" s="12">
        <f t="shared" si="49"/>
        <v>0</v>
      </c>
      <c r="H488" s="12">
        <f t="shared" si="50"/>
        <v>21.150137638703697</v>
      </c>
      <c r="I488" s="12">
        <f t="shared" si="56"/>
        <v>36.66264601590666</v>
      </c>
      <c r="J488" s="12">
        <f>I488+E488*(G488*原始输入与口径!$B$5-H488/原始输入与口径!$B$5)</f>
        <v>31.739130434782584</v>
      </c>
      <c r="K488" s="12">
        <v>36.66264601590666</v>
      </c>
      <c r="L488" s="12">
        <v>31.739130434782588</v>
      </c>
      <c r="M488" s="19">
        <f t="shared" si="51"/>
        <v>0</v>
      </c>
      <c r="N488" s="12">
        <f>E488*(G488*原始输入与口径!$B$5+H488/原始输入与口径!$B$5)/原始输入与口径!$H$5</f>
        <v>1.3676432169789095E-2</v>
      </c>
      <c r="O488" s="12">
        <v>1.3676432169789093E-2</v>
      </c>
      <c r="P488" s="19">
        <f t="shared" si="52"/>
        <v>0</v>
      </c>
      <c r="Q488" s="12">
        <f t="shared" si="53"/>
        <v>0</v>
      </c>
      <c r="R488" s="12">
        <f t="shared" si="54"/>
        <v>4.5296343346341477</v>
      </c>
      <c r="S488" s="1">
        <v>197</v>
      </c>
      <c r="T488" s="14">
        <v>46236</v>
      </c>
    </row>
    <row r="489" spans="1:20" ht="21" customHeight="1" x14ac:dyDescent="0.45">
      <c r="A489" s="31">
        <v>46236.052083333336</v>
      </c>
      <c r="B489" s="31">
        <v>46236.052372380953</v>
      </c>
      <c r="C489" s="31">
        <v>46236.052083333336</v>
      </c>
      <c r="D489" s="1" t="s">
        <v>103</v>
      </c>
      <c r="E489" s="12">
        <v>6.937142857142857E-3</v>
      </c>
      <c r="F489" s="12">
        <f>IF(D489="d",两日求解价格与决策!K206-两日求解价格与决策!N206,IF(D489="u",两日求解价格与决策!K206+两日求解价格与决策!M206,两日求解价格与决策!K206))</f>
        <v>-24</v>
      </c>
      <c r="G489" s="12">
        <f t="shared" si="49"/>
        <v>24</v>
      </c>
      <c r="H489" s="12">
        <f t="shared" si="50"/>
        <v>0</v>
      </c>
      <c r="I489" s="12">
        <f t="shared" si="56"/>
        <v>31.739130434782584</v>
      </c>
      <c r="J489" s="12">
        <f>I489+E489*(G489*原始输入与口径!$B$5-H489/原始输入与口径!$B$5)</f>
        <v>31.892302549068297</v>
      </c>
      <c r="K489" s="12">
        <v>31.739130434782588</v>
      </c>
      <c r="L489" s="12">
        <v>31.892302549068301</v>
      </c>
      <c r="M489" s="19">
        <f t="shared" si="51"/>
        <v>0</v>
      </c>
      <c r="N489" s="12">
        <f>E489*(G489*原始输入与口径!$B$5+H489/原始输入与口径!$B$5)/原始输入与口径!$H$5</f>
        <v>4.2547809523809521E-4</v>
      </c>
      <c r="O489" s="12">
        <v>4.2547809523809521E-4</v>
      </c>
      <c r="P489" s="19">
        <f t="shared" si="52"/>
        <v>0</v>
      </c>
      <c r="Q489" s="12">
        <f t="shared" si="53"/>
        <v>0.16649142857142857</v>
      </c>
      <c r="R489" s="12">
        <f t="shared" si="54"/>
        <v>0</v>
      </c>
      <c r="S489" s="1">
        <v>198</v>
      </c>
      <c r="T489" s="14">
        <v>46236</v>
      </c>
    </row>
    <row r="490" spans="1:20" ht="21" customHeight="1" x14ac:dyDescent="0.45">
      <c r="A490" s="31">
        <v>46236.052372380953</v>
      </c>
      <c r="B490" s="31">
        <v>46236.052373333339</v>
      </c>
      <c r="C490" s="31">
        <v>46236.052083333336</v>
      </c>
      <c r="D490" s="1" t="s">
        <v>101</v>
      </c>
      <c r="E490" s="12">
        <v>2.2857142857142858E-5</v>
      </c>
      <c r="F490" s="12">
        <f>IF(D490="d",两日求解价格与决策!K206-两日求解价格与决策!N206,IF(D490="u",两日求解价格与决策!K206+两日求解价格与决策!M206,两日求解价格与决策!K206))</f>
        <v>24</v>
      </c>
      <c r="G490" s="12">
        <f t="shared" si="49"/>
        <v>0</v>
      </c>
      <c r="H490" s="12">
        <f t="shared" si="50"/>
        <v>24</v>
      </c>
      <c r="I490" s="12">
        <f t="shared" si="56"/>
        <v>31.892302549068297</v>
      </c>
      <c r="J490" s="12">
        <f>I490+E490*(G490*原始输入与口径!$B$5-H490/原始输入与口径!$B$5)</f>
        <v>31.891706275776372</v>
      </c>
      <c r="K490" s="12">
        <v>31.892302549068301</v>
      </c>
      <c r="L490" s="12">
        <v>31.891706275776375</v>
      </c>
      <c r="M490" s="19">
        <f t="shared" si="51"/>
        <v>0</v>
      </c>
      <c r="N490" s="12">
        <f>E490*(G490*原始输入与口径!$B$5+H490/原始输入与口径!$B$5)/原始输入与口径!$H$5</f>
        <v>1.6563146997929607E-6</v>
      </c>
      <c r="O490" s="12">
        <v>1.6563146997929609E-6</v>
      </c>
      <c r="P490" s="19">
        <f t="shared" si="52"/>
        <v>0</v>
      </c>
      <c r="Q490" s="12">
        <f t="shared" si="53"/>
        <v>0</v>
      </c>
      <c r="R490" s="12">
        <f t="shared" si="54"/>
        <v>5.4857142857142865E-4</v>
      </c>
      <c r="S490" s="1">
        <v>198</v>
      </c>
      <c r="T490" s="14">
        <v>46236</v>
      </c>
    </row>
    <row r="491" spans="1:20" ht="21" customHeight="1" x14ac:dyDescent="0.45">
      <c r="A491" s="31">
        <v>46236.052373333339</v>
      </c>
      <c r="B491" s="31">
        <v>46236.0625</v>
      </c>
      <c r="C491" s="31">
        <v>46236.052083333336</v>
      </c>
      <c r="D491" s="1" t="s">
        <v>102</v>
      </c>
      <c r="E491" s="12">
        <v>0.24304000000000001</v>
      </c>
      <c r="F491" s="12">
        <f>IF(D491="d",两日求解价格与决策!K206-两日求解价格与决策!N206,IF(D491="u",两日求解价格与决策!K206+两日求解价格与决策!M206,两日求解价格与决策!K206))</f>
        <v>0</v>
      </c>
      <c r="G491" s="12">
        <f t="shared" si="49"/>
        <v>0</v>
      </c>
      <c r="H491" s="12">
        <f t="shared" si="50"/>
        <v>0</v>
      </c>
      <c r="I491" s="12">
        <f t="shared" si="56"/>
        <v>31.891706275776372</v>
      </c>
      <c r="J491" s="12">
        <f>I491+E491*(G491*原始输入与口径!$B$5-H491/原始输入与口径!$B$5)</f>
        <v>31.891706275776372</v>
      </c>
      <c r="K491" s="12">
        <v>31.891706275776375</v>
      </c>
      <c r="L491" s="12">
        <v>31.891706275776375</v>
      </c>
      <c r="M491" s="19">
        <f t="shared" si="51"/>
        <v>0</v>
      </c>
      <c r="N491" s="12">
        <f>E491*(G491*原始输入与口径!$B$5+H491/原始输入与口径!$B$5)/原始输入与口径!$H$5</f>
        <v>0</v>
      </c>
      <c r="O491" s="12">
        <v>0</v>
      </c>
      <c r="P491" s="19">
        <f t="shared" si="52"/>
        <v>0</v>
      </c>
      <c r="Q491" s="12">
        <f t="shared" si="53"/>
        <v>0</v>
      </c>
      <c r="R491" s="12">
        <f t="shared" si="54"/>
        <v>0</v>
      </c>
      <c r="S491" s="1">
        <v>198</v>
      </c>
      <c r="T491" s="14">
        <v>46236</v>
      </c>
    </row>
    <row r="492" spans="1:20" ht="21" customHeight="1" x14ac:dyDescent="0.45">
      <c r="A492" s="31">
        <v>46236.0625</v>
      </c>
      <c r="B492" s="31">
        <v>46236.062840714287</v>
      </c>
      <c r="C492" s="31">
        <v>46236.0625</v>
      </c>
      <c r="D492" s="1" t="s">
        <v>103</v>
      </c>
      <c r="E492" s="12">
        <v>8.1771428571428568E-3</v>
      </c>
      <c r="F492" s="12">
        <f>IF(D492="d",两日求解价格与决策!K207-两日求解价格与决策!N207,IF(D492="u",两日求解价格与决策!K207+两日求解价格与决策!M207,两日求解价格与决策!K207))</f>
        <v>-24</v>
      </c>
      <c r="G492" s="12">
        <f t="shared" si="49"/>
        <v>24</v>
      </c>
      <c r="H492" s="12">
        <f t="shared" si="50"/>
        <v>0</v>
      </c>
      <c r="I492" s="12">
        <f t="shared" si="56"/>
        <v>31.891706275776372</v>
      </c>
      <c r="J492" s="12">
        <f>I492+E492*(G492*原始输入与口径!$B$5-H492/原始输入与口径!$B$5)</f>
        <v>32.072257590062087</v>
      </c>
      <c r="K492" s="12">
        <v>31.891706275776375</v>
      </c>
      <c r="L492" s="12">
        <v>32.072257590062087</v>
      </c>
      <c r="M492" s="19">
        <f t="shared" si="51"/>
        <v>0</v>
      </c>
      <c r="N492" s="12">
        <f>E492*(G492*原始输入与口径!$B$5+H492/原始输入与口径!$B$5)/原始输入与口径!$H$5</f>
        <v>5.0153142857142861E-4</v>
      </c>
      <c r="O492" s="12">
        <v>5.0153142857142861E-4</v>
      </c>
      <c r="P492" s="19">
        <f t="shared" si="52"/>
        <v>0</v>
      </c>
      <c r="Q492" s="12">
        <f t="shared" si="53"/>
        <v>0.19625142857142858</v>
      </c>
      <c r="R492" s="12">
        <f t="shared" si="54"/>
        <v>0</v>
      </c>
      <c r="S492" s="1">
        <v>199</v>
      </c>
      <c r="T492" s="14">
        <v>46236</v>
      </c>
    </row>
    <row r="493" spans="1:20" ht="21" customHeight="1" x14ac:dyDescent="0.45">
      <c r="A493" s="31">
        <v>46236.062840714287</v>
      </c>
      <c r="B493" s="31">
        <v>46236.062862380953</v>
      </c>
      <c r="C493" s="31">
        <v>46236.0625</v>
      </c>
      <c r="D493" s="1" t="s">
        <v>101</v>
      </c>
      <c r="E493" s="12">
        <v>5.1999999999999995E-4</v>
      </c>
      <c r="F493" s="12">
        <f>IF(D493="d",两日求解价格与决策!K207-两日求解价格与决策!N207,IF(D493="u",两日求解价格与决策!K207+两日求解价格与决策!M207,两日求解价格与决策!K207))</f>
        <v>24</v>
      </c>
      <c r="G493" s="12">
        <f t="shared" si="49"/>
        <v>0</v>
      </c>
      <c r="H493" s="12">
        <f t="shared" si="50"/>
        <v>24</v>
      </c>
      <c r="I493" s="12">
        <f t="shared" si="56"/>
        <v>32.072257590062087</v>
      </c>
      <c r="J493" s="12">
        <f>I493+E493*(G493*原始输入与口径!$B$5-H493/原始输入与口径!$B$5)</f>
        <v>32.058692372670784</v>
      </c>
      <c r="K493" s="12">
        <v>32.072257590062087</v>
      </c>
      <c r="L493" s="12">
        <v>32.058692372670784</v>
      </c>
      <c r="M493" s="19">
        <f t="shared" si="51"/>
        <v>0</v>
      </c>
      <c r="N493" s="12">
        <f>E493*(G493*原始输入与口径!$B$5+H493/原始输入与口径!$B$5)/原始输入与口径!$H$5</f>
        <v>3.768115942028985E-5</v>
      </c>
      <c r="O493" s="12">
        <v>3.768115942028985E-5</v>
      </c>
      <c r="P493" s="19">
        <f t="shared" si="52"/>
        <v>0</v>
      </c>
      <c r="Q493" s="12">
        <f t="shared" si="53"/>
        <v>0</v>
      </c>
      <c r="R493" s="12">
        <f t="shared" si="54"/>
        <v>1.2479999999999998E-2</v>
      </c>
      <c r="S493" s="1">
        <v>199</v>
      </c>
      <c r="T493" s="14">
        <v>46236</v>
      </c>
    </row>
    <row r="494" spans="1:20" ht="21" customHeight="1" x14ac:dyDescent="0.45">
      <c r="A494" s="31">
        <v>46236.062862380953</v>
      </c>
      <c r="B494" s="31">
        <v>46236.072916666664</v>
      </c>
      <c r="C494" s="31">
        <v>46236.0625</v>
      </c>
      <c r="D494" s="1" t="s">
        <v>102</v>
      </c>
      <c r="E494" s="12">
        <v>0.24130285714285715</v>
      </c>
      <c r="F494" s="12">
        <f>IF(D494="d",两日求解价格与决策!K207-两日求解价格与决策!N207,IF(D494="u",两日求解价格与决策!K207+两日求解价格与决策!M207,两日求解价格与决策!K207))</f>
        <v>0</v>
      </c>
      <c r="G494" s="12">
        <f t="shared" si="49"/>
        <v>0</v>
      </c>
      <c r="H494" s="12">
        <f t="shared" si="50"/>
        <v>0</v>
      </c>
      <c r="I494" s="12">
        <f t="shared" si="56"/>
        <v>32.058692372670784</v>
      </c>
      <c r="J494" s="12">
        <f>I494+E494*(G494*原始输入与口径!$B$5-H494/原始输入与口径!$B$5)</f>
        <v>32.058692372670784</v>
      </c>
      <c r="K494" s="12">
        <v>32.058692372670784</v>
      </c>
      <c r="L494" s="12">
        <v>32.058692372670784</v>
      </c>
      <c r="M494" s="19">
        <f t="shared" si="51"/>
        <v>0</v>
      </c>
      <c r="N494" s="12">
        <f>E494*(G494*原始输入与口径!$B$5+H494/原始输入与口径!$B$5)/原始输入与口径!$H$5</f>
        <v>0</v>
      </c>
      <c r="O494" s="12">
        <v>0</v>
      </c>
      <c r="P494" s="19">
        <f t="shared" si="52"/>
        <v>0</v>
      </c>
      <c r="Q494" s="12">
        <f t="shared" si="53"/>
        <v>0</v>
      </c>
      <c r="R494" s="12">
        <f t="shared" si="54"/>
        <v>0</v>
      </c>
      <c r="S494" s="1">
        <v>199</v>
      </c>
      <c r="T494" s="14">
        <v>46236</v>
      </c>
    </row>
    <row r="495" spans="1:20" ht="21" customHeight="1" x14ac:dyDescent="0.45">
      <c r="A495" s="31">
        <v>46236.072916666664</v>
      </c>
      <c r="B495" s="31">
        <v>46236.073024999998</v>
      </c>
      <c r="C495" s="31">
        <v>46236.072916666664</v>
      </c>
      <c r="D495" s="1" t="s">
        <v>103</v>
      </c>
      <c r="E495" s="12">
        <v>2.5999999999999999E-3</v>
      </c>
      <c r="F495" s="12">
        <f>IF(D495="d",两日求解价格与决策!K208-两日求解价格与决策!N208,IF(D495="u",两日求解价格与决策!K208+两日求解价格与决策!M208,两日求解价格与决策!K208))</f>
        <v>-24</v>
      </c>
      <c r="G495" s="12">
        <f t="shared" si="49"/>
        <v>24</v>
      </c>
      <c r="H495" s="12">
        <f t="shared" si="50"/>
        <v>0</v>
      </c>
      <c r="I495" s="12">
        <f t="shared" si="56"/>
        <v>32.058692372670784</v>
      </c>
      <c r="J495" s="12">
        <f>I495+E495*(G495*原始输入与口径!$B$5-H495/原始输入与口径!$B$5)</f>
        <v>32.116100372670786</v>
      </c>
      <c r="K495" s="12">
        <v>32.058692372670784</v>
      </c>
      <c r="L495" s="12">
        <v>32.116100372670786</v>
      </c>
      <c r="M495" s="19">
        <f t="shared" si="51"/>
        <v>0</v>
      </c>
      <c r="N495" s="12">
        <f>E495*(G495*原始输入与口径!$B$5+H495/原始输入与口径!$B$5)/原始输入与口径!$H$5</f>
        <v>1.5946666666666668E-4</v>
      </c>
      <c r="O495" s="12">
        <v>1.5946666666666668E-4</v>
      </c>
      <c r="P495" s="19">
        <f t="shared" si="52"/>
        <v>0</v>
      </c>
      <c r="Q495" s="12">
        <f t="shared" si="53"/>
        <v>6.2399999999999997E-2</v>
      </c>
      <c r="R495" s="12">
        <f t="shared" si="54"/>
        <v>0</v>
      </c>
      <c r="S495" s="1">
        <v>200</v>
      </c>
      <c r="T495" s="14">
        <v>46236</v>
      </c>
    </row>
    <row r="496" spans="1:20" ht="21" customHeight="1" x14ac:dyDescent="0.45">
      <c r="A496" s="31">
        <v>46236.073024999998</v>
      </c>
      <c r="B496" s="31">
        <v>46236.073073333333</v>
      </c>
      <c r="C496" s="31">
        <v>46236.072916666664</v>
      </c>
      <c r="D496" s="1" t="s">
        <v>101</v>
      </c>
      <c r="E496" s="12">
        <v>1.16E-3</v>
      </c>
      <c r="F496" s="12">
        <f>IF(D496="d",两日求解价格与决策!K208-两日求解价格与决策!N208,IF(D496="u",两日求解价格与决策!K208+两日求解价格与决策!M208,两日求解价格与决策!K208))</f>
        <v>24</v>
      </c>
      <c r="G496" s="12">
        <f t="shared" si="49"/>
        <v>0</v>
      </c>
      <c r="H496" s="12">
        <f t="shared" si="50"/>
        <v>24</v>
      </c>
      <c r="I496" s="12">
        <f t="shared" si="56"/>
        <v>32.116100372670786</v>
      </c>
      <c r="J496" s="12">
        <f>I496+E496*(G496*原始输入与口径!$B$5-H496/原始输入与口径!$B$5)</f>
        <v>32.085839503105568</v>
      </c>
      <c r="K496" s="12">
        <v>32.116100372670786</v>
      </c>
      <c r="L496" s="12">
        <v>32.085839503105568</v>
      </c>
      <c r="M496" s="19">
        <f t="shared" si="51"/>
        <v>0</v>
      </c>
      <c r="N496" s="12">
        <f>E496*(G496*原始输入与口径!$B$5+H496/原始输入与口径!$B$5)/原始输入与口径!$H$5</f>
        <v>8.4057971014492755E-5</v>
      </c>
      <c r="O496" s="12">
        <v>8.4057971014492755E-5</v>
      </c>
      <c r="P496" s="19">
        <f t="shared" si="52"/>
        <v>0</v>
      </c>
      <c r="Q496" s="12">
        <f t="shared" si="53"/>
        <v>0</v>
      </c>
      <c r="R496" s="12">
        <f t="shared" si="54"/>
        <v>2.784E-2</v>
      </c>
      <c r="S496" s="1">
        <v>200</v>
      </c>
      <c r="T496" s="14">
        <v>46236</v>
      </c>
    </row>
    <row r="497" spans="1:20" ht="21" customHeight="1" x14ac:dyDescent="0.45">
      <c r="A497" s="31">
        <v>46236.073073333333</v>
      </c>
      <c r="B497" s="31">
        <v>46236.083333333328</v>
      </c>
      <c r="C497" s="31">
        <v>46236.072916666664</v>
      </c>
      <c r="D497" s="1" t="s">
        <v>102</v>
      </c>
      <c r="E497" s="12">
        <v>0.24624000000000001</v>
      </c>
      <c r="F497" s="12">
        <f>IF(D497="d",两日求解价格与决策!K208-两日求解价格与决策!N208,IF(D497="u",两日求解价格与决策!K208+两日求解价格与决策!M208,两日求解价格与决策!K208))</f>
        <v>0</v>
      </c>
      <c r="G497" s="12">
        <f t="shared" si="49"/>
        <v>0</v>
      </c>
      <c r="H497" s="12">
        <f t="shared" si="50"/>
        <v>0</v>
      </c>
      <c r="I497" s="12">
        <f t="shared" si="56"/>
        <v>32.085839503105568</v>
      </c>
      <c r="J497" s="12">
        <f>I497+E497*(G497*原始输入与口径!$B$5-H497/原始输入与口径!$B$5)</f>
        <v>32.085839503105568</v>
      </c>
      <c r="K497" s="12">
        <v>32.085839503105568</v>
      </c>
      <c r="L497" s="12">
        <v>32.085839503105568</v>
      </c>
      <c r="M497" s="19">
        <f t="shared" si="51"/>
        <v>0</v>
      </c>
      <c r="N497" s="12">
        <f>E497*(G497*原始输入与口径!$B$5+H497/原始输入与口径!$B$5)/原始输入与口径!$H$5</f>
        <v>0</v>
      </c>
      <c r="O497" s="12">
        <v>0</v>
      </c>
      <c r="P497" s="19">
        <f t="shared" si="52"/>
        <v>0</v>
      </c>
      <c r="Q497" s="12">
        <f t="shared" si="53"/>
        <v>0</v>
      </c>
      <c r="R497" s="12">
        <f t="shared" si="54"/>
        <v>0</v>
      </c>
      <c r="S497" s="1">
        <v>200</v>
      </c>
      <c r="T497" s="14">
        <v>46236</v>
      </c>
    </row>
    <row r="498" spans="1:20" ht="21" customHeight="1" x14ac:dyDescent="0.45">
      <c r="A498" s="31">
        <v>46236.083333333336</v>
      </c>
      <c r="B498" s="31">
        <v>46236.083854523815</v>
      </c>
      <c r="C498" s="31">
        <v>46236.083333333336</v>
      </c>
      <c r="D498" s="1" t="s">
        <v>101</v>
      </c>
      <c r="E498" s="12">
        <v>1.250857142857143E-2</v>
      </c>
      <c r="F498" s="12">
        <f>IF(D498="d",两日求解价格与决策!K209-两日求解价格与决策!N209,IF(D498="u",两日求解价格与决策!K209+两日求解价格与决策!M209,两日求解价格与决策!K209))</f>
        <v>23.819751984077413</v>
      </c>
      <c r="G498" s="12">
        <f t="shared" si="49"/>
        <v>0</v>
      </c>
      <c r="H498" s="12">
        <f t="shared" si="50"/>
        <v>23.819751984077413</v>
      </c>
      <c r="I498" s="12">
        <f t="shared" si="56"/>
        <v>32.085839503105568</v>
      </c>
      <c r="J498" s="12">
        <f>I498+E498*(G498*原始输入与口径!$B$5-H498/原始输入与口径!$B$5)</f>
        <v>31.761979645384166</v>
      </c>
      <c r="K498" s="12">
        <v>32.085839503105568</v>
      </c>
      <c r="L498" s="12">
        <v>31.761979645384166</v>
      </c>
      <c r="M498" s="19">
        <f t="shared" si="51"/>
        <v>0</v>
      </c>
      <c r="N498" s="12">
        <f>E498*(G498*原始输入与口径!$B$5+H498/原始输入与口径!$B$5)/原始输入与口径!$H$5</f>
        <v>8.9961071589277877E-4</v>
      </c>
      <c r="O498" s="12">
        <v>8.9961071589277877E-4</v>
      </c>
      <c r="P498" s="19">
        <f t="shared" si="52"/>
        <v>0</v>
      </c>
      <c r="Q498" s="12">
        <f t="shared" si="53"/>
        <v>0</v>
      </c>
      <c r="R498" s="12">
        <f t="shared" si="54"/>
        <v>0.29795106910368835</v>
      </c>
      <c r="S498" s="1">
        <v>201</v>
      </c>
      <c r="T498" s="14">
        <v>46236</v>
      </c>
    </row>
    <row r="499" spans="1:20" ht="21" customHeight="1" x14ac:dyDescent="0.45">
      <c r="A499" s="31">
        <v>46236.083854523815</v>
      </c>
      <c r="B499" s="31">
        <v>46236.09375</v>
      </c>
      <c r="C499" s="31">
        <v>46236.083333333336</v>
      </c>
      <c r="D499" s="1" t="s">
        <v>102</v>
      </c>
      <c r="E499" s="12">
        <v>0.23749142857142858</v>
      </c>
      <c r="F499" s="12">
        <f>IF(D499="d",两日求解价格与决策!K209-两日求解价格与决策!N209,IF(D499="u",两日求解价格与决策!K209+两日求解价格与决策!M209,两日求解价格与决策!K209))</f>
        <v>-0.18024801592258491</v>
      </c>
      <c r="G499" s="12">
        <f t="shared" si="49"/>
        <v>0.18024801592258491</v>
      </c>
      <c r="H499" s="12">
        <f t="shared" si="50"/>
        <v>0</v>
      </c>
      <c r="I499" s="12">
        <f t="shared" si="56"/>
        <v>31.761979645384166</v>
      </c>
      <c r="J499" s="12">
        <f>I499+E499*(G499*原始输入与口径!$B$5-H499/原始输入与口径!$B$5)</f>
        <v>31.801362415478895</v>
      </c>
      <c r="K499" s="12">
        <v>31.761979645384166</v>
      </c>
      <c r="L499" s="12">
        <v>31.801362415478895</v>
      </c>
      <c r="M499" s="19">
        <f t="shared" si="51"/>
        <v>0</v>
      </c>
      <c r="N499" s="12">
        <f>E499*(G499*原始输入与口径!$B$5+H499/原始输入与口径!$B$5)/原始输入与口径!$H$5</f>
        <v>1.0939658359647409E-4</v>
      </c>
      <c r="O499" s="12">
        <v>1.0939658359647409E-4</v>
      </c>
      <c r="P499" s="19">
        <f t="shared" si="52"/>
        <v>0</v>
      </c>
      <c r="Q499" s="12">
        <f t="shared" si="53"/>
        <v>4.2807358798620292E-2</v>
      </c>
      <c r="R499" s="12">
        <f t="shared" si="54"/>
        <v>0</v>
      </c>
      <c r="S499" s="1">
        <v>201</v>
      </c>
      <c r="T499" s="14">
        <v>46236</v>
      </c>
    </row>
    <row r="500" spans="1:20" ht="21" customHeight="1" x14ac:dyDescent="0.45">
      <c r="A500" s="31">
        <v>46236.09375</v>
      </c>
      <c r="B500" s="31">
        <v>46236.094070238098</v>
      </c>
      <c r="C500" s="31">
        <v>46236.09375</v>
      </c>
      <c r="D500" s="1" t="s">
        <v>103</v>
      </c>
      <c r="E500" s="12">
        <v>7.6857142857142853E-3</v>
      </c>
      <c r="F500" s="12">
        <f>IF(D500="d",两日求解价格与决策!K210-两日求解价格与决策!N210,IF(D500="u",两日求解价格与决策!K210+两日求解价格与决策!M210,两日求解价格与决策!K210))</f>
        <v>-31.370332307693502</v>
      </c>
      <c r="G500" s="12">
        <f t="shared" si="49"/>
        <v>31.370332307693502</v>
      </c>
      <c r="H500" s="12">
        <f t="shared" si="50"/>
        <v>0</v>
      </c>
      <c r="I500" s="12">
        <f t="shared" si="56"/>
        <v>31.801362415478895</v>
      </c>
      <c r="J500" s="12">
        <f>I500+E500*(G500*原始输入与口径!$B$5-H500/原始输入与口径!$B$5)</f>
        <v>32.02317755375055</v>
      </c>
      <c r="K500" s="12">
        <v>31.801362415478895</v>
      </c>
      <c r="L500" s="12">
        <v>32.02317755375055</v>
      </c>
      <c r="M500" s="19">
        <f t="shared" si="51"/>
        <v>0</v>
      </c>
      <c r="N500" s="12">
        <f>E500*(G500*原始输入与口径!$B$5+H500/原始输入与口径!$B$5)/原始输入与口径!$H$5</f>
        <v>6.1615316186571336E-4</v>
      </c>
      <c r="O500" s="12">
        <v>6.1615316186571325E-4</v>
      </c>
      <c r="P500" s="19">
        <f t="shared" si="52"/>
        <v>0</v>
      </c>
      <c r="Q500" s="12">
        <f t="shared" si="53"/>
        <v>0.24110341116484432</v>
      </c>
      <c r="R500" s="12">
        <f t="shared" si="54"/>
        <v>0</v>
      </c>
      <c r="S500" s="1">
        <v>202</v>
      </c>
      <c r="T500" s="14">
        <v>46236</v>
      </c>
    </row>
    <row r="501" spans="1:20" ht="21" customHeight="1" x14ac:dyDescent="0.45">
      <c r="A501" s="31">
        <v>46236.094070238098</v>
      </c>
      <c r="B501" s="31">
        <v>46236.094725000003</v>
      </c>
      <c r="C501" s="31">
        <v>46236.09375</v>
      </c>
      <c r="D501" s="1" t="s">
        <v>101</v>
      </c>
      <c r="E501" s="12">
        <v>1.5714285714285715E-2</v>
      </c>
      <c r="F501" s="12">
        <f>IF(D501="d",两日求解价格与决策!K210-两日求解价格与决策!N210,IF(D501="u",两日求解价格与决策!K210+两日求解价格与决策!M210,两日求解价格与决策!K210))</f>
        <v>16.629667692306498</v>
      </c>
      <c r="G501" s="12">
        <f t="shared" si="49"/>
        <v>0</v>
      </c>
      <c r="H501" s="12">
        <f t="shared" si="50"/>
        <v>16.629667692306498</v>
      </c>
      <c r="I501" s="12">
        <f t="shared" si="56"/>
        <v>32.02317755375055</v>
      </c>
      <c r="J501" s="12">
        <f>I501+E501*(G501*原始输入与口径!$B$5-H501/原始输入与口径!$B$5)</f>
        <v>31.739130434782581</v>
      </c>
      <c r="K501" s="12">
        <v>32.02317755375055</v>
      </c>
      <c r="L501" s="12">
        <v>31.739130434782581</v>
      </c>
      <c r="M501" s="19">
        <f t="shared" si="51"/>
        <v>0</v>
      </c>
      <c r="N501" s="12">
        <f>E501*(G501*原始输入与口径!$B$5+H501/原始输入与口径!$B$5)/原始输入与口径!$H$5</f>
        <v>7.8901977491102257E-4</v>
      </c>
      <c r="O501" s="12">
        <v>7.8901977491102257E-4</v>
      </c>
      <c r="P501" s="19">
        <f t="shared" si="52"/>
        <v>0</v>
      </c>
      <c r="Q501" s="12">
        <f t="shared" si="53"/>
        <v>0</v>
      </c>
      <c r="R501" s="12">
        <f t="shared" si="54"/>
        <v>0.26132334945053071</v>
      </c>
      <c r="S501" s="1">
        <v>202</v>
      </c>
      <c r="T501" s="14">
        <v>46236</v>
      </c>
    </row>
    <row r="502" spans="1:20" ht="21" customHeight="1" x14ac:dyDescent="0.45">
      <c r="A502" s="31">
        <v>46236.094725000003</v>
      </c>
      <c r="B502" s="31">
        <v>46236.104166666664</v>
      </c>
      <c r="C502" s="31">
        <v>46236.09375</v>
      </c>
      <c r="D502" s="1" t="s">
        <v>102</v>
      </c>
      <c r="E502" s="12">
        <v>0.2266</v>
      </c>
      <c r="F502" s="12">
        <f>IF(D502="d",两日求解价格与决策!K210-两日求解价格与决策!N210,IF(D502="u",两日求解价格与决策!K210+两日求解价格与决策!M210,两日求解价格与决策!K210))</f>
        <v>-7.370332307693503</v>
      </c>
      <c r="G502" s="12">
        <f t="shared" si="49"/>
        <v>7.370332307693503</v>
      </c>
      <c r="H502" s="12">
        <f t="shared" si="50"/>
        <v>0</v>
      </c>
      <c r="I502" s="12">
        <f t="shared" si="56"/>
        <v>31.739130434782581</v>
      </c>
      <c r="J502" s="12">
        <f>I502+E502*(G502*原始输入与口径!$B$5-H502/原始输入与口径!$B$5)</f>
        <v>33.275638351632061</v>
      </c>
      <c r="K502" s="12">
        <v>31.739130434782581</v>
      </c>
      <c r="L502" s="12">
        <v>33.275638351632061</v>
      </c>
      <c r="M502" s="19">
        <f t="shared" si="51"/>
        <v>0</v>
      </c>
      <c r="N502" s="12">
        <f>E502*(G502*原始输入与口径!$B$5+H502/原始输入与口径!$B$5)/原始输入与口径!$H$5</f>
        <v>4.2680775468041119E-3</v>
      </c>
      <c r="O502" s="12">
        <v>4.268077546804111E-3</v>
      </c>
      <c r="P502" s="19">
        <f t="shared" si="52"/>
        <v>0</v>
      </c>
      <c r="Q502" s="12">
        <f t="shared" si="53"/>
        <v>1.6701173009233476</v>
      </c>
      <c r="R502" s="12">
        <f t="shared" si="54"/>
        <v>0</v>
      </c>
      <c r="S502" s="1">
        <v>202</v>
      </c>
      <c r="T502" s="14">
        <v>46236</v>
      </c>
    </row>
    <row r="503" spans="1:20" ht="21" customHeight="1" x14ac:dyDescent="0.45">
      <c r="A503" s="31">
        <v>46236.104166666664</v>
      </c>
      <c r="B503" s="31">
        <v>46236.104170714287</v>
      </c>
      <c r="C503" s="31">
        <v>46236.104166666664</v>
      </c>
      <c r="D503" s="1" t="s">
        <v>103</v>
      </c>
      <c r="E503" s="12">
        <v>9.7142857142857152E-5</v>
      </c>
      <c r="F503" s="12">
        <f>IF(D503="d",两日求解价格与决策!K211-两日求解价格与决策!N211,IF(D503="u",两日求解价格与决策!K211+两日求解价格与决策!M211,两日求解价格与决策!K211))</f>
        <v>-24</v>
      </c>
      <c r="G503" s="12">
        <f t="shared" si="49"/>
        <v>24</v>
      </c>
      <c r="H503" s="12">
        <f t="shared" si="50"/>
        <v>0</v>
      </c>
      <c r="I503" s="12">
        <f t="shared" si="56"/>
        <v>33.275638351632061</v>
      </c>
      <c r="J503" s="12">
        <f>I503+E503*(G503*原始输入与口径!$B$5-H503/原始输入与口径!$B$5)</f>
        <v>33.277783265917776</v>
      </c>
      <c r="K503" s="12">
        <v>33.275638351632061</v>
      </c>
      <c r="L503" s="12">
        <v>33.277783265917776</v>
      </c>
      <c r="M503" s="19">
        <f t="shared" si="51"/>
        <v>0</v>
      </c>
      <c r="N503" s="12">
        <f>E503*(G503*原始输入与口径!$B$5+H503/原始输入与口径!$B$5)/原始输入与口径!$H$5</f>
        <v>5.9580952380952383E-6</v>
      </c>
      <c r="O503" s="12">
        <v>5.9580952380952383E-6</v>
      </c>
      <c r="P503" s="19">
        <f t="shared" si="52"/>
        <v>0</v>
      </c>
      <c r="Q503" s="12">
        <f t="shared" si="53"/>
        <v>2.3314285714285715E-3</v>
      </c>
      <c r="R503" s="12">
        <f t="shared" si="54"/>
        <v>0</v>
      </c>
      <c r="S503" s="1">
        <v>203</v>
      </c>
      <c r="T503" s="14">
        <v>46236</v>
      </c>
    </row>
    <row r="504" spans="1:20" ht="21" customHeight="1" x14ac:dyDescent="0.45">
      <c r="A504" s="31">
        <v>46236.104170714287</v>
      </c>
      <c r="B504" s="31">
        <v>46236.105168333328</v>
      </c>
      <c r="C504" s="31">
        <v>46236.104166666664</v>
      </c>
      <c r="D504" s="1" t="s">
        <v>101</v>
      </c>
      <c r="E504" s="12">
        <v>2.3942857142857144E-2</v>
      </c>
      <c r="F504" s="12">
        <f>IF(D504="d",两日求解价格与决策!K211-两日求解价格与决策!N211,IF(D504="u",两日求解价格与决策!K211+两日求解价格与决策!M211,两日求解价格与决策!K211))</f>
        <v>24</v>
      </c>
      <c r="G504" s="12">
        <f t="shared" si="49"/>
        <v>0</v>
      </c>
      <c r="H504" s="12">
        <f t="shared" si="50"/>
        <v>24</v>
      </c>
      <c r="I504" s="12">
        <f t="shared" si="56"/>
        <v>33.277783265917776</v>
      </c>
      <c r="J504" s="12">
        <f>I504+E504*(G504*原始输入与口径!$B$5-H504/原始输入与口径!$B$5)</f>
        <v>32.653186992625848</v>
      </c>
      <c r="K504" s="12">
        <v>33.277783265917776</v>
      </c>
      <c r="L504" s="12">
        <v>32.653186992625848</v>
      </c>
      <c r="M504" s="19">
        <f t="shared" si="51"/>
        <v>0</v>
      </c>
      <c r="N504" s="12">
        <f>E504*(G504*原始输入与口径!$B$5+H504/原始输入与口径!$B$5)/原始输入与口径!$H$5</f>
        <v>1.7349896480331262E-3</v>
      </c>
      <c r="O504" s="12">
        <v>1.7349896480331262E-3</v>
      </c>
      <c r="P504" s="19">
        <f t="shared" si="52"/>
        <v>0</v>
      </c>
      <c r="Q504" s="12">
        <f t="shared" si="53"/>
        <v>0</v>
      </c>
      <c r="R504" s="12">
        <f t="shared" si="54"/>
        <v>0.57462857142857149</v>
      </c>
      <c r="S504" s="1">
        <v>203</v>
      </c>
      <c r="T504" s="14">
        <v>46236</v>
      </c>
    </row>
    <row r="505" spans="1:20" ht="21" customHeight="1" x14ac:dyDescent="0.45">
      <c r="A505" s="31">
        <v>46236.105168333328</v>
      </c>
      <c r="B505" s="31">
        <v>46236.114583333328</v>
      </c>
      <c r="C505" s="31">
        <v>46236.104166666664</v>
      </c>
      <c r="D505" s="1" t="s">
        <v>102</v>
      </c>
      <c r="E505" s="12">
        <v>0.22595999999999999</v>
      </c>
      <c r="F505" s="12">
        <f>IF(D505="d",两日求解价格与决策!K211-两日求解价格与决策!N211,IF(D505="u",两日求解价格与决策!K211+两日求解价格与决策!M211,两日求解价格与决策!K211))</f>
        <v>0</v>
      </c>
      <c r="G505" s="12">
        <f t="shared" si="49"/>
        <v>0</v>
      </c>
      <c r="H505" s="12">
        <f t="shared" si="50"/>
        <v>0</v>
      </c>
      <c r="I505" s="12">
        <f t="shared" si="56"/>
        <v>32.653186992625848</v>
      </c>
      <c r="J505" s="12">
        <f>I505+E505*(G505*原始输入与口径!$B$5-H505/原始输入与口径!$B$5)</f>
        <v>32.653186992625848</v>
      </c>
      <c r="K505" s="12">
        <v>32.653186992625848</v>
      </c>
      <c r="L505" s="12">
        <v>32.653186992625848</v>
      </c>
      <c r="M505" s="19">
        <f t="shared" si="51"/>
        <v>0</v>
      </c>
      <c r="N505" s="12">
        <f>E505*(G505*原始输入与口径!$B$5+H505/原始输入与口径!$B$5)/原始输入与口径!$H$5</f>
        <v>0</v>
      </c>
      <c r="O505" s="12">
        <v>0</v>
      </c>
      <c r="P505" s="19">
        <f t="shared" si="52"/>
        <v>0</v>
      </c>
      <c r="Q505" s="12">
        <f t="shared" si="53"/>
        <v>0</v>
      </c>
      <c r="R505" s="12">
        <f t="shared" si="54"/>
        <v>0</v>
      </c>
      <c r="S505" s="1">
        <v>203</v>
      </c>
      <c r="T505" s="14">
        <v>46236</v>
      </c>
    </row>
    <row r="506" spans="1:20" ht="21" customHeight="1" x14ac:dyDescent="0.45">
      <c r="A506" s="31">
        <v>46236.114583333336</v>
      </c>
      <c r="B506" s="31">
        <v>46236.114661666667</v>
      </c>
      <c r="C506" s="31">
        <v>46236.114583333336</v>
      </c>
      <c r="D506" s="1" t="s">
        <v>101</v>
      </c>
      <c r="E506" s="12">
        <v>1.8800000000000002E-3</v>
      </c>
      <c r="F506" s="12">
        <f>IF(D506="d",两日求解价格与决策!K212-两日求解价格与决策!N212,IF(D506="u",两日求解价格与决策!K212+两日求解价格与决策!M212,两日求解价格与决策!K212))</f>
        <v>24</v>
      </c>
      <c r="G506" s="12">
        <f t="shared" si="49"/>
        <v>0</v>
      </c>
      <c r="H506" s="12">
        <f t="shared" si="50"/>
        <v>24</v>
      </c>
      <c r="I506" s="12">
        <f t="shared" si="56"/>
        <v>32.653186992625848</v>
      </c>
      <c r="J506" s="12">
        <f>I506+E506*(G506*原始输入与口径!$B$5-H506/原始输入与口径!$B$5)</f>
        <v>32.604143514364978</v>
      </c>
      <c r="K506" s="12">
        <v>32.653186992625848</v>
      </c>
      <c r="L506" s="12">
        <v>32.604143514364978</v>
      </c>
      <c r="M506" s="19">
        <f t="shared" si="51"/>
        <v>0</v>
      </c>
      <c r="N506" s="12">
        <f>E506*(G506*原始输入与口径!$B$5+H506/原始输入与口径!$B$5)/原始输入与口径!$H$5</f>
        <v>1.3623188405797101E-4</v>
      </c>
      <c r="O506" s="12">
        <v>1.3623188405797104E-4</v>
      </c>
      <c r="P506" s="19">
        <f t="shared" si="52"/>
        <v>0</v>
      </c>
      <c r="Q506" s="12">
        <f t="shared" si="53"/>
        <v>0</v>
      </c>
      <c r="R506" s="12">
        <f t="shared" si="54"/>
        <v>4.5120000000000007E-2</v>
      </c>
      <c r="S506" s="1">
        <v>204</v>
      </c>
      <c r="T506" s="14">
        <v>46236</v>
      </c>
    </row>
    <row r="507" spans="1:20" ht="21" customHeight="1" x14ac:dyDescent="0.45">
      <c r="A507" s="31">
        <v>46236.114661666667</v>
      </c>
      <c r="B507" s="31">
        <v>46236.125</v>
      </c>
      <c r="C507" s="31">
        <v>46236.114583333336</v>
      </c>
      <c r="D507" s="1" t="s">
        <v>102</v>
      </c>
      <c r="E507" s="12">
        <v>0.24812000000000001</v>
      </c>
      <c r="F507" s="12">
        <f>IF(D507="d",两日求解价格与决策!K212-两日求解价格与决策!N212,IF(D507="u",两日求解价格与决策!K212+两日求解价格与决策!M212,两日求解价格与决策!K212))</f>
        <v>0</v>
      </c>
      <c r="G507" s="12">
        <f t="shared" si="49"/>
        <v>0</v>
      </c>
      <c r="H507" s="12">
        <f t="shared" si="50"/>
        <v>0</v>
      </c>
      <c r="I507" s="12">
        <f t="shared" si="56"/>
        <v>32.604143514364978</v>
      </c>
      <c r="J507" s="12">
        <f>I507+E507*(G507*原始输入与口径!$B$5-H507/原始输入与口径!$B$5)</f>
        <v>32.604143514364978</v>
      </c>
      <c r="K507" s="12">
        <v>32.604143514364978</v>
      </c>
      <c r="L507" s="12">
        <v>32.604143514364978</v>
      </c>
      <c r="M507" s="19">
        <f t="shared" si="51"/>
        <v>0</v>
      </c>
      <c r="N507" s="12">
        <f>E507*(G507*原始输入与口径!$B$5+H507/原始输入与口径!$B$5)/原始输入与口径!$H$5</f>
        <v>0</v>
      </c>
      <c r="O507" s="12">
        <v>0</v>
      </c>
      <c r="P507" s="19">
        <f t="shared" si="52"/>
        <v>0</v>
      </c>
      <c r="Q507" s="12">
        <f t="shared" si="53"/>
        <v>0</v>
      </c>
      <c r="R507" s="12">
        <f t="shared" si="54"/>
        <v>0</v>
      </c>
      <c r="S507" s="1">
        <v>204</v>
      </c>
      <c r="T507" s="14">
        <v>46236</v>
      </c>
    </row>
    <row r="508" spans="1:20" ht="21" customHeight="1" x14ac:dyDescent="0.45">
      <c r="A508" s="31">
        <v>46236.125</v>
      </c>
      <c r="B508" s="31">
        <v>46236.125253333332</v>
      </c>
      <c r="C508" s="31">
        <v>46236.125</v>
      </c>
      <c r="D508" s="1" t="s">
        <v>101</v>
      </c>
      <c r="E508" s="12">
        <v>6.0800000000000003E-3</v>
      </c>
      <c r="F508" s="12">
        <f>IF(D508="d",两日求解价格与决策!K213-两日求解价格与决策!N213,IF(D508="u",两日求解价格与决策!K213+两日求解价格与决策!M213,两日求解价格与决策!K213))</f>
        <v>24</v>
      </c>
      <c r="G508" s="12">
        <f t="shared" si="49"/>
        <v>0</v>
      </c>
      <c r="H508" s="12">
        <f t="shared" si="50"/>
        <v>24</v>
      </c>
      <c r="I508" s="12">
        <f t="shared" si="56"/>
        <v>32.604143514364978</v>
      </c>
      <c r="J508" s="12">
        <f>I508+E508*(G508*原始输入与口径!$B$5-H508/原始输入与口径!$B$5)</f>
        <v>32.445534818712801</v>
      </c>
      <c r="K508" s="12">
        <v>32.604143514364978</v>
      </c>
      <c r="L508" s="12">
        <v>32.445534818712801</v>
      </c>
      <c r="M508" s="19">
        <f t="shared" si="51"/>
        <v>0</v>
      </c>
      <c r="N508" s="12">
        <f>E508*(G508*原始输入与口径!$B$5+H508/原始输入与口径!$B$5)/原始输入与口径!$H$5</f>
        <v>4.4057971014492753E-4</v>
      </c>
      <c r="O508" s="12">
        <v>4.4057971014492748E-4</v>
      </c>
      <c r="P508" s="19">
        <f t="shared" si="52"/>
        <v>0</v>
      </c>
      <c r="Q508" s="12">
        <f t="shared" si="53"/>
        <v>0</v>
      </c>
      <c r="R508" s="12">
        <f t="shared" si="54"/>
        <v>0.14591999999999999</v>
      </c>
      <c r="S508" s="1">
        <v>205</v>
      </c>
      <c r="T508" s="14">
        <v>46236</v>
      </c>
    </row>
    <row r="509" spans="1:20" ht="21" customHeight="1" x14ac:dyDescent="0.45">
      <c r="A509" s="31">
        <v>46236.125253333332</v>
      </c>
      <c r="B509" s="31">
        <v>46236.135416666664</v>
      </c>
      <c r="C509" s="31">
        <v>46236.125</v>
      </c>
      <c r="D509" s="1" t="s">
        <v>102</v>
      </c>
      <c r="E509" s="12">
        <v>0.24392</v>
      </c>
      <c r="F509" s="12">
        <f>IF(D509="d",两日求解价格与决策!K213-两日求解价格与决策!N213,IF(D509="u",两日求解价格与决策!K213+两日求解价格与决策!M213,两日求解价格与决策!K213))</f>
        <v>0</v>
      </c>
      <c r="G509" s="12">
        <f t="shared" si="49"/>
        <v>0</v>
      </c>
      <c r="H509" s="12">
        <f t="shared" si="50"/>
        <v>0</v>
      </c>
      <c r="I509" s="12">
        <f t="shared" si="56"/>
        <v>32.445534818712801</v>
      </c>
      <c r="J509" s="12">
        <f>I509+E509*(G509*原始输入与口径!$B$5-H509/原始输入与口径!$B$5)</f>
        <v>32.445534818712801</v>
      </c>
      <c r="K509" s="12">
        <v>32.445534818712801</v>
      </c>
      <c r="L509" s="12">
        <v>32.445534818712801</v>
      </c>
      <c r="M509" s="19">
        <f t="shared" si="51"/>
        <v>0</v>
      </c>
      <c r="N509" s="12">
        <f>E509*(G509*原始输入与口径!$B$5+H509/原始输入与口径!$B$5)/原始输入与口径!$H$5</f>
        <v>0</v>
      </c>
      <c r="O509" s="12">
        <v>0</v>
      </c>
      <c r="P509" s="19">
        <f t="shared" si="52"/>
        <v>0</v>
      </c>
      <c r="Q509" s="12">
        <f t="shared" si="53"/>
        <v>0</v>
      </c>
      <c r="R509" s="12">
        <f t="shared" si="54"/>
        <v>0</v>
      </c>
      <c r="S509" s="1">
        <v>205</v>
      </c>
      <c r="T509" s="14">
        <v>46236</v>
      </c>
    </row>
    <row r="510" spans="1:20" ht="21" customHeight="1" x14ac:dyDescent="0.45">
      <c r="A510" s="31">
        <v>46236.135416666664</v>
      </c>
      <c r="B510" s="31">
        <v>46236.136809523807</v>
      </c>
      <c r="C510" s="31">
        <v>46236.135416666664</v>
      </c>
      <c r="D510" s="1" t="s">
        <v>101</v>
      </c>
      <c r="E510" s="12">
        <v>3.3428571428571426E-2</v>
      </c>
      <c r="F510" s="12">
        <f>IF(D510="d",两日求解价格与决策!K214-两日求解价格与决策!N214,IF(D510="u",两日求解价格与决策!K214+两日求解价格与决策!M214,两日求解价格与决策!K214))</f>
        <v>19.441214668848918</v>
      </c>
      <c r="G510" s="12">
        <f t="shared" si="49"/>
        <v>0</v>
      </c>
      <c r="H510" s="12">
        <f t="shared" si="50"/>
        <v>19.441214668848918</v>
      </c>
      <c r="I510" s="12">
        <f t="shared" si="56"/>
        <v>32.445534818712801</v>
      </c>
      <c r="J510" s="12">
        <f>I510+E510*(G510*原始输入与口径!$B$5-H510/原始输入与口径!$B$5)</f>
        <v>31.739130434782577</v>
      </c>
      <c r="K510" s="12">
        <v>32.445534818712801</v>
      </c>
      <c r="L510" s="12">
        <v>31.739130434782577</v>
      </c>
      <c r="M510" s="19">
        <f t="shared" si="51"/>
        <v>0</v>
      </c>
      <c r="N510" s="12">
        <f>E510*(G510*原始输入与口径!$B$5+H510/原始输入与口径!$B$5)/原始输入与口径!$H$5</f>
        <v>1.9622343998061797E-3</v>
      </c>
      <c r="O510" s="12">
        <v>1.9622343998061792E-3</v>
      </c>
      <c r="P510" s="19">
        <f t="shared" si="52"/>
        <v>0</v>
      </c>
      <c r="Q510" s="12">
        <f t="shared" si="53"/>
        <v>0</v>
      </c>
      <c r="R510" s="12">
        <f t="shared" si="54"/>
        <v>0.64989203321580657</v>
      </c>
      <c r="S510" s="1">
        <v>206</v>
      </c>
      <c r="T510" s="14">
        <v>46236</v>
      </c>
    </row>
    <row r="511" spans="1:20" ht="21" customHeight="1" x14ac:dyDescent="0.45">
      <c r="A511" s="31">
        <v>46236.136809523807</v>
      </c>
      <c r="B511" s="31">
        <v>46236.145833333328</v>
      </c>
      <c r="C511" s="31">
        <v>46236.135416666664</v>
      </c>
      <c r="D511" s="1" t="s">
        <v>102</v>
      </c>
      <c r="E511" s="12">
        <v>0.21657142857142858</v>
      </c>
      <c r="F511" s="12">
        <f>IF(D511="d",两日求解价格与决策!K214-两日求解价格与决策!N214,IF(D511="u",两日求解价格与决策!K214+两日求解价格与决策!M214,两日求解价格与决策!K214))</f>
        <v>-4.5587853311510811</v>
      </c>
      <c r="G511" s="12">
        <f t="shared" si="49"/>
        <v>4.5587853311510811</v>
      </c>
      <c r="H511" s="12">
        <f t="shared" si="50"/>
        <v>0</v>
      </c>
      <c r="I511" s="12">
        <f t="shared" si="56"/>
        <v>31.739130434782577</v>
      </c>
      <c r="J511" s="12">
        <f>I511+E511*(G511*原始输入与口径!$B$5-H511/原始输入与口径!$B$5)</f>
        <v>32.647448874363008</v>
      </c>
      <c r="K511" s="12">
        <v>31.739130434782577</v>
      </c>
      <c r="L511" s="12">
        <v>32.647448874363008</v>
      </c>
      <c r="M511" s="19">
        <f t="shared" si="51"/>
        <v>0</v>
      </c>
      <c r="N511" s="12">
        <f>E511*(G511*原始输入与口径!$B$5+H511/原始输入与口径!$B$5)/原始输入与口径!$H$5</f>
        <v>2.5231067766123159E-3</v>
      </c>
      <c r="O511" s="12">
        <v>2.5231067766123159E-3</v>
      </c>
      <c r="P511" s="19">
        <f t="shared" si="52"/>
        <v>0</v>
      </c>
      <c r="Q511" s="12">
        <f t="shared" si="53"/>
        <v>0.9873026517178628</v>
      </c>
      <c r="R511" s="12">
        <f t="shared" si="54"/>
        <v>0</v>
      </c>
      <c r="S511" s="1">
        <v>206</v>
      </c>
      <c r="T511" s="14">
        <v>46236</v>
      </c>
    </row>
    <row r="512" spans="1:20" ht="21" customHeight="1" x14ac:dyDescent="0.45">
      <c r="A512" s="31">
        <v>46236.145833333336</v>
      </c>
      <c r="B512" s="31">
        <v>46236.147531904768</v>
      </c>
      <c r="C512" s="31">
        <v>46236.145833333336</v>
      </c>
      <c r="D512" s="1" t="s">
        <v>101</v>
      </c>
      <c r="E512" s="12">
        <v>4.0765714285714287E-2</v>
      </c>
      <c r="F512" s="12">
        <f>IF(D512="d",两日求解价格与决策!K215-两日求解价格与决策!N215,IF(D512="u",两日求解价格与决策!K215+两日求解价格与决策!M215,两日求解价格与决策!K215))</f>
        <v>20.498916284335621</v>
      </c>
      <c r="G512" s="12">
        <f t="shared" si="49"/>
        <v>0</v>
      </c>
      <c r="H512" s="12">
        <f t="shared" si="50"/>
        <v>20.498916284335621</v>
      </c>
      <c r="I512" s="12">
        <f t="shared" si="56"/>
        <v>32.647448874363008</v>
      </c>
      <c r="J512" s="12">
        <f>I512+E512*(G512*原始输入与口径!$B$5-H512/原始输入与口径!$B$5)</f>
        <v>31.73913043478257</v>
      </c>
      <c r="K512" s="12">
        <v>32.647448874363008</v>
      </c>
      <c r="L512" s="12">
        <v>31.73913043478257</v>
      </c>
      <c r="M512" s="19">
        <f t="shared" si="51"/>
        <v>0</v>
      </c>
      <c r="N512" s="12">
        <f>E512*(G512*原始输入与口径!$B$5+H512/原始输入与口径!$B$5)/原始输入与口径!$H$5</f>
        <v>2.5231067766123241E-3</v>
      </c>
      <c r="O512" s="12">
        <v>2.5231067766123246E-3</v>
      </c>
      <c r="P512" s="19">
        <f t="shared" si="52"/>
        <v>0</v>
      </c>
      <c r="Q512" s="12">
        <f t="shared" si="53"/>
        <v>0</v>
      </c>
      <c r="R512" s="12">
        <f t="shared" si="54"/>
        <v>0.83565296441400183</v>
      </c>
      <c r="S512" s="1">
        <v>207</v>
      </c>
      <c r="T512" s="14">
        <v>46236</v>
      </c>
    </row>
    <row r="513" spans="1:20" ht="21" customHeight="1" x14ac:dyDescent="0.45">
      <c r="A513" s="31">
        <v>46236.147531904768</v>
      </c>
      <c r="B513" s="31">
        <v>46236.15625</v>
      </c>
      <c r="C513" s="31">
        <v>46236.145833333336</v>
      </c>
      <c r="D513" s="1" t="s">
        <v>102</v>
      </c>
      <c r="E513" s="12">
        <v>0.20923428571428571</v>
      </c>
      <c r="F513" s="12">
        <f>IF(D513="d",两日求解价格与决策!K215-两日求解价格与决策!N215,IF(D513="u",两日求解价格与决策!K215+两日求解价格与决策!M215,两日求解价格与决策!K215))</f>
        <v>-3.5010837156643779</v>
      </c>
      <c r="G513" s="12">
        <f t="shared" si="49"/>
        <v>3.5010837156643779</v>
      </c>
      <c r="H513" s="12">
        <f t="shared" si="50"/>
        <v>0</v>
      </c>
      <c r="I513" s="12">
        <f t="shared" si="56"/>
        <v>31.73913043478257</v>
      </c>
      <c r="J513" s="12">
        <f>I513+E513*(G513*原始输入与口径!$B$5-H513/原始输入与口径!$B$5)</f>
        <v>32.413073445217691</v>
      </c>
      <c r="K513" s="12">
        <v>31.73913043478257</v>
      </c>
      <c r="L513" s="12">
        <v>32.413073445217691</v>
      </c>
      <c r="M513" s="19">
        <f t="shared" si="51"/>
        <v>0</v>
      </c>
      <c r="N513" s="12">
        <f>E513*(G513*原始输入与口径!$B$5+H513/原始输入与口径!$B$5)/原始输入与口径!$H$5</f>
        <v>1.8720639178753254E-3</v>
      </c>
      <c r="O513" s="12">
        <v>1.8720639178753259E-3</v>
      </c>
      <c r="P513" s="19">
        <f t="shared" si="52"/>
        <v>0</v>
      </c>
      <c r="Q513" s="12">
        <f t="shared" si="53"/>
        <v>0.73254675047295348</v>
      </c>
      <c r="R513" s="12">
        <f t="shared" si="54"/>
        <v>0</v>
      </c>
      <c r="S513" s="1">
        <v>207</v>
      </c>
      <c r="T513" s="14">
        <v>46236</v>
      </c>
    </row>
    <row r="514" spans="1:20" ht="21" customHeight="1" x14ac:dyDescent="0.45">
      <c r="A514" s="31">
        <v>46236.15625</v>
      </c>
      <c r="B514" s="31">
        <v>46236.158827857143</v>
      </c>
      <c r="C514" s="31">
        <v>46236.15625</v>
      </c>
      <c r="D514" s="1" t="s">
        <v>101</v>
      </c>
      <c r="E514" s="12">
        <v>6.1868571428571426E-2</v>
      </c>
      <c r="F514" s="12">
        <f>IF(D514="d",两日求解价格与决策!K216-两日求解价格与决策!N216,IF(D514="u",两日求解价格与决策!K216+两日求解价格与决策!M216,两日求解价格与决策!K216))</f>
        <v>10.021688803921078</v>
      </c>
      <c r="G514" s="12">
        <f t="shared" si="49"/>
        <v>0</v>
      </c>
      <c r="H514" s="12">
        <f t="shared" si="50"/>
        <v>10.021688803921078</v>
      </c>
      <c r="I514" s="12">
        <f t="shared" si="56"/>
        <v>32.413073445217691</v>
      </c>
      <c r="J514" s="12">
        <f>I514+E514*(G514*原始输入与口径!$B$5-H514/原始输入与口径!$B$5)</f>
        <v>31.739130434782577</v>
      </c>
      <c r="K514" s="12">
        <v>32.413073445217691</v>
      </c>
      <c r="L514" s="12">
        <v>31.739130434782577</v>
      </c>
      <c r="M514" s="19">
        <f t="shared" si="51"/>
        <v>0</v>
      </c>
      <c r="N514" s="12">
        <f>E514*(G514*原始输入与口径!$B$5+H514/原始输入与口径!$B$5)/原始输入与口径!$H$5</f>
        <v>1.8720639178753189E-3</v>
      </c>
      <c r="O514" s="12">
        <v>1.8720639178753194E-3</v>
      </c>
      <c r="P514" s="19">
        <f t="shared" si="52"/>
        <v>0</v>
      </c>
      <c r="Q514" s="12">
        <f t="shared" si="53"/>
        <v>0</v>
      </c>
      <c r="R514" s="12">
        <f t="shared" si="54"/>
        <v>0.62002756960030581</v>
      </c>
      <c r="S514" s="1">
        <v>208</v>
      </c>
      <c r="T514" s="14">
        <v>46236</v>
      </c>
    </row>
    <row r="515" spans="1:20" ht="21" customHeight="1" x14ac:dyDescent="0.45">
      <c r="A515" s="31">
        <v>46236.158827857143</v>
      </c>
      <c r="B515" s="31">
        <v>46236.166666666664</v>
      </c>
      <c r="C515" s="31">
        <v>46236.15625</v>
      </c>
      <c r="D515" s="1" t="s">
        <v>102</v>
      </c>
      <c r="E515" s="12">
        <v>0.18813142857142856</v>
      </c>
      <c r="F515" s="12">
        <f>IF(D515="d",两日求解价格与决策!K216-两日求解价格与决策!N216,IF(D515="u",两日求解价格与决策!K216+两日求解价格与决策!M216,两日求解价格与决策!K216))</f>
        <v>-13.978311196078922</v>
      </c>
      <c r="G515" s="12">
        <f t="shared" si="49"/>
        <v>13.978311196078922</v>
      </c>
      <c r="H515" s="12">
        <f t="shared" si="50"/>
        <v>0</v>
      </c>
      <c r="I515" s="12">
        <f t="shared" si="56"/>
        <v>31.739130434782577</v>
      </c>
      <c r="J515" s="12">
        <f>I515+E515*(G515*原始输入与口径!$B$5-H515/原始输入与口径!$B$5)</f>
        <v>34.15850931677015</v>
      </c>
      <c r="K515" s="12">
        <v>31.739130434782577</v>
      </c>
      <c r="L515" s="12">
        <v>34.15850931677015</v>
      </c>
      <c r="M515" s="19">
        <f t="shared" si="51"/>
        <v>0</v>
      </c>
      <c r="N515" s="12">
        <f>E515*(G515*原始输入与口径!$B$5+H515/原始输入与口径!$B$5)/原始输入与口径!$H$5</f>
        <v>6.7204968944099344E-3</v>
      </c>
      <c r="O515" s="12">
        <v>6.7204968944099344E-3</v>
      </c>
      <c r="P515" s="19">
        <f t="shared" si="52"/>
        <v>0</v>
      </c>
      <c r="Q515" s="12">
        <f t="shared" si="53"/>
        <v>2.6297596543343218</v>
      </c>
      <c r="R515" s="12">
        <f t="shared" si="54"/>
        <v>0</v>
      </c>
      <c r="S515" s="1">
        <v>208</v>
      </c>
      <c r="T515" s="14">
        <v>46236</v>
      </c>
    </row>
    <row r="516" spans="1:20" ht="21" customHeight="1" x14ac:dyDescent="0.45">
      <c r="A516" s="31">
        <v>46236.166666666664</v>
      </c>
      <c r="B516" s="31">
        <v>46236.170530952375</v>
      </c>
      <c r="C516" s="31">
        <v>46236.166666666664</v>
      </c>
      <c r="D516" s="1" t="s">
        <v>101</v>
      </c>
      <c r="E516" s="12">
        <v>9.2742857142857141E-2</v>
      </c>
      <c r="F516" s="12">
        <f>IF(D516="d",两日求解价格与决策!K217-两日求解价格与决策!N217,IF(D516="u",两日求解价格与决策!K217+两日求解价格与决策!M217,两日求解价格与决策!K217))</f>
        <v>24</v>
      </c>
      <c r="G516" s="12">
        <f t="shared" si="49"/>
        <v>0</v>
      </c>
      <c r="H516" s="12">
        <f t="shared" si="50"/>
        <v>24</v>
      </c>
      <c r="I516" s="12">
        <f t="shared" si="56"/>
        <v>34.15850931677015</v>
      </c>
      <c r="J516" s="12">
        <f>I516+E516*(G516*原始输入与口径!$B$5-H516/原始输入与口径!$B$5)</f>
        <v>31.739130434782574</v>
      </c>
      <c r="K516" s="12">
        <v>34.15850931677015</v>
      </c>
      <c r="L516" s="12">
        <v>31.739130434782574</v>
      </c>
      <c r="M516" s="19">
        <f t="shared" si="51"/>
        <v>0</v>
      </c>
      <c r="N516" s="12">
        <f>E516*(G516*原始输入与口径!$B$5+H516/原始输入与口径!$B$5)/原始输入与口径!$H$5</f>
        <v>6.7204968944099379E-3</v>
      </c>
      <c r="O516" s="12">
        <v>6.7204968944099379E-3</v>
      </c>
      <c r="P516" s="19">
        <f t="shared" si="52"/>
        <v>0</v>
      </c>
      <c r="Q516" s="12">
        <f t="shared" si="53"/>
        <v>0</v>
      </c>
      <c r="R516" s="12">
        <f t="shared" si="54"/>
        <v>2.2258285714285715</v>
      </c>
      <c r="S516" s="1">
        <v>209</v>
      </c>
      <c r="T516" s="14">
        <v>46236</v>
      </c>
    </row>
    <row r="517" spans="1:20" ht="21" customHeight="1" x14ac:dyDescent="0.45">
      <c r="A517" s="31">
        <v>46236.170530952375</v>
      </c>
      <c r="B517" s="31">
        <v>46236.177083333328</v>
      </c>
      <c r="C517" s="31">
        <v>46236.166666666664</v>
      </c>
      <c r="D517" s="1" t="s">
        <v>102</v>
      </c>
      <c r="E517" s="12">
        <v>0.15725714285714287</v>
      </c>
      <c r="F517" s="12">
        <f>IF(D517="d",两日求解价格与决策!K217-两日求解价格与决策!N217,IF(D517="u",两日求解价格与决策!K217+两日求解价格与决策!M217,两日求解价格与决策!K217))</f>
        <v>0</v>
      </c>
      <c r="G517" s="12">
        <f t="shared" si="49"/>
        <v>0</v>
      </c>
      <c r="H517" s="12">
        <f t="shared" si="50"/>
        <v>0</v>
      </c>
      <c r="I517" s="12">
        <f t="shared" si="56"/>
        <v>31.739130434782574</v>
      </c>
      <c r="J517" s="12">
        <f>I517+E517*(G517*原始输入与口径!$B$5-H517/原始输入与口径!$B$5)</f>
        <v>31.739130434782574</v>
      </c>
      <c r="K517" s="12">
        <v>31.739130434782574</v>
      </c>
      <c r="L517" s="12">
        <v>31.739130434782574</v>
      </c>
      <c r="M517" s="19">
        <f t="shared" si="51"/>
        <v>0</v>
      </c>
      <c r="N517" s="12">
        <f>E517*(G517*原始输入与口径!$B$5+H517/原始输入与口径!$B$5)/原始输入与口径!$H$5</f>
        <v>0</v>
      </c>
      <c r="O517" s="12">
        <v>0</v>
      </c>
      <c r="P517" s="19">
        <f t="shared" si="52"/>
        <v>0</v>
      </c>
      <c r="Q517" s="12">
        <f t="shared" si="53"/>
        <v>0</v>
      </c>
      <c r="R517" s="12">
        <f t="shared" si="54"/>
        <v>0</v>
      </c>
      <c r="S517" s="1">
        <v>209</v>
      </c>
      <c r="T517" s="14">
        <v>46236</v>
      </c>
    </row>
    <row r="518" spans="1:20" ht="21" customHeight="1" x14ac:dyDescent="0.45">
      <c r="A518" s="31">
        <v>46236.177083333336</v>
      </c>
      <c r="B518" s="31">
        <v>46236.181215000004</v>
      </c>
      <c r="C518" s="31">
        <v>46236.177083333336</v>
      </c>
      <c r="D518" s="1" t="s">
        <v>101</v>
      </c>
      <c r="E518" s="12">
        <v>9.9160000000000012E-2</v>
      </c>
      <c r="F518" s="12">
        <f>IF(D518="d",两日求解价格与决策!K218-两日求解价格与决策!N218,IF(D518="u",两日求解价格与决策!K218+两日求解价格与决策!M218,两日求解价格与决策!K218))</f>
        <v>0</v>
      </c>
      <c r="G518" s="12">
        <f t="shared" si="49"/>
        <v>0</v>
      </c>
      <c r="H518" s="12">
        <f t="shared" si="50"/>
        <v>0</v>
      </c>
      <c r="I518" s="12">
        <f t="shared" si="56"/>
        <v>31.739130434782574</v>
      </c>
      <c r="J518" s="12">
        <f>I518+E518*(G518*原始输入与口径!$B$5-H518/原始输入与口径!$B$5)</f>
        <v>31.739130434782574</v>
      </c>
      <c r="K518" s="12">
        <v>31.739130434782574</v>
      </c>
      <c r="L518" s="12">
        <v>31.739130434782574</v>
      </c>
      <c r="M518" s="19">
        <f t="shared" si="51"/>
        <v>0</v>
      </c>
      <c r="N518" s="12">
        <f>E518*(G518*原始输入与口径!$B$5+H518/原始输入与口径!$B$5)/原始输入与口径!$H$5</f>
        <v>0</v>
      </c>
      <c r="O518" s="12">
        <v>0</v>
      </c>
      <c r="P518" s="19">
        <f t="shared" si="52"/>
        <v>0</v>
      </c>
      <c r="Q518" s="12">
        <f t="shared" si="53"/>
        <v>0</v>
      </c>
      <c r="R518" s="12">
        <f t="shared" si="54"/>
        <v>0</v>
      </c>
      <c r="S518" s="1">
        <v>210</v>
      </c>
      <c r="T518" s="14">
        <v>46236</v>
      </c>
    </row>
    <row r="519" spans="1:20" ht="21" customHeight="1" x14ac:dyDescent="0.45">
      <c r="A519" s="31">
        <v>46236.181215000004</v>
      </c>
      <c r="B519" s="31">
        <v>46236.1875</v>
      </c>
      <c r="C519" s="31">
        <v>46236.177083333336</v>
      </c>
      <c r="D519" s="1" t="s">
        <v>102</v>
      </c>
      <c r="E519" s="12">
        <v>0.15083999999999997</v>
      </c>
      <c r="F519" s="12">
        <f>IF(D519="d",两日求解价格与决策!K218-两日求解价格与决策!N218,IF(D519="u",两日求解价格与决策!K218+两日求解价格与决策!M218,两日求解价格与决策!K218))</f>
        <v>-24</v>
      </c>
      <c r="G519" s="12">
        <f t="shared" si="49"/>
        <v>24</v>
      </c>
      <c r="H519" s="12">
        <f t="shared" si="50"/>
        <v>0</v>
      </c>
      <c r="I519" s="12">
        <f t="shared" si="56"/>
        <v>31.739130434782574</v>
      </c>
      <c r="J519" s="12">
        <f>I519+E519*(G519*原始输入与口径!$B$5-H519/原始输入与口径!$B$5)</f>
        <v>35.069677634782572</v>
      </c>
      <c r="K519" s="12">
        <v>31.739130434782574</v>
      </c>
      <c r="L519" s="12">
        <v>35.069677634782572</v>
      </c>
      <c r="M519" s="19">
        <f t="shared" si="51"/>
        <v>0</v>
      </c>
      <c r="N519" s="12">
        <f>E519*(G519*原始输入与口径!$B$5+H519/原始输入与口径!$B$5)/原始输入与口径!$H$5</f>
        <v>9.2515199999999992E-3</v>
      </c>
      <c r="O519" s="12">
        <v>9.2515199999999975E-3</v>
      </c>
      <c r="P519" s="19">
        <f t="shared" si="52"/>
        <v>0</v>
      </c>
      <c r="Q519" s="12">
        <f t="shared" si="53"/>
        <v>3.6201599999999994</v>
      </c>
      <c r="R519" s="12">
        <f t="shared" si="54"/>
        <v>0</v>
      </c>
      <c r="S519" s="1">
        <v>210</v>
      </c>
      <c r="T519" s="14">
        <v>46236</v>
      </c>
    </row>
    <row r="520" spans="1:20" ht="21" customHeight="1" x14ac:dyDescent="0.45">
      <c r="A520" s="31">
        <v>46236.1875</v>
      </c>
      <c r="B520" s="31">
        <v>46236.192436190475</v>
      </c>
      <c r="C520" s="31">
        <v>46236.1875</v>
      </c>
      <c r="D520" s="1" t="s">
        <v>101</v>
      </c>
      <c r="E520" s="12">
        <v>0.11846857142857142</v>
      </c>
      <c r="F520" s="12">
        <f>IF(D520="d",两日求解价格与决策!K219-两日求解价格与决策!N219,IF(D520="u",两日求解价格与决策!K219+两日求解价格与决策!M219,两日求解价格与决策!K219))</f>
        <v>1.1262286632835803</v>
      </c>
      <c r="G520" s="12">
        <f t="shared" si="49"/>
        <v>0</v>
      </c>
      <c r="H520" s="12">
        <f t="shared" si="50"/>
        <v>1.1262286632835803</v>
      </c>
      <c r="I520" s="12">
        <f t="shared" si="56"/>
        <v>35.069677634782572</v>
      </c>
      <c r="J520" s="12">
        <f>I520+E520*(G520*原始输入与口径!$B$5-H520/原始输入与口径!$B$5)</f>
        <v>34.924652959955274</v>
      </c>
      <c r="K520" s="12">
        <v>35.069677634782572</v>
      </c>
      <c r="L520" s="12">
        <v>34.924652959955274</v>
      </c>
      <c r="M520" s="19">
        <f t="shared" si="51"/>
        <v>0</v>
      </c>
      <c r="N520" s="12">
        <f>E520*(G520*原始输入与口径!$B$5+H520/原始输入与口径!$B$5)/原始输入与口径!$H$5</f>
        <v>4.0284631896472019E-4</v>
      </c>
      <c r="O520" s="12">
        <v>4.0284631896472019E-4</v>
      </c>
      <c r="P520" s="19">
        <f t="shared" si="52"/>
        <v>0</v>
      </c>
      <c r="Q520" s="12">
        <f t="shared" si="53"/>
        <v>0</v>
      </c>
      <c r="R520" s="12">
        <f t="shared" si="54"/>
        <v>0.13342270084111535</v>
      </c>
      <c r="S520" s="1">
        <v>211</v>
      </c>
      <c r="T520" s="14">
        <v>46236</v>
      </c>
    </row>
    <row r="521" spans="1:20" ht="21" customHeight="1" x14ac:dyDescent="0.45">
      <c r="A521" s="31">
        <v>46236.192436190475</v>
      </c>
      <c r="B521" s="31">
        <v>46236.197916666664</v>
      </c>
      <c r="C521" s="31">
        <v>46236.1875</v>
      </c>
      <c r="D521" s="1" t="s">
        <v>102</v>
      </c>
      <c r="E521" s="12">
        <v>0.13153142857142858</v>
      </c>
      <c r="F521" s="12">
        <f>IF(D521="d",两日求解价格与决策!K219-两日求解价格与决策!N219,IF(D521="u",两日求解价格与决策!K219+两日求解价格与决策!M219,两日求解价格与决策!K219))</f>
        <v>-22.87377133671642</v>
      </c>
      <c r="G521" s="12">
        <f t="shared" ref="G521:G584" si="57">MAX(-F521,0)</f>
        <v>22.87377133671642</v>
      </c>
      <c r="H521" s="12">
        <f t="shared" ref="H521:H584" si="58">MAX(F521,0)</f>
        <v>0</v>
      </c>
      <c r="I521" s="12">
        <f t="shared" si="56"/>
        <v>34.924652959955274</v>
      </c>
      <c r="J521" s="12">
        <f>I521+E521*(G521*原始输入与口径!$B$5-H521/原始输入与口径!$B$5)</f>
        <v>37.69258319503102</v>
      </c>
      <c r="K521" s="12">
        <v>34.924652959955274</v>
      </c>
      <c r="L521" s="12">
        <v>37.69258319503102</v>
      </c>
      <c r="M521" s="19">
        <f t="shared" ref="M521:M584" si="59">J521-L521</f>
        <v>0</v>
      </c>
      <c r="N521" s="12">
        <f>E521*(G521*原始输入与口径!$B$5+H521/原始输入与口径!$B$5)/原始输入与口径!$H$5</f>
        <v>7.6886950974326268E-3</v>
      </c>
      <c r="O521" s="12">
        <v>7.6886950974326268E-3</v>
      </c>
      <c r="P521" s="19">
        <f t="shared" ref="P521:P584" si="60">N521-O521</f>
        <v>0</v>
      </c>
      <c r="Q521" s="12">
        <f t="shared" ref="Q521:Q584" si="61">E521*G521</f>
        <v>3.0086198207345061</v>
      </c>
      <c r="R521" s="12">
        <f t="shared" ref="R521:R584" si="62">E521*H521</f>
        <v>0</v>
      </c>
      <c r="S521" s="1">
        <v>211</v>
      </c>
      <c r="T521" s="14">
        <v>46236</v>
      </c>
    </row>
    <row r="522" spans="1:20" ht="21" customHeight="1" x14ac:dyDescent="0.45">
      <c r="A522" s="31">
        <v>46236.197916666664</v>
      </c>
      <c r="B522" s="31">
        <v>46236.20127571428</v>
      </c>
      <c r="C522" s="31">
        <v>46236.197916666664</v>
      </c>
      <c r="D522" s="1" t="s">
        <v>101</v>
      </c>
      <c r="E522" s="12">
        <v>8.0617142857142859E-2</v>
      </c>
      <c r="F522" s="12">
        <f>IF(D522="d",两日求解价格与决策!K220-两日求解价格与决策!N220,IF(D522="u",两日求解价格与决策!K220+两日求解价格与决策!M220,两日求解价格与决策!K220))</f>
        <v>24</v>
      </c>
      <c r="G522" s="12">
        <f t="shared" si="57"/>
        <v>0</v>
      </c>
      <c r="H522" s="12">
        <f t="shared" si="58"/>
        <v>24</v>
      </c>
      <c r="I522" s="12">
        <f t="shared" si="56"/>
        <v>37.69258319503102</v>
      </c>
      <c r="J522" s="12">
        <f>I522+E522*(G522*原始输入与口径!$B$5-H522/原始输入与口径!$B$5)</f>
        <v>35.589527294409905</v>
      </c>
      <c r="K522" s="12">
        <v>37.69258319503102</v>
      </c>
      <c r="L522" s="12">
        <v>35.589527294409905</v>
      </c>
      <c r="M522" s="19">
        <f t="shared" si="59"/>
        <v>0</v>
      </c>
      <c r="N522" s="12">
        <f>E522*(G522*原始输入与口径!$B$5+H522/原始输入与口径!$B$5)/原始输入与口径!$H$5</f>
        <v>5.8418219461697724E-3</v>
      </c>
      <c r="O522" s="12">
        <v>5.8418219461697724E-3</v>
      </c>
      <c r="P522" s="19">
        <f t="shared" si="60"/>
        <v>0</v>
      </c>
      <c r="Q522" s="12">
        <f t="shared" si="61"/>
        <v>0</v>
      </c>
      <c r="R522" s="12">
        <f t="shared" si="62"/>
        <v>1.9348114285714286</v>
      </c>
      <c r="S522" s="1">
        <v>212</v>
      </c>
      <c r="T522" s="14">
        <v>46236</v>
      </c>
    </row>
    <row r="523" spans="1:20" ht="21" customHeight="1" x14ac:dyDescent="0.45">
      <c r="A523" s="31">
        <v>46236.20127571428</v>
      </c>
      <c r="B523" s="31">
        <v>46236.208333333328</v>
      </c>
      <c r="C523" s="31">
        <v>46236.197916666664</v>
      </c>
      <c r="D523" s="1" t="s">
        <v>102</v>
      </c>
      <c r="E523" s="12">
        <v>0.16938285714285714</v>
      </c>
      <c r="F523" s="12">
        <f>IF(D523="d",两日求解价格与决策!K220-两日求解价格与决策!N220,IF(D523="u",两日求解价格与决策!K220+两日求解价格与决策!M220,两日求解价格与决策!K220))</f>
        <v>0</v>
      </c>
      <c r="G523" s="12">
        <f t="shared" si="57"/>
        <v>0</v>
      </c>
      <c r="H523" s="12">
        <f t="shared" si="58"/>
        <v>0</v>
      </c>
      <c r="I523" s="12">
        <f t="shared" si="56"/>
        <v>35.589527294409905</v>
      </c>
      <c r="J523" s="12">
        <f>I523+E523*(G523*原始输入与口径!$B$5-H523/原始输入与口径!$B$5)</f>
        <v>35.589527294409905</v>
      </c>
      <c r="K523" s="12">
        <v>35.589527294409905</v>
      </c>
      <c r="L523" s="12">
        <v>35.589527294409905</v>
      </c>
      <c r="M523" s="19">
        <f t="shared" si="59"/>
        <v>0</v>
      </c>
      <c r="N523" s="12">
        <f>E523*(G523*原始输入与口径!$B$5+H523/原始输入与口径!$B$5)/原始输入与口径!$H$5</f>
        <v>0</v>
      </c>
      <c r="O523" s="12">
        <v>0</v>
      </c>
      <c r="P523" s="19">
        <f t="shared" si="60"/>
        <v>0</v>
      </c>
      <c r="Q523" s="12">
        <f t="shared" si="61"/>
        <v>0</v>
      </c>
      <c r="R523" s="12">
        <f t="shared" si="62"/>
        <v>0</v>
      </c>
      <c r="S523" s="1">
        <v>212</v>
      </c>
      <c r="T523" s="14">
        <v>46236</v>
      </c>
    </row>
    <row r="524" spans="1:20" ht="21" customHeight="1" x14ac:dyDescent="0.45">
      <c r="A524" s="31">
        <v>46236.208333333336</v>
      </c>
      <c r="B524" s="31">
        <v>46236.210065238098</v>
      </c>
      <c r="C524" s="31">
        <v>46236.208333333336</v>
      </c>
      <c r="D524" s="1" t="s">
        <v>101</v>
      </c>
      <c r="E524" s="12">
        <v>4.1565714285714289E-2</v>
      </c>
      <c r="F524" s="12">
        <f>IF(D524="d",两日求解价格与决策!K221-两日求解价格与决策!N221,IF(D524="u",两日求解价格与决策!K221+两日求解价格与决策!M221,两日求解价格与决策!K221))</f>
        <v>24</v>
      </c>
      <c r="G524" s="12">
        <f t="shared" si="57"/>
        <v>0</v>
      </c>
      <c r="H524" s="12">
        <f t="shared" si="58"/>
        <v>24</v>
      </c>
      <c r="I524" s="12">
        <f t="shared" si="56"/>
        <v>35.589527294409905</v>
      </c>
      <c r="J524" s="12">
        <f>I524+E524*(G524*原始输入与口径!$B$5-H524/原始输入与口径!$B$5)</f>
        <v>34.505204313043443</v>
      </c>
      <c r="K524" s="12">
        <v>35.589527294409905</v>
      </c>
      <c r="L524" s="12">
        <v>34.505204313043443</v>
      </c>
      <c r="M524" s="19">
        <f t="shared" si="59"/>
        <v>0</v>
      </c>
      <c r="N524" s="12">
        <f>E524*(G524*原始输入与口径!$B$5+H524/原始输入与口径!$B$5)/原始输入与口径!$H$5</f>
        <v>3.0120082815734989E-3</v>
      </c>
      <c r="O524" s="12">
        <v>3.0120082815734989E-3</v>
      </c>
      <c r="P524" s="19">
        <f t="shared" si="60"/>
        <v>0</v>
      </c>
      <c r="Q524" s="12">
        <f t="shared" si="61"/>
        <v>0</v>
      </c>
      <c r="R524" s="12">
        <f t="shared" si="62"/>
        <v>0.99757714285714294</v>
      </c>
      <c r="S524" s="1">
        <v>213</v>
      </c>
      <c r="T524" s="14">
        <v>46236</v>
      </c>
    </row>
    <row r="525" spans="1:20" ht="21" customHeight="1" x14ac:dyDescent="0.45">
      <c r="A525" s="31">
        <v>46236.210065238098</v>
      </c>
      <c r="B525" s="31">
        <v>46236.21875</v>
      </c>
      <c r="C525" s="31">
        <v>46236.208333333336</v>
      </c>
      <c r="D525" s="1" t="s">
        <v>102</v>
      </c>
      <c r="E525" s="12">
        <v>0.20843428571428571</v>
      </c>
      <c r="F525" s="12">
        <f>IF(D525="d",两日求解价格与决策!K221-两日求解价格与决策!N221,IF(D525="u",两日求解价格与决策!K221+两日求解价格与决策!M221,两日求解价格与决策!K221))</f>
        <v>0</v>
      </c>
      <c r="G525" s="12">
        <f t="shared" si="57"/>
        <v>0</v>
      </c>
      <c r="H525" s="12">
        <f t="shared" si="58"/>
        <v>0</v>
      </c>
      <c r="I525" s="12">
        <f t="shared" si="56"/>
        <v>34.505204313043443</v>
      </c>
      <c r="J525" s="12">
        <f>I525+E525*(G525*原始输入与口径!$B$5-H525/原始输入与口径!$B$5)</f>
        <v>34.505204313043443</v>
      </c>
      <c r="K525" s="12">
        <v>34.505204313043443</v>
      </c>
      <c r="L525" s="12">
        <v>34.505204313043443</v>
      </c>
      <c r="M525" s="19">
        <f t="shared" si="59"/>
        <v>0</v>
      </c>
      <c r="N525" s="12">
        <f>E525*(G525*原始输入与口径!$B$5+H525/原始输入与口径!$B$5)/原始输入与口径!$H$5</f>
        <v>0</v>
      </c>
      <c r="O525" s="12">
        <v>0</v>
      </c>
      <c r="P525" s="19">
        <f t="shared" si="60"/>
        <v>0</v>
      </c>
      <c r="Q525" s="12">
        <f t="shared" si="61"/>
        <v>0</v>
      </c>
      <c r="R525" s="12">
        <f t="shared" si="62"/>
        <v>0</v>
      </c>
      <c r="S525" s="1">
        <v>213</v>
      </c>
      <c r="T525" s="14">
        <v>46236</v>
      </c>
    </row>
    <row r="526" spans="1:20" ht="21" customHeight="1" x14ac:dyDescent="0.45">
      <c r="A526" s="31">
        <v>46236.21875</v>
      </c>
      <c r="B526" s="31">
        <v>46236.220082619046</v>
      </c>
      <c r="C526" s="31">
        <v>46236.21875</v>
      </c>
      <c r="D526" s="1" t="s">
        <v>101</v>
      </c>
      <c r="E526" s="12">
        <v>3.1982857142857146E-2</v>
      </c>
      <c r="F526" s="12">
        <f>IF(D526="d",两日求解价格与决策!K222-两日求解价格与决策!N222,IF(D526="u",两日求解价格与决策!K222+两日求解价格与决策!M222,两日求解价格与决策!K222))</f>
        <v>24</v>
      </c>
      <c r="G526" s="12">
        <f t="shared" si="57"/>
        <v>0</v>
      </c>
      <c r="H526" s="12">
        <f t="shared" si="58"/>
        <v>24</v>
      </c>
      <c r="I526" s="12">
        <f t="shared" si="56"/>
        <v>34.505204313043443</v>
      </c>
      <c r="J526" s="12">
        <f>I526+E526*(G526*原始输入与口径!$B$5-H526/原始输入与口径!$B$5)</f>
        <v>33.670868909316738</v>
      </c>
      <c r="K526" s="12">
        <v>34.505204313043443</v>
      </c>
      <c r="L526" s="12">
        <v>33.670868909316738</v>
      </c>
      <c r="M526" s="19">
        <f t="shared" si="59"/>
        <v>0</v>
      </c>
      <c r="N526" s="12">
        <f>E526*(G526*原始输入与口径!$B$5+H526/原始输入与口径!$B$5)/原始输入与口径!$H$5</f>
        <v>2.3175983436853004E-3</v>
      </c>
      <c r="O526" s="12">
        <v>2.3175983436853004E-3</v>
      </c>
      <c r="P526" s="19">
        <f t="shared" si="60"/>
        <v>0</v>
      </c>
      <c r="Q526" s="12">
        <f t="shared" si="61"/>
        <v>0</v>
      </c>
      <c r="R526" s="12">
        <f t="shared" si="62"/>
        <v>0.76758857142857151</v>
      </c>
      <c r="S526" s="1">
        <v>214</v>
      </c>
      <c r="T526" s="14">
        <v>46236</v>
      </c>
    </row>
    <row r="527" spans="1:20" ht="21" customHeight="1" x14ac:dyDescent="0.45">
      <c r="A527" s="31">
        <v>46236.220082619046</v>
      </c>
      <c r="B527" s="31">
        <v>46236.229166666664</v>
      </c>
      <c r="C527" s="31">
        <v>46236.21875</v>
      </c>
      <c r="D527" s="1" t="s">
        <v>102</v>
      </c>
      <c r="E527" s="12">
        <v>0.21801714285714285</v>
      </c>
      <c r="F527" s="12">
        <f>IF(D527="d",两日求解价格与决策!K222-两日求解价格与决策!N222,IF(D527="u",两日求解价格与决策!K222+两日求解价格与决策!M222,两日求解价格与决策!K222))</f>
        <v>0</v>
      </c>
      <c r="G527" s="12">
        <f t="shared" si="57"/>
        <v>0</v>
      </c>
      <c r="H527" s="12">
        <f t="shared" si="58"/>
        <v>0</v>
      </c>
      <c r="I527" s="12">
        <f t="shared" si="56"/>
        <v>33.670868909316738</v>
      </c>
      <c r="J527" s="12">
        <f>I527+E527*(G527*原始输入与口径!$B$5-H527/原始输入与口径!$B$5)</f>
        <v>33.670868909316738</v>
      </c>
      <c r="K527" s="12">
        <v>33.670868909316738</v>
      </c>
      <c r="L527" s="12">
        <v>33.670868909316738</v>
      </c>
      <c r="M527" s="19">
        <f t="shared" si="59"/>
        <v>0</v>
      </c>
      <c r="N527" s="12">
        <f>E527*(G527*原始输入与口径!$B$5+H527/原始输入与口径!$B$5)/原始输入与口径!$H$5</f>
        <v>0</v>
      </c>
      <c r="O527" s="12">
        <v>0</v>
      </c>
      <c r="P527" s="19">
        <f t="shared" si="60"/>
        <v>0</v>
      </c>
      <c r="Q527" s="12">
        <f t="shared" si="61"/>
        <v>0</v>
      </c>
      <c r="R527" s="12">
        <f t="shared" si="62"/>
        <v>0</v>
      </c>
      <c r="S527" s="1">
        <v>214</v>
      </c>
      <c r="T527" s="14">
        <v>46236</v>
      </c>
    </row>
    <row r="528" spans="1:20" ht="21" customHeight="1" x14ac:dyDescent="0.45">
      <c r="A528" s="31">
        <v>46236.229166666664</v>
      </c>
      <c r="B528" s="31">
        <v>46236.229923571424</v>
      </c>
      <c r="C528" s="31">
        <v>46236.229166666664</v>
      </c>
      <c r="D528" s="1" t="s">
        <v>101</v>
      </c>
      <c r="E528" s="12">
        <v>1.8165714285714285E-2</v>
      </c>
      <c r="F528" s="12">
        <f>IF(D528="d",两日求解价格与决策!K223-两日求解价格与决策!N223,IF(D528="u",两日求解价格与决策!K223+两日求解价格与决策!M223,两日求解价格与决策!K223))</f>
        <v>24</v>
      </c>
      <c r="G528" s="12">
        <f t="shared" si="57"/>
        <v>0</v>
      </c>
      <c r="H528" s="12">
        <f t="shared" si="58"/>
        <v>24</v>
      </c>
      <c r="I528" s="12">
        <f t="shared" si="56"/>
        <v>33.670868909316738</v>
      </c>
      <c r="J528" s="12">
        <f>I528+E528*(G528*原始输入与口径!$B$5-H528/原始输入与口径!$B$5)</f>
        <v>33.196980710558975</v>
      </c>
      <c r="K528" s="12">
        <v>33.670868909316738</v>
      </c>
      <c r="L528" s="12">
        <v>33.196980710558975</v>
      </c>
      <c r="M528" s="19">
        <f t="shared" si="59"/>
        <v>0</v>
      </c>
      <c r="N528" s="12">
        <f>E528*(G528*原始输入与口径!$B$5+H528/原始输入与口径!$B$5)/原始输入与口径!$H$5</f>
        <v>1.3163561076604555E-3</v>
      </c>
      <c r="O528" s="12">
        <v>1.3163561076604555E-3</v>
      </c>
      <c r="P528" s="19">
        <f t="shared" si="60"/>
        <v>0</v>
      </c>
      <c r="Q528" s="12">
        <f t="shared" si="61"/>
        <v>0</v>
      </c>
      <c r="R528" s="12">
        <f t="shared" si="62"/>
        <v>0.43597714285714284</v>
      </c>
      <c r="S528" s="1">
        <v>215</v>
      </c>
      <c r="T528" s="14">
        <v>46236</v>
      </c>
    </row>
    <row r="529" spans="1:20" ht="21" customHeight="1" x14ac:dyDescent="0.45">
      <c r="A529" s="31">
        <v>46236.229923571424</v>
      </c>
      <c r="B529" s="31">
        <v>46236.239583333328</v>
      </c>
      <c r="C529" s="31">
        <v>46236.229166666664</v>
      </c>
      <c r="D529" s="1" t="s">
        <v>102</v>
      </c>
      <c r="E529" s="12">
        <v>0.23183428571428571</v>
      </c>
      <c r="F529" s="12">
        <f>IF(D529="d",两日求解价格与决策!K223-两日求解价格与决策!N223,IF(D529="u",两日求解价格与决策!K223+两日求解价格与决策!M223,两日求解价格与决策!K223))</f>
        <v>0</v>
      </c>
      <c r="G529" s="12">
        <f t="shared" si="57"/>
        <v>0</v>
      </c>
      <c r="H529" s="12">
        <f t="shared" si="58"/>
        <v>0</v>
      </c>
      <c r="I529" s="12">
        <f t="shared" si="56"/>
        <v>33.196980710558975</v>
      </c>
      <c r="J529" s="12">
        <f>I529+E529*(G529*原始输入与口径!$B$5-H529/原始输入与口径!$B$5)</f>
        <v>33.196980710558975</v>
      </c>
      <c r="K529" s="12">
        <v>33.196980710558975</v>
      </c>
      <c r="L529" s="12">
        <v>33.196980710558975</v>
      </c>
      <c r="M529" s="19">
        <f t="shared" si="59"/>
        <v>0</v>
      </c>
      <c r="N529" s="12">
        <f>E529*(G529*原始输入与口径!$B$5+H529/原始输入与口径!$B$5)/原始输入与口径!$H$5</f>
        <v>0</v>
      </c>
      <c r="O529" s="12">
        <v>0</v>
      </c>
      <c r="P529" s="19">
        <f t="shared" si="60"/>
        <v>0</v>
      </c>
      <c r="Q529" s="12">
        <f t="shared" si="61"/>
        <v>0</v>
      </c>
      <c r="R529" s="12">
        <f t="shared" si="62"/>
        <v>0</v>
      </c>
      <c r="S529" s="1">
        <v>215</v>
      </c>
      <c r="T529" s="14">
        <v>46236</v>
      </c>
    </row>
    <row r="530" spans="1:20" ht="21" customHeight="1" x14ac:dyDescent="0.45">
      <c r="A530" s="31">
        <v>46236.239583333336</v>
      </c>
      <c r="B530" s="31">
        <v>46236.239591428573</v>
      </c>
      <c r="C530" s="31">
        <v>46236.239583333336</v>
      </c>
      <c r="D530" s="1" t="s">
        <v>103</v>
      </c>
      <c r="E530" s="12">
        <v>1.942857142857143E-4</v>
      </c>
      <c r="F530" s="12">
        <f>IF(D530="d",两日求解价格与决策!K224-两日求解价格与决策!N224,IF(D530="u",两日求解价格与决策!K224+两日求解价格与决策!M224,两日求解价格与决策!K224))</f>
        <v>-24</v>
      </c>
      <c r="G530" s="12">
        <f t="shared" si="57"/>
        <v>24</v>
      </c>
      <c r="H530" s="12">
        <f t="shared" si="58"/>
        <v>0</v>
      </c>
      <c r="I530" s="12">
        <f t="shared" si="56"/>
        <v>33.196980710558975</v>
      </c>
      <c r="J530" s="12">
        <f>I530+E530*(G530*原始输入与口径!$B$5-H530/原始输入与口径!$B$5)</f>
        <v>33.201270539130405</v>
      </c>
      <c r="K530" s="12">
        <v>33.196980710558975</v>
      </c>
      <c r="L530" s="12">
        <v>33.201270539130405</v>
      </c>
      <c r="M530" s="19">
        <f t="shared" si="59"/>
        <v>0</v>
      </c>
      <c r="N530" s="12">
        <f>E530*(G530*原始输入与口径!$B$5+H530/原始输入与口径!$B$5)/原始输入与口径!$H$5</f>
        <v>1.1916190476190477E-5</v>
      </c>
      <c r="O530" s="12">
        <v>1.1916190476190477E-5</v>
      </c>
      <c r="P530" s="19">
        <f t="shared" si="60"/>
        <v>0</v>
      </c>
      <c r="Q530" s="12">
        <f t="shared" si="61"/>
        <v>4.6628571428571431E-3</v>
      </c>
      <c r="R530" s="12">
        <f t="shared" si="62"/>
        <v>0</v>
      </c>
      <c r="S530" s="1">
        <v>216</v>
      </c>
      <c r="T530" s="14">
        <v>46236</v>
      </c>
    </row>
    <row r="531" spans="1:20" ht="21" customHeight="1" x14ac:dyDescent="0.45">
      <c r="A531" s="31">
        <v>46236.239591428573</v>
      </c>
      <c r="B531" s="31">
        <v>46236.23986761905</v>
      </c>
      <c r="C531" s="31">
        <v>46236.239583333336</v>
      </c>
      <c r="D531" s="1" t="s">
        <v>101</v>
      </c>
      <c r="E531" s="12">
        <v>6.6285714285714281E-3</v>
      </c>
      <c r="F531" s="12">
        <f>IF(D531="d",两日求解价格与决策!K224-两日求解价格与决策!N224,IF(D531="u",两日求解价格与决策!K224+两日求解价格与决策!M224,两日求解价格与决策!K224))</f>
        <v>24</v>
      </c>
      <c r="G531" s="12">
        <f t="shared" si="57"/>
        <v>0</v>
      </c>
      <c r="H531" s="12">
        <f t="shared" si="58"/>
        <v>24</v>
      </c>
      <c r="I531" s="12">
        <f t="shared" si="56"/>
        <v>33.201270539130405</v>
      </c>
      <c r="J531" s="12">
        <f>I531+E531*(G531*原始输入与口径!$B$5-H531/原始输入与口径!$B$5)</f>
        <v>33.028351284472024</v>
      </c>
      <c r="K531" s="12">
        <v>33.201270539130405</v>
      </c>
      <c r="L531" s="12">
        <v>33.028351284472024</v>
      </c>
      <c r="M531" s="19">
        <f t="shared" si="59"/>
        <v>0</v>
      </c>
      <c r="N531" s="12">
        <f>E531*(G531*原始输入与口径!$B$5+H531/原始输入与口径!$B$5)/原始输入与口径!$H$5</f>
        <v>4.8033126293995851E-4</v>
      </c>
      <c r="O531" s="12">
        <v>4.8033126293995851E-4</v>
      </c>
      <c r="P531" s="19">
        <f t="shared" si="60"/>
        <v>0</v>
      </c>
      <c r="Q531" s="12">
        <f t="shared" si="61"/>
        <v>0</v>
      </c>
      <c r="R531" s="12">
        <f t="shared" si="62"/>
        <v>0.15908571428571427</v>
      </c>
      <c r="S531" s="1">
        <v>216</v>
      </c>
      <c r="T531" s="14">
        <v>46236</v>
      </c>
    </row>
    <row r="532" spans="1:20" ht="21" customHeight="1" x14ac:dyDescent="0.45">
      <c r="A532" s="31">
        <v>46236.23986761905</v>
      </c>
      <c r="B532" s="31">
        <v>46236.25</v>
      </c>
      <c r="C532" s="31">
        <v>46236.239583333336</v>
      </c>
      <c r="D532" s="1" t="s">
        <v>102</v>
      </c>
      <c r="E532" s="12">
        <v>0.24317714285714287</v>
      </c>
      <c r="F532" s="12">
        <f>IF(D532="d",两日求解价格与决策!K224-两日求解价格与决策!N224,IF(D532="u",两日求解价格与决策!K224+两日求解价格与决策!M224,两日求解价格与决策!K224))</f>
        <v>0</v>
      </c>
      <c r="G532" s="12">
        <f t="shared" si="57"/>
        <v>0</v>
      </c>
      <c r="H532" s="12">
        <f t="shared" si="58"/>
        <v>0</v>
      </c>
      <c r="I532" s="12">
        <f t="shared" si="56"/>
        <v>33.028351284472024</v>
      </c>
      <c r="J532" s="12">
        <f>I532+E532*(G532*原始输入与口径!$B$5-H532/原始输入与口径!$B$5)</f>
        <v>33.028351284472024</v>
      </c>
      <c r="K532" s="12">
        <v>33.028351284472024</v>
      </c>
      <c r="L532" s="12">
        <v>33.028351284472024</v>
      </c>
      <c r="M532" s="19">
        <f t="shared" si="59"/>
        <v>0</v>
      </c>
      <c r="N532" s="12">
        <f>E532*(G532*原始输入与口径!$B$5+H532/原始输入与口径!$B$5)/原始输入与口径!$H$5</f>
        <v>0</v>
      </c>
      <c r="O532" s="12">
        <v>0</v>
      </c>
      <c r="P532" s="19">
        <f t="shared" si="60"/>
        <v>0</v>
      </c>
      <c r="Q532" s="12">
        <f t="shared" si="61"/>
        <v>0</v>
      </c>
      <c r="R532" s="12">
        <f t="shared" si="62"/>
        <v>0</v>
      </c>
      <c r="S532" s="1">
        <v>216</v>
      </c>
      <c r="T532" s="14">
        <v>46236</v>
      </c>
    </row>
    <row r="533" spans="1:20" ht="21" customHeight="1" x14ac:dyDescent="0.45">
      <c r="A533" s="31">
        <v>46236.25</v>
      </c>
      <c r="B533" s="31">
        <v>46236.250011904762</v>
      </c>
      <c r="C533" s="31">
        <v>46236.25</v>
      </c>
      <c r="D533" s="1" t="s">
        <v>103</v>
      </c>
      <c r="E533" s="12">
        <v>2.8571428571428574E-4</v>
      </c>
      <c r="F533" s="12">
        <f>IF(D533="d",两日求解价格与决策!K225-两日求解价格与决策!N225,IF(D533="u",两日求解价格与决策!K225+两日求解价格与决策!M225,两日求解价格与决策!K225))</f>
        <v>-24</v>
      </c>
      <c r="G533" s="12">
        <f t="shared" si="57"/>
        <v>24</v>
      </c>
      <c r="H533" s="12">
        <f t="shared" si="58"/>
        <v>0</v>
      </c>
      <c r="I533" s="12">
        <f t="shared" si="56"/>
        <v>33.028351284472024</v>
      </c>
      <c r="J533" s="12">
        <f>I533+E533*(G533*原始输入与口径!$B$5-H533/原始输入与口径!$B$5)</f>
        <v>33.034659855900593</v>
      </c>
      <c r="K533" s="12">
        <v>33.028351284472024</v>
      </c>
      <c r="L533" s="12">
        <v>33.034659855900593</v>
      </c>
      <c r="M533" s="19">
        <f t="shared" si="59"/>
        <v>0</v>
      </c>
      <c r="N533" s="12">
        <f>E533*(G533*原始输入与口径!$B$5+H533/原始输入与口径!$B$5)/原始输入与口径!$H$5</f>
        <v>1.7523809523809526E-5</v>
      </c>
      <c r="O533" s="12">
        <v>1.7523809523809526E-5</v>
      </c>
      <c r="P533" s="19">
        <f t="shared" si="60"/>
        <v>0</v>
      </c>
      <c r="Q533" s="12">
        <f t="shared" si="61"/>
        <v>6.8571428571428577E-3</v>
      </c>
      <c r="R533" s="12">
        <f t="shared" si="62"/>
        <v>0</v>
      </c>
      <c r="S533" s="1">
        <v>217</v>
      </c>
      <c r="T533" s="14">
        <v>46236</v>
      </c>
    </row>
    <row r="534" spans="1:20" ht="21" customHeight="1" x14ac:dyDescent="0.45">
      <c r="A534" s="31">
        <v>46236.250011904762</v>
      </c>
      <c r="B534" s="31">
        <v>46236.250572142861</v>
      </c>
      <c r="C534" s="31">
        <v>46236.25</v>
      </c>
      <c r="D534" s="1" t="s">
        <v>101</v>
      </c>
      <c r="E534" s="12">
        <v>1.3445714285714287E-2</v>
      </c>
      <c r="F534" s="12">
        <f>IF(D534="d",两日求解价格与决策!K225-两日求解价格与决策!N225,IF(D534="u",两日求解价格与决策!K225+两日求解价格与决策!M225,两日求解价格与决策!K225))</f>
        <v>24</v>
      </c>
      <c r="G534" s="12">
        <f t="shared" si="57"/>
        <v>0</v>
      </c>
      <c r="H534" s="12">
        <f t="shared" si="58"/>
        <v>24</v>
      </c>
      <c r="I534" s="12">
        <f t="shared" si="56"/>
        <v>33.034659855900593</v>
      </c>
      <c r="J534" s="12">
        <f>I534+E534*(G534*原始输入与口径!$B$5-H534/原始输入与口径!$B$5)</f>
        <v>32.683902091925439</v>
      </c>
      <c r="K534" s="12">
        <v>33.034659855900593</v>
      </c>
      <c r="L534" s="12">
        <v>32.683902091925439</v>
      </c>
      <c r="M534" s="19">
        <f t="shared" si="59"/>
        <v>0</v>
      </c>
      <c r="N534" s="12">
        <f>E534*(G534*原始输入与口径!$B$5+H534/原始输入与口径!$B$5)/原始输入与口径!$H$5</f>
        <v>9.7432712215320919E-4</v>
      </c>
      <c r="O534" s="12">
        <v>9.7432712215320919E-4</v>
      </c>
      <c r="P534" s="19">
        <f t="shared" si="60"/>
        <v>0</v>
      </c>
      <c r="Q534" s="12">
        <f t="shared" si="61"/>
        <v>0</v>
      </c>
      <c r="R534" s="12">
        <f t="shared" si="62"/>
        <v>0.3226971428571429</v>
      </c>
      <c r="S534" s="1">
        <v>217</v>
      </c>
      <c r="T534" s="14">
        <v>46236</v>
      </c>
    </row>
    <row r="535" spans="1:20" ht="21" customHeight="1" x14ac:dyDescent="0.45">
      <c r="A535" s="31">
        <v>46236.250572142861</v>
      </c>
      <c r="B535" s="31">
        <v>46236.260416666664</v>
      </c>
      <c r="C535" s="31">
        <v>46236.25</v>
      </c>
      <c r="D535" s="1" t="s">
        <v>102</v>
      </c>
      <c r="E535" s="12">
        <v>0.23626857142857144</v>
      </c>
      <c r="F535" s="12">
        <f>IF(D535="d",两日求解价格与决策!K225-两日求解价格与决策!N225,IF(D535="u",两日求解价格与决策!K225+两日求解价格与决策!M225,两日求解价格与决策!K225))</f>
        <v>0</v>
      </c>
      <c r="G535" s="12">
        <f t="shared" si="57"/>
        <v>0</v>
      </c>
      <c r="H535" s="12">
        <f t="shared" si="58"/>
        <v>0</v>
      </c>
      <c r="I535" s="12">
        <f t="shared" si="56"/>
        <v>32.683902091925439</v>
      </c>
      <c r="J535" s="12">
        <f>I535+E535*(G535*原始输入与口径!$B$5-H535/原始输入与口径!$B$5)</f>
        <v>32.683902091925439</v>
      </c>
      <c r="K535" s="12">
        <v>32.683902091925439</v>
      </c>
      <c r="L535" s="12">
        <v>32.683902091925439</v>
      </c>
      <c r="M535" s="19">
        <f t="shared" si="59"/>
        <v>0</v>
      </c>
      <c r="N535" s="12">
        <f>E535*(G535*原始输入与口径!$B$5+H535/原始输入与口径!$B$5)/原始输入与口径!$H$5</f>
        <v>0</v>
      </c>
      <c r="O535" s="12">
        <v>0</v>
      </c>
      <c r="P535" s="19">
        <f t="shared" si="60"/>
        <v>0</v>
      </c>
      <c r="Q535" s="12">
        <f t="shared" si="61"/>
        <v>0</v>
      </c>
      <c r="R535" s="12">
        <f t="shared" si="62"/>
        <v>0</v>
      </c>
      <c r="S535" s="1">
        <v>217</v>
      </c>
      <c r="T535" s="14">
        <v>46236</v>
      </c>
    </row>
    <row r="536" spans="1:20" ht="21" customHeight="1" x14ac:dyDescent="0.45">
      <c r="A536" s="31">
        <v>46236.260416666664</v>
      </c>
      <c r="B536" s="31">
        <v>46236.261096190472</v>
      </c>
      <c r="C536" s="31">
        <v>46236.260416666664</v>
      </c>
      <c r="D536" s="1" t="s">
        <v>101</v>
      </c>
      <c r="E536" s="12">
        <v>1.6308571428571429E-2</v>
      </c>
      <c r="F536" s="12">
        <f>IF(D536="d",两日求解价格与决策!K226-两日求解价格与决策!N226,IF(D536="u",两日求解价格与决策!K226+两日求解价格与决策!M226,两日求解价格与决策!K226))</f>
        <v>24</v>
      </c>
      <c r="G536" s="12">
        <f t="shared" si="57"/>
        <v>0</v>
      </c>
      <c r="H536" s="12">
        <f t="shared" si="58"/>
        <v>24</v>
      </c>
      <c r="I536" s="12">
        <f t="shared" si="56"/>
        <v>32.683902091925439</v>
      </c>
      <c r="J536" s="12">
        <f>I536+E536*(G536*原始输入与口径!$B$5-H536/原始输入与口径!$B$5)</f>
        <v>32.258461098136621</v>
      </c>
      <c r="K536" s="12">
        <v>32.683902091925439</v>
      </c>
      <c r="L536" s="12">
        <v>32.258461098136621</v>
      </c>
      <c r="M536" s="19">
        <f t="shared" si="59"/>
        <v>0</v>
      </c>
      <c r="N536" s="12">
        <f>E536*(G536*原始输入与口径!$B$5+H536/原始输入与口径!$B$5)/原始输入与口径!$H$5</f>
        <v>1.1817805383022774E-3</v>
      </c>
      <c r="O536" s="12">
        <v>1.1817805383022774E-3</v>
      </c>
      <c r="P536" s="19">
        <f t="shared" si="60"/>
        <v>0</v>
      </c>
      <c r="Q536" s="12">
        <f t="shared" si="61"/>
        <v>0</v>
      </c>
      <c r="R536" s="12">
        <f t="shared" si="62"/>
        <v>0.3914057142857143</v>
      </c>
      <c r="S536" s="1">
        <v>218</v>
      </c>
      <c r="T536" s="14">
        <v>46236</v>
      </c>
    </row>
    <row r="537" spans="1:20" ht="21" customHeight="1" x14ac:dyDescent="0.45">
      <c r="A537" s="31">
        <v>46236.261096190472</v>
      </c>
      <c r="B537" s="31">
        <v>46236.270833333328</v>
      </c>
      <c r="C537" s="31">
        <v>46236.260416666664</v>
      </c>
      <c r="D537" s="1" t="s">
        <v>102</v>
      </c>
      <c r="E537" s="12">
        <v>0.23369142857142858</v>
      </c>
      <c r="F537" s="12">
        <f>IF(D537="d",两日求解价格与决策!K226-两日求解价格与决策!N226,IF(D537="u",两日求解价格与决策!K226+两日求解价格与决策!M226,两日求解价格与决策!K226))</f>
        <v>0</v>
      </c>
      <c r="G537" s="12">
        <f t="shared" si="57"/>
        <v>0</v>
      </c>
      <c r="H537" s="12">
        <f t="shared" si="58"/>
        <v>0</v>
      </c>
      <c r="I537" s="12">
        <f t="shared" si="56"/>
        <v>32.258461098136621</v>
      </c>
      <c r="J537" s="12">
        <f>I537+E537*(G537*原始输入与口径!$B$5-H537/原始输入与口径!$B$5)</f>
        <v>32.258461098136621</v>
      </c>
      <c r="K537" s="12">
        <v>32.258461098136621</v>
      </c>
      <c r="L537" s="12">
        <v>32.258461098136621</v>
      </c>
      <c r="M537" s="19">
        <f t="shared" si="59"/>
        <v>0</v>
      </c>
      <c r="N537" s="12">
        <f>E537*(G537*原始输入与口径!$B$5+H537/原始输入与口径!$B$5)/原始输入与口径!$H$5</f>
        <v>0</v>
      </c>
      <c r="O537" s="12">
        <v>0</v>
      </c>
      <c r="P537" s="19">
        <f t="shared" si="60"/>
        <v>0</v>
      </c>
      <c r="Q537" s="12">
        <f t="shared" si="61"/>
        <v>0</v>
      </c>
      <c r="R537" s="12">
        <f t="shared" si="62"/>
        <v>0</v>
      </c>
      <c r="S537" s="1">
        <v>218</v>
      </c>
      <c r="T537" s="14">
        <v>46236</v>
      </c>
    </row>
    <row r="538" spans="1:20" ht="21" customHeight="1" x14ac:dyDescent="0.45">
      <c r="A538" s="31">
        <v>46236.270833333336</v>
      </c>
      <c r="B538" s="31">
        <v>46236.270836190481</v>
      </c>
      <c r="C538" s="31">
        <v>46236.270833333336</v>
      </c>
      <c r="D538" s="1" t="s">
        <v>103</v>
      </c>
      <c r="E538" s="12">
        <v>6.8571428571428567E-5</v>
      </c>
      <c r="F538" s="12">
        <f>IF(D538="d",两日求解价格与决策!K227-两日求解价格与决策!N227,IF(D538="u",两日求解价格与决策!K227+两日求解价格与决策!M227,两日求解价格与决策!K227))</f>
        <v>-24</v>
      </c>
      <c r="G538" s="12">
        <f t="shared" si="57"/>
        <v>24</v>
      </c>
      <c r="H538" s="12">
        <f t="shared" si="58"/>
        <v>0</v>
      </c>
      <c r="I538" s="12">
        <f t="shared" si="56"/>
        <v>32.258461098136621</v>
      </c>
      <c r="J538" s="12">
        <f>I538+E538*(G538*原始输入与口径!$B$5-H538/原始输入与口径!$B$5)</f>
        <v>32.259975155279477</v>
      </c>
      <c r="K538" s="12">
        <v>32.258461098136621</v>
      </c>
      <c r="L538" s="12">
        <v>32.259975155279477</v>
      </c>
      <c r="M538" s="19">
        <f t="shared" si="59"/>
        <v>0</v>
      </c>
      <c r="N538" s="12">
        <f>E538*(G538*原始输入与口径!$B$5+H538/原始输入与口径!$B$5)/原始输入与口径!$H$5</f>
        <v>4.2057142857142854E-6</v>
      </c>
      <c r="O538" s="12">
        <v>4.2057142857142854E-6</v>
      </c>
      <c r="P538" s="19">
        <f t="shared" si="60"/>
        <v>0</v>
      </c>
      <c r="Q538" s="12">
        <f t="shared" si="61"/>
        <v>1.6457142857142855E-3</v>
      </c>
      <c r="R538" s="12">
        <f t="shared" si="62"/>
        <v>0</v>
      </c>
      <c r="S538" s="1">
        <v>219</v>
      </c>
      <c r="T538" s="14">
        <v>46236</v>
      </c>
    </row>
    <row r="539" spans="1:20" ht="21" customHeight="1" x14ac:dyDescent="0.45">
      <c r="A539" s="31">
        <v>46236.270836190481</v>
      </c>
      <c r="B539" s="31">
        <v>46236.271668095244</v>
      </c>
      <c r="C539" s="31">
        <v>46236.270833333336</v>
      </c>
      <c r="D539" s="1" t="s">
        <v>101</v>
      </c>
      <c r="E539" s="12">
        <v>1.9965714285714288E-2</v>
      </c>
      <c r="F539" s="12">
        <f>IF(D539="d",两日求解价格与决策!K227-两日求解价格与决策!N227,IF(D539="u",两日求解价格与决策!K227+两日求解价格与决策!M227,两日求解价格与决策!K227))</f>
        <v>24</v>
      </c>
      <c r="G539" s="12">
        <f t="shared" si="57"/>
        <v>0</v>
      </c>
      <c r="H539" s="12">
        <f t="shared" si="58"/>
        <v>24</v>
      </c>
      <c r="I539" s="12">
        <f t="shared" si="56"/>
        <v>32.259975155279477</v>
      </c>
      <c r="J539" s="12">
        <f>I539+E539*(G539*原始输入与口径!$B$5-H539/原始输入与口径!$B$5)</f>
        <v>31.739130434782581</v>
      </c>
      <c r="K539" s="12">
        <v>32.259975155279477</v>
      </c>
      <c r="L539" s="12">
        <v>31.739130434782581</v>
      </c>
      <c r="M539" s="19">
        <f t="shared" si="59"/>
        <v>0</v>
      </c>
      <c r="N539" s="12">
        <f>E539*(G539*原始输入与口径!$B$5+H539/原始输入与口径!$B$5)/原始输入与口径!$H$5</f>
        <v>1.4467908902691512E-3</v>
      </c>
      <c r="O539" s="12">
        <v>1.4467908902691512E-3</v>
      </c>
      <c r="P539" s="19">
        <f t="shared" si="60"/>
        <v>0</v>
      </c>
      <c r="Q539" s="12">
        <f t="shared" si="61"/>
        <v>0</v>
      </c>
      <c r="R539" s="12">
        <f t="shared" si="62"/>
        <v>0.47917714285714291</v>
      </c>
      <c r="S539" s="1">
        <v>219</v>
      </c>
      <c r="T539" s="14">
        <v>46236</v>
      </c>
    </row>
    <row r="540" spans="1:20" ht="21" customHeight="1" x14ac:dyDescent="0.45">
      <c r="A540" s="31">
        <v>46236.271668095244</v>
      </c>
      <c r="B540" s="31">
        <v>46236.28125</v>
      </c>
      <c r="C540" s="31">
        <v>46236.270833333336</v>
      </c>
      <c r="D540" s="1" t="s">
        <v>102</v>
      </c>
      <c r="E540" s="12">
        <v>0.2299657142857143</v>
      </c>
      <c r="F540" s="12">
        <f>IF(D540="d",两日求解价格与决策!K227-两日求解价格与决策!N227,IF(D540="u",两日求解价格与决策!K227+两日求解价格与决策!M227,两日求解价格与决策!K227))</f>
        <v>0</v>
      </c>
      <c r="G540" s="12">
        <f t="shared" si="57"/>
        <v>0</v>
      </c>
      <c r="H540" s="12">
        <f t="shared" si="58"/>
        <v>0</v>
      </c>
      <c r="I540" s="12">
        <f t="shared" si="56"/>
        <v>31.739130434782581</v>
      </c>
      <c r="J540" s="12">
        <f>I540+E540*(G540*原始输入与口径!$B$5-H540/原始输入与口径!$B$5)</f>
        <v>31.739130434782581</v>
      </c>
      <c r="K540" s="12">
        <v>31.739130434782581</v>
      </c>
      <c r="L540" s="12">
        <v>31.739130434782581</v>
      </c>
      <c r="M540" s="19">
        <f t="shared" si="59"/>
        <v>0</v>
      </c>
      <c r="N540" s="12">
        <f>E540*(G540*原始输入与口径!$B$5+H540/原始输入与口径!$B$5)/原始输入与口径!$H$5</f>
        <v>0</v>
      </c>
      <c r="O540" s="12">
        <v>0</v>
      </c>
      <c r="P540" s="19">
        <f t="shared" si="60"/>
        <v>0</v>
      </c>
      <c r="Q540" s="12">
        <f t="shared" si="61"/>
        <v>0</v>
      </c>
      <c r="R540" s="12">
        <f t="shared" si="62"/>
        <v>0</v>
      </c>
      <c r="S540" s="1">
        <v>219</v>
      </c>
      <c r="T540" s="14">
        <v>46236</v>
      </c>
    </row>
    <row r="541" spans="1:20" ht="21" customHeight="1" x14ac:dyDescent="0.45">
      <c r="A541" s="31">
        <v>46236.28125</v>
      </c>
      <c r="B541" s="31">
        <v>46236.282223809525</v>
      </c>
      <c r="C541" s="31">
        <v>46236.28125</v>
      </c>
      <c r="D541" s="1" t="s">
        <v>103</v>
      </c>
      <c r="E541" s="12">
        <v>2.3371428571428571E-2</v>
      </c>
      <c r="F541" s="12">
        <f>IF(D541="d",两日求解价格与决策!K228-两日求解价格与决策!N228,IF(D541="u",两日求解价格与决策!K228+两日求解价格与决策!M228,两日求解价格与决策!K228))</f>
        <v>-24</v>
      </c>
      <c r="G541" s="12">
        <f t="shared" si="57"/>
        <v>24</v>
      </c>
      <c r="H541" s="12">
        <f t="shared" si="58"/>
        <v>0</v>
      </c>
      <c r="I541" s="12">
        <f t="shared" ref="I541:I604" si="63">J540</f>
        <v>31.739130434782581</v>
      </c>
      <c r="J541" s="12">
        <f>I541+E541*(G541*原始输入与口径!$B$5-H541/原始输入与口径!$B$5)</f>
        <v>32.255171577639722</v>
      </c>
      <c r="K541" s="12">
        <v>31.739130434782581</v>
      </c>
      <c r="L541" s="12">
        <v>32.255171577639722</v>
      </c>
      <c r="M541" s="19">
        <f t="shared" si="59"/>
        <v>0</v>
      </c>
      <c r="N541" s="12">
        <f>E541*(G541*原始输入与口径!$B$5+H541/原始输入与口径!$B$5)/原始输入与口径!$H$5</f>
        <v>1.4334476190476192E-3</v>
      </c>
      <c r="O541" s="12">
        <v>1.4334476190476192E-3</v>
      </c>
      <c r="P541" s="19">
        <f t="shared" si="60"/>
        <v>0</v>
      </c>
      <c r="Q541" s="12">
        <f t="shared" si="61"/>
        <v>0.5609142857142857</v>
      </c>
      <c r="R541" s="12">
        <f t="shared" si="62"/>
        <v>0</v>
      </c>
      <c r="S541" s="1">
        <v>220</v>
      </c>
      <c r="T541" s="14">
        <v>46236</v>
      </c>
    </row>
    <row r="542" spans="1:20" ht="21" customHeight="1" x14ac:dyDescent="0.45">
      <c r="A542" s="31">
        <v>46236.282223809525</v>
      </c>
      <c r="B542" s="31">
        <v>46236.282356904761</v>
      </c>
      <c r="C542" s="31">
        <v>46236.28125</v>
      </c>
      <c r="D542" s="1" t="s">
        <v>101</v>
      </c>
      <c r="E542" s="12">
        <v>3.1942857142857146E-3</v>
      </c>
      <c r="F542" s="12">
        <f>IF(D542="d",两日求解价格与决策!K228-两日求解价格与决策!N228,IF(D542="u",两日求解价格与决策!K228+两日求解价格与决策!M228,两日求解价格与决策!K228))</f>
        <v>24</v>
      </c>
      <c r="G542" s="12">
        <f t="shared" si="57"/>
        <v>0</v>
      </c>
      <c r="H542" s="12">
        <f t="shared" si="58"/>
        <v>24</v>
      </c>
      <c r="I542" s="12">
        <f t="shared" si="63"/>
        <v>32.255171577639722</v>
      </c>
      <c r="J542" s="12">
        <f>I542+E542*(G542*原始输入与口径!$B$5-H542/原始输入与口径!$B$5)</f>
        <v>32.171842385093136</v>
      </c>
      <c r="K542" s="12">
        <v>32.255171577639722</v>
      </c>
      <c r="L542" s="12">
        <v>32.171842385093136</v>
      </c>
      <c r="M542" s="19">
        <f t="shared" si="59"/>
        <v>0</v>
      </c>
      <c r="N542" s="12">
        <f>E542*(G542*原始输入与口径!$B$5+H542/原始输入与口径!$B$5)/原始输入与口径!$H$5</f>
        <v>2.3146997929606627E-4</v>
      </c>
      <c r="O542" s="12">
        <v>2.3146997929606624E-4</v>
      </c>
      <c r="P542" s="19">
        <f t="shared" si="60"/>
        <v>0</v>
      </c>
      <c r="Q542" s="12">
        <f t="shared" si="61"/>
        <v>0</v>
      </c>
      <c r="R542" s="12">
        <f t="shared" si="62"/>
        <v>7.6662857142857144E-2</v>
      </c>
      <c r="S542" s="1">
        <v>220</v>
      </c>
      <c r="T542" s="14">
        <v>46236</v>
      </c>
    </row>
    <row r="543" spans="1:20" ht="21" customHeight="1" x14ac:dyDescent="0.45">
      <c r="A543" s="31">
        <v>46236.282356904761</v>
      </c>
      <c r="B543" s="31">
        <v>46236.291666666664</v>
      </c>
      <c r="C543" s="31">
        <v>46236.28125</v>
      </c>
      <c r="D543" s="1" t="s">
        <v>102</v>
      </c>
      <c r="E543" s="12">
        <v>0.22343428571428572</v>
      </c>
      <c r="F543" s="12">
        <f>IF(D543="d",两日求解价格与决策!K228-两日求解价格与决策!N228,IF(D543="u",两日求解价格与决策!K228+两日求解价格与决策!M228,两日求解价格与决策!K228))</f>
        <v>0</v>
      </c>
      <c r="G543" s="12">
        <f t="shared" si="57"/>
        <v>0</v>
      </c>
      <c r="H543" s="12">
        <f t="shared" si="58"/>
        <v>0</v>
      </c>
      <c r="I543" s="12">
        <f t="shared" si="63"/>
        <v>32.171842385093136</v>
      </c>
      <c r="J543" s="12">
        <f>I543+E543*(G543*原始输入与口径!$B$5-H543/原始输入与口径!$B$5)</f>
        <v>32.171842385093136</v>
      </c>
      <c r="K543" s="12">
        <v>32.171842385093136</v>
      </c>
      <c r="L543" s="12">
        <v>32.171842385093136</v>
      </c>
      <c r="M543" s="19">
        <f t="shared" si="59"/>
        <v>0</v>
      </c>
      <c r="N543" s="12">
        <f>E543*(G543*原始输入与口径!$B$5+H543/原始输入与口径!$B$5)/原始输入与口径!$H$5</f>
        <v>0</v>
      </c>
      <c r="O543" s="12">
        <v>0</v>
      </c>
      <c r="P543" s="19">
        <f t="shared" si="60"/>
        <v>0</v>
      </c>
      <c r="Q543" s="12">
        <f t="shared" si="61"/>
        <v>0</v>
      </c>
      <c r="R543" s="12">
        <f t="shared" si="62"/>
        <v>0</v>
      </c>
      <c r="S543" s="1">
        <v>220</v>
      </c>
      <c r="T543" s="14">
        <v>46236</v>
      </c>
    </row>
    <row r="544" spans="1:20" ht="21" customHeight="1" x14ac:dyDescent="0.45">
      <c r="A544" s="31">
        <v>46236.291666666664</v>
      </c>
      <c r="B544" s="31">
        <v>46236.292666190471</v>
      </c>
      <c r="C544" s="31">
        <v>46236.291666666664</v>
      </c>
      <c r="D544" s="1" t="s">
        <v>103</v>
      </c>
      <c r="E544" s="12">
        <v>2.3988571428571432E-2</v>
      </c>
      <c r="F544" s="12">
        <f>IF(D544="d",两日求解价格与决策!K229-两日求解价格与决策!N229,IF(D544="u",两日求解价格与决策!K229+两日求解价格与决策!M229,两日求解价格与决策!K229))</f>
        <v>-20.405464704721172</v>
      </c>
      <c r="G544" s="12">
        <f t="shared" si="57"/>
        <v>20.405464704721172</v>
      </c>
      <c r="H544" s="12">
        <f t="shared" si="58"/>
        <v>0</v>
      </c>
      <c r="I544" s="12">
        <f t="shared" si="63"/>
        <v>32.171842385093136</v>
      </c>
      <c r="J544" s="12">
        <f>I544+E544*(G544*原始输入与口径!$B$5-H544/原始输入与口径!$B$5)</f>
        <v>32.622180496887339</v>
      </c>
      <c r="K544" s="12">
        <v>32.171842385093136</v>
      </c>
      <c r="L544" s="12">
        <v>32.622180496887339</v>
      </c>
      <c r="M544" s="19">
        <f t="shared" si="59"/>
        <v>0</v>
      </c>
      <c r="N544" s="12">
        <f>E544*(G544*原始输入与口径!$B$5+H544/原始输入与口径!$B$5)/原始输入与口径!$H$5</f>
        <v>1.2509391994283481E-3</v>
      </c>
      <c r="O544" s="12">
        <v>1.2509391994283481E-3</v>
      </c>
      <c r="P544" s="19">
        <f t="shared" si="60"/>
        <v>0</v>
      </c>
      <c r="Q544" s="12">
        <f t="shared" si="61"/>
        <v>0.48949794760239712</v>
      </c>
      <c r="R544" s="12">
        <f t="shared" si="62"/>
        <v>0</v>
      </c>
      <c r="S544" s="1">
        <v>221</v>
      </c>
      <c r="T544" s="14">
        <v>46236</v>
      </c>
    </row>
    <row r="545" spans="1:20" ht="21" customHeight="1" x14ac:dyDescent="0.45">
      <c r="A545" s="31">
        <v>46236.292666190471</v>
      </c>
      <c r="B545" s="31">
        <v>46236.302083333328</v>
      </c>
      <c r="C545" s="31">
        <v>46236.291666666664</v>
      </c>
      <c r="D545" s="1" t="s">
        <v>102</v>
      </c>
      <c r="E545" s="12">
        <v>0.22601142857142856</v>
      </c>
      <c r="F545" s="12">
        <f>IF(D545="d",两日求解价格与决策!K229-两日求解价格与决策!N229,IF(D545="u",两日求解价格与决策!K229+两日求解价格与决策!M229,两日求解价格与决策!K229))</f>
        <v>3.5945352952788281</v>
      </c>
      <c r="G545" s="12">
        <f t="shared" si="57"/>
        <v>0</v>
      </c>
      <c r="H545" s="12">
        <f t="shared" si="58"/>
        <v>3.5945352952788281</v>
      </c>
      <c r="I545" s="12">
        <f t="shared" si="63"/>
        <v>32.622180496887339</v>
      </c>
      <c r="J545" s="12">
        <f>I545+E545*(G545*原始输入与口径!$B$5-H545/原始输入与口径!$B$5)</f>
        <v>31.739130434782567</v>
      </c>
      <c r="K545" s="12">
        <v>32.622180496887339</v>
      </c>
      <c r="L545" s="12">
        <v>31.739130434782567</v>
      </c>
      <c r="M545" s="19">
        <f t="shared" si="59"/>
        <v>0</v>
      </c>
      <c r="N545" s="12">
        <f>E545*(G545*原始输入与口径!$B$5+H545/原始输入与口径!$B$5)/原始输入与口径!$H$5</f>
        <v>2.4529168391799207E-3</v>
      </c>
      <c r="O545" s="12">
        <v>2.4529168391799203E-3</v>
      </c>
      <c r="P545" s="19">
        <f t="shared" si="60"/>
        <v>0</v>
      </c>
      <c r="Q545" s="12">
        <f t="shared" si="61"/>
        <v>0</v>
      </c>
      <c r="R545" s="12">
        <f t="shared" si="62"/>
        <v>0.81240605713638969</v>
      </c>
      <c r="S545" s="1">
        <v>221</v>
      </c>
      <c r="T545" s="14">
        <v>46236</v>
      </c>
    </row>
    <row r="546" spans="1:20" ht="21" customHeight="1" x14ac:dyDescent="0.45">
      <c r="A546" s="31">
        <v>46236.302083333336</v>
      </c>
      <c r="B546" s="31">
        <v>46236.303635952383</v>
      </c>
      <c r="C546" s="31">
        <v>46236.302083333336</v>
      </c>
      <c r="D546" s="1" t="s">
        <v>103</v>
      </c>
      <c r="E546" s="12">
        <v>3.7262857142857139E-2</v>
      </c>
      <c r="F546" s="12">
        <f>IF(D546="d",两日求解价格与决策!K230-两日求解价格与决策!N230,IF(D546="u",两日求解价格与决策!K230+两日求解价格与决策!M230,两日求解价格与决策!K230))</f>
        <v>-20.902970289321697</v>
      </c>
      <c r="G546" s="12">
        <f t="shared" si="57"/>
        <v>20.902970289321697</v>
      </c>
      <c r="H546" s="12">
        <f t="shared" si="58"/>
        <v>0</v>
      </c>
      <c r="I546" s="12">
        <f t="shared" si="63"/>
        <v>31.739130434782567</v>
      </c>
      <c r="J546" s="12">
        <f>I546+E546*(G546*原始输入与口径!$B$5-H546/原始输入与口径!$B$5)</f>
        <v>32.455722478874755</v>
      </c>
      <c r="K546" s="12">
        <v>31.739130434782567</v>
      </c>
      <c r="L546" s="12">
        <v>32.455722478874755</v>
      </c>
      <c r="M546" s="19">
        <f t="shared" si="59"/>
        <v>0</v>
      </c>
      <c r="N546" s="12">
        <f>E546*(G546*原始输入与口径!$B$5+H546/原始输入与口径!$B$5)/原始输入与口径!$H$5</f>
        <v>1.990533455811642E-3</v>
      </c>
      <c r="O546" s="12">
        <v>1.990533455811642E-3</v>
      </c>
      <c r="P546" s="19">
        <f t="shared" si="60"/>
        <v>0</v>
      </c>
      <c r="Q546" s="12">
        <f t="shared" si="61"/>
        <v>0.77890439575238157</v>
      </c>
      <c r="R546" s="12">
        <f t="shared" si="62"/>
        <v>0</v>
      </c>
      <c r="S546" s="1">
        <v>222</v>
      </c>
      <c r="T546" s="14">
        <v>46236</v>
      </c>
    </row>
    <row r="547" spans="1:20" ht="21" customHeight="1" x14ac:dyDescent="0.45">
      <c r="A547" s="31">
        <v>46236.303635952383</v>
      </c>
      <c r="B547" s="31">
        <v>46236.303636666671</v>
      </c>
      <c r="C547" s="31">
        <v>46236.302083333336</v>
      </c>
      <c r="D547" s="1" t="s">
        <v>101</v>
      </c>
      <c r="E547" s="12">
        <v>1.7142857142857142E-5</v>
      </c>
      <c r="F547" s="12">
        <f>IF(D547="d",两日求解价格与决策!K230-两日求解价格与决策!N230,IF(D547="u",两日求解价格与决策!K230+两日求解价格与决策!M230,两日求解价格与决策!K230))</f>
        <v>27.097029710678303</v>
      </c>
      <c r="G547" s="12">
        <f t="shared" si="57"/>
        <v>0</v>
      </c>
      <c r="H547" s="12">
        <f t="shared" si="58"/>
        <v>27.097029710678303</v>
      </c>
      <c r="I547" s="12">
        <f t="shared" si="63"/>
        <v>32.455722478874755</v>
      </c>
      <c r="J547" s="12">
        <f>I547+E547*(G547*原始输入与口径!$B$5-H547/原始输入与口径!$B$5)</f>
        <v>32.455217565277664</v>
      </c>
      <c r="K547" s="12">
        <v>32.455722478874755</v>
      </c>
      <c r="L547" s="12">
        <v>32.455217565277664</v>
      </c>
      <c r="M547" s="19">
        <f t="shared" si="59"/>
        <v>0</v>
      </c>
      <c r="N547" s="12">
        <f>E547*(G547*原始输入与口径!$B$5+H547/原始输入与口径!$B$5)/原始输入与口径!$H$5</f>
        <v>1.4025377697038456E-6</v>
      </c>
      <c r="O547" s="12">
        <v>1.4025377697038456E-6</v>
      </c>
      <c r="P547" s="19">
        <f t="shared" si="60"/>
        <v>0</v>
      </c>
      <c r="Q547" s="12">
        <f t="shared" si="61"/>
        <v>0</v>
      </c>
      <c r="R547" s="12">
        <f t="shared" si="62"/>
        <v>4.6452050932591375E-4</v>
      </c>
      <c r="S547" s="1">
        <v>222</v>
      </c>
      <c r="T547" s="14">
        <v>46236</v>
      </c>
    </row>
    <row r="548" spans="1:20" ht="21" customHeight="1" x14ac:dyDescent="0.45">
      <c r="A548" s="31">
        <v>46236.303636666671</v>
      </c>
      <c r="B548" s="31">
        <v>46236.3125</v>
      </c>
      <c r="C548" s="31">
        <v>46236.302083333336</v>
      </c>
      <c r="D548" s="1" t="s">
        <v>102</v>
      </c>
      <c r="E548" s="12">
        <v>0.21272000000000002</v>
      </c>
      <c r="F548" s="12">
        <f>IF(D548="d",两日求解价格与决策!K230-两日求解价格与决策!N230,IF(D548="u",两日求解价格与决策!K230+两日求解价格与决策!M230,两日求解价格与决策!K230))</f>
        <v>3.097029710678302</v>
      </c>
      <c r="G548" s="12">
        <f t="shared" si="57"/>
        <v>0</v>
      </c>
      <c r="H548" s="12">
        <f t="shared" si="58"/>
        <v>3.097029710678302</v>
      </c>
      <c r="I548" s="12">
        <f t="shared" si="63"/>
        <v>32.455217565277664</v>
      </c>
      <c r="J548" s="12">
        <f>I548+E548*(G548*原始输入与口径!$B$5-H548/原始输入与口径!$B$5)</f>
        <v>31.739130434782567</v>
      </c>
      <c r="K548" s="12">
        <v>32.455217565277664</v>
      </c>
      <c r="L548" s="12">
        <v>31.739130434782567</v>
      </c>
      <c r="M548" s="19">
        <f t="shared" si="59"/>
        <v>0</v>
      </c>
      <c r="N548" s="12">
        <f>E548*(G548*原始输入与口径!$B$5+H548/原始输入与口径!$B$5)/原始输入与口径!$H$5</f>
        <v>1.9891309180419337E-3</v>
      </c>
      <c r="O548" s="12">
        <v>1.9891309180419337E-3</v>
      </c>
      <c r="P548" s="19">
        <f t="shared" si="60"/>
        <v>0</v>
      </c>
      <c r="Q548" s="12">
        <f t="shared" si="61"/>
        <v>0</v>
      </c>
      <c r="R548" s="12">
        <f t="shared" si="62"/>
        <v>0.65880016005548847</v>
      </c>
      <c r="S548" s="1">
        <v>222</v>
      </c>
      <c r="T548" s="14">
        <v>46236</v>
      </c>
    </row>
    <row r="549" spans="1:20" ht="21" customHeight="1" x14ac:dyDescent="0.45">
      <c r="A549" s="31">
        <v>46236.3125</v>
      </c>
      <c r="B549" s="31">
        <v>46236.313788333333</v>
      </c>
      <c r="C549" s="31">
        <v>46236.3125</v>
      </c>
      <c r="D549" s="1" t="s">
        <v>103</v>
      </c>
      <c r="E549" s="12">
        <v>3.0919999999999996E-2</v>
      </c>
      <c r="F549" s="12">
        <f>IF(D549="d",两日求解价格与决策!K231-两日求解价格与决策!N231,IF(D549="u",两日求解价格与决策!K231+两日求解价格与决策!M231,两日求解价格与决策!K231))</f>
        <v>-21.438961263994496</v>
      </c>
      <c r="G549" s="12">
        <f t="shared" si="57"/>
        <v>21.438961263994496</v>
      </c>
      <c r="H549" s="12">
        <f t="shared" si="58"/>
        <v>0</v>
      </c>
      <c r="I549" s="12">
        <f t="shared" si="63"/>
        <v>31.739130434782567</v>
      </c>
      <c r="J549" s="12">
        <f>I549+E549*(G549*原始输入与口径!$B$5-H549/原始输入与口径!$B$5)</f>
        <v>32.348991702482657</v>
      </c>
      <c r="K549" s="12">
        <v>31.739130434782567</v>
      </c>
      <c r="L549" s="12">
        <v>32.348991702482657</v>
      </c>
      <c r="M549" s="19">
        <f t="shared" si="59"/>
        <v>0</v>
      </c>
      <c r="N549" s="12">
        <f>E549*(G549*原始输入与口径!$B$5+H549/原始输入与口径!$B$5)/原始输入与口径!$H$5</f>
        <v>1.6940590769447029E-3</v>
      </c>
      <c r="O549" s="12">
        <v>1.6940590769447027E-3</v>
      </c>
      <c r="P549" s="19">
        <f t="shared" si="60"/>
        <v>0</v>
      </c>
      <c r="Q549" s="12">
        <f t="shared" si="61"/>
        <v>0.6628926822827097</v>
      </c>
      <c r="R549" s="12">
        <f t="shared" si="62"/>
        <v>0</v>
      </c>
      <c r="S549" s="1">
        <v>223</v>
      </c>
      <c r="T549" s="14">
        <v>46236</v>
      </c>
    </row>
    <row r="550" spans="1:20" ht="21" customHeight="1" x14ac:dyDescent="0.45">
      <c r="A550" s="31">
        <v>46236.313788333333</v>
      </c>
      <c r="B550" s="31">
        <v>46236.322916666664</v>
      </c>
      <c r="C550" s="31">
        <v>46236.3125</v>
      </c>
      <c r="D550" s="1" t="s">
        <v>102</v>
      </c>
      <c r="E550" s="12">
        <v>0.21908</v>
      </c>
      <c r="F550" s="12">
        <f>IF(D550="d",两日求解价格与决策!K231-两日求解价格与决策!N231,IF(D550="u",两日求解价格与决策!K231+两日求解价格与决策!M231,两日求解价格与决策!K231))</f>
        <v>2.5610387360055031</v>
      </c>
      <c r="G550" s="12">
        <f t="shared" si="57"/>
        <v>0</v>
      </c>
      <c r="H550" s="12">
        <f t="shared" si="58"/>
        <v>2.5610387360055031</v>
      </c>
      <c r="I550" s="12">
        <f t="shared" si="63"/>
        <v>32.348991702482657</v>
      </c>
      <c r="J550" s="12">
        <f>I550+E550*(G550*原始输入与口径!$B$5-H550/原始输入与口径!$B$5)</f>
        <v>31.739130434782563</v>
      </c>
      <c r="K550" s="12">
        <v>32.348991702482657</v>
      </c>
      <c r="L550" s="12">
        <v>31.739130434782563</v>
      </c>
      <c r="M550" s="19">
        <f t="shared" si="59"/>
        <v>0</v>
      </c>
      <c r="N550" s="12">
        <f>E550*(G550*原始输入与口径!$B$5+H550/原始输入与口径!$B$5)/原始输入与口径!$H$5</f>
        <v>1.6940590769447029E-3</v>
      </c>
      <c r="O550" s="12">
        <v>1.6940590769447029E-3</v>
      </c>
      <c r="P550" s="19">
        <f t="shared" si="60"/>
        <v>0</v>
      </c>
      <c r="Q550" s="12">
        <f t="shared" si="61"/>
        <v>0</v>
      </c>
      <c r="R550" s="12">
        <f t="shared" si="62"/>
        <v>0.56107236628408563</v>
      </c>
      <c r="S550" s="1">
        <v>223</v>
      </c>
      <c r="T550" s="14">
        <v>46236</v>
      </c>
    </row>
    <row r="551" spans="1:20" ht="21" customHeight="1" x14ac:dyDescent="0.45">
      <c r="A551" s="31">
        <v>46236.322916666664</v>
      </c>
      <c r="B551" s="31">
        <v>46236.324722857142</v>
      </c>
      <c r="C551" s="31">
        <v>46236.322916666664</v>
      </c>
      <c r="D551" s="1" t="s">
        <v>103</v>
      </c>
      <c r="E551" s="12">
        <v>4.3348571428571431E-2</v>
      </c>
      <c r="F551" s="12">
        <f>IF(D551="d",两日求解价格与决策!K232-两日求解价格与决策!N232,IF(D551="u",两日求解价格与决策!K232+两日求解价格与决策!M232,两日求解价格与决策!K232))</f>
        <v>-24</v>
      </c>
      <c r="G551" s="12">
        <f t="shared" si="57"/>
        <v>24</v>
      </c>
      <c r="H551" s="12">
        <f t="shared" si="58"/>
        <v>0</v>
      </c>
      <c r="I551" s="12">
        <f t="shared" si="63"/>
        <v>31.739130434782563</v>
      </c>
      <c r="J551" s="12">
        <f>I551+E551*(G551*原始输入与口径!$B$5-H551/原始输入与口径!$B$5)</f>
        <v>32.696266891925418</v>
      </c>
      <c r="K551" s="12">
        <v>31.739130434782563</v>
      </c>
      <c r="L551" s="12">
        <v>32.696266891925418</v>
      </c>
      <c r="M551" s="19">
        <f t="shared" si="59"/>
        <v>0</v>
      </c>
      <c r="N551" s="12">
        <f>E551*(G551*原始输入与口径!$B$5+H551/原始输入与口径!$B$5)/原始输入与口径!$H$5</f>
        <v>2.6587123809523813E-3</v>
      </c>
      <c r="O551" s="12">
        <v>2.6587123809523813E-3</v>
      </c>
      <c r="P551" s="19">
        <f t="shared" si="60"/>
        <v>0</v>
      </c>
      <c r="Q551" s="12">
        <f t="shared" si="61"/>
        <v>1.0403657142857143</v>
      </c>
      <c r="R551" s="12">
        <f t="shared" si="62"/>
        <v>0</v>
      </c>
      <c r="S551" s="1">
        <v>224</v>
      </c>
      <c r="T551" s="14">
        <v>46236</v>
      </c>
    </row>
    <row r="552" spans="1:20" ht="21" customHeight="1" x14ac:dyDescent="0.45">
      <c r="A552" s="31">
        <v>46236.324722857142</v>
      </c>
      <c r="B552" s="31">
        <v>46236.333333333328</v>
      </c>
      <c r="C552" s="31">
        <v>46236.322916666664</v>
      </c>
      <c r="D552" s="1" t="s">
        <v>102</v>
      </c>
      <c r="E552" s="12">
        <v>0.20665142857142857</v>
      </c>
      <c r="F552" s="12">
        <f>IF(D552="d",两日求解价格与决策!K232-两日求解价格与决策!N232,IF(D552="u",两日求解价格与决策!K232+两日求解价格与决策!M232,两日求解价格与决策!K232))</f>
        <v>0</v>
      </c>
      <c r="G552" s="12">
        <f t="shared" si="57"/>
        <v>0</v>
      </c>
      <c r="H552" s="12">
        <f t="shared" si="58"/>
        <v>0</v>
      </c>
      <c r="I552" s="12">
        <f t="shared" si="63"/>
        <v>32.696266891925418</v>
      </c>
      <c r="J552" s="12">
        <f>I552+E552*(G552*原始输入与口径!$B$5-H552/原始输入与口径!$B$5)</f>
        <v>32.696266891925418</v>
      </c>
      <c r="K552" s="12">
        <v>32.696266891925418</v>
      </c>
      <c r="L552" s="12">
        <v>32.696266891925418</v>
      </c>
      <c r="M552" s="19">
        <f t="shared" si="59"/>
        <v>0</v>
      </c>
      <c r="N552" s="12">
        <f>E552*(G552*原始输入与口径!$B$5+H552/原始输入与口径!$B$5)/原始输入与口径!$H$5</f>
        <v>0</v>
      </c>
      <c r="O552" s="12">
        <v>0</v>
      </c>
      <c r="P552" s="19">
        <f t="shared" si="60"/>
        <v>0</v>
      </c>
      <c r="Q552" s="12">
        <f t="shared" si="61"/>
        <v>0</v>
      </c>
      <c r="R552" s="12">
        <f t="shared" si="62"/>
        <v>0</v>
      </c>
      <c r="S552" s="1">
        <v>224</v>
      </c>
      <c r="T552" s="14">
        <v>46236</v>
      </c>
    </row>
    <row r="553" spans="1:20" ht="21" customHeight="1" x14ac:dyDescent="0.45">
      <c r="A553" s="31">
        <v>46236.333333333336</v>
      </c>
      <c r="B553" s="31">
        <v>46236.333914761904</v>
      </c>
      <c r="C553" s="31">
        <v>46236.333333333336</v>
      </c>
      <c r="D553" s="1" t="s">
        <v>103</v>
      </c>
      <c r="E553" s="12">
        <v>1.3954285714285716E-2</v>
      </c>
      <c r="F553" s="12">
        <f>IF(D553="d",两日求解价格与决策!K233-两日求解价格与决策!N233,IF(D553="u",两日求解价格与决策!K233+两日求解价格与决策!M233,两日求解价格与决策!K233))</f>
        <v>-19.304732933524917</v>
      </c>
      <c r="G553" s="12">
        <f t="shared" si="57"/>
        <v>19.304732933524917</v>
      </c>
      <c r="H553" s="12">
        <f t="shared" si="58"/>
        <v>0</v>
      </c>
      <c r="I553" s="12">
        <f t="shared" si="63"/>
        <v>32.696266891925418</v>
      </c>
      <c r="J553" s="12">
        <f>I553+E553*(G553*原始输入与口径!$B$5-H553/原始输入与口径!$B$5)</f>
        <v>32.944099950198414</v>
      </c>
      <c r="K553" s="12">
        <v>32.696266891925418</v>
      </c>
      <c r="L553" s="12">
        <v>32.944099950198414</v>
      </c>
      <c r="M553" s="19">
        <f t="shared" si="59"/>
        <v>0</v>
      </c>
      <c r="N553" s="12">
        <f>E553*(G553*原始输入与口径!$B$5+H553/原始输入与口径!$B$5)/原始输入与口径!$H$5</f>
        <v>6.8842516186943528E-4</v>
      </c>
      <c r="O553" s="12">
        <v>6.8842516186943549E-4</v>
      </c>
      <c r="P553" s="19">
        <f t="shared" si="60"/>
        <v>0</v>
      </c>
      <c r="Q553" s="12">
        <f t="shared" si="61"/>
        <v>0.26938375899238776</v>
      </c>
      <c r="R553" s="12">
        <f t="shared" si="62"/>
        <v>0</v>
      </c>
      <c r="S553" s="1">
        <v>225</v>
      </c>
      <c r="T553" s="14">
        <v>46236</v>
      </c>
    </row>
    <row r="554" spans="1:20" ht="21" customHeight="1" x14ac:dyDescent="0.45">
      <c r="A554" s="31">
        <v>46236.333914761904</v>
      </c>
      <c r="B554" s="31">
        <v>46236.333915238094</v>
      </c>
      <c r="C554" s="31">
        <v>46236.333333333336</v>
      </c>
      <c r="D554" s="1" t="s">
        <v>101</v>
      </c>
      <c r="E554" s="12">
        <v>1.1428571428571429E-5</v>
      </c>
      <c r="F554" s="12">
        <f>IF(D554="d",两日求解价格与决策!K233-两日求解价格与决策!N233,IF(D554="u",两日求解价格与决策!K233+两日求解价格与决策!M233,两日求解价格与决策!K233))</f>
        <v>28.695267066475083</v>
      </c>
      <c r="G554" s="12">
        <f t="shared" si="57"/>
        <v>0</v>
      </c>
      <c r="H554" s="12">
        <f t="shared" si="58"/>
        <v>28.695267066475083</v>
      </c>
      <c r="I554" s="12">
        <f t="shared" si="63"/>
        <v>32.944099950198414</v>
      </c>
      <c r="J554" s="12">
        <f>I554+E554*(G554*原始输入与口径!$B$5-H554/原始输入与口径!$B$5)</f>
        <v>32.943743487253485</v>
      </c>
      <c r="K554" s="12">
        <v>32.944099950198414</v>
      </c>
      <c r="L554" s="12">
        <v>32.943743487253485</v>
      </c>
      <c r="M554" s="19">
        <f t="shared" si="59"/>
        <v>0</v>
      </c>
      <c r="N554" s="12">
        <f>E554*(G554*原始输入与口径!$B$5+H554/原始输入与口径!$B$5)/原始输入与口径!$H$5</f>
        <v>9.901748470143231E-7</v>
      </c>
      <c r="O554" s="12">
        <v>9.901748470143231E-7</v>
      </c>
      <c r="P554" s="19">
        <f t="shared" si="60"/>
        <v>0</v>
      </c>
      <c r="Q554" s="12">
        <f t="shared" si="61"/>
        <v>0</v>
      </c>
      <c r="R554" s="12">
        <f t="shared" si="62"/>
        <v>3.2794590933114381E-4</v>
      </c>
      <c r="S554" s="1">
        <v>225</v>
      </c>
      <c r="T554" s="14">
        <v>46236</v>
      </c>
    </row>
    <row r="555" spans="1:20" ht="21" customHeight="1" x14ac:dyDescent="0.45">
      <c r="A555" s="31">
        <v>46236.333915238094</v>
      </c>
      <c r="B555" s="31">
        <v>46236.34375</v>
      </c>
      <c r="C555" s="31">
        <v>46236.333333333336</v>
      </c>
      <c r="D555" s="1" t="s">
        <v>102</v>
      </c>
      <c r="E555" s="12">
        <v>0.2360342857142857</v>
      </c>
      <c r="F555" s="12">
        <f>IF(D555="d",两日求解价格与决策!K233-两日求解价格与决策!N233,IF(D555="u",两日求解价格与决策!K233+两日求解价格与决策!M233,两日求解价格与决策!K233))</f>
        <v>4.6952670664750835</v>
      </c>
      <c r="G555" s="12">
        <f t="shared" si="57"/>
        <v>0</v>
      </c>
      <c r="H555" s="12">
        <f t="shared" si="58"/>
        <v>4.6952670664750835</v>
      </c>
      <c r="I555" s="12">
        <f t="shared" si="63"/>
        <v>32.943743487253485</v>
      </c>
      <c r="J555" s="12">
        <f>I555+E555*(G555*原始输入与口径!$B$5-H555/原始输入与口径!$B$5)</f>
        <v>31.739130434782556</v>
      </c>
      <c r="K555" s="12">
        <v>32.943743487253485</v>
      </c>
      <c r="L555" s="12">
        <v>31.739130434782556</v>
      </c>
      <c r="M555" s="19">
        <f t="shared" si="59"/>
        <v>0</v>
      </c>
      <c r="N555" s="12">
        <f>E555*(G555*原始输入与口径!$B$5+H555/原始输入与口径!$B$5)/原始输入与口径!$H$5</f>
        <v>3.3461473679748067E-3</v>
      </c>
      <c r="O555" s="12">
        <v>3.3461473679748063E-3</v>
      </c>
      <c r="P555" s="19">
        <f t="shared" si="60"/>
        <v>0</v>
      </c>
      <c r="Q555" s="12">
        <f t="shared" si="61"/>
        <v>0</v>
      </c>
      <c r="R555" s="12">
        <f t="shared" si="62"/>
        <v>1.1082440082732559</v>
      </c>
      <c r="S555" s="1">
        <v>225</v>
      </c>
      <c r="T555" s="14">
        <v>46236</v>
      </c>
    </row>
    <row r="556" spans="1:20" ht="21" customHeight="1" x14ac:dyDescent="0.45">
      <c r="A556" s="31">
        <v>46236.34375</v>
      </c>
      <c r="B556" s="31">
        <v>46236.346182380956</v>
      </c>
      <c r="C556" s="31">
        <v>46236.34375</v>
      </c>
      <c r="D556" s="1" t="s">
        <v>103</v>
      </c>
      <c r="E556" s="12">
        <v>5.8377142857142857E-2</v>
      </c>
      <c r="F556" s="12">
        <f>IF(D556="d",两日求解价格与决策!K234-两日求解价格与决策!N234,IF(D556="u",两日求解价格与决策!K234+两日求解价格与决策!M234,两日求解价格与决策!K234))</f>
        <v>-19.08014007806543</v>
      </c>
      <c r="G556" s="12">
        <f t="shared" si="57"/>
        <v>19.08014007806543</v>
      </c>
      <c r="H556" s="12">
        <f t="shared" si="58"/>
        <v>0</v>
      </c>
      <c r="I556" s="12">
        <f t="shared" si="63"/>
        <v>31.739130434782556</v>
      </c>
      <c r="J556" s="12">
        <f>I556+E556*(G556*原始输入与口径!$B$5-H556/原始输入与口径!$B$5)</f>
        <v>32.763866972808358</v>
      </c>
      <c r="K556" s="12">
        <v>31.739130434782556</v>
      </c>
      <c r="L556" s="12">
        <v>32.763866972808358</v>
      </c>
      <c r="M556" s="19">
        <f t="shared" si="59"/>
        <v>0</v>
      </c>
      <c r="N556" s="12">
        <f>E556*(G556*原始输入与口径!$B$5+H556/原始输入与口径!$B$5)/原始输入与口径!$H$5</f>
        <v>2.8464903834050023E-3</v>
      </c>
      <c r="O556" s="12">
        <v>2.8464903834050019E-3</v>
      </c>
      <c r="P556" s="19">
        <f t="shared" si="60"/>
        <v>0</v>
      </c>
      <c r="Q556" s="12">
        <f t="shared" si="61"/>
        <v>1.1138440630715225</v>
      </c>
      <c r="R556" s="12">
        <f t="shared" si="62"/>
        <v>0</v>
      </c>
      <c r="S556" s="1">
        <v>226</v>
      </c>
      <c r="T556" s="14">
        <v>46236</v>
      </c>
    </row>
    <row r="557" spans="1:20" ht="21" customHeight="1" x14ac:dyDescent="0.45">
      <c r="A557" s="31">
        <v>46236.346182380956</v>
      </c>
      <c r="B557" s="31">
        <v>46236.354166666664</v>
      </c>
      <c r="C557" s="31">
        <v>46236.34375</v>
      </c>
      <c r="D557" s="1" t="s">
        <v>102</v>
      </c>
      <c r="E557" s="12">
        <v>0.19162285714285715</v>
      </c>
      <c r="F557" s="12">
        <f>IF(D557="d",两日求解价格与决策!K234-两日求解价格与决策!N234,IF(D557="u",两日求解价格与决策!K234+两日求解价格与决策!M234,两日求解价格与决策!K234))</f>
        <v>4.9198599219345711</v>
      </c>
      <c r="G557" s="12">
        <f t="shared" si="57"/>
        <v>0</v>
      </c>
      <c r="H557" s="12">
        <f t="shared" si="58"/>
        <v>4.9198599219345711</v>
      </c>
      <c r="I557" s="12">
        <f t="shared" si="63"/>
        <v>32.763866972808358</v>
      </c>
      <c r="J557" s="12">
        <f>I557+E557*(G557*原始输入与口径!$B$5-H557/原始输入与口径!$B$5)</f>
        <v>31.73913043478256</v>
      </c>
      <c r="K557" s="12">
        <v>32.763866972808358</v>
      </c>
      <c r="L557" s="12">
        <v>31.73913043478256</v>
      </c>
      <c r="M557" s="19">
        <f t="shared" si="59"/>
        <v>0</v>
      </c>
      <c r="N557" s="12">
        <f>E557*(G557*原始输入与口径!$B$5+H557/原始输入与口径!$B$5)/原始输入与口径!$H$5</f>
        <v>2.8464903834050019E-3</v>
      </c>
      <c r="O557" s="12">
        <v>2.8464903834050019E-3</v>
      </c>
      <c r="P557" s="19">
        <f t="shared" si="60"/>
        <v>0</v>
      </c>
      <c r="Q557" s="12">
        <f t="shared" si="61"/>
        <v>0</v>
      </c>
      <c r="R557" s="12">
        <f t="shared" si="62"/>
        <v>0.94275761498373667</v>
      </c>
      <c r="S557" s="1">
        <v>226</v>
      </c>
      <c r="T557" s="14">
        <v>46236</v>
      </c>
    </row>
    <row r="558" spans="1:20" ht="21" customHeight="1" x14ac:dyDescent="0.45">
      <c r="A558" s="31">
        <v>46236.354166666664</v>
      </c>
      <c r="B558" s="31">
        <v>46236.35665190476</v>
      </c>
      <c r="C558" s="31">
        <v>46236.354166666664</v>
      </c>
      <c r="D558" s="1" t="s">
        <v>103</v>
      </c>
      <c r="E558" s="12">
        <v>5.9645714285714288E-2</v>
      </c>
      <c r="F558" s="12">
        <f>IF(D558="d",两日求解价格与决策!K235-两日求解价格与决策!N235,IF(D558="u",两日求解价格与决策!K235+两日求解价格与决策!M235,两日求解价格与决策!K235))</f>
        <v>-24</v>
      </c>
      <c r="G558" s="12">
        <f t="shared" si="57"/>
        <v>24</v>
      </c>
      <c r="H558" s="12">
        <f t="shared" si="58"/>
        <v>0</v>
      </c>
      <c r="I558" s="12">
        <f t="shared" si="63"/>
        <v>31.73913043478256</v>
      </c>
      <c r="J558" s="12">
        <f>I558+E558*(G558*原始输入与口径!$B$5-H558/原始输入与口径!$B$5)</f>
        <v>33.056107806211131</v>
      </c>
      <c r="K558" s="12">
        <v>31.73913043478256</v>
      </c>
      <c r="L558" s="12">
        <v>33.056107806211131</v>
      </c>
      <c r="M558" s="19">
        <f t="shared" si="59"/>
        <v>0</v>
      </c>
      <c r="N558" s="12">
        <f>E558*(G558*原始输入与口径!$B$5+H558/原始输入与口径!$B$5)/原始输入与口径!$H$5</f>
        <v>3.6582704761904763E-3</v>
      </c>
      <c r="O558" s="12">
        <v>3.6582704761904763E-3</v>
      </c>
      <c r="P558" s="19">
        <f t="shared" si="60"/>
        <v>0</v>
      </c>
      <c r="Q558" s="12">
        <f t="shared" si="61"/>
        <v>1.4314971428571428</v>
      </c>
      <c r="R558" s="12">
        <f t="shared" si="62"/>
        <v>0</v>
      </c>
      <c r="S558" s="1">
        <v>227</v>
      </c>
      <c r="T558" s="14">
        <v>46236</v>
      </c>
    </row>
    <row r="559" spans="1:20" ht="21" customHeight="1" x14ac:dyDescent="0.45">
      <c r="A559" s="31">
        <v>46236.35665190476</v>
      </c>
      <c r="B559" s="31">
        <v>46236.364583333328</v>
      </c>
      <c r="C559" s="31">
        <v>46236.354166666664</v>
      </c>
      <c r="D559" s="1" t="s">
        <v>102</v>
      </c>
      <c r="E559" s="12">
        <v>0.1903542857142857</v>
      </c>
      <c r="F559" s="12">
        <f>IF(D559="d",两日求解价格与决策!K235-两日求解价格与决策!N235,IF(D559="u",两日求解价格与决策!K235+两日求解价格与决策!M235,两日求解价格与决策!K235))</f>
        <v>0</v>
      </c>
      <c r="G559" s="12">
        <f t="shared" si="57"/>
        <v>0</v>
      </c>
      <c r="H559" s="12">
        <f t="shared" si="58"/>
        <v>0</v>
      </c>
      <c r="I559" s="12">
        <f t="shared" si="63"/>
        <v>33.056107806211131</v>
      </c>
      <c r="J559" s="12">
        <f>I559+E559*(G559*原始输入与口径!$B$5-H559/原始输入与口径!$B$5)</f>
        <v>33.056107806211131</v>
      </c>
      <c r="K559" s="12">
        <v>33.056107806211131</v>
      </c>
      <c r="L559" s="12">
        <v>33.056107806211131</v>
      </c>
      <c r="M559" s="19">
        <f t="shared" si="59"/>
        <v>0</v>
      </c>
      <c r="N559" s="12">
        <f>E559*(G559*原始输入与口径!$B$5+H559/原始输入与口径!$B$5)/原始输入与口径!$H$5</f>
        <v>0</v>
      </c>
      <c r="O559" s="12">
        <v>0</v>
      </c>
      <c r="P559" s="19">
        <f t="shared" si="60"/>
        <v>0</v>
      </c>
      <c r="Q559" s="12">
        <f t="shared" si="61"/>
        <v>0</v>
      </c>
      <c r="R559" s="12">
        <f t="shared" si="62"/>
        <v>0</v>
      </c>
      <c r="S559" s="1">
        <v>227</v>
      </c>
      <c r="T559" s="14">
        <v>46236</v>
      </c>
    </row>
    <row r="560" spans="1:20" ht="21" customHeight="1" x14ac:dyDescent="0.45">
      <c r="A560" s="31">
        <v>46236.364583333336</v>
      </c>
      <c r="B560" s="31">
        <v>46236.367203333335</v>
      </c>
      <c r="C560" s="31">
        <v>46236.364583333336</v>
      </c>
      <c r="D560" s="1" t="s">
        <v>103</v>
      </c>
      <c r="E560" s="12">
        <v>6.2879999999999991E-2</v>
      </c>
      <c r="F560" s="12">
        <f>IF(D560="d",两日求解价格与决策!K236-两日求解价格与决策!N236,IF(D560="u",两日求解价格与决策!K236+两日求解价格与决策!M236,两日求解价格与决策!K236))</f>
        <v>-59.901155517148268</v>
      </c>
      <c r="G560" s="12">
        <f t="shared" si="57"/>
        <v>59.901155517148268</v>
      </c>
      <c r="H560" s="12">
        <f t="shared" si="58"/>
        <v>0</v>
      </c>
      <c r="I560" s="12">
        <f t="shared" si="63"/>
        <v>33.056107806211131</v>
      </c>
      <c r="J560" s="12">
        <f>I560+E560*(G560*原始输入与口径!$B$5-H560/原始输入与口径!$B$5)</f>
        <v>36.521365692415948</v>
      </c>
      <c r="K560" s="12">
        <v>33.056107806211131</v>
      </c>
      <c r="L560" s="12">
        <v>36.521365692415948</v>
      </c>
      <c r="M560" s="19">
        <f t="shared" si="59"/>
        <v>0</v>
      </c>
      <c r="N560" s="12">
        <f>E560*(G560*原始输入与口径!$B$5+H560/原始输入与口径!$B$5)/原始输入与口径!$H$5</f>
        <v>9.6257163505689448E-3</v>
      </c>
      <c r="O560" s="12">
        <v>9.6257163505689448E-3</v>
      </c>
      <c r="P560" s="19">
        <f t="shared" si="60"/>
        <v>0</v>
      </c>
      <c r="Q560" s="12">
        <f t="shared" si="61"/>
        <v>3.7665846589182825</v>
      </c>
      <c r="R560" s="12">
        <f t="shared" si="62"/>
        <v>0</v>
      </c>
      <c r="S560" s="1">
        <v>228</v>
      </c>
      <c r="T560" s="14">
        <v>46236</v>
      </c>
    </row>
    <row r="561" spans="1:20" ht="21" customHeight="1" x14ac:dyDescent="0.45">
      <c r="A561" s="31">
        <v>46236.367203333335</v>
      </c>
      <c r="B561" s="31">
        <v>46236.375</v>
      </c>
      <c r="C561" s="31">
        <v>46236.364583333336</v>
      </c>
      <c r="D561" s="1" t="s">
        <v>102</v>
      </c>
      <c r="E561" s="12">
        <v>0.18712000000000001</v>
      </c>
      <c r="F561" s="12">
        <f>IF(D561="d",两日求解价格与决策!K236-两日求解价格与决策!N236,IF(D561="u",两日求解价格与决策!K236+两日求解价格与决策!M236,两日求解价格与决策!K236))</f>
        <v>-35.901155517148268</v>
      </c>
      <c r="G561" s="12">
        <f t="shared" si="57"/>
        <v>35.901155517148268</v>
      </c>
      <c r="H561" s="12">
        <f t="shared" si="58"/>
        <v>0</v>
      </c>
      <c r="I561" s="12">
        <f t="shared" si="63"/>
        <v>36.521365692415948</v>
      </c>
      <c r="J561" s="12">
        <f>I561+E561*(G561*原始输入与口径!$B$5-H561/原始输入与口径!$B$5)</f>
        <v>42.701763975155231</v>
      </c>
      <c r="K561" s="12">
        <v>36.521365692415948</v>
      </c>
      <c r="L561" s="12">
        <v>42.701763975155231</v>
      </c>
      <c r="M561" s="19">
        <f t="shared" si="59"/>
        <v>0</v>
      </c>
      <c r="N561" s="12">
        <f>E561*(G561*原始输入与口径!$B$5+H561/原始输入与口径!$B$5)/原始输入与口径!$H$5</f>
        <v>1.7167773007609115E-2</v>
      </c>
      <c r="O561" s="12">
        <v>1.7167773007609115E-2</v>
      </c>
      <c r="P561" s="19">
        <f t="shared" si="60"/>
        <v>0</v>
      </c>
      <c r="Q561" s="12">
        <f t="shared" si="61"/>
        <v>6.7178242203687839</v>
      </c>
      <c r="R561" s="12">
        <f t="shared" si="62"/>
        <v>0</v>
      </c>
      <c r="S561" s="1">
        <v>228</v>
      </c>
      <c r="T561" s="14">
        <v>46236</v>
      </c>
    </row>
    <row r="562" spans="1:20" ht="21" customHeight="1" x14ac:dyDescent="0.45">
      <c r="A562" s="31">
        <v>46236.375</v>
      </c>
      <c r="B562" s="31">
        <v>46236.375735952381</v>
      </c>
      <c r="C562" s="31">
        <v>46236.375</v>
      </c>
      <c r="D562" s="1" t="s">
        <v>103</v>
      </c>
      <c r="E562" s="12">
        <v>1.7662857142857143E-2</v>
      </c>
      <c r="F562" s="12">
        <f>IF(D562="d",两日求解价格与决策!K237-两日求解价格与决策!N237,IF(D562="u",两日求解价格与决策!K237+两日求解价格与决策!M237,两日求解价格与决策!K237))</f>
        <v>12</v>
      </c>
      <c r="G562" s="12">
        <f t="shared" si="57"/>
        <v>0</v>
      </c>
      <c r="H562" s="12">
        <f t="shared" si="58"/>
        <v>12</v>
      </c>
      <c r="I562" s="12">
        <f t="shared" si="63"/>
        <v>42.701763975155231</v>
      </c>
      <c r="J562" s="12">
        <f>I562+E562*(G562*原始输入与口径!$B$5-H562/原始输入与口径!$B$5)</f>
        <v>42.471378881987526</v>
      </c>
      <c r="K562" s="12">
        <v>42.701763975155231</v>
      </c>
      <c r="L562" s="12">
        <v>42.471378881987526</v>
      </c>
      <c r="M562" s="19">
        <f t="shared" si="59"/>
        <v>0</v>
      </c>
      <c r="N562" s="12">
        <f>E562*(G562*原始输入与口径!$B$5+H562/原始输入与口径!$B$5)/原始输入与口径!$H$5</f>
        <v>6.3995859213250518E-4</v>
      </c>
      <c r="O562" s="12">
        <v>6.3995859213250507E-4</v>
      </c>
      <c r="P562" s="19">
        <f t="shared" si="60"/>
        <v>0</v>
      </c>
      <c r="Q562" s="12">
        <f t="shared" si="61"/>
        <v>0</v>
      </c>
      <c r="R562" s="12">
        <f t="shared" si="62"/>
        <v>0.21195428571428571</v>
      </c>
      <c r="S562" s="1">
        <v>229</v>
      </c>
      <c r="T562" s="14">
        <v>46236</v>
      </c>
    </row>
    <row r="563" spans="1:20" ht="21" customHeight="1" x14ac:dyDescent="0.45">
      <c r="A563" s="31">
        <v>46236.375735952381</v>
      </c>
      <c r="B563" s="31">
        <v>46236.376543333332</v>
      </c>
      <c r="C563" s="31">
        <v>46236.375</v>
      </c>
      <c r="D563" s="1" t="s">
        <v>101</v>
      </c>
      <c r="E563" s="12">
        <v>1.9377142857142857E-2</v>
      </c>
      <c r="F563" s="12">
        <f>IF(D563="d",两日求解价格与决策!K237-两日求解价格与决策!N237,IF(D563="u",两日求解价格与决策!K237+两日求解价格与决策!M237,两日求解价格与决策!K237))</f>
        <v>60</v>
      </c>
      <c r="G563" s="12">
        <f t="shared" si="57"/>
        <v>0</v>
      </c>
      <c r="H563" s="12">
        <f t="shared" si="58"/>
        <v>60</v>
      </c>
      <c r="I563" s="12">
        <f t="shared" si="63"/>
        <v>42.471378881987526</v>
      </c>
      <c r="J563" s="12">
        <f>I563+E563*(G563*原始输入与口径!$B$5-H563/原始输入与口径!$B$5)</f>
        <v>41.20765217391299</v>
      </c>
      <c r="K563" s="12">
        <v>42.471378881987526</v>
      </c>
      <c r="L563" s="12">
        <v>41.20765217391299</v>
      </c>
      <c r="M563" s="19">
        <f t="shared" si="59"/>
        <v>0</v>
      </c>
      <c r="N563" s="12">
        <f>E563*(G563*原始输入与口径!$B$5+H563/原始输入与口径!$B$5)/原始输入与口径!$H$5</f>
        <v>3.5103519668737062E-3</v>
      </c>
      <c r="O563" s="12">
        <v>3.5103519668737058E-3</v>
      </c>
      <c r="P563" s="19">
        <f t="shared" si="60"/>
        <v>0</v>
      </c>
      <c r="Q563" s="12">
        <f t="shared" si="61"/>
        <v>0</v>
      </c>
      <c r="R563" s="12">
        <f t="shared" si="62"/>
        <v>1.1626285714285713</v>
      </c>
      <c r="S563" s="1">
        <v>229</v>
      </c>
      <c r="T563" s="14">
        <v>46236</v>
      </c>
    </row>
    <row r="564" spans="1:20" ht="21" customHeight="1" x14ac:dyDescent="0.45">
      <c r="A564" s="31">
        <v>46236.376543333332</v>
      </c>
      <c r="B564" s="31">
        <v>46236.385416666664</v>
      </c>
      <c r="C564" s="31">
        <v>46236.375</v>
      </c>
      <c r="D564" s="1" t="s">
        <v>102</v>
      </c>
      <c r="E564" s="12">
        <v>0.21295999999999998</v>
      </c>
      <c r="F564" s="12">
        <f>IF(D564="d",两日求解价格与决策!K237-两日求解价格与决策!N237,IF(D564="u",两日求解价格与决策!K237+两日求解价格与决策!M237,两日求解价格与决策!K237))</f>
        <v>36</v>
      </c>
      <c r="G564" s="12">
        <f t="shared" si="57"/>
        <v>0</v>
      </c>
      <c r="H564" s="12">
        <f t="shared" si="58"/>
        <v>36</v>
      </c>
      <c r="I564" s="12">
        <f t="shared" si="63"/>
        <v>41.20765217391299</v>
      </c>
      <c r="J564" s="12">
        <f>I564+E564*(G564*原始输入与口径!$B$5-H564/原始输入与口径!$B$5)</f>
        <v>32.874434782608645</v>
      </c>
      <c r="K564" s="12">
        <v>41.20765217391299</v>
      </c>
      <c r="L564" s="12">
        <v>32.874434782608645</v>
      </c>
      <c r="M564" s="19">
        <f t="shared" si="59"/>
        <v>0</v>
      </c>
      <c r="N564" s="12">
        <f>E564*(G564*原始输入与口径!$B$5+H564/原始输入与口径!$B$5)/原始输入与口径!$H$5</f>
        <v>2.3147826086956518E-2</v>
      </c>
      <c r="O564" s="12">
        <v>2.3147826086956518E-2</v>
      </c>
      <c r="P564" s="19">
        <f t="shared" si="60"/>
        <v>0</v>
      </c>
      <c r="Q564" s="12">
        <f t="shared" si="61"/>
        <v>0</v>
      </c>
      <c r="R564" s="12">
        <f t="shared" si="62"/>
        <v>7.6665599999999996</v>
      </c>
      <c r="S564" s="1">
        <v>229</v>
      </c>
      <c r="T564" s="14">
        <v>46236</v>
      </c>
    </row>
    <row r="565" spans="1:20" ht="21" customHeight="1" x14ac:dyDescent="0.45">
      <c r="A565" s="31">
        <v>46236.385416666664</v>
      </c>
      <c r="B565" s="31">
        <v>46236.386083571429</v>
      </c>
      <c r="C565" s="31">
        <v>46236.385416666664</v>
      </c>
      <c r="D565" s="1" t="s">
        <v>101</v>
      </c>
      <c r="E565" s="12">
        <v>1.6005714285714286E-2</v>
      </c>
      <c r="F565" s="12">
        <f>IF(D565="d",两日求解价格与决策!K238-两日求解价格与决策!N238,IF(D565="u",两日求解价格与决策!K238+两日求解价格与决策!M238,两日求解价格与决策!K238))</f>
        <v>24</v>
      </c>
      <c r="G565" s="12">
        <f t="shared" si="57"/>
        <v>0</v>
      </c>
      <c r="H565" s="12">
        <f t="shared" si="58"/>
        <v>24</v>
      </c>
      <c r="I565" s="12">
        <f t="shared" si="63"/>
        <v>32.874434782608645</v>
      </c>
      <c r="J565" s="12">
        <f>I565+E565*(G565*原始输入与口径!$B$5-H565/原始输入与口径!$B$5)</f>
        <v>32.456894409937838</v>
      </c>
      <c r="K565" s="12">
        <v>32.874434782608645</v>
      </c>
      <c r="L565" s="12">
        <v>32.456894409937838</v>
      </c>
      <c r="M565" s="19">
        <f t="shared" si="59"/>
        <v>0</v>
      </c>
      <c r="N565" s="12">
        <f>E565*(G565*原始输入与口径!$B$5+H565/原始输入与口径!$B$5)/原始输入与口径!$H$5</f>
        <v>1.1598343685300207E-3</v>
      </c>
      <c r="O565" s="12">
        <v>1.1598343685300205E-3</v>
      </c>
      <c r="P565" s="19">
        <f t="shared" si="60"/>
        <v>0</v>
      </c>
      <c r="Q565" s="12">
        <f t="shared" si="61"/>
        <v>0</v>
      </c>
      <c r="R565" s="12">
        <f t="shared" si="62"/>
        <v>0.38413714285714284</v>
      </c>
      <c r="S565" s="1">
        <v>230</v>
      </c>
      <c r="T565" s="14">
        <v>46236</v>
      </c>
    </row>
    <row r="566" spans="1:20" ht="21" customHeight="1" x14ac:dyDescent="0.45">
      <c r="A566" s="31">
        <v>46236.386083571429</v>
      </c>
      <c r="B566" s="31">
        <v>46236.395833333328</v>
      </c>
      <c r="C566" s="31">
        <v>46236.385416666664</v>
      </c>
      <c r="D566" s="1" t="s">
        <v>102</v>
      </c>
      <c r="E566" s="12">
        <v>0.23399428571428571</v>
      </c>
      <c r="F566" s="12">
        <f>IF(D566="d",两日求解价格与决策!K238-两日求解价格与决策!N238,IF(D566="u",两日求解价格与决策!K238+两日求解价格与决策!M238,两日求解价格与决策!K238))</f>
        <v>0</v>
      </c>
      <c r="G566" s="12">
        <f t="shared" si="57"/>
        <v>0</v>
      </c>
      <c r="H566" s="12">
        <f t="shared" si="58"/>
        <v>0</v>
      </c>
      <c r="I566" s="12">
        <f t="shared" si="63"/>
        <v>32.456894409937838</v>
      </c>
      <c r="J566" s="12">
        <f>I566+E566*(G566*原始输入与口径!$B$5-H566/原始输入与口径!$B$5)</f>
        <v>32.456894409937838</v>
      </c>
      <c r="K566" s="12">
        <v>32.456894409937838</v>
      </c>
      <c r="L566" s="12">
        <v>32.456894409937838</v>
      </c>
      <c r="M566" s="19">
        <f t="shared" si="59"/>
        <v>0</v>
      </c>
      <c r="N566" s="12">
        <f>E566*(G566*原始输入与口径!$B$5+H566/原始输入与口径!$B$5)/原始输入与口径!$H$5</f>
        <v>0</v>
      </c>
      <c r="O566" s="12">
        <v>0</v>
      </c>
      <c r="P566" s="19">
        <f t="shared" si="60"/>
        <v>0</v>
      </c>
      <c r="Q566" s="12">
        <f t="shared" si="61"/>
        <v>0</v>
      </c>
      <c r="R566" s="12">
        <f t="shared" si="62"/>
        <v>0</v>
      </c>
      <c r="S566" s="1">
        <v>230</v>
      </c>
      <c r="T566" s="14">
        <v>46236</v>
      </c>
    </row>
    <row r="567" spans="1:20" ht="21" customHeight="1" x14ac:dyDescent="0.45">
      <c r="A567" s="31">
        <v>46236.395833333336</v>
      </c>
      <c r="B567" s="31">
        <v>46236.396979761907</v>
      </c>
      <c r="C567" s="31">
        <v>46236.395833333336</v>
      </c>
      <c r="D567" s="1" t="s">
        <v>101</v>
      </c>
      <c r="E567" s="12">
        <v>2.7514285714285717E-2</v>
      </c>
      <c r="F567" s="12">
        <f>IF(D567="d",两日求解价格与决策!K239-两日求解价格与决策!N239,IF(D567="u",两日求解价格与决策!K239+两日求解价格与决策!M239,两日求解价格与决策!K239))</f>
        <v>24</v>
      </c>
      <c r="G567" s="12">
        <f t="shared" si="57"/>
        <v>0</v>
      </c>
      <c r="H567" s="12">
        <f t="shared" si="58"/>
        <v>24</v>
      </c>
      <c r="I567" s="12">
        <f t="shared" si="63"/>
        <v>32.456894409937838</v>
      </c>
      <c r="J567" s="12">
        <f>I567+E567*(G567*原始输入与口径!$B$5-H567/原始输入与口径!$B$5)</f>
        <v>31.73913043478256</v>
      </c>
      <c r="K567" s="12">
        <v>32.456894409937838</v>
      </c>
      <c r="L567" s="12">
        <v>31.73913043478256</v>
      </c>
      <c r="M567" s="19">
        <f t="shared" si="59"/>
        <v>0</v>
      </c>
      <c r="N567" s="12">
        <f>E567*(G567*原始输入与口径!$B$5+H567/原始输入与口径!$B$5)/原始输入与口径!$H$5</f>
        <v>1.9937888198757765E-3</v>
      </c>
      <c r="O567" s="12">
        <v>1.9937888198757765E-3</v>
      </c>
      <c r="P567" s="19">
        <f t="shared" si="60"/>
        <v>0</v>
      </c>
      <c r="Q567" s="12">
        <f t="shared" si="61"/>
        <v>0</v>
      </c>
      <c r="R567" s="12">
        <f t="shared" si="62"/>
        <v>0.66034285714285723</v>
      </c>
      <c r="S567" s="1">
        <v>231</v>
      </c>
      <c r="T567" s="14">
        <v>46236</v>
      </c>
    </row>
    <row r="568" spans="1:20" ht="21" customHeight="1" x14ac:dyDescent="0.45">
      <c r="A568" s="31">
        <v>46236.396979761907</v>
      </c>
      <c r="B568" s="31">
        <v>46236.40625</v>
      </c>
      <c r="C568" s="31">
        <v>46236.395833333336</v>
      </c>
      <c r="D568" s="1" t="s">
        <v>102</v>
      </c>
      <c r="E568" s="12">
        <v>0.22248571428571429</v>
      </c>
      <c r="F568" s="12">
        <f>IF(D568="d",两日求解价格与决策!K239-两日求解价格与决策!N239,IF(D568="u",两日求解价格与决策!K239+两日求解价格与决策!M239,两日求解价格与决策!K239))</f>
        <v>0</v>
      </c>
      <c r="G568" s="12">
        <f t="shared" si="57"/>
        <v>0</v>
      </c>
      <c r="H568" s="12">
        <f t="shared" si="58"/>
        <v>0</v>
      </c>
      <c r="I568" s="12">
        <f t="shared" si="63"/>
        <v>31.73913043478256</v>
      </c>
      <c r="J568" s="12">
        <f>I568+E568*(G568*原始输入与口径!$B$5-H568/原始输入与口径!$B$5)</f>
        <v>31.73913043478256</v>
      </c>
      <c r="K568" s="12">
        <v>31.73913043478256</v>
      </c>
      <c r="L568" s="12">
        <v>31.73913043478256</v>
      </c>
      <c r="M568" s="19">
        <f t="shared" si="59"/>
        <v>0</v>
      </c>
      <c r="N568" s="12">
        <f>E568*(G568*原始输入与口径!$B$5+H568/原始输入与口径!$B$5)/原始输入与口径!$H$5</f>
        <v>0</v>
      </c>
      <c r="O568" s="12">
        <v>0</v>
      </c>
      <c r="P568" s="19">
        <f t="shared" si="60"/>
        <v>0</v>
      </c>
      <c r="Q568" s="12">
        <f t="shared" si="61"/>
        <v>0</v>
      </c>
      <c r="R568" s="12">
        <f t="shared" si="62"/>
        <v>0</v>
      </c>
      <c r="S568" s="1">
        <v>231</v>
      </c>
      <c r="T568" s="14">
        <v>46236</v>
      </c>
    </row>
    <row r="569" spans="1:20" ht="21" customHeight="1" x14ac:dyDescent="0.45">
      <c r="A569" s="31">
        <v>46236.40625</v>
      </c>
      <c r="B569" s="31">
        <v>46236.407223333335</v>
      </c>
      <c r="C569" s="31">
        <v>46236.40625</v>
      </c>
      <c r="D569" s="1" t="s">
        <v>103</v>
      </c>
      <c r="E569" s="12">
        <v>2.3359999999999999E-2</v>
      </c>
      <c r="F569" s="12">
        <f>IF(D569="d",两日求解价格与决策!K240-两日求解价格与决策!N240,IF(D569="u",两日求解价格与决策!K240+两日求解价格与决策!M240,两日求解价格与决策!K240))</f>
        <v>-28.30998084516262</v>
      </c>
      <c r="G569" s="12">
        <f t="shared" si="57"/>
        <v>28.30998084516262</v>
      </c>
      <c r="H569" s="12">
        <f t="shared" si="58"/>
        <v>0</v>
      </c>
      <c r="I569" s="12">
        <f t="shared" si="63"/>
        <v>31.73913043478256</v>
      </c>
      <c r="J569" s="12">
        <f>I569+E569*(G569*原始输入与口径!$B$5-H569/原始输入与口径!$B$5)</f>
        <v>32.347545895122117</v>
      </c>
      <c r="K569" s="12">
        <v>31.73913043478256</v>
      </c>
      <c r="L569" s="12">
        <v>32.347545895122117</v>
      </c>
      <c r="M569" s="19">
        <f t="shared" si="59"/>
        <v>0</v>
      </c>
      <c r="N569" s="12">
        <f>E569*(G569*原始输入与口径!$B$5+H569/原始输入与口径!$B$5)/原始输入与口径!$H$5</f>
        <v>1.6900429453876634E-3</v>
      </c>
      <c r="O569" s="12">
        <v>1.6900429453876634E-3</v>
      </c>
      <c r="P569" s="19">
        <f t="shared" si="60"/>
        <v>0</v>
      </c>
      <c r="Q569" s="12">
        <f t="shared" si="61"/>
        <v>0.66132115254299872</v>
      </c>
      <c r="R569" s="12">
        <f t="shared" si="62"/>
        <v>0</v>
      </c>
      <c r="S569" s="1">
        <v>232</v>
      </c>
      <c r="T569" s="14">
        <v>46236</v>
      </c>
    </row>
    <row r="570" spans="1:20" ht="21" customHeight="1" x14ac:dyDescent="0.45">
      <c r="A570" s="31">
        <v>46236.407223333335</v>
      </c>
      <c r="B570" s="31">
        <v>46236.407283571425</v>
      </c>
      <c r="C570" s="31">
        <v>46236.40625</v>
      </c>
      <c r="D570" s="1" t="s">
        <v>101</v>
      </c>
      <c r="E570" s="12">
        <v>1.4457142857142856E-3</v>
      </c>
      <c r="F570" s="12">
        <f>IF(D570="d",两日求解价格与决策!K240-两日求解价格与决策!N240,IF(D570="u",两日求解价格与决策!K240+两日求解价格与决策!M240,两日求解价格与决策!K240))</f>
        <v>19.69001915483738</v>
      </c>
      <c r="G570" s="12">
        <f t="shared" si="57"/>
        <v>0</v>
      </c>
      <c r="H570" s="12">
        <f t="shared" si="58"/>
        <v>19.69001915483738</v>
      </c>
      <c r="I570" s="12">
        <f t="shared" si="63"/>
        <v>32.347545895122117</v>
      </c>
      <c r="J570" s="12">
        <f>I570+E570*(G570*原始输入与口径!$B$5-H570/原始输入与口径!$B$5)</f>
        <v>32.316604436450227</v>
      </c>
      <c r="K570" s="12">
        <v>32.347545895122117</v>
      </c>
      <c r="L570" s="12">
        <v>32.316604436450227</v>
      </c>
      <c r="M570" s="19">
        <f t="shared" si="59"/>
        <v>0</v>
      </c>
      <c r="N570" s="12">
        <f>E570*(G570*原始输入与口径!$B$5+H570/原始输入与口径!$B$5)/原始输入与口径!$H$5</f>
        <v>8.594849631079808E-5</v>
      </c>
      <c r="O570" s="12">
        <v>8.594849631079808E-5</v>
      </c>
      <c r="P570" s="19">
        <f t="shared" si="60"/>
        <v>0</v>
      </c>
      <c r="Q570" s="12">
        <f t="shared" si="61"/>
        <v>0</v>
      </c>
      <c r="R570" s="12">
        <f t="shared" si="62"/>
        <v>2.8466141978136326E-2</v>
      </c>
      <c r="S570" s="1">
        <v>232</v>
      </c>
      <c r="T570" s="14">
        <v>46236</v>
      </c>
    </row>
    <row r="571" spans="1:20" ht="21" customHeight="1" x14ac:dyDescent="0.45">
      <c r="A571" s="31">
        <v>46236.407283571425</v>
      </c>
      <c r="B571" s="31">
        <v>46236.416666666664</v>
      </c>
      <c r="C571" s="31">
        <v>46236.40625</v>
      </c>
      <c r="D571" s="1" t="s">
        <v>102</v>
      </c>
      <c r="E571" s="12">
        <v>0.22519428571428574</v>
      </c>
      <c r="F571" s="12">
        <f>IF(D571="d",两日求解价格与决策!K240-两日求解价格与决策!N240,IF(D571="u",两日求解价格与决策!K240+两日求解价格与决策!M240,两日求解价格与决策!K240))</f>
        <v>-4.3099808451626211</v>
      </c>
      <c r="G571" s="12">
        <f t="shared" si="57"/>
        <v>4.3099808451626211</v>
      </c>
      <c r="H571" s="12">
        <f t="shared" si="58"/>
        <v>0</v>
      </c>
      <c r="I571" s="12">
        <f t="shared" si="63"/>
        <v>32.316604436450227</v>
      </c>
      <c r="J571" s="12">
        <f>I571+E571*(G571*原始输入与口径!$B$5-H571/原始输入与口径!$B$5)</f>
        <v>33.209540849689382</v>
      </c>
      <c r="K571" s="12">
        <v>32.316604436450227</v>
      </c>
      <c r="L571" s="12">
        <v>33.209540849689382</v>
      </c>
      <c r="M571" s="19">
        <f t="shared" si="59"/>
        <v>0</v>
      </c>
      <c r="N571" s="12">
        <f>E571*(G571*原始输入与口径!$B$5+H571/原始输入与口径!$B$5)/原始输入与口径!$H$5</f>
        <v>2.4803789256643278E-3</v>
      </c>
      <c r="O571" s="12">
        <v>2.4803789256643278E-3</v>
      </c>
      <c r="P571" s="19">
        <f t="shared" si="60"/>
        <v>0</v>
      </c>
      <c r="Q571" s="12">
        <f t="shared" si="61"/>
        <v>0.97058305786865007</v>
      </c>
      <c r="R571" s="12">
        <f t="shared" si="62"/>
        <v>0</v>
      </c>
      <c r="S571" s="1">
        <v>232</v>
      </c>
      <c r="T571" s="14">
        <v>46236</v>
      </c>
    </row>
    <row r="572" spans="1:20" ht="21" customHeight="1" x14ac:dyDescent="0.45">
      <c r="A572" s="31">
        <v>46236.416666666664</v>
      </c>
      <c r="B572" s="31">
        <v>46236.417078571423</v>
      </c>
      <c r="C572" s="31">
        <v>46236.416666666664</v>
      </c>
      <c r="D572" s="1" t="s">
        <v>103</v>
      </c>
      <c r="E572" s="12">
        <v>9.8857142857142859E-3</v>
      </c>
      <c r="F572" s="12">
        <f>IF(D572="d",两日求解价格与决策!K241-两日求解价格与决策!N241,IF(D572="u",两日求解价格与决策!K241+两日求解价格与决策!M241,两日求解价格与决策!K241))</f>
        <v>-24</v>
      </c>
      <c r="G572" s="12">
        <f t="shared" si="57"/>
        <v>24</v>
      </c>
      <c r="H572" s="12">
        <f t="shared" si="58"/>
        <v>0</v>
      </c>
      <c r="I572" s="12">
        <f t="shared" si="63"/>
        <v>33.209540849689382</v>
      </c>
      <c r="J572" s="12">
        <f>I572+E572*(G572*原始输入与口径!$B$5-H572/原始输入与口径!$B$5)</f>
        <v>33.42781742111795</v>
      </c>
      <c r="K572" s="12">
        <v>33.209540849689382</v>
      </c>
      <c r="L572" s="12">
        <v>33.42781742111795</v>
      </c>
      <c r="M572" s="19">
        <f t="shared" si="59"/>
        <v>0</v>
      </c>
      <c r="N572" s="12">
        <f>E572*(G572*原始输入与口径!$B$5+H572/原始输入与口径!$B$5)/原始输入与口径!$H$5</f>
        <v>6.0632380952380961E-4</v>
      </c>
      <c r="O572" s="12">
        <v>6.0632380952380951E-4</v>
      </c>
      <c r="P572" s="19">
        <f t="shared" si="60"/>
        <v>0</v>
      </c>
      <c r="Q572" s="12">
        <f t="shared" si="61"/>
        <v>0.23725714285714286</v>
      </c>
      <c r="R572" s="12">
        <f t="shared" si="62"/>
        <v>0</v>
      </c>
      <c r="S572" s="1">
        <v>233</v>
      </c>
      <c r="T572" s="14">
        <v>46236</v>
      </c>
    </row>
    <row r="573" spans="1:20" ht="21" customHeight="1" x14ac:dyDescent="0.45">
      <c r="A573" s="31">
        <v>46236.417078571423</v>
      </c>
      <c r="B573" s="31">
        <v>46236.419578095236</v>
      </c>
      <c r="C573" s="31">
        <v>46236.416666666664</v>
      </c>
      <c r="D573" s="1" t="s">
        <v>101</v>
      </c>
      <c r="E573" s="12">
        <v>5.9988571428571426E-2</v>
      </c>
      <c r="F573" s="12">
        <f>IF(D573="d",两日求解价格与决策!K241-两日求解价格与决策!N241,IF(D573="u",两日求解价格与决策!K241+两日求解价格与决策!M241,两日求解价格与决策!K241))</f>
        <v>24</v>
      </c>
      <c r="G573" s="12">
        <f t="shared" si="57"/>
        <v>0</v>
      </c>
      <c r="H573" s="12">
        <f t="shared" si="58"/>
        <v>24</v>
      </c>
      <c r="I573" s="12">
        <f t="shared" si="63"/>
        <v>33.42781742111795</v>
      </c>
      <c r="J573" s="12">
        <f>I573+E573*(G573*原始输入与口径!$B$5-H573/原始输入与口径!$B$5)</f>
        <v>31.862898166459566</v>
      </c>
      <c r="K573" s="12">
        <v>33.42781742111795</v>
      </c>
      <c r="L573" s="12">
        <v>31.862898166459566</v>
      </c>
      <c r="M573" s="19">
        <f t="shared" si="59"/>
        <v>0</v>
      </c>
      <c r="N573" s="12">
        <f>E573*(G573*原始输入与口径!$B$5+H573/原始输入与口径!$B$5)/原始输入与口径!$H$5</f>
        <v>4.3469979296066252E-3</v>
      </c>
      <c r="O573" s="12">
        <v>4.3469979296066252E-3</v>
      </c>
      <c r="P573" s="19">
        <f t="shared" si="60"/>
        <v>0</v>
      </c>
      <c r="Q573" s="12">
        <f t="shared" si="61"/>
        <v>0</v>
      </c>
      <c r="R573" s="12">
        <f t="shared" si="62"/>
        <v>1.4397257142857143</v>
      </c>
      <c r="S573" s="1">
        <v>233</v>
      </c>
      <c r="T573" s="14">
        <v>46236</v>
      </c>
    </row>
    <row r="574" spans="1:20" ht="21" customHeight="1" x14ac:dyDescent="0.45">
      <c r="A574" s="31">
        <v>46236.419578095236</v>
      </c>
      <c r="B574" s="31">
        <v>46236.427083333328</v>
      </c>
      <c r="C574" s="31">
        <v>46236.416666666664</v>
      </c>
      <c r="D574" s="1" t="s">
        <v>102</v>
      </c>
      <c r="E574" s="12">
        <v>0.18012571428571431</v>
      </c>
      <c r="F574" s="12">
        <f>IF(D574="d",两日求解价格与决策!K241-两日求解价格与决策!N241,IF(D574="u",两日求解价格与决策!K241+两日求解价格与决策!M241,两日求解价格与决策!K241))</f>
        <v>0</v>
      </c>
      <c r="G574" s="12">
        <f t="shared" si="57"/>
        <v>0</v>
      </c>
      <c r="H574" s="12">
        <f t="shared" si="58"/>
        <v>0</v>
      </c>
      <c r="I574" s="12">
        <f t="shared" si="63"/>
        <v>31.862898166459566</v>
      </c>
      <c r="J574" s="12">
        <f>I574+E574*(G574*原始输入与口径!$B$5-H574/原始输入与口径!$B$5)</f>
        <v>31.862898166459566</v>
      </c>
      <c r="K574" s="12">
        <v>31.862898166459566</v>
      </c>
      <c r="L574" s="12">
        <v>31.862898166459566</v>
      </c>
      <c r="M574" s="19">
        <f t="shared" si="59"/>
        <v>0</v>
      </c>
      <c r="N574" s="12">
        <f>E574*(G574*原始输入与口径!$B$5+H574/原始输入与口径!$B$5)/原始输入与口径!$H$5</f>
        <v>0</v>
      </c>
      <c r="O574" s="12">
        <v>0</v>
      </c>
      <c r="P574" s="19">
        <f t="shared" si="60"/>
        <v>0</v>
      </c>
      <c r="Q574" s="12">
        <f t="shared" si="61"/>
        <v>0</v>
      </c>
      <c r="R574" s="12">
        <f t="shared" si="62"/>
        <v>0</v>
      </c>
      <c r="S574" s="1">
        <v>233</v>
      </c>
      <c r="T574" s="14">
        <v>46236</v>
      </c>
    </row>
    <row r="575" spans="1:20" ht="21" customHeight="1" x14ac:dyDescent="0.45">
      <c r="A575" s="31">
        <v>46236.427083333336</v>
      </c>
      <c r="B575" s="31">
        <v>46236.427114761907</v>
      </c>
      <c r="C575" s="31">
        <v>46236.427083333336</v>
      </c>
      <c r="D575" s="1" t="s">
        <v>103</v>
      </c>
      <c r="E575" s="12">
        <v>7.5428571428571428E-4</v>
      </c>
      <c r="F575" s="12">
        <f>IF(D575="d",两日求解价格与决策!K242-两日求解价格与决策!N242,IF(D575="u",两日求解价格与决策!K242+两日求解价格与决策!M242,两日求解价格与决策!K242))</f>
        <v>-24</v>
      </c>
      <c r="G575" s="12">
        <f t="shared" si="57"/>
        <v>24</v>
      </c>
      <c r="H575" s="12">
        <f t="shared" si="58"/>
        <v>0</v>
      </c>
      <c r="I575" s="12">
        <f t="shared" si="63"/>
        <v>31.862898166459566</v>
      </c>
      <c r="J575" s="12">
        <f>I575+E575*(G575*原始输入与口径!$B$5-H575/原始输入与口径!$B$5)</f>
        <v>31.879552795030992</v>
      </c>
      <c r="K575" s="12">
        <v>31.862898166459566</v>
      </c>
      <c r="L575" s="12">
        <v>31.879552795030992</v>
      </c>
      <c r="M575" s="19">
        <f t="shared" si="59"/>
        <v>0</v>
      </c>
      <c r="N575" s="12">
        <f>E575*(G575*原始输入与口径!$B$5+H575/原始输入与口径!$B$5)/原始输入与口径!$H$5</f>
        <v>4.6262857142857144E-5</v>
      </c>
      <c r="O575" s="12">
        <v>4.6262857142857144E-5</v>
      </c>
      <c r="P575" s="19">
        <f t="shared" si="60"/>
        <v>0</v>
      </c>
      <c r="Q575" s="12">
        <f t="shared" si="61"/>
        <v>1.8102857142857143E-2</v>
      </c>
      <c r="R575" s="12">
        <f t="shared" si="62"/>
        <v>0</v>
      </c>
      <c r="S575" s="1">
        <v>234</v>
      </c>
      <c r="T575" s="14">
        <v>46236</v>
      </c>
    </row>
    <row r="576" spans="1:20" ht="21" customHeight="1" x14ac:dyDescent="0.45">
      <c r="A576" s="31">
        <v>46236.427114761907</v>
      </c>
      <c r="B576" s="31">
        <v>46236.427339047623</v>
      </c>
      <c r="C576" s="31">
        <v>46236.427083333336</v>
      </c>
      <c r="D576" s="1" t="s">
        <v>101</v>
      </c>
      <c r="E576" s="12">
        <v>5.3828571428571424E-3</v>
      </c>
      <c r="F576" s="12">
        <f>IF(D576="d",两日求解价格与决策!K242-两日求解价格与决策!N242,IF(D576="u",两日求解价格与决策!K242+两日求解价格与决策!M242,两日求解价格与决策!K242))</f>
        <v>24</v>
      </c>
      <c r="G576" s="12">
        <f t="shared" si="57"/>
        <v>0</v>
      </c>
      <c r="H576" s="12">
        <f t="shared" si="58"/>
        <v>24</v>
      </c>
      <c r="I576" s="12">
        <f t="shared" si="63"/>
        <v>31.879552795030992</v>
      </c>
      <c r="J576" s="12">
        <f>I576+E576*(G576*原始输入与口径!$B$5-H576/原始输入与口径!$B$5)</f>
        <v>31.739130434782545</v>
      </c>
      <c r="K576" s="12">
        <v>31.879552795030992</v>
      </c>
      <c r="L576" s="12">
        <v>31.739130434782545</v>
      </c>
      <c r="M576" s="19">
        <f t="shared" si="59"/>
        <v>0</v>
      </c>
      <c r="N576" s="12">
        <f>E576*(G576*原始输入与口径!$B$5+H576/原始输入与口径!$B$5)/原始输入与口径!$H$5</f>
        <v>3.9006211180124214E-4</v>
      </c>
      <c r="O576" s="12">
        <v>3.9006211180124225E-4</v>
      </c>
      <c r="P576" s="19">
        <f t="shared" si="60"/>
        <v>0</v>
      </c>
      <c r="Q576" s="12">
        <f t="shared" si="61"/>
        <v>0</v>
      </c>
      <c r="R576" s="12">
        <f t="shared" si="62"/>
        <v>0.12918857142857143</v>
      </c>
      <c r="S576" s="1">
        <v>234</v>
      </c>
      <c r="T576" s="14">
        <v>46236</v>
      </c>
    </row>
    <row r="577" spans="1:20" ht="21" customHeight="1" x14ac:dyDescent="0.45">
      <c r="A577" s="31">
        <v>46236.427339047623</v>
      </c>
      <c r="B577" s="31">
        <v>46236.4375</v>
      </c>
      <c r="C577" s="31">
        <v>46236.427083333336</v>
      </c>
      <c r="D577" s="1" t="s">
        <v>102</v>
      </c>
      <c r="E577" s="12">
        <v>0.24386285714285716</v>
      </c>
      <c r="F577" s="12">
        <f>IF(D577="d",两日求解价格与决策!K242-两日求解价格与决策!N242,IF(D577="u",两日求解价格与决策!K242+两日求解价格与决策!M242,两日求解价格与决策!K242))</f>
        <v>0</v>
      </c>
      <c r="G577" s="12">
        <f t="shared" si="57"/>
        <v>0</v>
      </c>
      <c r="H577" s="12">
        <f t="shared" si="58"/>
        <v>0</v>
      </c>
      <c r="I577" s="12">
        <f t="shared" si="63"/>
        <v>31.739130434782545</v>
      </c>
      <c r="J577" s="12">
        <f>I577+E577*(G577*原始输入与口径!$B$5-H577/原始输入与口径!$B$5)</f>
        <v>31.739130434782545</v>
      </c>
      <c r="K577" s="12">
        <v>31.739130434782545</v>
      </c>
      <c r="L577" s="12">
        <v>31.739130434782545</v>
      </c>
      <c r="M577" s="19">
        <f t="shared" si="59"/>
        <v>0</v>
      </c>
      <c r="N577" s="12">
        <f>E577*(G577*原始输入与口径!$B$5+H577/原始输入与口径!$B$5)/原始输入与口径!$H$5</f>
        <v>0</v>
      </c>
      <c r="O577" s="12">
        <v>0</v>
      </c>
      <c r="P577" s="19">
        <f t="shared" si="60"/>
        <v>0</v>
      </c>
      <c r="Q577" s="12">
        <f t="shared" si="61"/>
        <v>0</v>
      </c>
      <c r="R577" s="12">
        <f t="shared" si="62"/>
        <v>0</v>
      </c>
      <c r="S577" s="1">
        <v>234</v>
      </c>
      <c r="T577" s="14">
        <v>46236</v>
      </c>
    </row>
    <row r="578" spans="1:20" ht="21" customHeight="1" x14ac:dyDescent="0.45">
      <c r="A578" s="31">
        <v>46236.4375</v>
      </c>
      <c r="B578" s="31">
        <v>46236.438251190477</v>
      </c>
      <c r="C578" s="31">
        <v>46236.4375</v>
      </c>
      <c r="D578" s="1" t="s">
        <v>103</v>
      </c>
      <c r="E578" s="12">
        <v>1.8028571428571429E-2</v>
      </c>
      <c r="F578" s="12">
        <f>IF(D578="d",两日求解价格与决策!K243-两日求解价格与决策!N243,IF(D578="u",两日求解价格与决策!K243+两日求解价格与决策!M243,两日求解价格与决策!K243))</f>
        <v>-22.519800583339219</v>
      </c>
      <c r="G578" s="12">
        <f t="shared" si="57"/>
        <v>22.519800583339219</v>
      </c>
      <c r="H578" s="12">
        <f t="shared" si="58"/>
        <v>0</v>
      </c>
      <c r="I578" s="12">
        <f t="shared" si="63"/>
        <v>31.739130434782545</v>
      </c>
      <c r="J578" s="12">
        <f>I578+E578*(G578*原始输入与口径!$B$5-H578/原始输入与口径!$B$5)</f>
        <v>32.112650281486545</v>
      </c>
      <c r="K578" s="12">
        <v>31.739130434782545</v>
      </c>
      <c r="L578" s="12">
        <v>32.112650281486545</v>
      </c>
      <c r="M578" s="19">
        <f t="shared" si="59"/>
        <v>0</v>
      </c>
      <c r="N578" s="12">
        <f>E578*(G578*原始输入与口径!$B$5+H578/原始输入与口径!$B$5)/原始输入与口径!$H$5</f>
        <v>1.0375551297333401E-3</v>
      </c>
      <c r="O578" s="12">
        <v>1.0375551297333401E-3</v>
      </c>
      <c r="P578" s="19">
        <f t="shared" si="60"/>
        <v>0</v>
      </c>
      <c r="Q578" s="12">
        <f t="shared" si="61"/>
        <v>0.40599983337391565</v>
      </c>
      <c r="R578" s="12">
        <f t="shared" si="62"/>
        <v>0</v>
      </c>
      <c r="S578" s="1">
        <v>235</v>
      </c>
      <c r="T578" s="14">
        <v>46236</v>
      </c>
    </row>
    <row r="579" spans="1:20" ht="21" customHeight="1" x14ac:dyDescent="0.45">
      <c r="A579" s="31">
        <v>46236.438251190477</v>
      </c>
      <c r="B579" s="31">
        <v>46236.438251666666</v>
      </c>
      <c r="C579" s="31">
        <v>46236.4375</v>
      </c>
      <c r="D579" s="1" t="s">
        <v>101</v>
      </c>
      <c r="E579" s="12">
        <v>1.1428571428571429E-5</v>
      </c>
      <c r="F579" s="12">
        <f>IF(D579="d",两日求解价格与决策!K243-两日求解价格与决策!N243,IF(D579="u",两日求解价格与决策!K243+两日求解价格与决策!M243,两日求解价格与决策!K243))</f>
        <v>25.480199416660781</v>
      </c>
      <c r="G579" s="12">
        <f t="shared" si="57"/>
        <v>0</v>
      </c>
      <c r="H579" s="12">
        <f t="shared" si="58"/>
        <v>25.480199416660781</v>
      </c>
      <c r="I579" s="12">
        <f t="shared" si="63"/>
        <v>32.112650281486545</v>
      </c>
      <c r="J579" s="12">
        <f>I579+E579*(G579*原始输入与口径!$B$5-H579/原始输入与口径!$B$5)</f>
        <v>32.112333757270186</v>
      </c>
      <c r="K579" s="12">
        <v>32.112650281486545</v>
      </c>
      <c r="L579" s="12">
        <v>32.112333757270186</v>
      </c>
      <c r="M579" s="19">
        <f t="shared" si="59"/>
        <v>0</v>
      </c>
      <c r="N579" s="12">
        <f>E579*(G579*原始输入与口径!$B$5+H579/原始输入与口径!$B$5)/原始输入与口径!$H$5</f>
        <v>8.7923393432231811E-7</v>
      </c>
      <c r="O579" s="12">
        <v>8.7923393432231811E-7</v>
      </c>
      <c r="P579" s="19">
        <f t="shared" si="60"/>
        <v>0</v>
      </c>
      <c r="Q579" s="12">
        <f t="shared" si="61"/>
        <v>0</v>
      </c>
      <c r="R579" s="12">
        <f t="shared" si="62"/>
        <v>2.9120227904755178E-4</v>
      </c>
      <c r="S579" s="1">
        <v>235</v>
      </c>
      <c r="T579" s="14">
        <v>46236</v>
      </c>
    </row>
    <row r="580" spans="1:20" ht="21" customHeight="1" x14ac:dyDescent="0.45">
      <c r="A580" s="31">
        <v>46236.438251666666</v>
      </c>
      <c r="B580" s="31">
        <v>46236.447916666664</v>
      </c>
      <c r="C580" s="31">
        <v>46236.4375</v>
      </c>
      <c r="D580" s="1" t="s">
        <v>102</v>
      </c>
      <c r="E580" s="12">
        <v>0.23196</v>
      </c>
      <c r="F580" s="12">
        <f>IF(D580="d",两日求解价格与决策!K243-两日求解价格与决策!N243,IF(D580="u",两日求解价格与决策!K243+两日求解价格与决策!M243,两日求解价格与决策!K243))</f>
        <v>1.4801994166607806</v>
      </c>
      <c r="G580" s="12">
        <f t="shared" si="57"/>
        <v>0</v>
      </c>
      <c r="H580" s="12">
        <f t="shared" si="58"/>
        <v>1.4801994166607806</v>
      </c>
      <c r="I580" s="12">
        <f t="shared" si="63"/>
        <v>32.112333757270186</v>
      </c>
      <c r="J580" s="12">
        <f>I580+E580*(G580*原始输入与口径!$B$5-H580/原始输入与口径!$B$5)</f>
        <v>31.739130434782538</v>
      </c>
      <c r="K580" s="12">
        <v>32.112333757270186</v>
      </c>
      <c r="L580" s="12">
        <v>31.739130434782538</v>
      </c>
      <c r="M580" s="19">
        <f t="shared" si="59"/>
        <v>0</v>
      </c>
      <c r="N580" s="12">
        <f>E580*(G580*原始输入与口径!$B$5+H580/原始输入与口径!$B$5)/原始输入与口径!$H$5</f>
        <v>1.0366758957990176E-3</v>
      </c>
      <c r="O580" s="12">
        <v>1.0366758957990178E-3</v>
      </c>
      <c r="P580" s="19">
        <f t="shared" si="60"/>
        <v>0</v>
      </c>
      <c r="Q580" s="12">
        <f t="shared" si="61"/>
        <v>0</v>
      </c>
      <c r="R580" s="12">
        <f t="shared" si="62"/>
        <v>0.34334705668863469</v>
      </c>
      <c r="S580" s="1">
        <v>235</v>
      </c>
      <c r="T580" s="14">
        <v>46236</v>
      </c>
    </row>
    <row r="581" spans="1:20" ht="21" customHeight="1" x14ac:dyDescent="0.45">
      <c r="A581" s="31">
        <v>46236.447916666664</v>
      </c>
      <c r="B581" s="31">
        <v>46236.44947071428</v>
      </c>
      <c r="C581" s="31">
        <v>46236.447916666664</v>
      </c>
      <c r="D581" s="1" t="s">
        <v>103</v>
      </c>
      <c r="E581" s="12">
        <v>3.7297142857142855E-2</v>
      </c>
      <c r="F581" s="12">
        <f>IF(D581="d",两日求解价格与决策!K244-两日求解价格与决策!N244,IF(D581="u",两日求解价格与决策!K244+两日求解价格与决策!M244,两日求解价格与决策!K244))</f>
        <v>-24</v>
      </c>
      <c r="G581" s="12">
        <f t="shared" si="57"/>
        <v>24</v>
      </c>
      <c r="H581" s="12">
        <f t="shared" si="58"/>
        <v>0</v>
      </c>
      <c r="I581" s="12">
        <f t="shared" si="63"/>
        <v>31.739130434782538</v>
      </c>
      <c r="J581" s="12">
        <f>I581+E581*(G581*原始输入与口径!$B$5-H581/原始输入与口径!$B$5)</f>
        <v>32.562651349068254</v>
      </c>
      <c r="K581" s="12">
        <v>31.739130434782538</v>
      </c>
      <c r="L581" s="12">
        <v>32.562651349068254</v>
      </c>
      <c r="M581" s="19">
        <f t="shared" si="59"/>
        <v>0</v>
      </c>
      <c r="N581" s="12">
        <f>E581*(G581*原始输入与口径!$B$5+H581/原始输入与口径!$B$5)/原始输入与口径!$H$5</f>
        <v>2.2875580952380951E-3</v>
      </c>
      <c r="O581" s="12">
        <v>2.2875580952380951E-3</v>
      </c>
      <c r="P581" s="19">
        <f t="shared" si="60"/>
        <v>0</v>
      </c>
      <c r="Q581" s="12">
        <f t="shared" si="61"/>
        <v>0.89513142857142847</v>
      </c>
      <c r="R581" s="12">
        <f t="shared" si="62"/>
        <v>0</v>
      </c>
      <c r="S581" s="1">
        <v>236</v>
      </c>
      <c r="T581" s="14">
        <v>46236</v>
      </c>
    </row>
    <row r="582" spans="1:20" ht="21" customHeight="1" x14ac:dyDescent="0.45">
      <c r="A582" s="31">
        <v>46236.44947071428</v>
      </c>
      <c r="B582" s="31">
        <v>46236.458333333328</v>
      </c>
      <c r="C582" s="31">
        <v>46236.447916666664</v>
      </c>
      <c r="D582" s="1" t="s">
        <v>102</v>
      </c>
      <c r="E582" s="12">
        <v>0.21270285714285714</v>
      </c>
      <c r="F582" s="12">
        <f>IF(D582="d",两日求解价格与决策!K244-两日求解价格与决策!N244,IF(D582="u",两日求解价格与决策!K244+两日求解价格与决策!M244,两日求解价格与决策!K244))</f>
        <v>0</v>
      </c>
      <c r="G582" s="12">
        <f t="shared" si="57"/>
        <v>0</v>
      </c>
      <c r="H582" s="12">
        <f t="shared" si="58"/>
        <v>0</v>
      </c>
      <c r="I582" s="12">
        <f t="shared" si="63"/>
        <v>32.562651349068254</v>
      </c>
      <c r="J582" s="12">
        <f>I582+E582*(G582*原始输入与口径!$B$5-H582/原始输入与口径!$B$5)</f>
        <v>32.562651349068254</v>
      </c>
      <c r="K582" s="12">
        <v>32.562651349068254</v>
      </c>
      <c r="L582" s="12">
        <v>32.562651349068254</v>
      </c>
      <c r="M582" s="19">
        <f t="shared" si="59"/>
        <v>0</v>
      </c>
      <c r="N582" s="12">
        <f>E582*(G582*原始输入与口径!$B$5+H582/原始输入与口径!$B$5)/原始输入与口径!$H$5</f>
        <v>0</v>
      </c>
      <c r="O582" s="12">
        <v>0</v>
      </c>
      <c r="P582" s="19">
        <f t="shared" si="60"/>
        <v>0</v>
      </c>
      <c r="Q582" s="12">
        <f t="shared" si="61"/>
        <v>0</v>
      </c>
      <c r="R582" s="12">
        <f t="shared" si="62"/>
        <v>0</v>
      </c>
      <c r="S582" s="1">
        <v>236</v>
      </c>
      <c r="T582" s="14">
        <v>46236</v>
      </c>
    </row>
    <row r="583" spans="1:20" ht="21" customHeight="1" x14ac:dyDescent="0.45">
      <c r="A583" s="31">
        <v>46236.458333333336</v>
      </c>
      <c r="B583" s="31">
        <v>46236.461195476193</v>
      </c>
      <c r="C583" s="31">
        <v>46236.458333333336</v>
      </c>
      <c r="D583" s="1" t="s">
        <v>103</v>
      </c>
      <c r="E583" s="12">
        <v>6.869142857142857E-2</v>
      </c>
      <c r="F583" s="12">
        <f>IF(D583="d",两日求解价格与决策!K245-两日求解价格与决策!N245,IF(D583="u",两日求解价格与决策!K245+两日求解价格与决策!M245,两日求解价格与决策!K245))</f>
        <v>-15.008484164062141</v>
      </c>
      <c r="G583" s="12">
        <f t="shared" si="57"/>
        <v>15.008484164062141</v>
      </c>
      <c r="H583" s="12">
        <f t="shared" si="58"/>
        <v>0</v>
      </c>
      <c r="I583" s="12">
        <f t="shared" si="63"/>
        <v>32.562651349068254</v>
      </c>
      <c r="J583" s="12">
        <f>I583+E583*(G583*原始输入与口径!$B$5-H583/原始输入与口径!$B$5)</f>
        <v>33.511129229555657</v>
      </c>
      <c r="K583" s="12">
        <v>32.562651349068254</v>
      </c>
      <c r="L583" s="12">
        <v>33.511129229555657</v>
      </c>
      <c r="M583" s="19">
        <f t="shared" si="59"/>
        <v>0</v>
      </c>
      <c r="N583" s="12">
        <f>E583*(G583*原始输入与口径!$B$5+H583/原始输入与口径!$B$5)/原始输入与口径!$H$5</f>
        <v>2.6346607791316781E-3</v>
      </c>
      <c r="O583" s="12">
        <v>2.6346607791316776E-3</v>
      </c>
      <c r="P583" s="19">
        <f t="shared" si="60"/>
        <v>0</v>
      </c>
      <c r="Q583" s="12">
        <f t="shared" si="61"/>
        <v>1.0309542179210913</v>
      </c>
      <c r="R583" s="12">
        <f t="shared" si="62"/>
        <v>0</v>
      </c>
      <c r="S583" s="1">
        <v>237</v>
      </c>
      <c r="T583" s="14">
        <v>46236</v>
      </c>
    </row>
    <row r="584" spans="1:20" ht="21" customHeight="1" x14ac:dyDescent="0.45">
      <c r="A584" s="31">
        <v>46236.461195476193</v>
      </c>
      <c r="B584" s="31">
        <v>46236.46875</v>
      </c>
      <c r="C584" s="31">
        <v>46236.458333333336</v>
      </c>
      <c r="D584" s="1" t="s">
        <v>102</v>
      </c>
      <c r="E584" s="12">
        <v>0.18130857142857143</v>
      </c>
      <c r="F584" s="12">
        <f>IF(D584="d",两日求解价格与决策!K245-两日求解价格与决策!N245,IF(D584="u",两日求解价格与决策!K245+两日求解价格与决策!M245,两日求解价格与决策!K245))</f>
        <v>8.9915158359378591</v>
      </c>
      <c r="G584" s="12">
        <f t="shared" si="57"/>
        <v>0</v>
      </c>
      <c r="H584" s="12">
        <f t="shared" si="58"/>
        <v>8.9915158359378591</v>
      </c>
      <c r="I584" s="12">
        <f t="shared" si="63"/>
        <v>33.511129229555657</v>
      </c>
      <c r="J584" s="12">
        <f>I584+E584*(G584*原始输入与口径!$B$5-H584/原始输入与口径!$B$5)</f>
        <v>31.739130434782538</v>
      </c>
      <c r="K584" s="12">
        <v>33.511129229555657</v>
      </c>
      <c r="L584" s="12">
        <v>31.739130434782538</v>
      </c>
      <c r="M584" s="19">
        <f t="shared" si="59"/>
        <v>0</v>
      </c>
      <c r="N584" s="12">
        <f>E584*(G584*原始输入与口径!$B$5+H584/原始输入与口径!$B$5)/原始输入与口径!$H$5</f>
        <v>4.9222188743697779E-3</v>
      </c>
      <c r="O584" s="12">
        <v>4.9222188743697779E-3</v>
      </c>
      <c r="P584" s="19">
        <f t="shared" si="60"/>
        <v>0</v>
      </c>
      <c r="Q584" s="12">
        <f t="shared" si="61"/>
        <v>0</v>
      </c>
      <c r="R584" s="12">
        <f t="shared" si="62"/>
        <v>1.6302388911912704</v>
      </c>
      <c r="S584" s="1">
        <v>237</v>
      </c>
      <c r="T584" s="14">
        <v>46236</v>
      </c>
    </row>
    <row r="585" spans="1:20" ht="21" customHeight="1" x14ac:dyDescent="0.45">
      <c r="A585" s="31">
        <v>46236.46875</v>
      </c>
      <c r="B585" s="31">
        <v>46236.473813095239</v>
      </c>
      <c r="C585" s="31">
        <v>46236.46875</v>
      </c>
      <c r="D585" s="1" t="s">
        <v>103</v>
      </c>
      <c r="E585" s="12">
        <v>0.12151428571428571</v>
      </c>
      <c r="F585" s="12">
        <f>IF(D585="d",两日求解价格与决策!K246-两日求解价格与决策!N246,IF(D585="u",两日求解价格与决策!K246+两日求解价格与决策!M246,两日求解价格与决策!K246))</f>
        <v>-60</v>
      </c>
      <c r="G585" s="12">
        <f t="shared" ref="G585:G648" si="64">MAX(-F585,0)</f>
        <v>60</v>
      </c>
      <c r="H585" s="12">
        <f t="shared" ref="H585:H648" si="65">MAX(F585,0)</f>
        <v>0</v>
      </c>
      <c r="I585" s="12">
        <f t="shared" si="63"/>
        <v>31.739130434782538</v>
      </c>
      <c r="J585" s="12">
        <f>I585+E585*(G585*原始输入与口径!$B$5-H585/原始输入与口径!$B$5)</f>
        <v>38.446719006211111</v>
      </c>
      <c r="K585" s="12">
        <v>31.739130434782538</v>
      </c>
      <c r="L585" s="12">
        <v>38.446719006211111</v>
      </c>
      <c r="M585" s="19">
        <f t="shared" ref="M585:M648" si="66">J585-L585</f>
        <v>0</v>
      </c>
      <c r="N585" s="12">
        <f>E585*(G585*原始输入与口径!$B$5+H585/原始输入与口径!$B$5)/原始输入与口径!$H$5</f>
        <v>1.8632190476190476E-2</v>
      </c>
      <c r="O585" s="12">
        <v>1.8632190476190476E-2</v>
      </c>
      <c r="P585" s="19">
        <f t="shared" ref="P585:P648" si="67">N585-O585</f>
        <v>0</v>
      </c>
      <c r="Q585" s="12">
        <f t="shared" ref="Q585:Q648" si="68">E585*G585</f>
        <v>7.2908571428571429</v>
      </c>
      <c r="R585" s="12">
        <f t="shared" ref="R585:R648" si="69">E585*H585</f>
        <v>0</v>
      </c>
      <c r="S585" s="1">
        <v>238</v>
      </c>
      <c r="T585" s="14">
        <v>46236</v>
      </c>
    </row>
    <row r="586" spans="1:20" ht="21" customHeight="1" x14ac:dyDescent="0.45">
      <c r="A586" s="31">
        <v>46236.473813095239</v>
      </c>
      <c r="B586" s="31">
        <v>46236.479166666664</v>
      </c>
      <c r="C586" s="31">
        <v>46236.46875</v>
      </c>
      <c r="D586" s="1" t="s">
        <v>102</v>
      </c>
      <c r="E586" s="12">
        <v>0.12848571428571429</v>
      </c>
      <c r="F586" s="12">
        <f>IF(D586="d",两日求解价格与决策!K246-两日求解价格与决策!N246,IF(D586="u",两日求解价格与决策!K246+两日求解价格与决策!M246,两日求解价格与决策!K246))</f>
        <v>-36</v>
      </c>
      <c r="G586" s="12">
        <f t="shared" si="64"/>
        <v>36</v>
      </c>
      <c r="H586" s="12">
        <f t="shared" si="65"/>
        <v>0</v>
      </c>
      <c r="I586" s="12">
        <f t="shared" si="63"/>
        <v>38.446719006211111</v>
      </c>
      <c r="J586" s="12">
        <f>I586+E586*(G586*原始输入与口径!$B$5-H586/原始输入与口径!$B$5)</f>
        <v>42.702165863353969</v>
      </c>
      <c r="K586" s="12">
        <v>38.446719006211111</v>
      </c>
      <c r="L586" s="12">
        <v>42.702165863353969</v>
      </c>
      <c r="M586" s="19">
        <f t="shared" si="66"/>
        <v>0</v>
      </c>
      <c r="N586" s="12">
        <f>E586*(G586*原始输入与口径!$B$5+H586/原始输入与口径!$B$5)/原始输入与口径!$H$5</f>
        <v>1.1820685714285717E-2</v>
      </c>
      <c r="O586" s="12">
        <v>1.1820685714285715E-2</v>
      </c>
      <c r="P586" s="19">
        <f t="shared" si="67"/>
        <v>0</v>
      </c>
      <c r="Q586" s="12">
        <f t="shared" si="68"/>
        <v>4.6254857142857144</v>
      </c>
      <c r="R586" s="12">
        <f t="shared" si="69"/>
        <v>0</v>
      </c>
      <c r="S586" s="1">
        <v>238</v>
      </c>
      <c r="T586" s="14">
        <v>46236</v>
      </c>
    </row>
    <row r="587" spans="1:20" ht="21" customHeight="1" x14ac:dyDescent="0.45">
      <c r="A587" s="31">
        <v>46236.479166666664</v>
      </c>
      <c r="B587" s="31">
        <v>46236.486321666664</v>
      </c>
      <c r="C587" s="31">
        <v>46236.479166666664</v>
      </c>
      <c r="D587" s="1" t="s">
        <v>103</v>
      </c>
      <c r="E587" s="12">
        <v>0.17171999999999998</v>
      </c>
      <c r="F587" s="12">
        <f>IF(D587="d",两日求解价格与决策!K247-两日求解价格与决策!N247,IF(D587="u",两日求解价格与决策!K247+两日求解价格与决策!M247,两日求解价格与决策!K247))</f>
        <v>-60</v>
      </c>
      <c r="G587" s="12">
        <f t="shared" si="64"/>
        <v>60</v>
      </c>
      <c r="H587" s="12">
        <f t="shared" si="65"/>
        <v>0</v>
      </c>
      <c r="I587" s="12">
        <f t="shared" si="63"/>
        <v>42.702165863353969</v>
      </c>
      <c r="J587" s="12">
        <f>I587+E587*(G587*原始输入与口径!$B$5-H587/原始输入与口径!$B$5)</f>
        <v>52.181109863353967</v>
      </c>
      <c r="K587" s="12">
        <v>42.702165863353969</v>
      </c>
      <c r="L587" s="12">
        <v>52.181109863353967</v>
      </c>
      <c r="M587" s="19">
        <f t="shared" si="66"/>
        <v>0</v>
      </c>
      <c r="N587" s="12">
        <f>E587*(G587*原始输入与口径!$B$5+H587/原始输入与口径!$B$5)/原始输入与口径!$H$5</f>
        <v>2.63304E-2</v>
      </c>
      <c r="O587" s="12">
        <v>2.6330399999999997E-2</v>
      </c>
      <c r="P587" s="19">
        <f t="shared" si="67"/>
        <v>0</v>
      </c>
      <c r="Q587" s="12">
        <f t="shared" si="68"/>
        <v>10.303199999999999</v>
      </c>
      <c r="R587" s="12">
        <f t="shared" si="69"/>
        <v>0</v>
      </c>
      <c r="S587" s="1">
        <v>239</v>
      </c>
      <c r="T587" s="14">
        <v>46236</v>
      </c>
    </row>
    <row r="588" spans="1:20" ht="21" customHeight="1" x14ac:dyDescent="0.45">
      <c r="A588" s="31">
        <v>46236.486321666664</v>
      </c>
      <c r="B588" s="31">
        <v>46236.489583333328</v>
      </c>
      <c r="C588" s="31">
        <v>46236.479166666664</v>
      </c>
      <c r="D588" s="1" t="s">
        <v>102</v>
      </c>
      <c r="E588" s="12">
        <v>7.8280000000000016E-2</v>
      </c>
      <c r="F588" s="12">
        <f>IF(D588="d",两日求解价格与决策!K247-两日求解价格与决策!N247,IF(D588="u",两日求解价格与决策!K247+两日求解价格与决策!M247,两日求解价格与决策!K247))</f>
        <v>-36</v>
      </c>
      <c r="G588" s="12">
        <f t="shared" si="64"/>
        <v>36</v>
      </c>
      <c r="H588" s="12">
        <f t="shared" si="65"/>
        <v>0</v>
      </c>
      <c r="I588" s="12">
        <f t="shared" si="63"/>
        <v>52.181109863353967</v>
      </c>
      <c r="J588" s="12">
        <f>I588+E588*(G588*原始输入与口径!$B$5-H588/原始输入与口径!$B$5)</f>
        <v>54.773743463353966</v>
      </c>
      <c r="K588" s="12">
        <v>52.181109863353967</v>
      </c>
      <c r="L588" s="12">
        <v>54.773743463353966</v>
      </c>
      <c r="M588" s="19">
        <f t="shared" si="66"/>
        <v>0</v>
      </c>
      <c r="N588" s="12">
        <f>E588*(G588*原始输入与口径!$B$5+H588/原始输入与口径!$B$5)/原始输入与口径!$H$5</f>
        <v>7.2017600000000024E-3</v>
      </c>
      <c r="O588" s="12">
        <v>7.2017600000000015E-3</v>
      </c>
      <c r="P588" s="19">
        <f t="shared" si="67"/>
        <v>0</v>
      </c>
      <c r="Q588" s="12">
        <f t="shared" si="68"/>
        <v>2.8180800000000006</v>
      </c>
      <c r="R588" s="12">
        <f t="shared" si="69"/>
        <v>0</v>
      </c>
      <c r="S588" s="1">
        <v>239</v>
      </c>
      <c r="T588" s="14">
        <v>46236</v>
      </c>
    </row>
    <row r="589" spans="1:20" ht="21" customHeight="1" x14ac:dyDescent="0.45">
      <c r="A589" s="31">
        <v>46236.489583333336</v>
      </c>
      <c r="B589" s="31">
        <v>46236.497135238096</v>
      </c>
      <c r="C589" s="31">
        <v>46236.489583333336</v>
      </c>
      <c r="D589" s="1" t="s">
        <v>103</v>
      </c>
      <c r="E589" s="12">
        <v>0.18124571428571429</v>
      </c>
      <c r="F589" s="12">
        <f>IF(D589="d",两日求解价格与决策!K248-两日求解价格与决策!N248,IF(D589="u",两日求解价格与决策!K248+两日求解价格与决策!M248,两日求解价格与决策!K248))</f>
        <v>-60</v>
      </c>
      <c r="G589" s="12">
        <f t="shared" si="64"/>
        <v>60</v>
      </c>
      <c r="H589" s="12">
        <f t="shared" si="65"/>
        <v>0</v>
      </c>
      <c r="I589" s="12">
        <f t="shared" si="63"/>
        <v>54.773743463353966</v>
      </c>
      <c r="J589" s="12">
        <f>I589+E589*(G589*原始输入与口径!$B$5-H589/原始输入与口径!$B$5)</f>
        <v>64.778506891925389</v>
      </c>
      <c r="K589" s="12">
        <v>54.773743463353966</v>
      </c>
      <c r="L589" s="12">
        <v>64.778506891925389</v>
      </c>
      <c r="M589" s="19">
        <f t="shared" si="66"/>
        <v>0</v>
      </c>
      <c r="N589" s="12">
        <f>E589*(G589*原始输入与口径!$B$5+H589/原始输入与口径!$B$5)/原始输入与口径!$H$5</f>
        <v>2.7791009523809525E-2</v>
      </c>
      <c r="O589" s="12">
        <v>2.7791009523809525E-2</v>
      </c>
      <c r="P589" s="19">
        <f t="shared" si="67"/>
        <v>0</v>
      </c>
      <c r="Q589" s="12">
        <f t="shared" si="68"/>
        <v>10.874742857142857</v>
      </c>
      <c r="R589" s="12">
        <f t="shared" si="69"/>
        <v>0</v>
      </c>
      <c r="S589" s="1">
        <v>240</v>
      </c>
      <c r="T589" s="14">
        <v>46236</v>
      </c>
    </row>
    <row r="590" spans="1:20" ht="21" customHeight="1" x14ac:dyDescent="0.45">
      <c r="A590" s="31">
        <v>46236.497135238096</v>
      </c>
      <c r="B590" s="31">
        <v>46236.5</v>
      </c>
      <c r="C590" s="31">
        <v>46236.489583333336</v>
      </c>
      <c r="D590" s="1" t="s">
        <v>102</v>
      </c>
      <c r="E590" s="12">
        <v>6.8754285714285712E-2</v>
      </c>
      <c r="F590" s="12">
        <f>IF(D590="d",两日求解价格与决策!K248-两日求解价格与决策!N248,IF(D590="u",两日求解价格与决策!K248+两日求解价格与决策!M248,两日求解价格与决策!K248))</f>
        <v>-36</v>
      </c>
      <c r="G590" s="12">
        <f t="shared" si="64"/>
        <v>36</v>
      </c>
      <c r="H590" s="12">
        <f t="shared" si="65"/>
        <v>0</v>
      </c>
      <c r="I590" s="12">
        <f t="shared" si="63"/>
        <v>64.778506891925389</v>
      </c>
      <c r="J590" s="12">
        <f>I590+E590*(G590*原始输入与口径!$B$5-H590/原始输入与口径!$B$5)</f>
        <v>67.055648834782531</v>
      </c>
      <c r="K590" s="12">
        <v>64.778506891925389</v>
      </c>
      <c r="L590" s="12">
        <v>67.055648834782531</v>
      </c>
      <c r="M590" s="19">
        <f t="shared" si="66"/>
        <v>0</v>
      </c>
      <c r="N590" s="12">
        <f>E590*(G590*原始输入与口径!$B$5+H590/原始输入与口径!$B$5)/原始输入与口径!$H$5</f>
        <v>6.3253942857142854E-3</v>
      </c>
      <c r="O590" s="12">
        <v>6.3253942857142854E-3</v>
      </c>
      <c r="P590" s="19">
        <f t="shared" si="67"/>
        <v>0</v>
      </c>
      <c r="Q590" s="12">
        <f t="shared" si="68"/>
        <v>2.4751542857142859</v>
      </c>
      <c r="R590" s="12">
        <f t="shared" si="69"/>
        <v>0</v>
      </c>
      <c r="S590" s="1">
        <v>240</v>
      </c>
      <c r="T590" s="14">
        <v>46236</v>
      </c>
    </row>
    <row r="591" spans="1:20" ht="21" customHeight="1" x14ac:dyDescent="0.45">
      <c r="A591" s="31">
        <v>46236.5</v>
      </c>
      <c r="B591" s="31">
        <v>46236.50669761905</v>
      </c>
      <c r="C591" s="31">
        <v>46236.5</v>
      </c>
      <c r="D591" s="1" t="s">
        <v>103</v>
      </c>
      <c r="E591" s="12">
        <v>0.16074285714285713</v>
      </c>
      <c r="F591" s="12">
        <f>IF(D591="d",两日求解价格与决策!K249-两日求解价格与决策!N249,IF(D591="u",两日求解价格与决策!K249+两日求解价格与决策!M249,两日求解价格与决策!K249))</f>
        <v>-60</v>
      </c>
      <c r="G591" s="12">
        <f t="shared" si="64"/>
        <v>60</v>
      </c>
      <c r="H591" s="12">
        <f t="shared" si="65"/>
        <v>0</v>
      </c>
      <c r="I591" s="12">
        <f t="shared" si="63"/>
        <v>67.055648834782531</v>
      </c>
      <c r="J591" s="12">
        <f>I591+E591*(G591*原始输入与口径!$B$5-H591/原始输入与口径!$B$5)</f>
        <v>75.928654549068241</v>
      </c>
      <c r="K591" s="12">
        <v>67.055648834782531</v>
      </c>
      <c r="L591" s="12">
        <v>75.928654549068241</v>
      </c>
      <c r="M591" s="19">
        <f t="shared" si="66"/>
        <v>0</v>
      </c>
      <c r="N591" s="12">
        <f>E591*(G591*原始输入与口径!$B$5+H591/原始输入与口径!$B$5)/原始输入与口径!$H$5</f>
        <v>2.4647238095238094E-2</v>
      </c>
      <c r="O591" s="12">
        <v>2.4647238095238094E-2</v>
      </c>
      <c r="P591" s="19">
        <f t="shared" si="67"/>
        <v>0</v>
      </c>
      <c r="Q591" s="12">
        <f t="shared" si="68"/>
        <v>9.6445714285714281</v>
      </c>
      <c r="R591" s="12">
        <f t="shared" si="69"/>
        <v>0</v>
      </c>
      <c r="S591" s="1">
        <v>241</v>
      </c>
      <c r="T591" s="14">
        <v>46236</v>
      </c>
    </row>
    <row r="592" spans="1:20" ht="21" customHeight="1" x14ac:dyDescent="0.45">
      <c r="A592" s="31">
        <v>46236.50669761905</v>
      </c>
      <c r="B592" s="31">
        <v>46236.510416666664</v>
      </c>
      <c r="C592" s="31">
        <v>46236.5</v>
      </c>
      <c r="D592" s="1" t="s">
        <v>102</v>
      </c>
      <c r="E592" s="12">
        <v>8.9257142857142868E-2</v>
      </c>
      <c r="F592" s="12">
        <f>IF(D592="d",两日求解价格与决策!K249-两日求解价格与决策!N249,IF(D592="u",两日求解价格与决策!K249+两日求解价格与决策!M249,两日求解价格与决策!K249))</f>
        <v>-36</v>
      </c>
      <c r="G592" s="12">
        <f t="shared" si="64"/>
        <v>36</v>
      </c>
      <c r="H592" s="12">
        <f t="shared" si="65"/>
        <v>0</v>
      </c>
      <c r="I592" s="12">
        <f t="shared" si="63"/>
        <v>75.928654549068241</v>
      </c>
      <c r="J592" s="12">
        <f>I592+E592*(G592*原始输入与口径!$B$5-H592/原始输入与口径!$B$5)</f>
        <v>78.884851120496819</v>
      </c>
      <c r="K592" s="12">
        <v>75.928654549068241</v>
      </c>
      <c r="L592" s="12">
        <v>78.884851120496819</v>
      </c>
      <c r="M592" s="19">
        <f t="shared" si="66"/>
        <v>0</v>
      </c>
      <c r="N592" s="12">
        <f>E592*(G592*原始输入与口径!$B$5+H592/原始输入与口径!$B$5)/原始输入与口径!$H$5</f>
        <v>8.2116571428571452E-3</v>
      </c>
      <c r="O592" s="12">
        <v>8.2116571428571452E-3</v>
      </c>
      <c r="P592" s="19">
        <f t="shared" si="67"/>
        <v>0</v>
      </c>
      <c r="Q592" s="12">
        <f t="shared" si="68"/>
        <v>3.2132571428571435</v>
      </c>
      <c r="R592" s="12">
        <f t="shared" si="69"/>
        <v>0</v>
      </c>
      <c r="S592" s="1">
        <v>241</v>
      </c>
      <c r="T592" s="14">
        <v>46236</v>
      </c>
    </row>
    <row r="593" spans="1:20" ht="21" customHeight="1" x14ac:dyDescent="0.45">
      <c r="A593" s="31">
        <v>46236.510416666664</v>
      </c>
      <c r="B593" s="31">
        <v>46236.515375476185</v>
      </c>
      <c r="C593" s="31">
        <v>46236.510416666664</v>
      </c>
      <c r="D593" s="1" t="s">
        <v>103</v>
      </c>
      <c r="E593" s="12">
        <v>0.11901142857142859</v>
      </c>
      <c r="F593" s="12">
        <f>IF(D593="d",两日求解价格与决策!K250-两日求解价格与决策!N250,IF(D593="u",两日求解价格与决策!K250+两日求解价格与决策!M250,两日求解价格与决策!K250))</f>
        <v>-60</v>
      </c>
      <c r="G593" s="12">
        <f t="shared" si="64"/>
        <v>60</v>
      </c>
      <c r="H593" s="12">
        <f t="shared" si="65"/>
        <v>0</v>
      </c>
      <c r="I593" s="12">
        <f t="shared" si="63"/>
        <v>78.884851120496819</v>
      </c>
      <c r="J593" s="12">
        <f>I593+E593*(G593*原始输入与口径!$B$5-H593/原始输入与口径!$B$5)</f>
        <v>85.454281977639681</v>
      </c>
      <c r="K593" s="12">
        <v>78.884851120496819</v>
      </c>
      <c r="L593" s="12">
        <v>85.454281977639681</v>
      </c>
      <c r="M593" s="19">
        <f t="shared" si="66"/>
        <v>0</v>
      </c>
      <c r="N593" s="12">
        <f>E593*(G593*原始输入与口径!$B$5+H593/原始输入与口径!$B$5)/原始输入与口径!$H$5</f>
        <v>1.8248419047619053E-2</v>
      </c>
      <c r="O593" s="12">
        <v>1.8248419047619053E-2</v>
      </c>
      <c r="P593" s="19">
        <f t="shared" si="67"/>
        <v>0</v>
      </c>
      <c r="Q593" s="12">
        <f t="shared" si="68"/>
        <v>7.1406857142857154</v>
      </c>
      <c r="R593" s="12">
        <f t="shared" si="69"/>
        <v>0</v>
      </c>
      <c r="S593" s="1">
        <v>242</v>
      </c>
      <c r="T593" s="14">
        <v>46236</v>
      </c>
    </row>
    <row r="594" spans="1:20" ht="21" customHeight="1" x14ac:dyDescent="0.45">
      <c r="A594" s="31">
        <v>46236.515375476185</v>
      </c>
      <c r="B594" s="31">
        <v>46236.520833333328</v>
      </c>
      <c r="C594" s="31">
        <v>46236.510416666664</v>
      </c>
      <c r="D594" s="1" t="s">
        <v>102</v>
      </c>
      <c r="E594" s="12">
        <v>0.1309885714285714</v>
      </c>
      <c r="F594" s="12">
        <f>IF(D594="d",两日求解价格与决策!K250-两日求解价格与决策!N250,IF(D594="u",两日求解价格与决策!K250+两日求解价格与决策!M250,两日求解价格与决策!K250))</f>
        <v>-36</v>
      </c>
      <c r="G594" s="12">
        <f t="shared" si="64"/>
        <v>36</v>
      </c>
      <c r="H594" s="12">
        <f t="shared" si="65"/>
        <v>0</v>
      </c>
      <c r="I594" s="12">
        <f t="shared" si="63"/>
        <v>85.454281977639681</v>
      </c>
      <c r="J594" s="12">
        <f>I594+E594*(G594*原始输入与口径!$B$5-H594/原始输入与口径!$B$5)</f>
        <v>89.792623463353962</v>
      </c>
      <c r="K594" s="12">
        <v>85.454281977639681</v>
      </c>
      <c r="L594" s="12">
        <v>89.792623463353962</v>
      </c>
      <c r="M594" s="19">
        <f t="shared" si="66"/>
        <v>0</v>
      </c>
      <c r="N594" s="12">
        <f>E594*(G594*原始输入与口径!$B$5+H594/原始输入与口径!$B$5)/原始输入与口径!$H$5</f>
        <v>1.205094857142857E-2</v>
      </c>
      <c r="O594" s="12">
        <v>1.205094857142857E-2</v>
      </c>
      <c r="P594" s="19">
        <f t="shared" si="67"/>
        <v>0</v>
      </c>
      <c r="Q594" s="12">
        <f t="shared" si="68"/>
        <v>4.7155885714285706</v>
      </c>
      <c r="R594" s="12">
        <f t="shared" si="69"/>
        <v>0</v>
      </c>
      <c r="S594" s="1">
        <v>242</v>
      </c>
      <c r="T594" s="14">
        <v>46236</v>
      </c>
    </row>
    <row r="595" spans="1:20" ht="21" customHeight="1" x14ac:dyDescent="0.45">
      <c r="A595" s="31">
        <v>46236.520833333336</v>
      </c>
      <c r="B595" s="31">
        <v>46236.523133571434</v>
      </c>
      <c r="C595" s="31">
        <v>46236.520833333336</v>
      </c>
      <c r="D595" s="1" t="s">
        <v>103</v>
      </c>
      <c r="E595" s="12">
        <v>5.5205714285714282E-2</v>
      </c>
      <c r="F595" s="12">
        <f>IF(D595="d",两日求解价格与决策!K251-两日求解价格与决策!N251,IF(D595="u",两日求解价格与决策!K251+两日求解价格与决策!M251,两日求解价格与决策!K251))</f>
        <v>-60</v>
      </c>
      <c r="G595" s="12">
        <f t="shared" si="64"/>
        <v>60</v>
      </c>
      <c r="H595" s="12">
        <f t="shared" si="65"/>
        <v>0</v>
      </c>
      <c r="I595" s="12">
        <f t="shared" si="63"/>
        <v>89.792623463353962</v>
      </c>
      <c r="J595" s="12">
        <f>I595+E595*(G595*原始输入与口径!$B$5-H595/原始输入与口径!$B$5)</f>
        <v>92.839978891925398</v>
      </c>
      <c r="K595" s="12">
        <v>89.792623463353962</v>
      </c>
      <c r="L595" s="12">
        <v>92.839978891925398</v>
      </c>
      <c r="M595" s="19">
        <f t="shared" si="66"/>
        <v>0</v>
      </c>
      <c r="N595" s="12">
        <f>E595*(G595*原始输入与口径!$B$5+H595/原始输入与口径!$B$5)/原始输入与口径!$H$5</f>
        <v>8.46487619047619E-3</v>
      </c>
      <c r="O595" s="12">
        <v>8.46487619047619E-3</v>
      </c>
      <c r="P595" s="19">
        <f t="shared" si="67"/>
        <v>0</v>
      </c>
      <c r="Q595" s="12">
        <f t="shared" si="68"/>
        <v>3.3123428571428568</v>
      </c>
      <c r="R595" s="12">
        <f t="shared" si="69"/>
        <v>0</v>
      </c>
      <c r="S595" s="1">
        <v>243</v>
      </c>
      <c r="T595" s="14">
        <v>46236</v>
      </c>
    </row>
    <row r="596" spans="1:20" ht="21" customHeight="1" x14ac:dyDescent="0.45">
      <c r="A596" s="31">
        <v>46236.523133571434</v>
      </c>
      <c r="B596" s="31">
        <v>46236.53125</v>
      </c>
      <c r="C596" s="31">
        <v>46236.520833333336</v>
      </c>
      <c r="D596" s="1" t="s">
        <v>102</v>
      </c>
      <c r="E596" s="12">
        <v>0.19479428571428573</v>
      </c>
      <c r="F596" s="12">
        <f>IF(D596="d",两日求解价格与决策!K251-两日求解价格与决策!N251,IF(D596="u",两日求解价格与决策!K251+两日求解价格与决策!M251,两日求解价格与决策!K251))</f>
        <v>-36</v>
      </c>
      <c r="G596" s="12">
        <f t="shared" si="64"/>
        <v>36</v>
      </c>
      <c r="H596" s="12">
        <f t="shared" si="65"/>
        <v>0</v>
      </c>
      <c r="I596" s="12">
        <f t="shared" si="63"/>
        <v>92.839978891925398</v>
      </c>
      <c r="J596" s="12">
        <f>I596+E596*(G596*原始输入与口径!$B$5-H596/原始输入与口径!$B$5)</f>
        <v>99.291565634782543</v>
      </c>
      <c r="K596" s="12">
        <v>92.839978891925398</v>
      </c>
      <c r="L596" s="12">
        <v>99.291565634782543</v>
      </c>
      <c r="M596" s="19">
        <f t="shared" si="66"/>
        <v>0</v>
      </c>
      <c r="N596" s="12">
        <f>E596*(G596*原始输入与口径!$B$5+H596/原始输入与口径!$B$5)/原始输入与口径!$H$5</f>
        <v>1.7921074285714291E-2</v>
      </c>
      <c r="O596" s="12">
        <v>1.7921074285714288E-2</v>
      </c>
      <c r="P596" s="19">
        <f t="shared" si="67"/>
        <v>0</v>
      </c>
      <c r="Q596" s="12">
        <f t="shared" si="68"/>
        <v>7.012594285714286</v>
      </c>
      <c r="R596" s="12">
        <f t="shared" si="69"/>
        <v>0</v>
      </c>
      <c r="S596" s="1">
        <v>243</v>
      </c>
      <c r="T596" s="14">
        <v>46236</v>
      </c>
    </row>
    <row r="597" spans="1:20" ht="21" customHeight="1" x14ac:dyDescent="0.45">
      <c r="A597" s="31">
        <v>46236.53125</v>
      </c>
      <c r="B597" s="31">
        <v>46236.534878333332</v>
      </c>
      <c r="C597" s="31">
        <v>46236.53125</v>
      </c>
      <c r="D597" s="1" t="s">
        <v>103</v>
      </c>
      <c r="E597" s="12">
        <v>8.7080000000000005E-2</v>
      </c>
      <c r="F597" s="12">
        <f>IF(D597="d",两日求解价格与决策!K252-两日求解价格与决策!N252,IF(D597="u",两日求解价格与决策!K252+两日求解价格与决策!M252,两日求解价格与决策!K252))</f>
        <v>-60</v>
      </c>
      <c r="G597" s="12">
        <f t="shared" si="64"/>
        <v>60</v>
      </c>
      <c r="H597" s="12">
        <f t="shared" si="65"/>
        <v>0</v>
      </c>
      <c r="I597" s="12">
        <f t="shared" si="63"/>
        <v>99.291565634782543</v>
      </c>
      <c r="J597" s="12">
        <f>I597+E597*(G597*原始输入与口径!$B$5-H597/原始输入与口径!$B$5)</f>
        <v>104.09838163478254</v>
      </c>
      <c r="K597" s="12">
        <v>99.291565634782543</v>
      </c>
      <c r="L597" s="12">
        <v>104.09838163478254</v>
      </c>
      <c r="M597" s="19">
        <f t="shared" si="66"/>
        <v>0</v>
      </c>
      <c r="N597" s="12">
        <f>E597*(G597*原始输入与口径!$B$5+H597/原始输入与口径!$B$5)/原始输入与口径!$H$5</f>
        <v>1.3352266666666668E-2</v>
      </c>
      <c r="O597" s="12">
        <v>1.3352266666666668E-2</v>
      </c>
      <c r="P597" s="19">
        <f t="shared" si="67"/>
        <v>0</v>
      </c>
      <c r="Q597" s="12">
        <f t="shared" si="68"/>
        <v>5.2248000000000001</v>
      </c>
      <c r="R597" s="12">
        <f t="shared" si="69"/>
        <v>0</v>
      </c>
      <c r="S597" s="1">
        <v>244</v>
      </c>
      <c r="T597" s="14">
        <v>46236</v>
      </c>
    </row>
    <row r="598" spans="1:20" ht="21" customHeight="1" x14ac:dyDescent="0.45">
      <c r="A598" s="31">
        <v>46236.534878333332</v>
      </c>
      <c r="B598" s="31">
        <v>46236.541666666664</v>
      </c>
      <c r="C598" s="31">
        <v>46236.53125</v>
      </c>
      <c r="D598" s="1" t="s">
        <v>102</v>
      </c>
      <c r="E598" s="12">
        <v>0.16292000000000001</v>
      </c>
      <c r="F598" s="12">
        <f>IF(D598="d",两日求解价格与决策!K252-两日求解价格与决策!N252,IF(D598="u",两日求解价格与决策!K252+两日求解价格与决策!M252,两日求解价格与决策!K252))</f>
        <v>-36</v>
      </c>
      <c r="G598" s="12">
        <f t="shared" si="64"/>
        <v>36</v>
      </c>
      <c r="H598" s="12">
        <f t="shared" si="65"/>
        <v>0</v>
      </c>
      <c r="I598" s="12">
        <f t="shared" si="63"/>
        <v>104.09838163478254</v>
      </c>
      <c r="J598" s="12">
        <f>I598+E598*(G598*原始输入与口径!$B$5-H598/原始输入与口径!$B$5)</f>
        <v>109.49429203478255</v>
      </c>
      <c r="K598" s="12">
        <v>104.09838163478254</v>
      </c>
      <c r="L598" s="12">
        <v>109.49429203478255</v>
      </c>
      <c r="M598" s="19">
        <f t="shared" si="66"/>
        <v>0</v>
      </c>
      <c r="N598" s="12">
        <f>E598*(G598*原始输入与口径!$B$5+H598/原始输入与口径!$B$5)/原始输入与口径!$H$5</f>
        <v>1.4988640000000003E-2</v>
      </c>
      <c r="O598" s="12">
        <v>1.4988639999999999E-2</v>
      </c>
      <c r="P598" s="19">
        <f t="shared" si="67"/>
        <v>0</v>
      </c>
      <c r="Q598" s="12">
        <f t="shared" si="68"/>
        <v>5.8651200000000001</v>
      </c>
      <c r="R598" s="12">
        <f t="shared" si="69"/>
        <v>0</v>
      </c>
      <c r="S598" s="1">
        <v>244</v>
      </c>
      <c r="T598" s="14">
        <v>46236</v>
      </c>
    </row>
    <row r="599" spans="1:20" ht="21" customHeight="1" x14ac:dyDescent="0.45">
      <c r="A599" s="31">
        <v>46236.541666666664</v>
      </c>
      <c r="B599" s="31">
        <v>46236.542612619043</v>
      </c>
      <c r="C599" s="31">
        <v>46236.541666666664</v>
      </c>
      <c r="D599" s="1" t="s">
        <v>103</v>
      </c>
      <c r="E599" s="12">
        <v>2.2702857142857143E-2</v>
      </c>
      <c r="F599" s="12">
        <f>IF(D599="d",两日求解价格与决策!K253-两日求解价格与决策!N253,IF(D599="u",两日求解价格与决策!K253+两日求解价格与决策!M253,两日求解价格与决策!K253))</f>
        <v>-60</v>
      </c>
      <c r="G599" s="12">
        <f t="shared" si="64"/>
        <v>60</v>
      </c>
      <c r="H599" s="12">
        <f t="shared" si="65"/>
        <v>0</v>
      </c>
      <c r="I599" s="12">
        <f t="shared" si="63"/>
        <v>109.49429203478255</v>
      </c>
      <c r="J599" s="12">
        <f>I599+E599*(G599*原始输入与口径!$B$5-H599/原始输入与口径!$B$5)</f>
        <v>110.74748974906827</v>
      </c>
      <c r="K599" s="12">
        <v>109.49429203478255</v>
      </c>
      <c r="L599" s="12">
        <v>110.74748974906827</v>
      </c>
      <c r="M599" s="19">
        <f t="shared" si="66"/>
        <v>0</v>
      </c>
      <c r="N599" s="12">
        <f>E599*(G599*原始输入与口径!$B$5+H599/原始输入与口径!$B$5)/原始输入与口径!$H$5</f>
        <v>3.481104761904762E-3</v>
      </c>
      <c r="O599" s="12">
        <v>3.481104761904762E-3</v>
      </c>
      <c r="P599" s="19">
        <f t="shared" si="67"/>
        <v>0</v>
      </c>
      <c r="Q599" s="12">
        <f t="shared" si="68"/>
        <v>1.3621714285714286</v>
      </c>
      <c r="R599" s="12">
        <f t="shared" si="69"/>
        <v>0</v>
      </c>
      <c r="S599" s="1">
        <v>245</v>
      </c>
      <c r="T599" s="14">
        <v>46236</v>
      </c>
    </row>
    <row r="600" spans="1:20" ht="21" customHeight="1" x14ac:dyDescent="0.45">
      <c r="A600" s="31">
        <v>46236.542612619043</v>
      </c>
      <c r="B600" s="31">
        <v>46236.552083333328</v>
      </c>
      <c r="C600" s="31">
        <v>46236.541666666664</v>
      </c>
      <c r="D600" s="1" t="s">
        <v>102</v>
      </c>
      <c r="E600" s="12">
        <v>0.22729714285714286</v>
      </c>
      <c r="F600" s="12">
        <f>IF(D600="d",两日求解价格与决策!K253-两日求解价格与决策!N253,IF(D600="u",两日求解价格与决策!K253+两日求解价格与决策!M253,两日求解价格与决策!K253))</f>
        <v>-36</v>
      </c>
      <c r="G600" s="12">
        <f t="shared" si="64"/>
        <v>36</v>
      </c>
      <c r="H600" s="12">
        <f t="shared" si="65"/>
        <v>0</v>
      </c>
      <c r="I600" s="12">
        <f t="shared" si="63"/>
        <v>110.74748974906827</v>
      </c>
      <c r="J600" s="12">
        <f>I600+E600*(G600*原始输入与口径!$B$5-H600/原始输入与口径!$B$5)</f>
        <v>118.27557112049683</v>
      </c>
      <c r="K600" s="12">
        <v>110.74748974906827</v>
      </c>
      <c r="L600" s="12">
        <v>118.27557112049683</v>
      </c>
      <c r="M600" s="19">
        <f t="shared" si="66"/>
        <v>0</v>
      </c>
      <c r="N600" s="12">
        <f>E600*(G600*原始输入与口径!$B$5+H600/原始输入与口径!$B$5)/原始输入与口径!$H$5</f>
        <v>2.0911337142857145E-2</v>
      </c>
      <c r="O600" s="12">
        <v>2.0911337142857145E-2</v>
      </c>
      <c r="P600" s="19">
        <f t="shared" si="67"/>
        <v>0</v>
      </c>
      <c r="Q600" s="12">
        <f t="shared" si="68"/>
        <v>8.182697142857144</v>
      </c>
      <c r="R600" s="12">
        <f t="shared" si="69"/>
        <v>0</v>
      </c>
      <c r="S600" s="1">
        <v>245</v>
      </c>
      <c r="T600" s="14">
        <v>46236</v>
      </c>
    </row>
    <row r="601" spans="1:20" ht="21" customHeight="1" x14ac:dyDescent="0.45">
      <c r="A601" s="31">
        <v>46236.552083333336</v>
      </c>
      <c r="B601" s="31">
        <v>46236.55282928572</v>
      </c>
      <c r="C601" s="31">
        <v>46236.552083333336</v>
      </c>
      <c r="D601" s="1" t="s">
        <v>103</v>
      </c>
      <c r="E601" s="12">
        <v>1.7902857142857144E-2</v>
      </c>
      <c r="F601" s="12">
        <f>IF(D601="d",两日求解价格与决策!K254-两日求解价格与决策!N254,IF(D601="u",两日求解价格与决策!K254+两日求解价格与决策!M254,两日求解价格与决策!K254))</f>
        <v>-60</v>
      </c>
      <c r="G601" s="12">
        <f t="shared" si="64"/>
        <v>60</v>
      </c>
      <c r="H601" s="12">
        <f t="shared" si="65"/>
        <v>0</v>
      </c>
      <c r="I601" s="12">
        <f t="shared" si="63"/>
        <v>118.27557112049683</v>
      </c>
      <c r="J601" s="12">
        <f>I601+E601*(G601*原始输入与口径!$B$5-H601/原始输入与口径!$B$5)</f>
        <v>119.26380883478255</v>
      </c>
      <c r="K601" s="12">
        <v>118.27557112049683</v>
      </c>
      <c r="L601" s="12">
        <v>119.26380883478255</v>
      </c>
      <c r="M601" s="19">
        <f t="shared" si="66"/>
        <v>0</v>
      </c>
      <c r="N601" s="12">
        <f>E601*(G601*原始输入与口径!$B$5+H601/原始输入与口径!$B$5)/原始输入与口径!$H$5</f>
        <v>2.7451047619047623E-3</v>
      </c>
      <c r="O601" s="12">
        <v>2.7451047619047619E-3</v>
      </c>
      <c r="P601" s="19">
        <f t="shared" si="67"/>
        <v>0</v>
      </c>
      <c r="Q601" s="12">
        <f t="shared" si="68"/>
        <v>1.0741714285714286</v>
      </c>
      <c r="R601" s="12">
        <f t="shared" si="69"/>
        <v>0</v>
      </c>
      <c r="S601" s="1">
        <v>246</v>
      </c>
      <c r="T601" s="14">
        <v>46236</v>
      </c>
    </row>
    <row r="602" spans="1:20" ht="21" customHeight="1" x14ac:dyDescent="0.45">
      <c r="A602" s="31">
        <v>46236.55282928572</v>
      </c>
      <c r="B602" s="31">
        <v>46236.552839285716</v>
      </c>
      <c r="C602" s="31">
        <v>46236.552083333336</v>
      </c>
      <c r="D602" s="1" t="s">
        <v>101</v>
      </c>
      <c r="E602" s="12">
        <v>2.4000000000000001E-4</v>
      </c>
      <c r="F602" s="12">
        <f>IF(D602="d",两日求解价格与决策!K254-两日求解价格与决策!N254,IF(D602="u",两日求解价格与决策!K254+两日求解价格与决策!M254,两日求解价格与决策!K254))</f>
        <v>-12</v>
      </c>
      <c r="G602" s="12">
        <f t="shared" si="64"/>
        <v>12</v>
      </c>
      <c r="H602" s="12">
        <f t="shared" si="65"/>
        <v>0</v>
      </c>
      <c r="I602" s="12">
        <f t="shared" si="63"/>
        <v>119.26380883478255</v>
      </c>
      <c r="J602" s="12">
        <f>I602+E602*(G602*原始输入与口径!$B$5-H602/原始输入与口径!$B$5)</f>
        <v>119.26645843478255</v>
      </c>
      <c r="K602" s="12">
        <v>119.26380883478255</v>
      </c>
      <c r="L602" s="12">
        <v>119.26645843478255</v>
      </c>
      <c r="M602" s="19">
        <f t="shared" si="66"/>
        <v>0</v>
      </c>
      <c r="N602" s="12">
        <f>E602*(G602*原始输入与口径!$B$5+H602/原始输入与口径!$B$5)/原始输入与口径!$H$5</f>
        <v>7.3600000000000007E-6</v>
      </c>
      <c r="O602" s="12">
        <v>7.3600000000000007E-6</v>
      </c>
      <c r="P602" s="19">
        <f t="shared" si="67"/>
        <v>0</v>
      </c>
      <c r="Q602" s="12">
        <f t="shared" si="68"/>
        <v>2.8800000000000002E-3</v>
      </c>
      <c r="R602" s="12">
        <f t="shared" si="69"/>
        <v>0</v>
      </c>
      <c r="S602" s="1">
        <v>246</v>
      </c>
      <c r="T602" s="14">
        <v>46236</v>
      </c>
    </row>
    <row r="603" spans="1:20" ht="21" customHeight="1" x14ac:dyDescent="0.45">
      <c r="A603" s="31">
        <v>46236.552839285716</v>
      </c>
      <c r="B603" s="31">
        <v>46236.5625</v>
      </c>
      <c r="C603" s="31">
        <v>46236.552083333336</v>
      </c>
      <c r="D603" s="1" t="s">
        <v>102</v>
      </c>
      <c r="E603" s="12">
        <v>0.23185714285714287</v>
      </c>
      <c r="F603" s="12">
        <f>IF(D603="d",两日求解价格与决策!K254-两日求解价格与决策!N254,IF(D603="u",两日求解价格与决策!K254+两日求解价格与决策!M254,两日求解价格与决策!K254))</f>
        <v>-36</v>
      </c>
      <c r="G603" s="12">
        <f t="shared" si="64"/>
        <v>36</v>
      </c>
      <c r="H603" s="12">
        <f t="shared" si="65"/>
        <v>0</v>
      </c>
      <c r="I603" s="12">
        <f t="shared" si="63"/>
        <v>119.26645843478255</v>
      </c>
      <c r="J603" s="12">
        <f>I603+E603*(G603*原始输入与口径!$B$5-H603/原始输入与口径!$B$5)</f>
        <v>126.94556700621112</v>
      </c>
      <c r="K603" s="12">
        <v>119.26645843478255</v>
      </c>
      <c r="L603" s="12">
        <v>126.94556700621112</v>
      </c>
      <c r="M603" s="19">
        <f t="shared" si="66"/>
        <v>0</v>
      </c>
      <c r="N603" s="12">
        <f>E603*(G603*原始输入与口径!$B$5+H603/原始输入与口径!$B$5)/原始输入与口径!$H$5</f>
        <v>2.1330857142857148E-2</v>
      </c>
      <c r="O603" s="12">
        <v>2.1330857142857144E-2</v>
      </c>
      <c r="P603" s="19">
        <f t="shared" si="67"/>
        <v>0</v>
      </c>
      <c r="Q603" s="12">
        <f t="shared" si="68"/>
        <v>8.346857142857143</v>
      </c>
      <c r="R603" s="12">
        <f t="shared" si="69"/>
        <v>0</v>
      </c>
      <c r="S603" s="1">
        <v>246</v>
      </c>
      <c r="T603" s="14">
        <v>46236</v>
      </c>
    </row>
    <row r="604" spans="1:20" ht="21" customHeight="1" x14ac:dyDescent="0.45">
      <c r="A604" s="31">
        <v>46236.5625</v>
      </c>
      <c r="B604" s="31">
        <v>46236.563453333336</v>
      </c>
      <c r="C604" s="31">
        <v>46236.5625</v>
      </c>
      <c r="D604" s="1" t="s">
        <v>103</v>
      </c>
      <c r="E604" s="12">
        <v>2.2879999999999998E-2</v>
      </c>
      <c r="F604" s="12">
        <f>IF(D604="d",两日求解价格与决策!K255-两日求解价格与决策!N255,IF(D604="u",两日求解价格与决策!K255+两日求解价格与决策!M255,两日求解价格与决策!K255))</f>
        <v>-60</v>
      </c>
      <c r="G604" s="12">
        <f t="shared" si="64"/>
        <v>60</v>
      </c>
      <c r="H604" s="12">
        <f t="shared" si="65"/>
        <v>0</v>
      </c>
      <c r="I604" s="12">
        <f t="shared" si="63"/>
        <v>126.94556700621112</v>
      </c>
      <c r="J604" s="12">
        <f>I604+E604*(G604*原始输入与口径!$B$5-H604/原始输入与口径!$B$5)</f>
        <v>128.20854300621113</v>
      </c>
      <c r="K604" s="12">
        <v>126.94556700621112</v>
      </c>
      <c r="L604" s="12">
        <v>128.20854300621113</v>
      </c>
      <c r="M604" s="19">
        <f t="shared" si="66"/>
        <v>0</v>
      </c>
      <c r="N604" s="12">
        <f>E604*(G604*原始输入与口径!$B$5+H604/原始输入与口径!$B$5)/原始输入与口径!$H$5</f>
        <v>3.5082666666666662E-3</v>
      </c>
      <c r="O604" s="12">
        <v>3.5082666666666662E-3</v>
      </c>
      <c r="P604" s="19">
        <f t="shared" si="67"/>
        <v>0</v>
      </c>
      <c r="Q604" s="12">
        <f t="shared" si="68"/>
        <v>1.3727999999999998</v>
      </c>
      <c r="R604" s="12">
        <f t="shared" si="69"/>
        <v>0</v>
      </c>
      <c r="S604" s="1">
        <v>247</v>
      </c>
      <c r="T604" s="14">
        <v>46236</v>
      </c>
    </row>
    <row r="605" spans="1:20" ht="21" customHeight="1" x14ac:dyDescent="0.45">
      <c r="A605" s="31">
        <v>46236.563453333336</v>
      </c>
      <c r="B605" s="31">
        <v>46236.563457380951</v>
      </c>
      <c r="C605" s="31">
        <v>46236.5625</v>
      </c>
      <c r="D605" s="1" t="s">
        <v>101</v>
      </c>
      <c r="E605" s="12">
        <v>9.7142857142857152E-5</v>
      </c>
      <c r="F605" s="12">
        <f>IF(D605="d",两日求解价格与决策!K255-两日求解价格与决策!N255,IF(D605="u",两日求解价格与决策!K255+两日求解价格与决策!M255,两日求解价格与决策!K255))</f>
        <v>-12</v>
      </c>
      <c r="G605" s="12">
        <f t="shared" si="64"/>
        <v>12</v>
      </c>
      <c r="H605" s="12">
        <f t="shared" si="65"/>
        <v>0</v>
      </c>
      <c r="I605" s="12">
        <f t="shared" ref="I605:I668" si="70">J604</f>
        <v>128.20854300621113</v>
      </c>
      <c r="J605" s="12">
        <f>I605+E605*(G605*原始输入与口径!$B$5-H605/原始输入与口径!$B$5)</f>
        <v>128.209615463354</v>
      </c>
      <c r="K605" s="12">
        <v>128.20854300621113</v>
      </c>
      <c r="L605" s="12">
        <v>128.209615463354</v>
      </c>
      <c r="M605" s="19">
        <f t="shared" si="66"/>
        <v>0</v>
      </c>
      <c r="N605" s="12">
        <f>E605*(G605*原始输入与口径!$B$5+H605/原始输入与口径!$B$5)/原始输入与口径!$H$5</f>
        <v>2.9790476190476192E-6</v>
      </c>
      <c r="O605" s="12">
        <v>2.9790476190476192E-6</v>
      </c>
      <c r="P605" s="19">
        <f t="shared" si="67"/>
        <v>0</v>
      </c>
      <c r="Q605" s="12">
        <f t="shared" si="68"/>
        <v>1.1657142857142858E-3</v>
      </c>
      <c r="R605" s="12">
        <f t="shared" si="69"/>
        <v>0</v>
      </c>
      <c r="S605" s="1">
        <v>247</v>
      </c>
      <c r="T605" s="14">
        <v>46236</v>
      </c>
    </row>
    <row r="606" spans="1:20" ht="21" customHeight="1" x14ac:dyDescent="0.45">
      <c r="A606" s="31">
        <v>46236.563457380951</v>
      </c>
      <c r="B606" s="31">
        <v>46236.572916666664</v>
      </c>
      <c r="C606" s="31">
        <v>46236.5625</v>
      </c>
      <c r="D606" s="1" t="s">
        <v>102</v>
      </c>
      <c r="E606" s="12">
        <v>0.22702285714285714</v>
      </c>
      <c r="F606" s="12">
        <f>IF(D606="d",两日求解价格与决策!K255-两日求解价格与决策!N255,IF(D606="u",两日求解价格与决策!K255+两日求解价格与决策!M255,两日求解价格与决策!K255))</f>
        <v>-36</v>
      </c>
      <c r="G606" s="12">
        <f t="shared" si="64"/>
        <v>36</v>
      </c>
      <c r="H606" s="12">
        <f t="shared" si="65"/>
        <v>0</v>
      </c>
      <c r="I606" s="12">
        <f t="shared" si="70"/>
        <v>128.209615463354</v>
      </c>
      <c r="J606" s="12">
        <f>I606+E606*(G606*原始输入与口径!$B$5-H606/原始输入与口径!$B$5)</f>
        <v>135.72861249192542</v>
      </c>
      <c r="K606" s="12">
        <v>128.209615463354</v>
      </c>
      <c r="L606" s="12">
        <v>135.72861249192542</v>
      </c>
      <c r="M606" s="19">
        <f t="shared" si="66"/>
        <v>0</v>
      </c>
      <c r="N606" s="12">
        <f>E606*(G606*原始输入与口径!$B$5+H606/原始输入与口径!$B$5)/原始输入与口径!$H$5</f>
        <v>2.088610285714286E-2</v>
      </c>
      <c r="O606" s="12">
        <v>2.0886102857142857E-2</v>
      </c>
      <c r="P606" s="19">
        <f t="shared" si="67"/>
        <v>0</v>
      </c>
      <c r="Q606" s="12">
        <f t="shared" si="68"/>
        <v>8.1728228571428563</v>
      </c>
      <c r="R606" s="12">
        <f t="shared" si="69"/>
        <v>0</v>
      </c>
      <c r="S606" s="1">
        <v>247</v>
      </c>
      <c r="T606" s="14">
        <v>46236</v>
      </c>
    </row>
    <row r="607" spans="1:20" ht="21" customHeight="1" x14ac:dyDescent="0.45">
      <c r="A607" s="31">
        <v>46236.572916666664</v>
      </c>
      <c r="B607" s="31">
        <v>46236.575699761903</v>
      </c>
      <c r="C607" s="31">
        <v>46236.572916666664</v>
      </c>
      <c r="D607" s="1" t="s">
        <v>103</v>
      </c>
      <c r="E607" s="12">
        <v>6.6794285714285709E-2</v>
      </c>
      <c r="F607" s="12">
        <f>IF(D607="d",两日求解价格与决策!K256-两日求解价格与决策!N256,IF(D607="u",两日求解价格与决策!K256+两日求解价格与决策!M256,两日求解价格与决策!K256))</f>
        <v>-24</v>
      </c>
      <c r="G607" s="12">
        <f t="shared" si="64"/>
        <v>24</v>
      </c>
      <c r="H607" s="12">
        <f t="shared" si="65"/>
        <v>0</v>
      </c>
      <c r="I607" s="12">
        <f t="shared" si="70"/>
        <v>135.72861249192542</v>
      </c>
      <c r="J607" s="12">
        <f>I607+E607*(G607*原始输入与口径!$B$5-H607/原始输入与口径!$B$5)</f>
        <v>137.20343032049684</v>
      </c>
      <c r="K607" s="12">
        <v>135.72861249192542</v>
      </c>
      <c r="L607" s="12">
        <v>137.20343032049684</v>
      </c>
      <c r="M607" s="19">
        <f t="shared" si="66"/>
        <v>0</v>
      </c>
      <c r="N607" s="12">
        <f>E607*(G607*原始输入与口径!$B$5+H607/原始输入与口径!$B$5)/原始输入与口径!$H$5</f>
        <v>4.0967161904761906E-3</v>
      </c>
      <c r="O607" s="12">
        <v>4.0967161904761906E-3</v>
      </c>
      <c r="P607" s="19">
        <f t="shared" si="67"/>
        <v>0</v>
      </c>
      <c r="Q607" s="12">
        <f t="shared" si="68"/>
        <v>1.6030628571428571</v>
      </c>
      <c r="R607" s="12">
        <f t="shared" si="69"/>
        <v>0</v>
      </c>
      <c r="S607" s="1">
        <v>248</v>
      </c>
      <c r="T607" s="14">
        <v>46236</v>
      </c>
    </row>
    <row r="608" spans="1:20" ht="21" customHeight="1" x14ac:dyDescent="0.45">
      <c r="A608" s="31">
        <v>46236.575699761903</v>
      </c>
      <c r="B608" s="31">
        <v>46236.583333333328</v>
      </c>
      <c r="C608" s="31">
        <v>46236.572916666664</v>
      </c>
      <c r="D608" s="1" t="s">
        <v>102</v>
      </c>
      <c r="E608" s="12">
        <v>0.18320571428571431</v>
      </c>
      <c r="F608" s="12">
        <f>IF(D608="d",两日求解价格与决策!K256-两日求解价格与决策!N256,IF(D608="u",两日求解价格与决策!K256+两日求解价格与决策!M256,两日求解价格与决策!K256))</f>
        <v>0</v>
      </c>
      <c r="G608" s="12">
        <f t="shared" si="64"/>
        <v>0</v>
      </c>
      <c r="H608" s="12">
        <f t="shared" si="65"/>
        <v>0</v>
      </c>
      <c r="I608" s="12">
        <f t="shared" si="70"/>
        <v>137.20343032049684</v>
      </c>
      <c r="J608" s="12">
        <f>I608+E608*(G608*原始输入与口径!$B$5-H608/原始输入与口径!$B$5)</f>
        <v>137.20343032049684</v>
      </c>
      <c r="K608" s="12">
        <v>137.20343032049684</v>
      </c>
      <c r="L608" s="12">
        <v>137.20343032049684</v>
      </c>
      <c r="M608" s="19">
        <f t="shared" si="66"/>
        <v>0</v>
      </c>
      <c r="N608" s="12">
        <f>E608*(G608*原始输入与口径!$B$5+H608/原始输入与口径!$B$5)/原始输入与口径!$H$5</f>
        <v>0</v>
      </c>
      <c r="O608" s="12">
        <v>0</v>
      </c>
      <c r="P608" s="19">
        <f t="shared" si="67"/>
        <v>0</v>
      </c>
      <c r="Q608" s="12">
        <f t="shared" si="68"/>
        <v>0</v>
      </c>
      <c r="R608" s="12">
        <f t="shared" si="69"/>
        <v>0</v>
      </c>
      <c r="S608" s="1">
        <v>248</v>
      </c>
      <c r="T608" s="14">
        <v>46236</v>
      </c>
    </row>
    <row r="609" spans="1:20" ht="21" customHeight="1" x14ac:dyDescent="0.45">
      <c r="A609" s="31">
        <v>46236.583333333336</v>
      </c>
      <c r="B609" s="31">
        <v>46236.589177857146</v>
      </c>
      <c r="C609" s="31">
        <v>46236.583333333336</v>
      </c>
      <c r="D609" s="1" t="s">
        <v>103</v>
      </c>
      <c r="E609" s="12">
        <v>0.14026857142857144</v>
      </c>
      <c r="F609" s="12">
        <f>IF(D609="d",两日求解价格与决策!K257-两日求解价格与决策!N257,IF(D609="u",两日求解价格与决策!K257+两日求解价格与决策!M257,两日求解价格与决策!K257))</f>
        <v>-33.721503213610504</v>
      </c>
      <c r="G609" s="12">
        <f t="shared" si="64"/>
        <v>33.721503213610504</v>
      </c>
      <c r="H609" s="12">
        <f t="shared" si="65"/>
        <v>0</v>
      </c>
      <c r="I609" s="12">
        <f t="shared" si="70"/>
        <v>137.20343032049684</v>
      </c>
      <c r="J609" s="12">
        <f>I609+E609*(G609*原始输入与口径!$B$5-H609/原始输入与口径!$B$5)</f>
        <v>141.5550920361182</v>
      </c>
      <c r="K609" s="12">
        <v>137.20343032049684</v>
      </c>
      <c r="L609" s="12">
        <v>141.5550920361182</v>
      </c>
      <c r="M609" s="19">
        <f t="shared" si="66"/>
        <v>0</v>
      </c>
      <c r="N609" s="12">
        <f>E609*(G609*原始输入与口径!$B$5+H609/原始输入与口径!$B$5)/原始输入与口径!$H$5</f>
        <v>1.2087949210059321E-2</v>
      </c>
      <c r="O609" s="12">
        <v>1.2087949210059325E-2</v>
      </c>
      <c r="P609" s="19">
        <f t="shared" si="67"/>
        <v>0</v>
      </c>
      <c r="Q609" s="12">
        <f t="shared" si="68"/>
        <v>4.7300670821971265</v>
      </c>
      <c r="R609" s="12">
        <f t="shared" si="69"/>
        <v>0</v>
      </c>
      <c r="S609" s="1">
        <v>249</v>
      </c>
      <c r="T609" s="14">
        <v>46236</v>
      </c>
    </row>
    <row r="610" spans="1:20" ht="21" customHeight="1" x14ac:dyDescent="0.45">
      <c r="A610" s="31">
        <v>46236.589177857146</v>
      </c>
      <c r="B610" s="31">
        <v>46236.59375</v>
      </c>
      <c r="C610" s="31">
        <v>46236.583333333336</v>
      </c>
      <c r="D610" s="1" t="s">
        <v>102</v>
      </c>
      <c r="E610" s="12">
        <v>0.10973142857142856</v>
      </c>
      <c r="F610" s="12">
        <f>IF(D610="d",两日求解价格与决策!K257-两日求解价格与决策!N257,IF(D610="u",两日求解价格与决策!K257+两日求解价格与决策!M257,两日求解价格与决策!K257))</f>
        <v>-9.7215032136105002</v>
      </c>
      <c r="G610" s="12">
        <f t="shared" si="64"/>
        <v>9.7215032136105002</v>
      </c>
      <c r="H610" s="12">
        <f t="shared" si="65"/>
        <v>0</v>
      </c>
      <c r="I610" s="12">
        <f t="shared" si="70"/>
        <v>141.5550920361182</v>
      </c>
      <c r="J610" s="12">
        <f>I610+E610*(G610*原始输入与口径!$B$5-H610/原始输入与口径!$B$5)</f>
        <v>142.53650611677011</v>
      </c>
      <c r="K610" s="12">
        <v>141.5550920361182</v>
      </c>
      <c r="L610" s="12">
        <v>142.53650611677011</v>
      </c>
      <c r="M610" s="19">
        <f t="shared" si="66"/>
        <v>0</v>
      </c>
      <c r="N610" s="12">
        <f>E610*(G610*原始输入与口径!$B$5+H610/原始输入与口径!$B$5)/原始输入与口径!$H$5</f>
        <v>2.7261502240331021E-3</v>
      </c>
      <c r="O610" s="12">
        <v>2.7261502240331021E-3</v>
      </c>
      <c r="P610" s="19">
        <f t="shared" si="67"/>
        <v>0</v>
      </c>
      <c r="Q610" s="12">
        <f t="shared" si="68"/>
        <v>1.0667544354912137</v>
      </c>
      <c r="R610" s="12">
        <f t="shared" si="69"/>
        <v>0</v>
      </c>
      <c r="S610" s="1">
        <v>249</v>
      </c>
      <c r="T610" s="14">
        <v>46236</v>
      </c>
    </row>
    <row r="611" spans="1:20" ht="21" customHeight="1" x14ac:dyDescent="0.45">
      <c r="A611" s="31">
        <v>46236.59375</v>
      </c>
      <c r="B611" s="31">
        <v>46236.597261904761</v>
      </c>
      <c r="C611" s="31">
        <v>46236.59375</v>
      </c>
      <c r="D611" s="1" t="s">
        <v>103</v>
      </c>
      <c r="E611" s="12">
        <v>8.4285714285714283E-2</v>
      </c>
      <c r="F611" s="12">
        <f>IF(D611="d",两日求解价格与决策!K258-两日求解价格与决策!N258,IF(D611="u",两日求解价格与决策!K258+两日求解价格与决策!M258,两日求解价格与决策!K258))</f>
        <v>-60</v>
      </c>
      <c r="G611" s="12">
        <f t="shared" si="64"/>
        <v>60</v>
      </c>
      <c r="H611" s="12">
        <f t="shared" si="65"/>
        <v>0</v>
      </c>
      <c r="I611" s="12">
        <f t="shared" si="70"/>
        <v>142.53650611677011</v>
      </c>
      <c r="J611" s="12">
        <f>I611+E611*(G611*原始输入与口径!$B$5-H611/原始输入与口径!$B$5)</f>
        <v>147.18907754534155</v>
      </c>
      <c r="K611" s="12">
        <v>142.53650611677011</v>
      </c>
      <c r="L611" s="12">
        <v>147.18907754534155</v>
      </c>
      <c r="M611" s="19">
        <f t="shared" si="66"/>
        <v>0</v>
      </c>
      <c r="N611" s="12">
        <f>E611*(G611*原始输入与口径!$B$5+H611/原始输入与口径!$B$5)/原始输入与口径!$H$5</f>
        <v>1.2923809523809525E-2</v>
      </c>
      <c r="O611" s="12">
        <v>1.2923809523809525E-2</v>
      </c>
      <c r="P611" s="19">
        <f t="shared" si="67"/>
        <v>0</v>
      </c>
      <c r="Q611" s="12">
        <f t="shared" si="68"/>
        <v>5.0571428571428569</v>
      </c>
      <c r="R611" s="12">
        <f t="shared" si="69"/>
        <v>0</v>
      </c>
      <c r="S611" s="1">
        <v>250</v>
      </c>
      <c r="T611" s="14">
        <v>46236</v>
      </c>
    </row>
    <row r="612" spans="1:20" ht="21" customHeight="1" x14ac:dyDescent="0.45">
      <c r="A612" s="31">
        <v>46236.597261904761</v>
      </c>
      <c r="B612" s="31">
        <v>46236.604166666664</v>
      </c>
      <c r="C612" s="31">
        <v>46236.59375</v>
      </c>
      <c r="D612" s="1" t="s">
        <v>102</v>
      </c>
      <c r="E612" s="12">
        <v>0.1657142857142857</v>
      </c>
      <c r="F612" s="12">
        <f>IF(D612="d",两日求解价格与决策!K258-两日求解价格与决策!N258,IF(D612="u",两日求解价格与决策!K258+两日求解价格与决策!M258,两日求解价格与决策!K258))</f>
        <v>-36</v>
      </c>
      <c r="G612" s="12">
        <f t="shared" si="64"/>
        <v>36</v>
      </c>
      <c r="H612" s="12">
        <f t="shared" si="65"/>
        <v>0</v>
      </c>
      <c r="I612" s="12">
        <f t="shared" si="70"/>
        <v>147.18907754534155</v>
      </c>
      <c r="J612" s="12">
        <f>I612+E612*(G612*原始输入与口径!$B$5-H612/原始输入与口径!$B$5)</f>
        <v>152.6775346881987</v>
      </c>
      <c r="K612" s="12">
        <v>147.18907754534155</v>
      </c>
      <c r="L612" s="12">
        <v>152.67753468819868</v>
      </c>
      <c r="M612" s="19">
        <f t="shared" si="66"/>
        <v>0</v>
      </c>
      <c r="N612" s="12">
        <f>E612*(G612*原始输入与口径!$B$5+H612/原始输入与口径!$B$5)/原始输入与口径!$H$5</f>
        <v>1.5245714285714288E-2</v>
      </c>
      <c r="O612" s="12">
        <v>1.5245714285714284E-2</v>
      </c>
      <c r="P612" s="19">
        <f t="shared" si="67"/>
        <v>0</v>
      </c>
      <c r="Q612" s="12">
        <f t="shared" si="68"/>
        <v>5.9657142857142853</v>
      </c>
      <c r="R612" s="12">
        <f t="shared" si="69"/>
        <v>0</v>
      </c>
      <c r="S612" s="1">
        <v>250</v>
      </c>
      <c r="T612" s="14">
        <v>46236</v>
      </c>
    </row>
    <row r="613" spans="1:20" ht="21" customHeight="1" x14ac:dyDescent="0.45">
      <c r="A613" s="31">
        <v>46236.604166666664</v>
      </c>
      <c r="B613" s="31">
        <v>46236.604979285708</v>
      </c>
      <c r="C613" s="31">
        <v>46236.604166666664</v>
      </c>
      <c r="D613" s="1" t="s">
        <v>103</v>
      </c>
      <c r="E613" s="12">
        <v>1.9502857142857141E-2</v>
      </c>
      <c r="F613" s="12">
        <f>IF(D613="d",两日求解价格与决策!K259-两日求解价格与决策!N259,IF(D613="u",两日求解价格与决策!K259+两日求解价格与决策!M259,两日求解价格与决策!K259))</f>
        <v>-60</v>
      </c>
      <c r="G613" s="12">
        <f t="shared" si="64"/>
        <v>60</v>
      </c>
      <c r="H613" s="12">
        <f t="shared" si="65"/>
        <v>0</v>
      </c>
      <c r="I613" s="12">
        <f t="shared" si="70"/>
        <v>152.6775346881987</v>
      </c>
      <c r="J613" s="12">
        <f>I613+E613*(G613*原始输入与口径!$B$5-H613/原始输入与口径!$B$5)</f>
        <v>153.75409240248442</v>
      </c>
      <c r="K613" s="12">
        <v>152.67753468819868</v>
      </c>
      <c r="L613" s="12">
        <v>153.75409240248439</v>
      </c>
      <c r="M613" s="19">
        <f t="shared" si="66"/>
        <v>0</v>
      </c>
      <c r="N613" s="12">
        <f>E613*(G613*原始输入与口径!$B$5+H613/原始输入与口径!$B$5)/原始输入与口径!$H$5</f>
        <v>2.9904380952380954E-3</v>
      </c>
      <c r="O613" s="12">
        <v>2.990438095238095E-3</v>
      </c>
      <c r="P613" s="19">
        <f t="shared" si="67"/>
        <v>0</v>
      </c>
      <c r="Q613" s="12">
        <f t="shared" si="68"/>
        <v>1.1701714285714284</v>
      </c>
      <c r="R613" s="12">
        <f t="shared" si="69"/>
        <v>0</v>
      </c>
      <c r="S613" s="1">
        <v>251</v>
      </c>
      <c r="T613" s="14">
        <v>46236</v>
      </c>
    </row>
    <row r="614" spans="1:20" ht="21" customHeight="1" x14ac:dyDescent="0.45">
      <c r="A614" s="31">
        <v>46236.604979285708</v>
      </c>
      <c r="B614" s="31">
        <v>46236.614583333328</v>
      </c>
      <c r="C614" s="31">
        <v>46236.604166666664</v>
      </c>
      <c r="D614" s="1" t="s">
        <v>102</v>
      </c>
      <c r="E614" s="12">
        <v>0.23049714285714284</v>
      </c>
      <c r="F614" s="12">
        <f>IF(D614="d",两日求解价格与决策!K259-两日求解价格与决策!N259,IF(D614="u",两日求解价格与决策!K259+两日求解价格与决策!M259,两日求解价格与决策!K259))</f>
        <v>-36</v>
      </c>
      <c r="G614" s="12">
        <f t="shared" si="64"/>
        <v>36</v>
      </c>
      <c r="H614" s="12">
        <f t="shared" si="65"/>
        <v>0</v>
      </c>
      <c r="I614" s="12">
        <f t="shared" si="70"/>
        <v>153.75409240248442</v>
      </c>
      <c r="J614" s="12">
        <f>I614+E614*(G614*原始输入与口径!$B$5-H614/原始输入与口径!$B$5)</f>
        <v>161.38815777391298</v>
      </c>
      <c r="K614" s="12">
        <v>153.75409240248439</v>
      </c>
      <c r="L614" s="12">
        <v>161.38815777391295</v>
      </c>
      <c r="M614" s="19">
        <f t="shared" si="66"/>
        <v>0</v>
      </c>
      <c r="N614" s="12">
        <f>E614*(G614*原始输入与口径!$B$5+H614/原始输入与口径!$B$5)/原始输入与口径!$H$5</f>
        <v>2.1205737142857145E-2</v>
      </c>
      <c r="O614" s="12">
        <v>2.1205737142857142E-2</v>
      </c>
      <c r="P614" s="19">
        <f t="shared" si="67"/>
        <v>0</v>
      </c>
      <c r="Q614" s="12">
        <f t="shared" si="68"/>
        <v>8.297897142857142</v>
      </c>
      <c r="R614" s="12">
        <f t="shared" si="69"/>
        <v>0</v>
      </c>
      <c r="S614" s="1">
        <v>251</v>
      </c>
      <c r="T614" s="14">
        <v>46236</v>
      </c>
    </row>
    <row r="615" spans="1:20" ht="21" customHeight="1" x14ac:dyDescent="0.45">
      <c r="A615" s="31">
        <v>46236.614583333336</v>
      </c>
      <c r="B615" s="31">
        <v>46236.616615476196</v>
      </c>
      <c r="C615" s="31">
        <v>46236.614583333336</v>
      </c>
      <c r="D615" s="1" t="s">
        <v>103</v>
      </c>
      <c r="E615" s="12">
        <v>4.877142857142857E-2</v>
      </c>
      <c r="F615" s="12">
        <f>IF(D615="d",两日求解价格与决策!K260-两日求解价格与决策!N260,IF(D615="u",两日求解价格与决策!K260+两日求解价格与决策!M260,两日求解价格与决策!K260))</f>
        <v>-60</v>
      </c>
      <c r="G615" s="12">
        <f t="shared" si="64"/>
        <v>60</v>
      </c>
      <c r="H615" s="12">
        <f t="shared" si="65"/>
        <v>0</v>
      </c>
      <c r="I615" s="12">
        <f t="shared" si="70"/>
        <v>161.38815777391298</v>
      </c>
      <c r="J615" s="12">
        <f>I615+E615*(G615*原始输入与口径!$B$5-H615/原始输入与口径!$B$5)</f>
        <v>164.08034063105583</v>
      </c>
      <c r="K615" s="12">
        <v>161.38815777391295</v>
      </c>
      <c r="L615" s="12">
        <v>164.0803406310558</v>
      </c>
      <c r="M615" s="19">
        <f t="shared" si="66"/>
        <v>0</v>
      </c>
      <c r="N615" s="12">
        <f>E615*(G615*原始输入与口径!$B$5+H615/原始输入与口径!$B$5)/原始输入与口径!$H$5</f>
        <v>7.4782857142857142E-3</v>
      </c>
      <c r="O615" s="12">
        <v>7.4782857142857142E-3</v>
      </c>
      <c r="P615" s="19">
        <f t="shared" si="67"/>
        <v>0</v>
      </c>
      <c r="Q615" s="12">
        <f t="shared" si="68"/>
        <v>2.9262857142857142</v>
      </c>
      <c r="R615" s="12">
        <f t="shared" si="69"/>
        <v>0</v>
      </c>
      <c r="S615" s="1">
        <v>252</v>
      </c>
      <c r="T615" s="14">
        <v>46236</v>
      </c>
    </row>
    <row r="616" spans="1:20" ht="21" customHeight="1" x14ac:dyDescent="0.45">
      <c r="A616" s="31">
        <v>46236.616615476196</v>
      </c>
      <c r="B616" s="31">
        <v>46236.616622380956</v>
      </c>
      <c r="C616" s="31">
        <v>46236.614583333336</v>
      </c>
      <c r="D616" s="1" t="s">
        <v>101</v>
      </c>
      <c r="E616" s="12">
        <v>1.6571428571428572E-4</v>
      </c>
      <c r="F616" s="12">
        <f>IF(D616="d",两日求解价格与决策!K260-两日求解价格与决策!N260,IF(D616="u",两日求解价格与决策!K260+两日求解价格与决策!M260,两日求解价格与决策!K260))</f>
        <v>-12</v>
      </c>
      <c r="G616" s="12">
        <f t="shared" si="64"/>
        <v>12</v>
      </c>
      <c r="H616" s="12">
        <f t="shared" si="65"/>
        <v>0</v>
      </c>
      <c r="I616" s="12">
        <f t="shared" si="70"/>
        <v>164.08034063105583</v>
      </c>
      <c r="J616" s="12">
        <f>I616+E616*(G616*原始输入与口径!$B$5-H616/原始输入与口径!$B$5)</f>
        <v>164.08217011677013</v>
      </c>
      <c r="K616" s="12">
        <v>164.0803406310558</v>
      </c>
      <c r="L616" s="12">
        <v>164.0821701167701</v>
      </c>
      <c r="M616" s="19">
        <f t="shared" si="66"/>
        <v>0</v>
      </c>
      <c r="N616" s="12">
        <f>E616*(G616*原始输入与口径!$B$5+H616/原始输入与口径!$B$5)/原始输入与口径!$H$5</f>
        <v>5.0819047619047619E-6</v>
      </c>
      <c r="O616" s="12">
        <v>5.0819047619047619E-6</v>
      </c>
      <c r="P616" s="19">
        <f t="shared" si="67"/>
        <v>0</v>
      </c>
      <c r="Q616" s="12">
        <f t="shared" si="68"/>
        <v>1.9885714285714285E-3</v>
      </c>
      <c r="R616" s="12">
        <f t="shared" si="69"/>
        <v>0</v>
      </c>
      <c r="S616" s="1">
        <v>252</v>
      </c>
      <c r="T616" s="14">
        <v>46236</v>
      </c>
    </row>
    <row r="617" spans="1:20" ht="21" customHeight="1" x14ac:dyDescent="0.45">
      <c r="A617" s="31">
        <v>46236.616622380956</v>
      </c>
      <c r="B617" s="31">
        <v>46236.625</v>
      </c>
      <c r="C617" s="31">
        <v>46236.614583333336</v>
      </c>
      <c r="D617" s="1" t="s">
        <v>102</v>
      </c>
      <c r="E617" s="12">
        <v>0.20106285714285713</v>
      </c>
      <c r="F617" s="12">
        <f>IF(D617="d",两日求解价格与决策!K260-两日求解价格与决策!N260,IF(D617="u",两日求解价格与决策!K260+两日求解价格与决策!M260,两日求解价格与决策!K260))</f>
        <v>-36</v>
      </c>
      <c r="G617" s="12">
        <f t="shared" si="64"/>
        <v>36</v>
      </c>
      <c r="H617" s="12">
        <f t="shared" si="65"/>
        <v>0</v>
      </c>
      <c r="I617" s="12">
        <f t="shared" si="70"/>
        <v>164.08217011677013</v>
      </c>
      <c r="J617" s="12">
        <f>I617+E617*(G617*原始输入与口径!$B$5-H617/原始输入与口径!$B$5)</f>
        <v>170.74137194534157</v>
      </c>
      <c r="K617" s="12">
        <v>164.0821701167701</v>
      </c>
      <c r="L617" s="12">
        <v>170.74137194534154</v>
      </c>
      <c r="M617" s="19">
        <f t="shared" si="66"/>
        <v>0</v>
      </c>
      <c r="N617" s="12">
        <f>E617*(G617*原始输入与口径!$B$5+H617/原始输入与口径!$B$5)/原始输入与口径!$H$5</f>
        <v>1.8497782857142857E-2</v>
      </c>
      <c r="O617" s="12">
        <v>1.8497782857142857E-2</v>
      </c>
      <c r="P617" s="19">
        <f t="shared" si="67"/>
        <v>0</v>
      </c>
      <c r="Q617" s="12">
        <f t="shared" si="68"/>
        <v>7.2382628571428569</v>
      </c>
      <c r="R617" s="12">
        <f t="shared" si="69"/>
        <v>0</v>
      </c>
      <c r="S617" s="1">
        <v>252</v>
      </c>
      <c r="T617" s="14">
        <v>46236</v>
      </c>
    </row>
    <row r="618" spans="1:20" ht="21" customHeight="1" x14ac:dyDescent="0.45">
      <c r="A618" s="31">
        <v>46236.625</v>
      </c>
      <c r="B618" s="31">
        <v>46236.630641904761</v>
      </c>
      <c r="C618" s="31">
        <v>46236.625</v>
      </c>
      <c r="D618" s="1" t="s">
        <v>103</v>
      </c>
      <c r="E618" s="12">
        <v>0.1354057142857143</v>
      </c>
      <c r="F618" s="12">
        <f>IF(D618="d",两日求解价格与决策!K261-两日求解价格与决策!N261,IF(D618="u",两日求解价格与决策!K261+两日求解价格与决策!M261,两日求解价格与决策!K261))</f>
        <v>11.999999999999993</v>
      </c>
      <c r="G618" s="12">
        <f t="shared" si="64"/>
        <v>0</v>
      </c>
      <c r="H618" s="12">
        <f t="shared" si="65"/>
        <v>11.999999999999993</v>
      </c>
      <c r="I618" s="12">
        <f t="shared" si="70"/>
        <v>170.74137194534157</v>
      </c>
      <c r="J618" s="12">
        <f>I618+E618*(G618*原始输入与口径!$B$5-H618/原始输入与口径!$B$5)</f>
        <v>168.97521045465834</v>
      </c>
      <c r="K618" s="12">
        <v>170.74137194534154</v>
      </c>
      <c r="L618" s="12">
        <v>168.97521045465831</v>
      </c>
      <c r="M618" s="19">
        <f t="shared" si="66"/>
        <v>0</v>
      </c>
      <c r="N618" s="12">
        <f>E618*(G618*原始输入与口径!$B$5+H618/原始输入与口径!$B$5)/原始输入与口径!$H$5</f>
        <v>4.9060041407867471E-3</v>
      </c>
      <c r="O618" s="12">
        <v>4.9060041407867471E-3</v>
      </c>
      <c r="P618" s="19">
        <f t="shared" si="67"/>
        <v>0</v>
      </c>
      <c r="Q618" s="12">
        <f t="shared" si="68"/>
        <v>0</v>
      </c>
      <c r="R618" s="12">
        <f t="shared" si="69"/>
        <v>1.6248685714285707</v>
      </c>
      <c r="S618" s="1">
        <v>253</v>
      </c>
      <c r="T618" s="14">
        <v>46236</v>
      </c>
    </row>
    <row r="619" spans="1:20" ht="21" customHeight="1" x14ac:dyDescent="0.45">
      <c r="A619" s="31">
        <v>46236.630641904761</v>
      </c>
      <c r="B619" s="31">
        <v>46236.635416666664</v>
      </c>
      <c r="C619" s="31">
        <v>46236.625</v>
      </c>
      <c r="D619" s="1" t="s">
        <v>102</v>
      </c>
      <c r="E619" s="12">
        <v>0.1145942857142857</v>
      </c>
      <c r="F619" s="12">
        <f>IF(D619="d",两日求解价格与决策!K261-两日求解价格与决策!N261,IF(D619="u",两日求解价格与决策!K261+两日求解价格与决策!M261,两日求解价格与决策!K261))</f>
        <v>35.999999999999993</v>
      </c>
      <c r="G619" s="12">
        <f t="shared" si="64"/>
        <v>0</v>
      </c>
      <c r="H619" s="12">
        <f t="shared" si="65"/>
        <v>35.999999999999993</v>
      </c>
      <c r="I619" s="12">
        <f t="shared" si="70"/>
        <v>168.97521045465834</v>
      </c>
      <c r="J619" s="12">
        <f>I619+E619*(G619*原始输入与口径!$B$5-H619/原始输入与口径!$B$5)</f>
        <v>164.49108623105585</v>
      </c>
      <c r="K619" s="12">
        <v>168.97521045465831</v>
      </c>
      <c r="L619" s="12">
        <v>164.49108623105582</v>
      </c>
      <c r="M619" s="19">
        <f t="shared" si="66"/>
        <v>0</v>
      </c>
      <c r="N619" s="12">
        <f>E619*(G619*原始输入与口径!$B$5+H619/原始输入与口径!$B$5)/原始输入与口径!$H$5</f>
        <v>1.245590062111801E-2</v>
      </c>
      <c r="O619" s="12">
        <v>1.2455900621118008E-2</v>
      </c>
      <c r="P619" s="19">
        <f t="shared" si="67"/>
        <v>0</v>
      </c>
      <c r="Q619" s="12">
        <f t="shared" si="68"/>
        <v>0</v>
      </c>
      <c r="R619" s="12">
        <f t="shared" si="69"/>
        <v>4.1253942857142842</v>
      </c>
      <c r="S619" s="1">
        <v>253</v>
      </c>
      <c r="T619" s="14">
        <v>46236</v>
      </c>
    </row>
    <row r="620" spans="1:20" ht="21" customHeight="1" x14ac:dyDescent="0.45">
      <c r="A620" s="31">
        <v>46236.635416666664</v>
      </c>
      <c r="B620" s="31">
        <v>46236.637483095234</v>
      </c>
      <c r="C620" s="31">
        <v>46236.635416666664</v>
      </c>
      <c r="D620" s="1" t="s">
        <v>103</v>
      </c>
      <c r="E620" s="12">
        <v>4.9594285714285716E-2</v>
      </c>
      <c r="F620" s="12">
        <f>IF(D620="d",两日求解价格与决策!K262-两日求解价格与决策!N262,IF(D620="u",两日求解价格与决策!K262+两日求解价格与决策!M262,两日求解价格与决策!K262))</f>
        <v>11.999999999999993</v>
      </c>
      <c r="G620" s="12">
        <f t="shared" si="64"/>
        <v>0</v>
      </c>
      <c r="H620" s="12">
        <f t="shared" si="65"/>
        <v>11.999999999999993</v>
      </c>
      <c r="I620" s="12">
        <f t="shared" si="70"/>
        <v>164.49108623105585</v>
      </c>
      <c r="J620" s="12">
        <f>I620+E620*(G620*原始输入与口径!$B$5-H620/原始输入与口径!$B$5)</f>
        <v>163.8442042434782</v>
      </c>
      <c r="K620" s="12">
        <v>164.49108623105582</v>
      </c>
      <c r="L620" s="12">
        <v>163.84420424347817</v>
      </c>
      <c r="M620" s="19">
        <f t="shared" si="66"/>
        <v>0</v>
      </c>
      <c r="N620" s="12">
        <f>E620*(G620*原始输入与口径!$B$5+H620/原始输入与口径!$B$5)/原始输入与口径!$H$5</f>
        <v>1.7968944099378871E-3</v>
      </c>
      <c r="O620" s="12">
        <v>1.7968944099378871E-3</v>
      </c>
      <c r="P620" s="19">
        <f t="shared" si="67"/>
        <v>0</v>
      </c>
      <c r="Q620" s="12">
        <f t="shared" si="68"/>
        <v>0</v>
      </c>
      <c r="R620" s="12">
        <f t="shared" si="69"/>
        <v>0.5951314285714282</v>
      </c>
      <c r="S620" s="1">
        <v>254</v>
      </c>
      <c r="T620" s="14">
        <v>46236</v>
      </c>
    </row>
    <row r="621" spans="1:20" ht="21" customHeight="1" x14ac:dyDescent="0.45">
      <c r="A621" s="31">
        <v>46236.637483095234</v>
      </c>
      <c r="B621" s="31">
        <v>46236.63766738095</v>
      </c>
      <c r="C621" s="31">
        <v>46236.635416666664</v>
      </c>
      <c r="D621" s="1" t="s">
        <v>101</v>
      </c>
      <c r="E621" s="12">
        <v>4.4228571428571433E-3</v>
      </c>
      <c r="F621" s="12">
        <f>IF(D621="d",两日求解价格与决策!K262-两日求解价格与决策!N262,IF(D621="u",两日求解价格与决策!K262+两日求解价格与决策!M262,两日求解价格与决策!K262))</f>
        <v>59.999999999999993</v>
      </c>
      <c r="G621" s="12">
        <f t="shared" si="64"/>
        <v>0</v>
      </c>
      <c r="H621" s="12">
        <f t="shared" si="65"/>
        <v>59.999999999999993</v>
      </c>
      <c r="I621" s="12">
        <f t="shared" si="70"/>
        <v>163.8442042434782</v>
      </c>
      <c r="J621" s="12">
        <f>I621+E621*(G621*原始输入与口径!$B$5-H621/原始输入与口径!$B$5)</f>
        <v>163.55575703850926</v>
      </c>
      <c r="K621" s="12">
        <v>163.84420424347817</v>
      </c>
      <c r="L621" s="12">
        <v>163.55575703850923</v>
      </c>
      <c r="M621" s="19">
        <f t="shared" si="66"/>
        <v>0</v>
      </c>
      <c r="N621" s="12">
        <f>E621*(G621*原始输入与口径!$B$5+H621/原始输入与口径!$B$5)/原始输入与口径!$H$5</f>
        <v>8.012422360248446E-4</v>
      </c>
      <c r="O621" s="12">
        <v>8.0124223602484471E-4</v>
      </c>
      <c r="P621" s="19">
        <f t="shared" si="67"/>
        <v>0</v>
      </c>
      <c r="Q621" s="12">
        <f t="shared" si="68"/>
        <v>0</v>
      </c>
      <c r="R621" s="12">
        <f t="shared" si="69"/>
        <v>0.26537142857142859</v>
      </c>
      <c r="S621" s="1">
        <v>254</v>
      </c>
      <c r="T621" s="14">
        <v>46236</v>
      </c>
    </row>
    <row r="622" spans="1:20" ht="21" customHeight="1" x14ac:dyDescent="0.45">
      <c r="A622" s="31">
        <v>46236.63766738095</v>
      </c>
      <c r="B622" s="31">
        <v>46236.645833333328</v>
      </c>
      <c r="C622" s="31">
        <v>46236.635416666664</v>
      </c>
      <c r="D622" s="1" t="s">
        <v>102</v>
      </c>
      <c r="E622" s="12">
        <v>0.19598285714285713</v>
      </c>
      <c r="F622" s="12">
        <f>IF(D622="d",两日求解价格与决策!K262-两日求解价格与决策!N262,IF(D622="u",两日求解价格与决策!K262+两日求解价格与决策!M262,两日求解价格与决策!K262))</f>
        <v>35.999999999999993</v>
      </c>
      <c r="G622" s="12">
        <f t="shared" si="64"/>
        <v>0</v>
      </c>
      <c r="H622" s="12">
        <f t="shared" si="65"/>
        <v>35.999999999999993</v>
      </c>
      <c r="I622" s="12">
        <f t="shared" si="70"/>
        <v>163.55575703850926</v>
      </c>
      <c r="J622" s="12">
        <f>I622+E622*(G622*原始输入与口径!$B$5-H622/原始输入与口径!$B$5)</f>
        <v>155.88686262857138</v>
      </c>
      <c r="K622" s="12">
        <v>163.55575703850923</v>
      </c>
      <c r="L622" s="12">
        <v>155.88686262857135</v>
      </c>
      <c r="M622" s="19">
        <f t="shared" si="66"/>
        <v>0</v>
      </c>
      <c r="N622" s="12">
        <f>E622*(G622*原始输入与口径!$B$5+H622/原始输入与口径!$B$5)/原始输入与口径!$H$5</f>
        <v>2.1302484472049684E-2</v>
      </c>
      <c r="O622" s="12">
        <v>2.1302484472049681E-2</v>
      </c>
      <c r="P622" s="19">
        <f t="shared" si="67"/>
        <v>0</v>
      </c>
      <c r="Q622" s="12">
        <f t="shared" si="68"/>
        <v>0</v>
      </c>
      <c r="R622" s="12">
        <f t="shared" si="69"/>
        <v>7.0553828571428552</v>
      </c>
      <c r="S622" s="1">
        <v>254</v>
      </c>
      <c r="T622" s="14">
        <v>46236</v>
      </c>
    </row>
    <row r="623" spans="1:20" ht="21" customHeight="1" x14ac:dyDescent="0.45">
      <c r="A623" s="31">
        <v>46236.645833333336</v>
      </c>
      <c r="B623" s="31">
        <v>46236.646230238097</v>
      </c>
      <c r="C623" s="31">
        <v>46236.645833333336</v>
      </c>
      <c r="D623" s="1" t="s">
        <v>101</v>
      </c>
      <c r="E623" s="12">
        <v>9.5257142857142867E-3</v>
      </c>
      <c r="F623" s="12">
        <f>IF(D623="d",两日求解价格与决策!K263-两日求解价格与决策!N263,IF(D623="u",两日求解价格与决策!K263+两日求解价格与决策!M263,两日求解价格与决策!K263))</f>
        <v>-12</v>
      </c>
      <c r="G623" s="12">
        <f t="shared" si="64"/>
        <v>12</v>
      </c>
      <c r="H623" s="12">
        <f t="shared" si="65"/>
        <v>0</v>
      </c>
      <c r="I623" s="12">
        <f t="shared" si="70"/>
        <v>155.88686262857138</v>
      </c>
      <c r="J623" s="12">
        <f>I623+E623*(G623*原始输入与口径!$B$5-H623/原始输入与口径!$B$5)</f>
        <v>155.99202651428567</v>
      </c>
      <c r="K623" s="12">
        <v>155.88686262857135</v>
      </c>
      <c r="L623" s="12">
        <v>155.99202651428564</v>
      </c>
      <c r="M623" s="19">
        <f t="shared" si="66"/>
        <v>0</v>
      </c>
      <c r="N623" s="12">
        <f>E623*(G623*原始输入与口径!$B$5+H623/原始输入与口径!$B$5)/原始输入与口径!$H$5</f>
        <v>2.9212190476190483E-4</v>
      </c>
      <c r="O623" s="12">
        <v>2.9212190476190478E-4</v>
      </c>
      <c r="P623" s="19">
        <f t="shared" si="67"/>
        <v>0</v>
      </c>
      <c r="Q623" s="12">
        <f t="shared" si="68"/>
        <v>0.11430857142857144</v>
      </c>
      <c r="R623" s="12">
        <f t="shared" si="69"/>
        <v>0</v>
      </c>
      <c r="S623" s="1">
        <v>255</v>
      </c>
      <c r="T623" s="14">
        <v>46236</v>
      </c>
    </row>
    <row r="624" spans="1:20" ht="21" customHeight="1" x14ac:dyDescent="0.45">
      <c r="A624" s="31">
        <v>46236.646230238097</v>
      </c>
      <c r="B624" s="31">
        <v>46236.65625</v>
      </c>
      <c r="C624" s="31">
        <v>46236.645833333336</v>
      </c>
      <c r="D624" s="1" t="s">
        <v>102</v>
      </c>
      <c r="E624" s="12">
        <v>0.24047428571428572</v>
      </c>
      <c r="F624" s="12">
        <f>IF(D624="d",两日求解价格与决策!K263-两日求解价格与决策!N263,IF(D624="u",两日求解价格与决策!K263+两日求解价格与决策!M263,两日求解价格与决策!K263))</f>
        <v>-36</v>
      </c>
      <c r="G624" s="12">
        <f t="shared" si="64"/>
        <v>36</v>
      </c>
      <c r="H624" s="12">
        <f t="shared" si="65"/>
        <v>0</v>
      </c>
      <c r="I624" s="12">
        <f t="shared" si="70"/>
        <v>155.99202651428567</v>
      </c>
      <c r="J624" s="12">
        <f>I624+E624*(G624*原始输入与口径!$B$5-H624/原始输入与口径!$B$5)</f>
        <v>163.9565348571428</v>
      </c>
      <c r="K624" s="12">
        <v>155.99202651428564</v>
      </c>
      <c r="L624" s="12">
        <v>163.95653485714277</v>
      </c>
      <c r="M624" s="19">
        <f t="shared" si="66"/>
        <v>0</v>
      </c>
      <c r="N624" s="12">
        <f>E624*(G624*原始输入与口径!$B$5+H624/原始输入与口径!$B$5)/原始输入与口径!$H$5</f>
        <v>2.2123634285714289E-2</v>
      </c>
      <c r="O624" s="12">
        <v>2.2123634285714285E-2</v>
      </c>
      <c r="P624" s="19">
        <f t="shared" si="67"/>
        <v>0</v>
      </c>
      <c r="Q624" s="12">
        <f t="shared" si="68"/>
        <v>8.6570742857142857</v>
      </c>
      <c r="R624" s="12">
        <f t="shared" si="69"/>
        <v>0</v>
      </c>
      <c r="S624" s="1">
        <v>255</v>
      </c>
      <c r="T624" s="14">
        <v>46236</v>
      </c>
    </row>
    <row r="625" spans="1:20" ht="21" customHeight="1" x14ac:dyDescent="0.45">
      <c r="A625" s="31">
        <v>46236.65625</v>
      </c>
      <c r="B625" s="31">
        <v>46236.657461904761</v>
      </c>
      <c r="C625" s="31">
        <v>46236.65625</v>
      </c>
      <c r="D625" s="1" t="s">
        <v>101</v>
      </c>
      <c r="E625" s="12">
        <v>2.9085714285714284E-2</v>
      </c>
      <c r="F625" s="12">
        <f>IF(D625="d",两日求解价格与决策!K264-两日求解价格与决策!N264,IF(D625="u",两日求解价格与决策!K264+两日求解价格与决策!M264,两日求解价格与决策!K264))</f>
        <v>-12</v>
      </c>
      <c r="G625" s="12">
        <f t="shared" si="64"/>
        <v>12</v>
      </c>
      <c r="H625" s="12">
        <f t="shared" si="65"/>
        <v>0</v>
      </c>
      <c r="I625" s="12">
        <f t="shared" si="70"/>
        <v>163.9565348571428</v>
      </c>
      <c r="J625" s="12">
        <f>I625+E625*(G625*原始输入与口径!$B$5-H625/原始输入与口径!$B$5)</f>
        <v>164.27764114285708</v>
      </c>
      <c r="K625" s="12">
        <v>163.95653485714277</v>
      </c>
      <c r="L625" s="12">
        <v>164.27764114285705</v>
      </c>
      <c r="M625" s="19">
        <f t="shared" si="66"/>
        <v>0</v>
      </c>
      <c r="N625" s="12">
        <f>E625*(G625*原始输入与口径!$B$5+H625/原始输入与口径!$B$5)/原始输入与口径!$H$5</f>
        <v>8.9196190476190486E-4</v>
      </c>
      <c r="O625" s="12">
        <v>8.9196190476190486E-4</v>
      </c>
      <c r="P625" s="19">
        <f t="shared" si="67"/>
        <v>0</v>
      </c>
      <c r="Q625" s="12">
        <f t="shared" si="68"/>
        <v>0.34902857142857141</v>
      </c>
      <c r="R625" s="12">
        <f t="shared" si="69"/>
        <v>0</v>
      </c>
      <c r="S625" s="1">
        <v>256</v>
      </c>
      <c r="T625" s="14">
        <v>46236</v>
      </c>
    </row>
    <row r="626" spans="1:20" ht="21" customHeight="1" x14ac:dyDescent="0.45">
      <c r="A626" s="31">
        <v>46236.657461904761</v>
      </c>
      <c r="B626" s="31">
        <v>46236.666666666664</v>
      </c>
      <c r="C626" s="31">
        <v>46236.65625</v>
      </c>
      <c r="D626" s="1" t="s">
        <v>102</v>
      </c>
      <c r="E626" s="12">
        <v>0.22091428571428573</v>
      </c>
      <c r="F626" s="12">
        <f>IF(D626="d",两日求解价格与决策!K264-两日求解价格与决策!N264,IF(D626="u",两日求解价格与决策!K264+两日求解价格与决策!M264,两日求解价格与决策!K264))</f>
        <v>-36</v>
      </c>
      <c r="G626" s="12">
        <f t="shared" si="64"/>
        <v>36</v>
      </c>
      <c r="H626" s="12">
        <f t="shared" si="65"/>
        <v>0</v>
      </c>
      <c r="I626" s="12">
        <f t="shared" si="70"/>
        <v>164.27764114285708</v>
      </c>
      <c r="J626" s="12">
        <f>I626+E626*(G626*原始输入与口径!$B$5-H626/原始输入与口径!$B$5)</f>
        <v>171.59432228571421</v>
      </c>
      <c r="K626" s="12">
        <v>164.27764114285705</v>
      </c>
      <c r="L626" s="12">
        <v>171.59432228571418</v>
      </c>
      <c r="M626" s="19">
        <f t="shared" si="66"/>
        <v>0</v>
      </c>
      <c r="N626" s="12">
        <f>E626*(G626*原始输入与口径!$B$5+H626/原始输入与口径!$B$5)/原始输入与口径!$H$5</f>
        <v>2.032411428571429E-2</v>
      </c>
      <c r="O626" s="12">
        <v>2.0324114285714286E-2</v>
      </c>
      <c r="P626" s="19">
        <f t="shared" si="67"/>
        <v>0</v>
      </c>
      <c r="Q626" s="12">
        <f t="shared" si="68"/>
        <v>7.9529142857142858</v>
      </c>
      <c r="R626" s="12">
        <f t="shared" si="69"/>
        <v>0</v>
      </c>
      <c r="S626" s="1">
        <v>256</v>
      </c>
      <c r="T626" s="14">
        <v>46236</v>
      </c>
    </row>
    <row r="627" spans="1:20" ht="21" customHeight="1" x14ac:dyDescent="0.45">
      <c r="A627" s="31">
        <v>46236.666666666664</v>
      </c>
      <c r="B627" s="31">
        <v>46236.666677380948</v>
      </c>
      <c r="C627" s="31">
        <v>46236.666666666664</v>
      </c>
      <c r="D627" s="1" t="s">
        <v>103</v>
      </c>
      <c r="E627" s="12">
        <v>2.5714285714285715E-4</v>
      </c>
      <c r="F627" s="12">
        <f>IF(D627="d",两日求解价格与决策!K265-两日求解价格与决策!N265,IF(D627="u",两日求解价格与决策!K265+两日求解价格与决策!M265,两日求解价格与决策!K265))</f>
        <v>-24</v>
      </c>
      <c r="G627" s="12">
        <f t="shared" si="64"/>
        <v>24</v>
      </c>
      <c r="H627" s="12">
        <f t="shared" si="65"/>
        <v>0</v>
      </c>
      <c r="I627" s="12">
        <f t="shared" si="70"/>
        <v>171.59432228571421</v>
      </c>
      <c r="J627" s="12">
        <f>I627+E627*(G627*原始输入与口径!$B$5-H627/原始输入与口径!$B$5)</f>
        <v>171.59999999999994</v>
      </c>
      <c r="K627" s="12">
        <v>171.59432228571418</v>
      </c>
      <c r="L627" s="12">
        <v>171.59999999999991</v>
      </c>
      <c r="M627" s="19">
        <f t="shared" si="66"/>
        <v>0</v>
      </c>
      <c r="N627" s="12">
        <f>E627*(G627*原始输入与口径!$B$5+H627/原始输入与口径!$B$5)/原始输入与口径!$H$5</f>
        <v>1.5771428571428575E-5</v>
      </c>
      <c r="O627" s="12">
        <v>1.5771428571428571E-5</v>
      </c>
      <c r="P627" s="19">
        <f t="shared" si="67"/>
        <v>0</v>
      </c>
      <c r="Q627" s="12">
        <f t="shared" si="68"/>
        <v>6.1714285714285716E-3</v>
      </c>
      <c r="R627" s="12">
        <f t="shared" si="69"/>
        <v>0</v>
      </c>
      <c r="S627" s="1">
        <v>257</v>
      </c>
      <c r="T627" s="14">
        <v>46236</v>
      </c>
    </row>
    <row r="628" spans="1:20" ht="21" customHeight="1" x14ac:dyDescent="0.45">
      <c r="A628" s="31">
        <v>46236.666677380948</v>
      </c>
      <c r="B628" s="31">
        <v>46236.667259999995</v>
      </c>
      <c r="C628" s="31">
        <v>46236.666666666664</v>
      </c>
      <c r="D628" s="1" t="s">
        <v>101</v>
      </c>
      <c r="E628" s="12">
        <v>1.3982857142857142E-2</v>
      </c>
      <c r="F628" s="12">
        <f>IF(D628="d",两日求解价格与决策!K265-两日求解价格与决策!N265,IF(D628="u",两日求解价格与决策!K265+两日求解价格与决策!M265,两日求解价格与决策!K265))</f>
        <v>24</v>
      </c>
      <c r="G628" s="12">
        <f t="shared" si="64"/>
        <v>0</v>
      </c>
      <c r="H628" s="12">
        <f t="shared" si="65"/>
        <v>24</v>
      </c>
      <c r="I628" s="12">
        <f t="shared" si="70"/>
        <v>171.59999999999994</v>
      </c>
      <c r="J628" s="12">
        <f>I628+E628*(G628*原始输入与口径!$B$5-H628/原始输入与口径!$B$5)</f>
        <v>171.23522981366455</v>
      </c>
      <c r="K628" s="12">
        <v>171.59999999999991</v>
      </c>
      <c r="L628" s="12">
        <v>171.23522981366452</v>
      </c>
      <c r="M628" s="19">
        <f t="shared" si="66"/>
        <v>0</v>
      </c>
      <c r="N628" s="12">
        <f>E628*(G628*原始输入与口径!$B$5+H628/原始输入与口径!$B$5)/原始输入与口径!$H$5</f>
        <v>1.0132505175983436E-3</v>
      </c>
      <c r="O628" s="12">
        <v>1.0132505175983436E-3</v>
      </c>
      <c r="P628" s="19">
        <f t="shared" si="67"/>
        <v>0</v>
      </c>
      <c r="Q628" s="12">
        <f t="shared" si="68"/>
        <v>0</v>
      </c>
      <c r="R628" s="12">
        <f t="shared" si="69"/>
        <v>0.3355885714285714</v>
      </c>
      <c r="S628" s="1">
        <v>257</v>
      </c>
      <c r="T628" s="14">
        <v>46236</v>
      </c>
    </row>
    <row r="629" spans="1:20" ht="21" customHeight="1" x14ac:dyDescent="0.45">
      <c r="A629" s="31">
        <v>46236.667259999995</v>
      </c>
      <c r="B629" s="31">
        <v>46236.677083333328</v>
      </c>
      <c r="C629" s="31">
        <v>46236.666666666664</v>
      </c>
      <c r="D629" s="1" t="s">
        <v>102</v>
      </c>
      <c r="E629" s="12">
        <v>0.23576000000000003</v>
      </c>
      <c r="F629" s="12">
        <f>IF(D629="d",两日求解价格与决策!K265-两日求解价格与决策!N265,IF(D629="u",两日求解价格与决策!K265+两日求解价格与决策!M265,两日求解价格与决策!K265))</f>
        <v>0</v>
      </c>
      <c r="G629" s="12">
        <f t="shared" si="64"/>
        <v>0</v>
      </c>
      <c r="H629" s="12">
        <f t="shared" si="65"/>
        <v>0</v>
      </c>
      <c r="I629" s="12">
        <f t="shared" si="70"/>
        <v>171.23522981366455</v>
      </c>
      <c r="J629" s="12">
        <f>I629+E629*(G629*原始输入与口径!$B$5-H629/原始输入与口径!$B$5)</f>
        <v>171.23522981366455</v>
      </c>
      <c r="K629" s="12">
        <v>171.23522981366452</v>
      </c>
      <c r="L629" s="12">
        <v>171.23522981366452</v>
      </c>
      <c r="M629" s="19">
        <f t="shared" si="66"/>
        <v>0</v>
      </c>
      <c r="N629" s="12">
        <f>E629*(G629*原始输入与口径!$B$5+H629/原始输入与口径!$B$5)/原始输入与口径!$H$5</f>
        <v>0</v>
      </c>
      <c r="O629" s="12">
        <v>0</v>
      </c>
      <c r="P629" s="19">
        <f t="shared" si="67"/>
        <v>0</v>
      </c>
      <c r="Q629" s="12">
        <f t="shared" si="68"/>
        <v>0</v>
      </c>
      <c r="R629" s="12">
        <f t="shared" si="69"/>
        <v>0</v>
      </c>
      <c r="S629" s="1">
        <v>257</v>
      </c>
      <c r="T629" s="14">
        <v>46236</v>
      </c>
    </row>
    <row r="630" spans="1:20" ht="21" customHeight="1" x14ac:dyDescent="0.45">
      <c r="A630" s="31">
        <v>46236.677083333336</v>
      </c>
      <c r="B630" s="31">
        <v>46236.67713309524</v>
      </c>
      <c r="C630" s="31">
        <v>46236.677083333336</v>
      </c>
      <c r="D630" s="1" t="s">
        <v>103</v>
      </c>
      <c r="E630" s="12">
        <v>1.1942857142857141E-3</v>
      </c>
      <c r="F630" s="12">
        <f>IF(D630="d",两日求解价格与决策!K266-两日求解价格与决策!N266,IF(D630="u",两日求解价格与决策!K266+两日求解价格与决策!M266,两日求解价格与决策!K266))</f>
        <v>-25.513646080067296</v>
      </c>
      <c r="G630" s="12">
        <f t="shared" si="64"/>
        <v>25.513646080067296</v>
      </c>
      <c r="H630" s="12">
        <f t="shared" si="65"/>
        <v>0</v>
      </c>
      <c r="I630" s="12">
        <f t="shared" si="70"/>
        <v>171.23522981366455</v>
      </c>
      <c r="J630" s="12">
        <f>I630+E630*(G630*原始输入与口径!$B$5-H630/原始输入与口径!$B$5)</f>
        <v>171.26326275005468</v>
      </c>
      <c r="K630" s="12">
        <v>171.23522981366452</v>
      </c>
      <c r="L630" s="12">
        <v>171.26326275005465</v>
      </c>
      <c r="M630" s="19">
        <f t="shared" si="66"/>
        <v>0</v>
      </c>
      <c r="N630" s="12">
        <f>E630*(G630*原始输入与口径!$B$5+H630/原始输入与口径!$B$5)/原始输入与口径!$H$5</f>
        <v>7.7869267750402209E-5</v>
      </c>
      <c r="O630" s="12">
        <v>7.7869267750402209E-5</v>
      </c>
      <c r="P630" s="19">
        <f t="shared" si="67"/>
        <v>0</v>
      </c>
      <c r="Q630" s="12">
        <f t="shared" si="68"/>
        <v>3.0470583032766081E-2</v>
      </c>
      <c r="R630" s="12">
        <f t="shared" si="69"/>
        <v>0</v>
      </c>
      <c r="S630" s="1">
        <v>258</v>
      </c>
      <c r="T630" s="14">
        <v>46236</v>
      </c>
    </row>
    <row r="631" spans="1:20" ht="21" customHeight="1" x14ac:dyDescent="0.45">
      <c r="A631" s="31">
        <v>46236.67713309524</v>
      </c>
      <c r="B631" s="31">
        <v>46236.677164047622</v>
      </c>
      <c r="C631" s="31">
        <v>46236.677083333336</v>
      </c>
      <c r="D631" s="1" t="s">
        <v>101</v>
      </c>
      <c r="E631" s="12">
        <v>7.4285714285714287E-4</v>
      </c>
      <c r="F631" s="12">
        <f>IF(D631="d",两日求解价格与决策!K266-两日求解价格与决策!N266,IF(D631="u",两日求解价格与决策!K266+两日求解价格与决策!M266,两日求解价格与决策!K266))</f>
        <v>22.486353919932704</v>
      </c>
      <c r="G631" s="12">
        <f t="shared" si="64"/>
        <v>0</v>
      </c>
      <c r="H631" s="12">
        <f t="shared" si="65"/>
        <v>22.486353919932704</v>
      </c>
      <c r="I631" s="12">
        <f t="shared" si="70"/>
        <v>171.26326275005468</v>
      </c>
      <c r="J631" s="12">
        <f>I631+E631*(G631*原始输入与口径!$B$5-H631/原始输入与口径!$B$5)</f>
        <v>171.24510606676529</v>
      </c>
      <c r="K631" s="12">
        <v>171.26326275005465</v>
      </c>
      <c r="L631" s="12">
        <v>171.24510606676526</v>
      </c>
      <c r="M631" s="19">
        <f t="shared" si="66"/>
        <v>0</v>
      </c>
      <c r="N631" s="12">
        <f>E631*(G631*原始输入与口径!$B$5+H631/原始输入与口径!$B$5)/原始输入与口径!$H$5</f>
        <v>5.0435231359407382E-5</v>
      </c>
      <c r="O631" s="12">
        <v>5.0435231359407368E-5</v>
      </c>
      <c r="P631" s="19">
        <f t="shared" si="67"/>
        <v>0</v>
      </c>
      <c r="Q631" s="12">
        <f t="shared" si="68"/>
        <v>0</v>
      </c>
      <c r="R631" s="12">
        <f t="shared" si="69"/>
        <v>1.6704148626235722E-2</v>
      </c>
      <c r="S631" s="1">
        <v>258</v>
      </c>
      <c r="T631" s="14">
        <v>46236</v>
      </c>
    </row>
    <row r="632" spans="1:20" ht="21" customHeight="1" x14ac:dyDescent="0.45">
      <c r="A632" s="31">
        <v>46236.677164047622</v>
      </c>
      <c r="B632" s="31">
        <v>46236.6875</v>
      </c>
      <c r="C632" s="31">
        <v>46236.677083333336</v>
      </c>
      <c r="D632" s="1" t="s">
        <v>102</v>
      </c>
      <c r="E632" s="12">
        <v>0.24806285714285714</v>
      </c>
      <c r="F632" s="12">
        <f>IF(D632="d",两日求解价格与决策!K266-两日求解价格与决策!N266,IF(D632="u",两日求解价格与决策!K266+两日求解价格与决策!M266,两日求解价格与决策!K266))</f>
        <v>-1.513646080067296</v>
      </c>
      <c r="G632" s="12">
        <f t="shared" si="64"/>
        <v>1.513646080067296</v>
      </c>
      <c r="H632" s="12">
        <f t="shared" si="65"/>
        <v>0</v>
      </c>
      <c r="I632" s="12">
        <f t="shared" si="70"/>
        <v>171.24510606676529</v>
      </c>
      <c r="J632" s="12">
        <f>I632+E632*(G632*原始输入与口径!$B$5-H632/原始输入与口径!$B$5)</f>
        <v>171.59054708838391</v>
      </c>
      <c r="K632" s="12">
        <v>171.24510606676526</v>
      </c>
      <c r="L632" s="12">
        <v>171.59054708838389</v>
      </c>
      <c r="M632" s="19">
        <f t="shared" si="66"/>
        <v>0</v>
      </c>
      <c r="N632" s="12">
        <f>E632*(G632*原始输入与口径!$B$5+H632/原始输入与口径!$B$5)/原始输入与口径!$H$5</f>
        <v>9.5955839338503614E-4</v>
      </c>
      <c r="O632" s="12">
        <v>9.5955839338503614E-4</v>
      </c>
      <c r="P632" s="19">
        <f t="shared" si="67"/>
        <v>0</v>
      </c>
      <c r="Q632" s="12">
        <f t="shared" si="68"/>
        <v>0.37547937132457931</v>
      </c>
      <c r="R632" s="12">
        <f t="shared" si="69"/>
        <v>0</v>
      </c>
      <c r="S632" s="1">
        <v>258</v>
      </c>
      <c r="T632" s="14">
        <v>46236</v>
      </c>
    </row>
    <row r="633" spans="1:20" ht="21" customHeight="1" x14ac:dyDescent="0.45">
      <c r="A633" s="31">
        <v>46236.6875</v>
      </c>
      <c r="B633" s="31">
        <v>46236.687515952384</v>
      </c>
      <c r="C633" s="31">
        <v>46236.6875</v>
      </c>
      <c r="D633" s="1" t="s">
        <v>103</v>
      </c>
      <c r="E633" s="12">
        <v>3.828571428571429E-4</v>
      </c>
      <c r="F633" s="12">
        <f>IF(D633="d",两日求解价格与决策!K267-两日求解价格与决策!N267,IF(D633="u",两日求解价格与决策!K267+两日求解价格与决策!M267,两日求解价格与决策!K267))</f>
        <v>-26.83743563935445</v>
      </c>
      <c r="G633" s="12">
        <f t="shared" si="64"/>
        <v>26.83743563935445</v>
      </c>
      <c r="H633" s="12">
        <f t="shared" si="65"/>
        <v>0</v>
      </c>
      <c r="I633" s="12">
        <f t="shared" si="70"/>
        <v>171.59054708838391</v>
      </c>
      <c r="J633" s="12">
        <f>I633+E633*(G633*原始输入与口径!$B$5-H633/原始输入与口径!$B$5)</f>
        <v>171.59999999999997</v>
      </c>
      <c r="K633" s="12">
        <v>171.59054708838389</v>
      </c>
      <c r="L633" s="12">
        <v>171.59999999999994</v>
      </c>
      <c r="M633" s="19">
        <f t="shared" si="66"/>
        <v>0</v>
      </c>
      <c r="N633" s="12">
        <f>E633*(G633*原始输入与口径!$B$5+H633/原始输入与口径!$B$5)/原始输入与口径!$H$5</f>
        <v>2.6258087822377912E-5</v>
      </c>
      <c r="O633" s="12">
        <v>2.6258087822377915E-5</v>
      </c>
      <c r="P633" s="19">
        <f t="shared" si="67"/>
        <v>0</v>
      </c>
      <c r="Q633" s="12">
        <f t="shared" si="68"/>
        <v>1.0274903930495705E-2</v>
      </c>
      <c r="R633" s="12">
        <f t="shared" si="69"/>
        <v>0</v>
      </c>
      <c r="S633" s="1">
        <v>259</v>
      </c>
      <c r="T633" s="14">
        <v>46236</v>
      </c>
    </row>
    <row r="634" spans="1:20" ht="21" customHeight="1" x14ac:dyDescent="0.45">
      <c r="A634" s="31">
        <v>46236.687515952384</v>
      </c>
      <c r="B634" s="31">
        <v>46236.688584761905</v>
      </c>
      <c r="C634" s="31">
        <v>46236.6875</v>
      </c>
      <c r="D634" s="1" t="s">
        <v>101</v>
      </c>
      <c r="E634" s="12">
        <v>2.5651428571428572E-2</v>
      </c>
      <c r="F634" s="12">
        <f>IF(D634="d",两日求解价格与决策!K267-两日求解价格与决策!N267,IF(D634="u",两日求解价格与决策!K267+两日求解价格与决策!M267,两日求解价格与决策!K267))</f>
        <v>21.16256436064555</v>
      </c>
      <c r="G634" s="12">
        <f t="shared" si="64"/>
        <v>0</v>
      </c>
      <c r="H634" s="12">
        <f t="shared" si="65"/>
        <v>21.16256436064555</v>
      </c>
      <c r="I634" s="12">
        <f t="shared" si="70"/>
        <v>171.59999999999997</v>
      </c>
      <c r="J634" s="12">
        <f>I634+E634*(G634*原始输入与口径!$B$5-H634/原始输入与口径!$B$5)</f>
        <v>171.00994564338544</v>
      </c>
      <c r="K634" s="12">
        <v>171.59999999999994</v>
      </c>
      <c r="L634" s="12">
        <v>171.00994564338541</v>
      </c>
      <c r="M634" s="19">
        <f t="shared" si="66"/>
        <v>0</v>
      </c>
      <c r="N634" s="12">
        <f>E634*(G634*原始输入与口径!$B$5+H634/原始输入与口径!$B$5)/原始输入与口径!$H$5</f>
        <v>1.6390398794847805E-3</v>
      </c>
      <c r="O634" s="12">
        <v>1.6390398794847805E-3</v>
      </c>
      <c r="P634" s="19">
        <f t="shared" si="67"/>
        <v>0</v>
      </c>
      <c r="Q634" s="12">
        <f t="shared" si="68"/>
        <v>0</v>
      </c>
      <c r="R634" s="12">
        <f t="shared" si="69"/>
        <v>0.54285000808535933</v>
      </c>
      <c r="S634" s="1">
        <v>259</v>
      </c>
      <c r="T634" s="14">
        <v>46236</v>
      </c>
    </row>
    <row r="635" spans="1:20" ht="21" customHeight="1" x14ac:dyDescent="0.45">
      <c r="A635" s="31">
        <v>46236.688584761905</v>
      </c>
      <c r="B635" s="31">
        <v>46236.697916666664</v>
      </c>
      <c r="C635" s="31">
        <v>46236.6875</v>
      </c>
      <c r="D635" s="1" t="s">
        <v>102</v>
      </c>
      <c r="E635" s="12">
        <v>0.2239657142857143</v>
      </c>
      <c r="F635" s="12">
        <f>IF(D635="d",两日求解价格与决策!K267-两日求解价格与决策!N267,IF(D635="u",两日求解价格与决策!K267+两日求解价格与决策!M267,两日求解价格与决策!K267))</f>
        <v>-2.8374356393544509</v>
      </c>
      <c r="G635" s="12">
        <f t="shared" si="64"/>
        <v>2.8374356393544509</v>
      </c>
      <c r="H635" s="12">
        <f t="shared" si="65"/>
        <v>0</v>
      </c>
      <c r="I635" s="12">
        <f t="shared" si="70"/>
        <v>171.00994564338544</v>
      </c>
      <c r="J635" s="12">
        <f>I635+E635*(G635*原始输入与口径!$B$5-H635/原始输入与口径!$B$5)</f>
        <v>171.59459487911658</v>
      </c>
      <c r="K635" s="12">
        <v>171.00994564338541</v>
      </c>
      <c r="L635" s="12">
        <v>171.59459487911656</v>
      </c>
      <c r="M635" s="19">
        <f t="shared" si="66"/>
        <v>0</v>
      </c>
      <c r="N635" s="12">
        <f>E635*(G635*原始输入与口径!$B$5+H635/原始输入与口径!$B$5)/原始输入与口径!$H$5</f>
        <v>1.6240256548087251E-3</v>
      </c>
      <c r="O635" s="12">
        <v>1.6240256548087251E-3</v>
      </c>
      <c r="P635" s="19">
        <f t="shared" si="67"/>
        <v>0</v>
      </c>
      <c r="Q635" s="12">
        <f t="shared" si="68"/>
        <v>0.63548829970776199</v>
      </c>
      <c r="R635" s="12">
        <f t="shared" si="69"/>
        <v>0</v>
      </c>
      <c r="S635" s="1">
        <v>259</v>
      </c>
      <c r="T635" s="14">
        <v>46236</v>
      </c>
    </row>
    <row r="636" spans="1:20" ht="21" customHeight="1" x14ac:dyDescent="0.45">
      <c r="A636" s="31">
        <v>46236.697916666664</v>
      </c>
      <c r="B636" s="31">
        <v>46236.697926666668</v>
      </c>
      <c r="C636" s="31">
        <v>46236.697916666664</v>
      </c>
      <c r="D636" s="1" t="s">
        <v>103</v>
      </c>
      <c r="E636" s="12">
        <v>2.4000000000000001E-4</v>
      </c>
      <c r="F636" s="12">
        <f>IF(D636="d",两日求解价格与决策!K268-两日求解价格与决策!N268,IF(D636="u",两日求解价格与决策!K268+两日求解价格与决策!M268,两日求解价格与决策!K268))</f>
        <v>-24.479714145699276</v>
      </c>
      <c r="G636" s="12">
        <f t="shared" si="64"/>
        <v>24.479714145699276</v>
      </c>
      <c r="H636" s="12">
        <f t="shared" si="65"/>
        <v>0</v>
      </c>
      <c r="I636" s="12">
        <f t="shared" si="70"/>
        <v>171.59459487911658</v>
      </c>
      <c r="J636" s="12">
        <f>I636+E636*(G636*原始输入与口径!$B$5-H636/原始输入与口径!$B$5)</f>
        <v>171.59999999999997</v>
      </c>
      <c r="K636" s="12">
        <v>171.59459487911656</v>
      </c>
      <c r="L636" s="12">
        <v>171.59999999999994</v>
      </c>
      <c r="M636" s="19">
        <f t="shared" si="66"/>
        <v>0</v>
      </c>
      <c r="N636" s="12">
        <f>E636*(G636*原始输入与口径!$B$5+H636/原始输入与口径!$B$5)/原始输入与口径!$H$5</f>
        <v>1.5014224676028891E-5</v>
      </c>
      <c r="O636" s="12">
        <v>1.5014224676028891E-5</v>
      </c>
      <c r="P636" s="19">
        <f t="shared" si="67"/>
        <v>0</v>
      </c>
      <c r="Q636" s="12">
        <f t="shared" si="68"/>
        <v>5.8751313949678263E-3</v>
      </c>
      <c r="R636" s="12">
        <f t="shared" si="69"/>
        <v>0</v>
      </c>
      <c r="S636" s="1">
        <v>260</v>
      </c>
      <c r="T636" s="14">
        <v>46236</v>
      </c>
    </row>
    <row r="637" spans="1:20" ht="21" customHeight="1" x14ac:dyDescent="0.45">
      <c r="A637" s="31">
        <v>46236.697926666668</v>
      </c>
      <c r="B637" s="31">
        <v>46236.698149761905</v>
      </c>
      <c r="C637" s="31">
        <v>46236.697916666664</v>
      </c>
      <c r="D637" s="1" t="s">
        <v>101</v>
      </c>
      <c r="E637" s="12">
        <v>5.3542857142857142E-3</v>
      </c>
      <c r="F637" s="12">
        <f>IF(D637="d",两日求解价格与决策!K268-两日求解价格与决策!N268,IF(D637="u",两日求解价格与决策!K268+两日求解价格与决策!M268,两日求解价格与决策!K268))</f>
        <v>23.520285854300724</v>
      </c>
      <c r="G637" s="12">
        <f t="shared" si="64"/>
        <v>0</v>
      </c>
      <c r="H637" s="12">
        <f t="shared" si="65"/>
        <v>23.520285854300724</v>
      </c>
      <c r="I637" s="12">
        <f t="shared" si="70"/>
        <v>171.59999999999997</v>
      </c>
      <c r="J637" s="12">
        <f>I637+E637*(G637*原始输入与口径!$B$5-H637/原始输入与口径!$B$5)</f>
        <v>171.46311485810259</v>
      </c>
      <c r="K637" s="12">
        <v>171.59999999999994</v>
      </c>
      <c r="L637" s="12">
        <v>171.46311485810256</v>
      </c>
      <c r="M637" s="19">
        <f t="shared" si="66"/>
        <v>0</v>
      </c>
      <c r="N637" s="12">
        <f>E637*(G637*原始输入与口径!$B$5+H637/原始输入与口径!$B$5)/原始输入与口径!$H$5</f>
        <v>3.8023650527052756E-4</v>
      </c>
      <c r="O637" s="12">
        <v>3.8023650527052756E-4</v>
      </c>
      <c r="P637" s="19">
        <f t="shared" si="67"/>
        <v>0</v>
      </c>
      <c r="Q637" s="12">
        <f t="shared" si="68"/>
        <v>0</v>
      </c>
      <c r="R637" s="12">
        <f t="shared" si="69"/>
        <v>0.12593433054559874</v>
      </c>
      <c r="S637" s="1">
        <v>260</v>
      </c>
      <c r="T637" s="14">
        <v>46236</v>
      </c>
    </row>
    <row r="638" spans="1:20" ht="21" customHeight="1" x14ac:dyDescent="0.45">
      <c r="A638" s="31">
        <v>46236.698149761905</v>
      </c>
      <c r="B638" s="31">
        <v>46236.708333333328</v>
      </c>
      <c r="C638" s="31">
        <v>46236.697916666664</v>
      </c>
      <c r="D638" s="1" t="s">
        <v>102</v>
      </c>
      <c r="E638" s="12">
        <v>0.24440571428571431</v>
      </c>
      <c r="F638" s="12">
        <f>IF(D638="d",两日求解价格与决策!K268-两日求解价格与决策!N268,IF(D638="u",两日求解价格与决策!K268+两日求解价格与决策!M268,两日求解价格与决策!K268))</f>
        <v>-0.47971414569927678</v>
      </c>
      <c r="G638" s="12">
        <f t="shared" si="64"/>
        <v>0.47971414569927678</v>
      </c>
      <c r="H638" s="12">
        <f t="shared" si="65"/>
        <v>0</v>
      </c>
      <c r="I638" s="12">
        <f t="shared" si="70"/>
        <v>171.46311485810259</v>
      </c>
      <c r="J638" s="12">
        <f>I638+E638*(G638*原始输入与口径!$B$5-H638/原始输入与口径!$B$5)</f>
        <v>171.57098014626058</v>
      </c>
      <c r="K638" s="12">
        <v>171.46311485810256</v>
      </c>
      <c r="L638" s="12">
        <v>171.57098014626055</v>
      </c>
      <c r="M638" s="19">
        <f t="shared" si="66"/>
        <v>0</v>
      </c>
      <c r="N638" s="12">
        <f>E638*(G638*原始输入与口径!$B$5+H638/原始输入与口径!$B$5)/原始输入与口径!$H$5</f>
        <v>2.996258004388487E-4</v>
      </c>
      <c r="O638" s="12">
        <v>2.9962580043884875E-4</v>
      </c>
      <c r="P638" s="19">
        <f t="shared" si="67"/>
        <v>0</v>
      </c>
      <c r="Q638" s="12">
        <f t="shared" si="68"/>
        <v>0.11724487843259297</v>
      </c>
      <c r="R638" s="12">
        <f t="shared" si="69"/>
        <v>0</v>
      </c>
      <c r="S638" s="1">
        <v>260</v>
      </c>
      <c r="T638" s="14">
        <v>46236</v>
      </c>
    </row>
    <row r="639" spans="1:20" ht="21" customHeight="1" x14ac:dyDescent="0.45">
      <c r="A639" s="31">
        <v>46236.708333333336</v>
      </c>
      <c r="B639" s="31">
        <v>46236.708388571431</v>
      </c>
      <c r="C639" s="31">
        <v>46236.708333333336</v>
      </c>
      <c r="D639" s="1" t="s">
        <v>103</v>
      </c>
      <c r="E639" s="12">
        <v>1.3257142857142858E-3</v>
      </c>
      <c r="F639" s="12">
        <f>IF(D639="d",两日求解价格与决策!K269-两日求解价格与决策!N269,IF(D639="u",两日求解价格与决策!K269+两日求解价格与决策!M269,两日求解价格与决策!K269))</f>
        <v>-23.793452044574686</v>
      </c>
      <c r="G639" s="12">
        <f t="shared" si="64"/>
        <v>23.793452044574686</v>
      </c>
      <c r="H639" s="12">
        <f t="shared" si="65"/>
        <v>0</v>
      </c>
      <c r="I639" s="12">
        <f t="shared" si="70"/>
        <v>171.57098014626058</v>
      </c>
      <c r="J639" s="12">
        <f>I639+E639*(G639*原始输入与口径!$B$5-H639/原始输入与口径!$B$5)</f>
        <v>171.59999999999997</v>
      </c>
      <c r="K639" s="12">
        <v>171.57098014626055</v>
      </c>
      <c r="L639" s="12">
        <v>171.59999999999994</v>
      </c>
      <c r="M639" s="19">
        <f t="shared" si="66"/>
        <v>0</v>
      </c>
      <c r="N639" s="12">
        <f>E639*(G639*原始输入与口径!$B$5+H639/原始输入与口径!$B$5)/原始输入与口径!$H$5</f>
        <v>8.0610704831651135E-5</v>
      </c>
      <c r="O639" s="12">
        <v>8.0610704831651135E-5</v>
      </c>
      <c r="P639" s="19">
        <f t="shared" si="67"/>
        <v>0</v>
      </c>
      <c r="Q639" s="12">
        <f t="shared" si="68"/>
        <v>3.1543319281950442E-2</v>
      </c>
      <c r="R639" s="12">
        <f t="shared" si="69"/>
        <v>0</v>
      </c>
      <c r="S639" s="1">
        <v>261</v>
      </c>
      <c r="T639" s="14">
        <v>46236</v>
      </c>
    </row>
    <row r="640" spans="1:20" ht="21" customHeight="1" x14ac:dyDescent="0.45">
      <c r="A640" s="31">
        <v>46236.708388571431</v>
      </c>
      <c r="B640" s="31">
        <v>46236.708408095241</v>
      </c>
      <c r="C640" s="31">
        <v>46236.708333333336</v>
      </c>
      <c r="D640" s="1" t="s">
        <v>101</v>
      </c>
      <c r="E640" s="12">
        <v>4.685714285714286E-4</v>
      </c>
      <c r="F640" s="12">
        <f>IF(D640="d",两日求解价格与决策!K269-两日求解价格与决策!N269,IF(D640="u",两日求解价格与决策!K269+两日求解价格与决策!M269,两日求解价格与决策!K269))</f>
        <v>24.206547955425314</v>
      </c>
      <c r="G640" s="12">
        <f t="shared" si="64"/>
        <v>0</v>
      </c>
      <c r="H640" s="12">
        <f t="shared" si="65"/>
        <v>24.206547955425314</v>
      </c>
      <c r="I640" s="12">
        <f t="shared" si="70"/>
        <v>171.59999999999997</v>
      </c>
      <c r="J640" s="12">
        <f>I640+E640*(G640*原始输入与口径!$B$5-H640/原始输入与口径!$B$5)</f>
        <v>171.58767119917795</v>
      </c>
      <c r="K640" s="12">
        <v>171.59999999999994</v>
      </c>
      <c r="L640" s="12">
        <v>171.58767119917792</v>
      </c>
      <c r="M640" s="19">
        <f t="shared" si="66"/>
        <v>0</v>
      </c>
      <c r="N640" s="12">
        <f>E640*(G640*原始输入与口径!$B$5+H640/原始输入与口径!$B$5)/原始输入与口径!$H$5</f>
        <v>3.4246668950049621E-5</v>
      </c>
      <c r="O640" s="12">
        <v>3.4246668950049614E-5</v>
      </c>
      <c r="P640" s="19">
        <f t="shared" si="67"/>
        <v>0</v>
      </c>
      <c r="Q640" s="12">
        <f t="shared" si="68"/>
        <v>0</v>
      </c>
      <c r="R640" s="12">
        <f t="shared" si="69"/>
        <v>1.1342496756256433E-2</v>
      </c>
      <c r="S640" s="1">
        <v>261</v>
      </c>
      <c r="T640" s="14">
        <v>46236</v>
      </c>
    </row>
    <row r="641" spans="1:20" ht="21" customHeight="1" x14ac:dyDescent="0.45">
      <c r="A641" s="31">
        <v>46236.708408095241</v>
      </c>
      <c r="B641" s="31">
        <v>46236.71875</v>
      </c>
      <c r="C641" s="31">
        <v>46236.708333333336</v>
      </c>
      <c r="D641" s="1" t="s">
        <v>102</v>
      </c>
      <c r="E641" s="12">
        <v>0.24820571428571428</v>
      </c>
      <c r="F641" s="12">
        <f>IF(D641="d",两日求解价格与决策!K269-两日求解价格与决策!N269,IF(D641="u",两日求解价格与决策!K269+两日求解价格与决策!M269,两日求解价格与决策!K269))</f>
        <v>0.20654795542531273</v>
      </c>
      <c r="G641" s="12">
        <f t="shared" si="64"/>
        <v>0</v>
      </c>
      <c r="H641" s="12">
        <f t="shared" si="65"/>
        <v>0.20654795542531273</v>
      </c>
      <c r="I641" s="12">
        <f t="shared" si="70"/>
        <v>171.58767119917795</v>
      </c>
      <c r="J641" s="12">
        <f>I641+E641*(G641*原始输入与口径!$B$5-H641/原始输入与口径!$B$5)</f>
        <v>171.53194687003599</v>
      </c>
      <c r="K641" s="12">
        <v>171.58767119917792</v>
      </c>
      <c r="L641" s="12">
        <v>171.53194687003597</v>
      </c>
      <c r="M641" s="19">
        <f t="shared" si="66"/>
        <v>0</v>
      </c>
      <c r="N641" s="12">
        <f>E641*(G641*原始输入与口径!$B$5+H641/原始输入与口径!$B$5)/原始输入与口径!$H$5</f>
        <v>1.5478980317208218E-4</v>
      </c>
      <c r="O641" s="12">
        <v>1.5478980317208218E-4</v>
      </c>
      <c r="P641" s="19">
        <f t="shared" si="67"/>
        <v>0</v>
      </c>
      <c r="Q641" s="12">
        <f t="shared" si="68"/>
        <v>0</v>
      </c>
      <c r="R641" s="12">
        <f t="shared" si="69"/>
        <v>5.1266382810593619E-2</v>
      </c>
      <c r="S641" s="1">
        <v>261</v>
      </c>
      <c r="T641" s="14">
        <v>46236</v>
      </c>
    </row>
    <row r="642" spans="1:20" ht="21" customHeight="1" x14ac:dyDescent="0.45">
      <c r="A642" s="31">
        <v>46236.71875</v>
      </c>
      <c r="B642" s="31">
        <v>46236.718863333335</v>
      </c>
      <c r="C642" s="31">
        <v>46236.71875</v>
      </c>
      <c r="D642" s="1" t="s">
        <v>103</v>
      </c>
      <c r="E642" s="12">
        <v>2.7199999999999998E-3</v>
      </c>
      <c r="F642" s="12">
        <f>IF(D642="d",两日求解价格与决策!K270-两日求解价格与决策!N270,IF(D642="u",两日求解价格与决策!K270+两日求解价格与决策!M270,两日求解价格与决策!K270))</f>
        <v>-27.195144646727062</v>
      </c>
      <c r="G642" s="12">
        <f t="shared" si="64"/>
        <v>27.195144646727062</v>
      </c>
      <c r="H642" s="12">
        <f t="shared" si="65"/>
        <v>0</v>
      </c>
      <c r="I642" s="12">
        <f t="shared" si="70"/>
        <v>171.53194687003599</v>
      </c>
      <c r="J642" s="12">
        <f>I642+E642*(G642*原始输入与口径!$B$5-H642/原始输入与口径!$B$5)</f>
        <v>171.59999999999997</v>
      </c>
      <c r="K642" s="12">
        <v>171.53194687003597</v>
      </c>
      <c r="L642" s="12">
        <v>171.59999999999994</v>
      </c>
      <c r="M642" s="19">
        <f t="shared" si="66"/>
        <v>0</v>
      </c>
      <c r="N642" s="12">
        <f>E642*(G642*原始输入与口径!$B$5+H642/原始输入与口径!$B$5)/原始输入与口径!$H$5</f>
        <v>1.8903647212213832E-4</v>
      </c>
      <c r="O642" s="12">
        <v>1.8903647212213832E-4</v>
      </c>
      <c r="P642" s="19">
        <f t="shared" si="67"/>
        <v>0</v>
      </c>
      <c r="Q642" s="12">
        <f t="shared" si="68"/>
        <v>7.3970793439097599E-2</v>
      </c>
      <c r="R642" s="12">
        <f t="shared" si="69"/>
        <v>0</v>
      </c>
      <c r="S642" s="1">
        <v>262</v>
      </c>
      <c r="T642" s="14">
        <v>46236</v>
      </c>
    </row>
    <row r="643" spans="1:20" ht="21" customHeight="1" x14ac:dyDescent="0.45">
      <c r="A643" s="31">
        <v>46236.718863333335</v>
      </c>
      <c r="B643" s="31">
        <v>46236.720048571427</v>
      </c>
      <c r="C643" s="31">
        <v>46236.71875</v>
      </c>
      <c r="D643" s="1" t="s">
        <v>101</v>
      </c>
      <c r="E643" s="12">
        <v>2.8445714285714286E-2</v>
      </c>
      <c r="F643" s="12">
        <f>IF(D643="d",两日求解价格与决策!K270-两日求解价格与决策!N270,IF(D643="u",两日求解价格与决策!K270+两日求解价格与决策!M270,两日求解价格与决策!K270))</f>
        <v>20.804855353272938</v>
      </c>
      <c r="G643" s="12">
        <f t="shared" si="64"/>
        <v>0</v>
      </c>
      <c r="H643" s="12">
        <f t="shared" si="65"/>
        <v>20.804855353272938</v>
      </c>
      <c r="I643" s="12">
        <f t="shared" si="70"/>
        <v>171.59999999999997</v>
      </c>
      <c r="J643" s="12">
        <f>I643+E643*(G643*原始输入与口径!$B$5-H643/原始输入与口径!$B$5)</f>
        <v>170.95672937920125</v>
      </c>
      <c r="K643" s="12">
        <v>171.59999999999994</v>
      </c>
      <c r="L643" s="12">
        <v>170.95672937920122</v>
      </c>
      <c r="M643" s="19">
        <f t="shared" si="66"/>
        <v>0</v>
      </c>
      <c r="N643" s="12">
        <f>E643*(G643*原始输入与口径!$B$5+H643/原始输入与口径!$B$5)/原始输入与口径!$H$5</f>
        <v>1.7868628355519787E-3</v>
      </c>
      <c r="O643" s="12">
        <v>1.7868628355519787E-3</v>
      </c>
      <c r="P643" s="19">
        <f t="shared" si="67"/>
        <v>0</v>
      </c>
      <c r="Q643" s="12">
        <f t="shared" si="68"/>
        <v>0</v>
      </c>
      <c r="R643" s="12">
        <f t="shared" si="69"/>
        <v>0.59180897113481534</v>
      </c>
      <c r="S643" s="1">
        <v>262</v>
      </c>
      <c r="T643" s="14">
        <v>46236</v>
      </c>
    </row>
    <row r="644" spans="1:20" ht="21" customHeight="1" x14ac:dyDescent="0.45">
      <c r="A644" s="31">
        <v>46236.720048571427</v>
      </c>
      <c r="B644" s="31">
        <v>46236.729166666664</v>
      </c>
      <c r="C644" s="31">
        <v>46236.71875</v>
      </c>
      <c r="D644" s="1" t="s">
        <v>102</v>
      </c>
      <c r="E644" s="12">
        <v>0.2188342857142857</v>
      </c>
      <c r="F644" s="12">
        <f>IF(D644="d",两日求解价格与决策!K270-两日求解价格与决策!N270,IF(D644="u",两日求解价格与决策!K270+两日求解价格与决策!M270,两日求解价格与决策!K270))</f>
        <v>-3.195144646727063</v>
      </c>
      <c r="G644" s="12">
        <f t="shared" si="64"/>
        <v>3.195144646727063</v>
      </c>
      <c r="H644" s="12">
        <f t="shared" si="65"/>
        <v>0</v>
      </c>
      <c r="I644" s="12">
        <f t="shared" si="70"/>
        <v>170.95672937920125</v>
      </c>
      <c r="J644" s="12">
        <f>I644+E644*(G644*原始输入与口径!$B$5-H644/原始输入与口径!$B$5)</f>
        <v>171.59999999999997</v>
      </c>
      <c r="K644" s="12">
        <v>170.95672937920122</v>
      </c>
      <c r="L644" s="12">
        <v>171.59999999999994</v>
      </c>
      <c r="M644" s="19">
        <f t="shared" si="66"/>
        <v>0</v>
      </c>
      <c r="N644" s="12">
        <f>E644*(G644*原始输入与口径!$B$5+H644/原始输入与口径!$B$5)/原始输入与口径!$H$5</f>
        <v>1.7868628355519815E-3</v>
      </c>
      <c r="O644" s="12">
        <v>1.7868628355519815E-3</v>
      </c>
      <c r="P644" s="19">
        <f t="shared" si="67"/>
        <v>0</v>
      </c>
      <c r="Q644" s="12">
        <f t="shared" si="68"/>
        <v>0.69920719652034058</v>
      </c>
      <c r="R644" s="12">
        <f t="shared" si="69"/>
        <v>0</v>
      </c>
      <c r="S644" s="1">
        <v>262</v>
      </c>
      <c r="T644" s="14">
        <v>46236</v>
      </c>
    </row>
    <row r="645" spans="1:20" ht="21" customHeight="1" x14ac:dyDescent="0.45">
      <c r="A645" s="31">
        <v>46236.729166666664</v>
      </c>
      <c r="B645" s="31">
        <v>46236.732727142851</v>
      </c>
      <c r="C645" s="31">
        <v>46236.729166666664</v>
      </c>
      <c r="D645" s="1" t="s">
        <v>101</v>
      </c>
      <c r="E645" s="12">
        <v>8.5451428571428581E-2</v>
      </c>
      <c r="F645" s="12">
        <f>IF(D645="d",两日求解价格与决策!K271-两日求解价格与决策!N271,IF(D645="u",两日求解价格与决策!K271+两日求解价格与决策!M271,两日求解价格与决策!K271))</f>
        <v>18.672175223235151</v>
      </c>
      <c r="G645" s="12">
        <f t="shared" si="64"/>
        <v>0</v>
      </c>
      <c r="H645" s="12">
        <f t="shared" si="65"/>
        <v>18.672175223235151</v>
      </c>
      <c r="I645" s="12">
        <f t="shared" si="70"/>
        <v>171.59999999999997</v>
      </c>
      <c r="J645" s="12">
        <f>I645+E645*(G645*原始输入与口径!$B$5-H645/原始输入与口径!$B$5)</f>
        <v>169.86569125286792</v>
      </c>
      <c r="K645" s="12">
        <v>171.59999999999994</v>
      </c>
      <c r="L645" s="12">
        <v>169.86569125286789</v>
      </c>
      <c r="M645" s="19">
        <f t="shared" si="66"/>
        <v>0</v>
      </c>
      <c r="N645" s="12">
        <f>E645*(G645*原始输入与口径!$B$5+H645/原始输入与口径!$B$5)/原始输入与口径!$H$5</f>
        <v>4.8175242975889996E-3</v>
      </c>
      <c r="O645" s="12">
        <v>4.8175242975889996E-3</v>
      </c>
      <c r="P645" s="19">
        <f t="shared" si="67"/>
        <v>0</v>
      </c>
      <c r="Q645" s="12">
        <f t="shared" si="68"/>
        <v>0</v>
      </c>
      <c r="R645" s="12">
        <f t="shared" si="69"/>
        <v>1.5955640473614769</v>
      </c>
      <c r="S645" s="1">
        <v>263</v>
      </c>
      <c r="T645" s="14">
        <v>46236</v>
      </c>
    </row>
    <row r="646" spans="1:20" ht="21" customHeight="1" x14ac:dyDescent="0.45">
      <c r="A646" s="31">
        <v>46236.732727142851</v>
      </c>
      <c r="B646" s="31">
        <v>46236.739583333328</v>
      </c>
      <c r="C646" s="31">
        <v>46236.729166666664</v>
      </c>
      <c r="D646" s="1" t="s">
        <v>102</v>
      </c>
      <c r="E646" s="12">
        <v>0.16454857142857143</v>
      </c>
      <c r="F646" s="12">
        <f>IF(D646="d",两日求解价格与决策!K271-两日求解价格与决策!N271,IF(D646="u",两日求解价格与决策!K271+两日求解价格与决策!M271,两日求解价格与决策!K271))</f>
        <v>-5.3278247767648477</v>
      </c>
      <c r="G646" s="12">
        <f t="shared" si="64"/>
        <v>5.3278247767648477</v>
      </c>
      <c r="H646" s="12">
        <f t="shared" si="65"/>
        <v>0</v>
      </c>
      <c r="I646" s="12">
        <f t="shared" si="70"/>
        <v>169.86569125286792</v>
      </c>
      <c r="J646" s="12">
        <f>I646+E646*(G646*原始输入与口径!$B$5-H646/原始输入与口径!$B$5)</f>
        <v>170.67224233223925</v>
      </c>
      <c r="K646" s="12">
        <v>169.86569125286789</v>
      </c>
      <c r="L646" s="12">
        <v>170.67224233223922</v>
      </c>
      <c r="M646" s="19">
        <f t="shared" si="66"/>
        <v>0</v>
      </c>
      <c r="N646" s="12">
        <f>E646*(G646*原始输入与口径!$B$5+H646/原始输入与口径!$B$5)/原始输入与口径!$H$5</f>
        <v>2.240419664920364E-3</v>
      </c>
      <c r="O646" s="12">
        <v>2.240419664920364E-3</v>
      </c>
      <c r="P646" s="19">
        <f t="shared" si="67"/>
        <v>0</v>
      </c>
      <c r="Q646" s="12">
        <f t="shared" si="68"/>
        <v>0.87668595583840314</v>
      </c>
      <c r="R646" s="12">
        <f t="shared" si="69"/>
        <v>0</v>
      </c>
      <c r="S646" s="1">
        <v>263</v>
      </c>
      <c r="T646" s="14">
        <v>46236</v>
      </c>
    </row>
    <row r="647" spans="1:20" ht="21" customHeight="1" x14ac:dyDescent="0.45">
      <c r="A647" s="31">
        <v>46236.739583333336</v>
      </c>
      <c r="B647" s="31">
        <v>46236.73959404762</v>
      </c>
      <c r="C647" s="31">
        <v>46236.739583333336</v>
      </c>
      <c r="D647" s="1" t="s">
        <v>103</v>
      </c>
      <c r="E647" s="12">
        <v>2.5714285714285715E-4</v>
      </c>
      <c r="F647" s="12">
        <f>IF(D647="d",两日求解价格与决策!K272-两日求解价格与决策!N272,IF(D647="u",两日求解价格与决策!K272+两日求解价格与决策!M272,两日求解价格与决策!K272))</f>
        <v>11.999999999999993</v>
      </c>
      <c r="G647" s="12">
        <f t="shared" si="64"/>
        <v>0</v>
      </c>
      <c r="H647" s="12">
        <f t="shared" si="65"/>
        <v>11.999999999999993</v>
      </c>
      <c r="I647" s="12">
        <f t="shared" si="70"/>
        <v>170.67224233223925</v>
      </c>
      <c r="J647" s="12">
        <f>I647+E647*(G647*原始输入与口径!$B$5-H647/原始输入与口径!$B$5)</f>
        <v>170.66888829497216</v>
      </c>
      <c r="K647" s="12">
        <v>170.67224233223922</v>
      </c>
      <c r="L647" s="12">
        <v>170.66888829497213</v>
      </c>
      <c r="M647" s="19">
        <f t="shared" si="66"/>
        <v>0</v>
      </c>
      <c r="N647" s="12">
        <f>E647*(G647*原始输入与口径!$B$5+H647/原始输入与口径!$B$5)/原始输入与口径!$H$5</f>
        <v>9.3167701863353983E-6</v>
      </c>
      <c r="O647" s="12">
        <v>9.3167701863353983E-6</v>
      </c>
      <c r="P647" s="19">
        <f t="shared" si="67"/>
        <v>0</v>
      </c>
      <c r="Q647" s="12">
        <f t="shared" si="68"/>
        <v>0</v>
      </c>
      <c r="R647" s="12">
        <f t="shared" si="69"/>
        <v>3.0857142857142841E-3</v>
      </c>
      <c r="S647" s="1">
        <v>264</v>
      </c>
      <c r="T647" s="14">
        <v>46236</v>
      </c>
    </row>
    <row r="648" spans="1:20" ht="21" customHeight="1" x14ac:dyDescent="0.45">
      <c r="A648" s="31">
        <v>46236.73959404762</v>
      </c>
      <c r="B648" s="31">
        <v>46236.744468333338</v>
      </c>
      <c r="C648" s="31">
        <v>46236.739583333336</v>
      </c>
      <c r="D648" s="1" t="s">
        <v>101</v>
      </c>
      <c r="E648" s="12">
        <v>0.11698285714285715</v>
      </c>
      <c r="F648" s="12">
        <f>IF(D648="d",两日求解价格与决策!K272-两日求解价格与决策!N272,IF(D648="u",两日求解价格与决策!K272+两日求解价格与决策!M272,两日求解价格与决策!K272))</f>
        <v>59.999999999999993</v>
      </c>
      <c r="G648" s="12">
        <f t="shared" si="64"/>
        <v>0</v>
      </c>
      <c r="H648" s="12">
        <f t="shared" si="65"/>
        <v>59.999999999999993</v>
      </c>
      <c r="I648" s="12">
        <f t="shared" si="70"/>
        <v>170.66888829497216</v>
      </c>
      <c r="J648" s="12">
        <f>I648+E648*(G648*原始输入与口径!$B$5-H648/原始输入与口径!$B$5)</f>
        <v>163.03957152478583</v>
      </c>
      <c r="K648" s="12">
        <v>170.66888829497213</v>
      </c>
      <c r="L648" s="12">
        <v>163.0395715247858</v>
      </c>
      <c r="M648" s="19">
        <f t="shared" si="66"/>
        <v>0</v>
      </c>
      <c r="N648" s="12">
        <f>E648*(G648*原始输入与口径!$B$5+H648/原始输入与口径!$B$5)/原始输入与口径!$H$5</f>
        <v>2.1192546583850929E-2</v>
      </c>
      <c r="O648" s="12">
        <v>2.1192546583850932E-2</v>
      </c>
      <c r="P648" s="19">
        <f t="shared" si="67"/>
        <v>0</v>
      </c>
      <c r="Q648" s="12">
        <f t="shared" si="68"/>
        <v>0</v>
      </c>
      <c r="R648" s="12">
        <f t="shared" si="69"/>
        <v>7.0189714285714286</v>
      </c>
      <c r="S648" s="1">
        <v>264</v>
      </c>
      <c r="T648" s="14">
        <v>46236</v>
      </c>
    </row>
    <row r="649" spans="1:20" ht="21" customHeight="1" x14ac:dyDescent="0.45">
      <c r="A649" s="31">
        <v>46236.744468333338</v>
      </c>
      <c r="B649" s="31">
        <v>46236.75</v>
      </c>
      <c r="C649" s="31">
        <v>46236.739583333336</v>
      </c>
      <c r="D649" s="1" t="s">
        <v>102</v>
      </c>
      <c r="E649" s="12">
        <v>0.13275999999999999</v>
      </c>
      <c r="F649" s="12">
        <f>IF(D649="d",两日求解价格与决策!K272-两日求解价格与决策!N272,IF(D649="u",两日求解价格与决策!K272+两日求解价格与决策!M272,两日求解价格与决策!K272))</f>
        <v>35.999999999999993</v>
      </c>
      <c r="G649" s="12">
        <f t="shared" ref="G649:G712" si="71">MAX(-F649,0)</f>
        <v>0</v>
      </c>
      <c r="H649" s="12">
        <f t="shared" ref="H649:H712" si="72">MAX(F649,0)</f>
        <v>35.999999999999993</v>
      </c>
      <c r="I649" s="12">
        <f t="shared" si="70"/>
        <v>163.03957152478583</v>
      </c>
      <c r="J649" s="12">
        <f>I649+E649*(G649*原始输入与口径!$B$5-H649/原始输入与口径!$B$5)</f>
        <v>157.8446150030467</v>
      </c>
      <c r="K649" s="12">
        <v>163.0395715247858</v>
      </c>
      <c r="L649" s="12">
        <v>157.84461500304667</v>
      </c>
      <c r="M649" s="19">
        <f t="shared" ref="M649:M712" si="73">J649-L649</f>
        <v>0</v>
      </c>
      <c r="N649" s="12">
        <f>E649*(G649*原始输入与口径!$B$5+H649/原始输入与口径!$B$5)/原始输入与口径!$H$5</f>
        <v>1.443043478260869E-2</v>
      </c>
      <c r="O649" s="12">
        <v>1.443043478260869E-2</v>
      </c>
      <c r="P649" s="19">
        <f t="shared" ref="P649:P712" si="74">N649-O649</f>
        <v>0</v>
      </c>
      <c r="Q649" s="12">
        <f t="shared" ref="Q649:Q712" si="75">E649*G649</f>
        <v>0</v>
      </c>
      <c r="R649" s="12">
        <f t="shared" ref="R649:R712" si="76">E649*H649</f>
        <v>4.7793599999999987</v>
      </c>
      <c r="S649" s="1">
        <v>264</v>
      </c>
      <c r="T649" s="14">
        <v>46236</v>
      </c>
    </row>
    <row r="650" spans="1:20" ht="21" customHeight="1" x14ac:dyDescent="0.45">
      <c r="A650" s="31">
        <v>46236.75</v>
      </c>
      <c r="B650" s="31">
        <v>46236.75016261905</v>
      </c>
      <c r="C650" s="31">
        <v>46236.75</v>
      </c>
      <c r="D650" s="1" t="s">
        <v>103</v>
      </c>
      <c r="E650" s="12">
        <v>3.9028571428571432E-3</v>
      </c>
      <c r="F650" s="12">
        <f>IF(D650="d",两日求解价格与决策!K273-两日求解价格与决策!N273,IF(D650="u",两日求解价格与决策!K273+两日求解价格与决策!M273,两日求解价格与决策!K273))</f>
        <v>-60</v>
      </c>
      <c r="G650" s="12">
        <f t="shared" si="71"/>
        <v>60</v>
      </c>
      <c r="H650" s="12">
        <f t="shared" si="72"/>
        <v>0</v>
      </c>
      <c r="I650" s="12">
        <f t="shared" si="70"/>
        <v>157.8446150030467</v>
      </c>
      <c r="J650" s="12">
        <f>I650+E650*(G650*原始输入与口径!$B$5-H650/原始输入与口径!$B$5)</f>
        <v>158.06005271733241</v>
      </c>
      <c r="K650" s="12">
        <v>157.84461500304667</v>
      </c>
      <c r="L650" s="12">
        <v>158.06005271733238</v>
      </c>
      <c r="M650" s="19">
        <f t="shared" si="73"/>
        <v>0</v>
      </c>
      <c r="N650" s="12">
        <f>E650*(G650*原始输入与口径!$B$5+H650/原始输入与口径!$B$5)/原始输入与口径!$H$5</f>
        <v>5.9843809523809537E-4</v>
      </c>
      <c r="O650" s="12">
        <v>5.9843809523809537E-4</v>
      </c>
      <c r="P650" s="19">
        <f t="shared" si="74"/>
        <v>0</v>
      </c>
      <c r="Q650" s="12">
        <f t="shared" si="75"/>
        <v>0.23417142857142859</v>
      </c>
      <c r="R650" s="12">
        <f t="shared" si="76"/>
        <v>0</v>
      </c>
      <c r="S650" s="1">
        <v>265</v>
      </c>
      <c r="T650" s="14">
        <v>46236</v>
      </c>
    </row>
    <row r="651" spans="1:20" ht="21" customHeight="1" x14ac:dyDescent="0.45">
      <c r="A651" s="31">
        <v>46236.75016261905</v>
      </c>
      <c r="B651" s="31">
        <v>46236.750256190477</v>
      </c>
      <c r="C651" s="31">
        <v>46236.75</v>
      </c>
      <c r="D651" s="1" t="s">
        <v>101</v>
      </c>
      <c r="E651" s="12">
        <v>2.2457142857142858E-3</v>
      </c>
      <c r="F651" s="12">
        <f>IF(D651="d",两日求解价格与决策!K273-两日求解价格与决策!N273,IF(D651="u",两日求解价格与决策!K273+两日求解价格与决策!M273,两日求解价格与决策!K273))</f>
        <v>-36</v>
      </c>
      <c r="G651" s="12">
        <f t="shared" si="71"/>
        <v>36</v>
      </c>
      <c r="H651" s="12">
        <f t="shared" si="72"/>
        <v>0</v>
      </c>
      <c r="I651" s="12">
        <f t="shared" si="70"/>
        <v>158.06005271733241</v>
      </c>
      <c r="J651" s="12">
        <f>I651+E651*(G651*原始输入与口径!$B$5-H651/原始输入与口径!$B$5)</f>
        <v>158.13443077447528</v>
      </c>
      <c r="K651" s="12">
        <v>158.06005271733238</v>
      </c>
      <c r="L651" s="12">
        <v>158.13443077447525</v>
      </c>
      <c r="M651" s="19">
        <f t="shared" si="73"/>
        <v>0</v>
      </c>
      <c r="N651" s="12">
        <f>E651*(G651*原始输入与口径!$B$5+H651/原始输入与口径!$B$5)/原始输入与口径!$H$5</f>
        <v>2.0660571428571432E-4</v>
      </c>
      <c r="O651" s="12">
        <v>2.0660571428571427E-4</v>
      </c>
      <c r="P651" s="19">
        <f t="shared" si="74"/>
        <v>0</v>
      </c>
      <c r="Q651" s="12">
        <f t="shared" si="75"/>
        <v>8.0845714285714285E-2</v>
      </c>
      <c r="R651" s="12">
        <f t="shared" si="76"/>
        <v>0</v>
      </c>
      <c r="S651" s="1">
        <v>265</v>
      </c>
      <c r="T651" s="14">
        <v>46236</v>
      </c>
    </row>
    <row r="652" spans="1:20" ht="21" customHeight="1" x14ac:dyDescent="0.45">
      <c r="A652" s="31">
        <v>46236.750256190477</v>
      </c>
      <c r="B652" s="31">
        <v>46236.760416666664</v>
      </c>
      <c r="C652" s="31">
        <v>46236.75</v>
      </c>
      <c r="D652" s="1" t="s">
        <v>102</v>
      </c>
      <c r="E652" s="12">
        <v>0.24385142857142855</v>
      </c>
      <c r="F652" s="12">
        <f>IF(D652="d",两日求解价格与决策!K273-两日求解价格与决策!N273,IF(D652="u",两日求解价格与决策!K273+两日求解价格与决策!M273,两日求解价格与决策!K273))</f>
        <v>-60</v>
      </c>
      <c r="G652" s="12">
        <f t="shared" si="71"/>
        <v>60</v>
      </c>
      <c r="H652" s="12">
        <f t="shared" si="72"/>
        <v>0</v>
      </c>
      <c r="I652" s="12">
        <f t="shared" si="70"/>
        <v>158.13443077447528</v>
      </c>
      <c r="J652" s="12">
        <f>I652+E652*(G652*原始输入与口径!$B$5-H652/原始输入与口径!$B$5)</f>
        <v>171.59502963161813</v>
      </c>
      <c r="K652" s="12">
        <v>158.13443077447525</v>
      </c>
      <c r="L652" s="12">
        <v>171.5950296316181</v>
      </c>
      <c r="M652" s="19">
        <f t="shared" si="73"/>
        <v>0</v>
      </c>
      <c r="N652" s="12">
        <f>E652*(G652*原始输入与口径!$B$5+H652/原始输入与口径!$B$5)/原始输入与口径!$H$5</f>
        <v>3.7390552380952381E-2</v>
      </c>
      <c r="O652" s="12">
        <v>3.7390552380952381E-2</v>
      </c>
      <c r="P652" s="19">
        <f t="shared" si="74"/>
        <v>0</v>
      </c>
      <c r="Q652" s="12">
        <f t="shared" si="75"/>
        <v>14.631085714285714</v>
      </c>
      <c r="R652" s="12">
        <f t="shared" si="76"/>
        <v>0</v>
      </c>
      <c r="S652" s="1">
        <v>265</v>
      </c>
      <c r="T652" s="14">
        <v>46236</v>
      </c>
    </row>
    <row r="653" spans="1:20" ht="21" customHeight="1" x14ac:dyDescent="0.45">
      <c r="A653" s="31">
        <v>46236.760416666664</v>
      </c>
      <c r="B653" s="31">
        <v>46236.760462857143</v>
      </c>
      <c r="C653" s="31">
        <v>46236.760416666664</v>
      </c>
      <c r="D653" s="1" t="s">
        <v>103</v>
      </c>
      <c r="E653" s="12">
        <v>1.1085714285714286E-3</v>
      </c>
      <c r="F653" s="12">
        <f>IF(D653="d",两日求解价格与决策!K274-两日求解价格与决策!N274,IF(D653="u",两日求解价格与决策!K274+两日求解价格与决策!M274,两日求解价格与决策!K274))</f>
        <v>-4.8734562237868522</v>
      </c>
      <c r="G653" s="12">
        <f t="shared" si="71"/>
        <v>4.8734562237868522</v>
      </c>
      <c r="H653" s="12">
        <f t="shared" si="72"/>
        <v>0</v>
      </c>
      <c r="I653" s="12">
        <f t="shared" si="70"/>
        <v>171.59502963161813</v>
      </c>
      <c r="J653" s="12">
        <f>I653+E653*(G653*原始输入与口径!$B$5-H653/原始输入与口径!$B$5)</f>
        <v>171.59999999999997</v>
      </c>
      <c r="K653" s="12">
        <v>171.5950296316181</v>
      </c>
      <c r="L653" s="12">
        <v>171.59999999999994</v>
      </c>
      <c r="M653" s="19">
        <f t="shared" si="73"/>
        <v>0</v>
      </c>
      <c r="N653" s="12">
        <f>E653*(G653*原始输入与口径!$B$5+H653/原始输入与口径!$B$5)/原始输入与口径!$H$5</f>
        <v>1.3806578838436148E-5</v>
      </c>
      <c r="O653" s="12">
        <v>1.3806578838436148E-5</v>
      </c>
      <c r="P653" s="19">
        <f t="shared" si="74"/>
        <v>0</v>
      </c>
      <c r="Q653" s="12">
        <f t="shared" si="75"/>
        <v>5.4025743280837106E-3</v>
      </c>
      <c r="R653" s="12">
        <f t="shared" si="76"/>
        <v>0</v>
      </c>
      <c r="S653" s="1">
        <v>266</v>
      </c>
      <c r="T653" s="14">
        <v>46236</v>
      </c>
    </row>
    <row r="654" spans="1:20" ht="21" customHeight="1" x14ac:dyDescent="0.45">
      <c r="A654" s="31">
        <v>46236.760462857143</v>
      </c>
      <c r="B654" s="31">
        <v>46236.762302619049</v>
      </c>
      <c r="C654" s="31">
        <v>46236.760416666664</v>
      </c>
      <c r="D654" s="1" t="s">
        <v>101</v>
      </c>
      <c r="E654" s="12">
        <v>4.4154285714285715E-2</v>
      </c>
      <c r="F654" s="12">
        <f>IF(D654="d",两日求解价格与决策!K274-两日求解价格与决策!N274,IF(D654="u",两日求解价格与决策!K274+两日求解价格与决策!M274,两日求解价格与决策!K274))</f>
        <v>19.126543776213147</v>
      </c>
      <c r="G654" s="12">
        <f t="shared" si="71"/>
        <v>0</v>
      </c>
      <c r="H654" s="12">
        <f t="shared" si="72"/>
        <v>19.126543776213147</v>
      </c>
      <c r="I654" s="12">
        <f t="shared" si="70"/>
        <v>171.59999999999997</v>
      </c>
      <c r="J654" s="12">
        <f>I654+E654*(G654*原始输入与口径!$B$5-H654/原始输入与口径!$B$5)</f>
        <v>170.68204469715027</v>
      </c>
      <c r="K654" s="12">
        <v>171.59999999999994</v>
      </c>
      <c r="L654" s="12">
        <v>170.68204469715025</v>
      </c>
      <c r="M654" s="19">
        <f t="shared" si="73"/>
        <v>0</v>
      </c>
      <c r="N654" s="12">
        <f>E654*(G654*原始输入与口径!$B$5+H654/原始输入与口径!$B$5)/原始输入与口径!$H$5</f>
        <v>2.5498758412491195E-3</v>
      </c>
      <c r="O654" s="12">
        <v>2.5498758412491195E-3</v>
      </c>
      <c r="P654" s="19">
        <f t="shared" si="74"/>
        <v>0</v>
      </c>
      <c r="Q654" s="12">
        <f t="shared" si="75"/>
        <v>0</v>
      </c>
      <c r="R654" s="12">
        <f t="shared" si="76"/>
        <v>0.84451887862170849</v>
      </c>
      <c r="S654" s="1">
        <v>266</v>
      </c>
      <c r="T654" s="14">
        <v>46236</v>
      </c>
    </row>
    <row r="655" spans="1:20" ht="21" customHeight="1" x14ac:dyDescent="0.45">
      <c r="A655" s="31">
        <v>46236.762302619049</v>
      </c>
      <c r="B655" s="31">
        <v>46236.770833333328</v>
      </c>
      <c r="C655" s="31">
        <v>46236.760416666664</v>
      </c>
      <c r="D655" s="1" t="s">
        <v>102</v>
      </c>
      <c r="E655" s="12">
        <v>0.20473714285714287</v>
      </c>
      <c r="F655" s="12">
        <f>IF(D655="d",两日求解价格与决策!K274-两日求解价格与决策!N274,IF(D655="u",两日求解价格与决策!K274+两日求解价格与决策!M274,两日求解价格与决策!K274))</f>
        <v>-4.8734562237868522</v>
      </c>
      <c r="G655" s="12">
        <f t="shared" si="71"/>
        <v>4.8734562237868522</v>
      </c>
      <c r="H655" s="12">
        <f t="shared" si="72"/>
        <v>0</v>
      </c>
      <c r="I655" s="12">
        <f t="shared" si="70"/>
        <v>170.68204469715027</v>
      </c>
      <c r="J655" s="12">
        <f>I655+E655*(G655*原始输入与口径!$B$5-H655/原始输入与口径!$B$5)</f>
        <v>171.59999999999997</v>
      </c>
      <c r="K655" s="12">
        <v>170.68204469715025</v>
      </c>
      <c r="L655" s="12">
        <v>171.59999999999994</v>
      </c>
      <c r="M655" s="19">
        <f t="shared" si="73"/>
        <v>0</v>
      </c>
      <c r="N655" s="12">
        <f>E655*(G655*原始输入与口径!$B$5+H655/原始输入与口径!$B$5)/原始输入与口径!$H$5</f>
        <v>2.5498758412491173E-3</v>
      </c>
      <c r="O655" s="12">
        <v>2.5498758412491177E-3</v>
      </c>
      <c r="P655" s="19">
        <f t="shared" si="74"/>
        <v>0</v>
      </c>
      <c r="Q655" s="12">
        <f t="shared" si="75"/>
        <v>0.99777750309748081</v>
      </c>
      <c r="R655" s="12">
        <f t="shared" si="76"/>
        <v>0</v>
      </c>
      <c r="S655" s="1">
        <v>266</v>
      </c>
      <c r="T655" s="14">
        <v>46236</v>
      </c>
    </row>
    <row r="656" spans="1:20" ht="21" customHeight="1" x14ac:dyDescent="0.45">
      <c r="A656" s="31">
        <v>46236.770833333336</v>
      </c>
      <c r="B656" s="31">
        <v>46236.776357380957</v>
      </c>
      <c r="C656" s="31">
        <v>46236.770833333336</v>
      </c>
      <c r="D656" s="1" t="s">
        <v>101</v>
      </c>
      <c r="E656" s="12">
        <v>0.13257714285714287</v>
      </c>
      <c r="F656" s="12">
        <f>IF(D656="d",两日求解价格与决策!K275-两日求解价格与决策!N275,IF(D656="u",两日求解价格与决策!K275+两日求解价格与决策!M275,两日求解价格与决策!K275))</f>
        <v>10.282985731057364</v>
      </c>
      <c r="G656" s="12">
        <f t="shared" si="71"/>
        <v>0</v>
      </c>
      <c r="H656" s="12">
        <f t="shared" si="72"/>
        <v>10.282985731057364</v>
      </c>
      <c r="I656" s="12">
        <f t="shared" si="70"/>
        <v>171.59999999999997</v>
      </c>
      <c r="J656" s="12">
        <f>I656+E656*(G656*原始输入与口径!$B$5-H656/原始输入与口径!$B$5)</f>
        <v>170.11816427362567</v>
      </c>
      <c r="K656" s="12">
        <v>171.59999999999994</v>
      </c>
      <c r="L656" s="12">
        <v>170.11816427362564</v>
      </c>
      <c r="M656" s="19">
        <f t="shared" si="73"/>
        <v>0</v>
      </c>
      <c r="N656" s="12">
        <f>E656*(G656*原始输入与口径!$B$5+H656/原始输入与口径!$B$5)/原始输入与口径!$H$5</f>
        <v>4.116210351039715E-3</v>
      </c>
      <c r="O656" s="12">
        <v>4.1162103510397159E-3</v>
      </c>
      <c r="P656" s="19">
        <f t="shared" si="74"/>
        <v>0</v>
      </c>
      <c r="Q656" s="12">
        <f t="shared" si="75"/>
        <v>0</v>
      </c>
      <c r="R656" s="12">
        <f t="shared" si="76"/>
        <v>1.3632888682643538</v>
      </c>
      <c r="S656" s="1">
        <v>267</v>
      </c>
      <c r="T656" s="14">
        <v>46236</v>
      </c>
    </row>
    <row r="657" spans="1:20" ht="21" customHeight="1" x14ac:dyDescent="0.45">
      <c r="A657" s="31">
        <v>46236.776357380957</v>
      </c>
      <c r="B657" s="31">
        <v>46236.78125</v>
      </c>
      <c r="C657" s="31">
        <v>46236.770833333336</v>
      </c>
      <c r="D657" s="1" t="s">
        <v>102</v>
      </c>
      <c r="E657" s="12">
        <v>0.11742285714285713</v>
      </c>
      <c r="F657" s="12">
        <f>IF(D657="d",两日求解价格与决策!K275-两日求解价格与决策!N275,IF(D657="u",两日求解价格与决策!K275+两日求解价格与决策!M275,两日求解价格与决策!K275))</f>
        <v>-13.717014268942636</v>
      </c>
      <c r="G657" s="12">
        <f t="shared" si="71"/>
        <v>13.717014268942636</v>
      </c>
      <c r="H657" s="12">
        <f t="shared" si="72"/>
        <v>0</v>
      </c>
      <c r="I657" s="12">
        <f t="shared" si="70"/>
        <v>170.11816427362567</v>
      </c>
      <c r="J657" s="12">
        <f>I657+E657*(G657*原始输入与口径!$B$5-H657/原始输入与口径!$B$5)</f>
        <v>171.59999999999997</v>
      </c>
      <c r="K657" s="12">
        <v>170.11816427362564</v>
      </c>
      <c r="L657" s="12">
        <v>171.59999999999994</v>
      </c>
      <c r="M657" s="19">
        <f t="shared" si="73"/>
        <v>0</v>
      </c>
      <c r="N657" s="12">
        <f>E657*(G657*原始输入与口径!$B$5+H657/原始输入与口径!$B$5)/原始输入与口径!$H$5</f>
        <v>4.116210351039715E-3</v>
      </c>
      <c r="O657" s="12">
        <v>4.116210351039715E-3</v>
      </c>
      <c r="P657" s="19">
        <f t="shared" si="74"/>
        <v>0</v>
      </c>
      <c r="Q657" s="12">
        <f t="shared" si="75"/>
        <v>1.610691006928584</v>
      </c>
      <c r="R657" s="12">
        <f t="shared" si="76"/>
        <v>0</v>
      </c>
      <c r="S657" s="1">
        <v>267</v>
      </c>
      <c r="T657" s="14">
        <v>46236</v>
      </c>
    </row>
    <row r="658" spans="1:20" ht="21" customHeight="1" x14ac:dyDescent="0.45">
      <c r="A658" s="31">
        <v>46236.78125</v>
      </c>
      <c r="B658" s="31">
        <v>46236.784173571432</v>
      </c>
      <c r="C658" s="31">
        <v>46236.78125</v>
      </c>
      <c r="D658" s="1" t="s">
        <v>101</v>
      </c>
      <c r="E658" s="12">
        <v>7.016571428571429E-2</v>
      </c>
      <c r="F658" s="12">
        <f>IF(D658="d",两日求解价格与决策!K276-两日求解价格与决策!N276,IF(D658="u",两日求解价格与决策!K276+两日求解价格与决策!M276,两日求解价格与决策!K276))</f>
        <v>16.488986879409886</v>
      </c>
      <c r="G658" s="12">
        <f t="shared" si="71"/>
        <v>0</v>
      </c>
      <c r="H658" s="12">
        <f t="shared" si="72"/>
        <v>16.488986879409886</v>
      </c>
      <c r="I658" s="12">
        <f t="shared" si="70"/>
        <v>171.59999999999997</v>
      </c>
      <c r="J658" s="12">
        <f>I658+E658*(G658*原始输入与口径!$B$5-H658/原始输入与口径!$B$5)</f>
        <v>170.34243310625914</v>
      </c>
      <c r="K658" s="12">
        <v>171.59999999999994</v>
      </c>
      <c r="L658" s="12">
        <v>170.34243310625911</v>
      </c>
      <c r="M658" s="19">
        <f t="shared" si="73"/>
        <v>0</v>
      </c>
      <c r="N658" s="12">
        <f>E658*(G658*原始输入与口径!$B$5+H658/原始输入与口径!$B$5)/原始输入与口径!$H$5</f>
        <v>3.4932413715023118E-3</v>
      </c>
      <c r="O658" s="12">
        <v>3.4932413715023122E-3</v>
      </c>
      <c r="P658" s="19">
        <f t="shared" si="74"/>
        <v>0</v>
      </c>
      <c r="Q658" s="12">
        <f t="shared" si="75"/>
        <v>0</v>
      </c>
      <c r="R658" s="12">
        <f t="shared" si="76"/>
        <v>1.1569615422415658</v>
      </c>
      <c r="S658" s="1">
        <v>268</v>
      </c>
      <c r="T658" s="14">
        <v>46236</v>
      </c>
    </row>
    <row r="659" spans="1:20" ht="21" customHeight="1" x14ac:dyDescent="0.45">
      <c r="A659" s="31">
        <v>46236.784173571432</v>
      </c>
      <c r="B659" s="31">
        <v>46236.791666666664</v>
      </c>
      <c r="C659" s="31">
        <v>46236.78125</v>
      </c>
      <c r="D659" s="1" t="s">
        <v>102</v>
      </c>
      <c r="E659" s="12">
        <v>0.17983428571428572</v>
      </c>
      <c r="F659" s="12">
        <f>IF(D659="d",两日求解价格与决策!K276-两日求解价格与决策!N276,IF(D659="u",两日求解价格与决策!K276+两日求解价格与决策!M276,两日求解价格与决策!K276))</f>
        <v>-7.5110131205901158</v>
      </c>
      <c r="G659" s="12">
        <f t="shared" si="71"/>
        <v>7.5110131205901158</v>
      </c>
      <c r="H659" s="12">
        <f t="shared" si="72"/>
        <v>0</v>
      </c>
      <c r="I659" s="12">
        <f t="shared" si="70"/>
        <v>170.34243310625914</v>
      </c>
      <c r="J659" s="12">
        <f>I659+E659*(G659*原始输入与口径!$B$5-H659/原始输入与口径!$B$5)</f>
        <v>171.58511177142853</v>
      </c>
      <c r="K659" s="12">
        <v>170.34243310625911</v>
      </c>
      <c r="L659" s="12">
        <v>171.5851117714285</v>
      </c>
      <c r="M659" s="19">
        <f t="shared" si="73"/>
        <v>0</v>
      </c>
      <c r="N659" s="12">
        <f>E659*(G659*原始输入与口径!$B$5+H659/原始输入与口径!$B$5)/原始输入与口径!$H$5</f>
        <v>3.4518851810260986E-3</v>
      </c>
      <c r="O659" s="12">
        <v>3.4518851810260986E-3</v>
      </c>
      <c r="P659" s="19">
        <f t="shared" si="74"/>
        <v>0</v>
      </c>
      <c r="Q659" s="12">
        <f t="shared" si="75"/>
        <v>1.3507376795319517</v>
      </c>
      <c r="R659" s="12">
        <f t="shared" si="76"/>
        <v>0</v>
      </c>
      <c r="S659" s="1">
        <v>268</v>
      </c>
      <c r="T659" s="14">
        <v>46236</v>
      </c>
    </row>
    <row r="660" spans="1:20" ht="21" customHeight="1" x14ac:dyDescent="0.45">
      <c r="A660" s="31">
        <v>46236.791666666664</v>
      </c>
      <c r="B660" s="31">
        <v>46236.791694761901</v>
      </c>
      <c r="C660" s="31">
        <v>46236.791666666664</v>
      </c>
      <c r="D660" s="1" t="s">
        <v>103</v>
      </c>
      <c r="E660" s="12">
        <v>6.7428571428571429E-4</v>
      </c>
      <c r="F660" s="12">
        <f>IF(D660="d",两日求解价格与决策!K277-两日求解价格与决策!N277,IF(D660="u",两日求解价格与决策!K277+两日求解价格与决策!M277,两日求解价格与决策!K277))</f>
        <v>-24</v>
      </c>
      <c r="G660" s="12">
        <f t="shared" si="71"/>
        <v>24</v>
      </c>
      <c r="H660" s="12">
        <f t="shared" si="72"/>
        <v>0</v>
      </c>
      <c r="I660" s="12">
        <f t="shared" si="70"/>
        <v>171.58511177142853</v>
      </c>
      <c r="J660" s="12">
        <f>I660+E660*(G660*原始输入与口径!$B$5-H660/原始输入与口径!$B$5)</f>
        <v>171.59999999999997</v>
      </c>
      <c r="K660" s="12">
        <v>171.5851117714285</v>
      </c>
      <c r="L660" s="12">
        <v>171.59999999999994</v>
      </c>
      <c r="M660" s="19">
        <f t="shared" si="73"/>
        <v>0</v>
      </c>
      <c r="N660" s="12">
        <f>E660*(G660*原始输入与口径!$B$5+H660/原始输入与口径!$B$5)/原始输入与口径!$H$5</f>
        <v>4.1356190476190479E-5</v>
      </c>
      <c r="O660" s="12">
        <v>4.1356190476190486E-5</v>
      </c>
      <c r="P660" s="19">
        <f t="shared" si="74"/>
        <v>0</v>
      </c>
      <c r="Q660" s="12">
        <f t="shared" si="75"/>
        <v>1.6182857142857145E-2</v>
      </c>
      <c r="R660" s="12">
        <f t="shared" si="76"/>
        <v>0</v>
      </c>
      <c r="S660" s="1">
        <v>269</v>
      </c>
      <c r="T660" s="14">
        <v>46236</v>
      </c>
    </row>
    <row r="661" spans="1:20" ht="21" customHeight="1" x14ac:dyDescent="0.45">
      <c r="A661" s="31">
        <v>46236.791694761901</v>
      </c>
      <c r="B661" s="31">
        <v>46236.792166904757</v>
      </c>
      <c r="C661" s="31">
        <v>46236.791666666664</v>
      </c>
      <c r="D661" s="1" t="s">
        <v>101</v>
      </c>
      <c r="E661" s="12">
        <v>1.1331428571428572E-2</v>
      </c>
      <c r="F661" s="12">
        <f>IF(D661="d",两日求解价格与决策!K277-两日求解价格与决策!N277,IF(D661="u",两日求解价格与决策!K277+两日求解价格与决策!M277,两日求解价格与决策!K277))</f>
        <v>24</v>
      </c>
      <c r="G661" s="12">
        <f t="shared" si="71"/>
        <v>0</v>
      </c>
      <c r="H661" s="12">
        <f t="shared" si="72"/>
        <v>24</v>
      </c>
      <c r="I661" s="12">
        <f t="shared" si="70"/>
        <v>171.59999999999997</v>
      </c>
      <c r="J661" s="12">
        <f>I661+E661*(G661*原始输入与口径!$B$5-H661/原始输入与口径!$B$5)</f>
        <v>171.30439751552791</v>
      </c>
      <c r="K661" s="12">
        <v>171.59999999999994</v>
      </c>
      <c r="L661" s="12">
        <v>171.30439751552788</v>
      </c>
      <c r="M661" s="19">
        <f t="shared" si="73"/>
        <v>0</v>
      </c>
      <c r="N661" s="12">
        <f>E661*(G661*原始输入与口径!$B$5+H661/原始输入与口径!$B$5)/原始输入与口径!$H$5</f>
        <v>8.2111801242236025E-4</v>
      </c>
      <c r="O661" s="12">
        <v>8.2111801242236025E-4</v>
      </c>
      <c r="P661" s="19">
        <f t="shared" si="74"/>
        <v>0</v>
      </c>
      <c r="Q661" s="12">
        <f t="shared" si="75"/>
        <v>0</v>
      </c>
      <c r="R661" s="12">
        <f t="shared" si="76"/>
        <v>0.2719542857142857</v>
      </c>
      <c r="S661" s="1">
        <v>269</v>
      </c>
      <c r="T661" s="14">
        <v>46236</v>
      </c>
    </row>
    <row r="662" spans="1:20" ht="21" customHeight="1" x14ac:dyDescent="0.45">
      <c r="A662" s="31">
        <v>46236.792166904757</v>
      </c>
      <c r="B662" s="31">
        <v>46236.802083333328</v>
      </c>
      <c r="C662" s="31">
        <v>46236.791666666664</v>
      </c>
      <c r="D662" s="1" t="s">
        <v>102</v>
      </c>
      <c r="E662" s="12">
        <v>0.23799428571428571</v>
      </c>
      <c r="F662" s="12">
        <f>IF(D662="d",两日求解价格与决策!K277-两日求解价格与决策!N277,IF(D662="u",两日求解价格与决策!K277+两日求解价格与决策!M277,两日求解价格与决策!K277))</f>
        <v>0</v>
      </c>
      <c r="G662" s="12">
        <f t="shared" si="71"/>
        <v>0</v>
      </c>
      <c r="H662" s="12">
        <f t="shared" si="72"/>
        <v>0</v>
      </c>
      <c r="I662" s="12">
        <f t="shared" si="70"/>
        <v>171.30439751552791</v>
      </c>
      <c r="J662" s="12">
        <f>I662+E662*(G662*原始输入与口径!$B$5-H662/原始输入与口径!$B$5)</f>
        <v>171.30439751552791</v>
      </c>
      <c r="K662" s="12">
        <v>171.30439751552788</v>
      </c>
      <c r="L662" s="12">
        <v>171.30439751552788</v>
      </c>
      <c r="M662" s="19">
        <f t="shared" si="73"/>
        <v>0</v>
      </c>
      <c r="N662" s="12">
        <f>E662*(G662*原始输入与口径!$B$5+H662/原始输入与口径!$B$5)/原始输入与口径!$H$5</f>
        <v>0</v>
      </c>
      <c r="O662" s="12">
        <v>0</v>
      </c>
      <c r="P662" s="19">
        <f t="shared" si="74"/>
        <v>0</v>
      </c>
      <c r="Q662" s="12">
        <f t="shared" si="75"/>
        <v>0</v>
      </c>
      <c r="R662" s="12">
        <f t="shared" si="76"/>
        <v>0</v>
      </c>
      <c r="S662" s="1">
        <v>269</v>
      </c>
      <c r="T662" s="14">
        <v>46236</v>
      </c>
    </row>
    <row r="663" spans="1:20" ht="21" customHeight="1" x14ac:dyDescent="0.45">
      <c r="A663" s="31">
        <v>46236.802083333336</v>
      </c>
      <c r="B663" s="31">
        <v>46236.802089047618</v>
      </c>
      <c r="C663" s="31">
        <v>46236.802083333336</v>
      </c>
      <c r="D663" s="1" t="s">
        <v>103</v>
      </c>
      <c r="E663" s="12">
        <v>1.3714285714285713E-4</v>
      </c>
      <c r="F663" s="12">
        <f>IF(D663="d",两日求解价格与决策!K278-两日求解价格与决策!N278,IF(D663="u",两日求解价格与决策!K278+两日求解价格与决策!M278,两日求解价格与决策!K278))</f>
        <v>12</v>
      </c>
      <c r="G663" s="12">
        <f t="shared" si="71"/>
        <v>0</v>
      </c>
      <c r="H663" s="12">
        <f t="shared" si="72"/>
        <v>12</v>
      </c>
      <c r="I663" s="12">
        <f t="shared" si="70"/>
        <v>171.30439751552791</v>
      </c>
      <c r="J663" s="12">
        <f>I663+E663*(G663*原始输入与口径!$B$5-H663/原始输入与口径!$B$5)</f>
        <v>171.30260869565214</v>
      </c>
      <c r="K663" s="12">
        <v>171.30439751552788</v>
      </c>
      <c r="L663" s="12">
        <v>171.30260869565211</v>
      </c>
      <c r="M663" s="19">
        <f t="shared" si="73"/>
        <v>0</v>
      </c>
      <c r="N663" s="12">
        <f>E663*(G663*原始输入与口径!$B$5+H663/原始输入与口径!$B$5)/原始输入与口径!$H$5</f>
        <v>4.9689440993788812E-6</v>
      </c>
      <c r="O663" s="12">
        <v>4.9689440993788812E-6</v>
      </c>
      <c r="P663" s="19">
        <f t="shared" si="74"/>
        <v>0</v>
      </c>
      <c r="Q663" s="12">
        <f t="shared" si="75"/>
        <v>0</v>
      </c>
      <c r="R663" s="12">
        <f t="shared" si="76"/>
        <v>1.6457142857142855E-3</v>
      </c>
      <c r="S663" s="1">
        <v>270</v>
      </c>
      <c r="T663" s="14">
        <v>46236</v>
      </c>
    </row>
    <row r="664" spans="1:20" ht="21" customHeight="1" x14ac:dyDescent="0.45">
      <c r="A664" s="31">
        <v>46236.802089047618</v>
      </c>
      <c r="B664" s="31">
        <v>46236.803083571431</v>
      </c>
      <c r="C664" s="31">
        <v>46236.802083333336</v>
      </c>
      <c r="D664" s="1" t="s">
        <v>101</v>
      </c>
      <c r="E664" s="12">
        <v>2.3868571428571426E-2</v>
      </c>
      <c r="F664" s="12">
        <f>IF(D664="d",两日求解价格与决策!K278-两日求解价格与决策!N278,IF(D664="u",两日求解价格与决策!K278+两日求解价格与决策!M278,两日求解价格与决策!K278))</f>
        <v>60</v>
      </c>
      <c r="G664" s="12">
        <f t="shared" si="71"/>
        <v>0</v>
      </c>
      <c r="H664" s="12">
        <f t="shared" si="72"/>
        <v>60</v>
      </c>
      <c r="I664" s="12">
        <f t="shared" si="70"/>
        <v>171.30260869565214</v>
      </c>
      <c r="J664" s="12">
        <f>I664+E664*(G664*原始输入与口径!$B$5-H664/原始输入与口径!$B$5)</f>
        <v>169.74596273291922</v>
      </c>
      <c r="K664" s="12">
        <v>171.30260869565211</v>
      </c>
      <c r="L664" s="12">
        <v>169.7459627329192</v>
      </c>
      <c r="M664" s="19">
        <f t="shared" si="73"/>
        <v>0</v>
      </c>
      <c r="N664" s="12">
        <f>E664*(G664*原始输入与口径!$B$5+H664/原始输入与口径!$B$5)/原始输入与口径!$H$5</f>
        <v>4.3240165631469978E-3</v>
      </c>
      <c r="O664" s="12">
        <v>4.3240165631469978E-3</v>
      </c>
      <c r="P664" s="19">
        <f t="shared" si="74"/>
        <v>0</v>
      </c>
      <c r="Q664" s="12">
        <f t="shared" si="75"/>
        <v>0</v>
      </c>
      <c r="R664" s="12">
        <f t="shared" si="76"/>
        <v>1.4321142857142857</v>
      </c>
      <c r="S664" s="1">
        <v>270</v>
      </c>
      <c r="T664" s="14">
        <v>46236</v>
      </c>
    </row>
    <row r="665" spans="1:20" ht="21" customHeight="1" x14ac:dyDescent="0.45">
      <c r="A665" s="31">
        <v>46236.803083571431</v>
      </c>
      <c r="B665" s="31">
        <v>46236.8125</v>
      </c>
      <c r="C665" s="31">
        <v>46236.802083333336</v>
      </c>
      <c r="D665" s="1" t="s">
        <v>102</v>
      </c>
      <c r="E665" s="12">
        <v>0.2259942857142857</v>
      </c>
      <c r="F665" s="12">
        <f>IF(D665="d",两日求解价格与决策!K278-两日求解价格与决策!N278,IF(D665="u",两日求解价格与决策!K278+两日求解价格与决策!M278,两日求解价格与决策!K278))</f>
        <v>36</v>
      </c>
      <c r="G665" s="12">
        <f t="shared" si="71"/>
        <v>0</v>
      </c>
      <c r="H665" s="12">
        <f t="shared" si="72"/>
        <v>36</v>
      </c>
      <c r="I665" s="12">
        <f t="shared" si="70"/>
        <v>169.74596273291922</v>
      </c>
      <c r="J665" s="12">
        <f>I665+E665*(G665*原始输入与口径!$B$5-H665/原始输入与口径!$B$5)</f>
        <v>160.90270807453413</v>
      </c>
      <c r="K665" s="12">
        <v>169.7459627329192</v>
      </c>
      <c r="L665" s="12">
        <v>160.9027080745341</v>
      </c>
      <c r="M665" s="19">
        <f t="shared" si="73"/>
        <v>0</v>
      </c>
      <c r="N665" s="12">
        <f>E665*(G665*原始输入与口径!$B$5+H665/原始输入与口径!$B$5)/原始输入与口径!$H$5</f>
        <v>2.4564596273291921E-2</v>
      </c>
      <c r="O665" s="12">
        <v>2.4564596273291921E-2</v>
      </c>
      <c r="P665" s="19">
        <f t="shared" si="74"/>
        <v>0</v>
      </c>
      <c r="Q665" s="12">
        <f t="shared" si="75"/>
        <v>0</v>
      </c>
      <c r="R665" s="12">
        <f t="shared" si="76"/>
        <v>8.1357942857142849</v>
      </c>
      <c r="S665" s="1">
        <v>270</v>
      </c>
      <c r="T665" s="14">
        <v>46236</v>
      </c>
    </row>
    <row r="666" spans="1:20" ht="21" customHeight="1" x14ac:dyDescent="0.45">
      <c r="A666" s="31">
        <v>46236.8125</v>
      </c>
      <c r="B666" s="31">
        <v>46236.81454595238</v>
      </c>
      <c r="C666" s="31">
        <v>46236.8125</v>
      </c>
      <c r="D666" s="1" t="s">
        <v>101</v>
      </c>
      <c r="E666" s="12">
        <v>4.9102857142857143E-2</v>
      </c>
      <c r="F666" s="12">
        <f>IF(D666="d",两日求解价格与决策!K279-两日求解价格与决策!N279,IF(D666="u",两日求解价格与决策!K279+两日求解价格与决策!M279,两日求解价格与决策!K279))</f>
        <v>24</v>
      </c>
      <c r="G666" s="12">
        <f t="shared" si="71"/>
        <v>0</v>
      </c>
      <c r="H666" s="12">
        <f t="shared" si="72"/>
        <v>24</v>
      </c>
      <c r="I666" s="12">
        <f t="shared" si="70"/>
        <v>160.90270807453413</v>
      </c>
      <c r="J666" s="12">
        <f>I666+E666*(G666*原始输入与口径!$B$5-H666/原始输入与口径!$B$5)</f>
        <v>159.62176397515526</v>
      </c>
      <c r="K666" s="12">
        <v>160.9027080745341</v>
      </c>
      <c r="L666" s="12">
        <v>159.62176397515523</v>
      </c>
      <c r="M666" s="19">
        <f t="shared" si="73"/>
        <v>0</v>
      </c>
      <c r="N666" s="12">
        <f>E666*(G666*原始输入与口径!$B$5+H666/原始输入与口径!$B$5)/原始输入与口径!$H$5</f>
        <v>3.5581780538302276E-3</v>
      </c>
      <c r="O666" s="12">
        <v>3.5581780538302276E-3</v>
      </c>
      <c r="P666" s="19">
        <f t="shared" si="74"/>
        <v>0</v>
      </c>
      <c r="Q666" s="12">
        <f t="shared" si="75"/>
        <v>0</v>
      </c>
      <c r="R666" s="12">
        <f t="shared" si="76"/>
        <v>1.1784685714285714</v>
      </c>
      <c r="S666" s="1">
        <v>271</v>
      </c>
      <c r="T666" s="14">
        <v>46236</v>
      </c>
    </row>
    <row r="667" spans="1:20" ht="21" customHeight="1" x14ac:dyDescent="0.45">
      <c r="A667" s="31">
        <v>46236.81454595238</v>
      </c>
      <c r="B667" s="31">
        <v>46236.822916666664</v>
      </c>
      <c r="C667" s="31">
        <v>46236.8125</v>
      </c>
      <c r="D667" s="1" t="s">
        <v>102</v>
      </c>
      <c r="E667" s="12">
        <v>0.20089714285714286</v>
      </c>
      <c r="F667" s="12">
        <f>IF(D667="d",两日求解价格与决策!K279-两日求解价格与决策!N279,IF(D667="u",两日求解价格与决策!K279+两日求解价格与决策!M279,两日求解价格与决策!K279))</f>
        <v>0</v>
      </c>
      <c r="G667" s="12">
        <f t="shared" si="71"/>
        <v>0</v>
      </c>
      <c r="H667" s="12">
        <f t="shared" si="72"/>
        <v>0</v>
      </c>
      <c r="I667" s="12">
        <f t="shared" si="70"/>
        <v>159.62176397515526</v>
      </c>
      <c r="J667" s="12">
        <f>I667+E667*(G667*原始输入与口径!$B$5-H667/原始输入与口径!$B$5)</f>
        <v>159.62176397515526</v>
      </c>
      <c r="K667" s="12">
        <v>159.62176397515523</v>
      </c>
      <c r="L667" s="12">
        <v>159.62176397515523</v>
      </c>
      <c r="M667" s="19">
        <f t="shared" si="73"/>
        <v>0</v>
      </c>
      <c r="N667" s="12">
        <f>E667*(G667*原始输入与口径!$B$5+H667/原始输入与口径!$B$5)/原始输入与口径!$H$5</f>
        <v>0</v>
      </c>
      <c r="O667" s="12">
        <v>0</v>
      </c>
      <c r="P667" s="19">
        <f t="shared" si="74"/>
        <v>0</v>
      </c>
      <c r="Q667" s="12">
        <f t="shared" si="75"/>
        <v>0</v>
      </c>
      <c r="R667" s="12">
        <f t="shared" si="76"/>
        <v>0</v>
      </c>
      <c r="S667" s="1">
        <v>271</v>
      </c>
      <c r="T667" s="14">
        <v>46236</v>
      </c>
    </row>
    <row r="668" spans="1:20" ht="21" customHeight="1" x14ac:dyDescent="0.45">
      <c r="A668" s="31">
        <v>46236.822916666664</v>
      </c>
      <c r="B668" s="31">
        <v>46236.825596190472</v>
      </c>
      <c r="C668" s="31">
        <v>46236.822916666664</v>
      </c>
      <c r="D668" s="1" t="s">
        <v>101</v>
      </c>
      <c r="E668" s="12">
        <v>6.4308571428571423E-2</v>
      </c>
      <c r="F668" s="12">
        <f>IF(D668="d",两日求解价格与决策!K280-两日求解价格与决策!N280,IF(D668="u",两日求解价格与决策!K280+两日求解价格与决策!M280,两日求解价格与决策!K280))</f>
        <v>60</v>
      </c>
      <c r="G668" s="12">
        <f t="shared" si="71"/>
        <v>0</v>
      </c>
      <c r="H668" s="12">
        <f t="shared" si="72"/>
        <v>60</v>
      </c>
      <c r="I668" s="12">
        <f t="shared" si="70"/>
        <v>159.62176397515526</v>
      </c>
      <c r="J668" s="12">
        <f>I668+E668*(G668*原始输入与口径!$B$5-H668/原始输入与口径!$B$5)</f>
        <v>155.42772670807452</v>
      </c>
      <c r="K668" s="12">
        <v>159.62176397515523</v>
      </c>
      <c r="L668" s="12">
        <v>155.42772670807449</v>
      </c>
      <c r="M668" s="19">
        <f t="shared" si="73"/>
        <v>0</v>
      </c>
      <c r="N668" s="12">
        <f>E668*(G668*原始输入与口径!$B$5+H668/原始输入与口径!$B$5)/原始输入与口径!$H$5</f>
        <v>1.1650103519668735E-2</v>
      </c>
      <c r="O668" s="12">
        <v>1.1650103519668735E-2</v>
      </c>
      <c r="P668" s="19">
        <f t="shared" si="74"/>
        <v>0</v>
      </c>
      <c r="Q668" s="12">
        <f t="shared" si="75"/>
        <v>0</v>
      </c>
      <c r="R668" s="12">
        <f t="shared" si="76"/>
        <v>3.8585142857142856</v>
      </c>
      <c r="S668" s="1">
        <v>272</v>
      </c>
      <c r="T668" s="14">
        <v>46236</v>
      </c>
    </row>
    <row r="669" spans="1:20" ht="21" customHeight="1" x14ac:dyDescent="0.45">
      <c r="A669" s="31">
        <v>46236.825596190472</v>
      </c>
      <c r="B669" s="31">
        <v>46236.833333333328</v>
      </c>
      <c r="C669" s="31">
        <v>46236.822916666664</v>
      </c>
      <c r="D669" s="1" t="s">
        <v>102</v>
      </c>
      <c r="E669" s="12">
        <v>0.18569142857142856</v>
      </c>
      <c r="F669" s="12">
        <f>IF(D669="d",两日求解价格与决策!K280-两日求解价格与决策!N280,IF(D669="u",两日求解价格与决策!K280+两日求解价格与决策!M280,两日求解价格与决策!K280))</f>
        <v>36</v>
      </c>
      <c r="G669" s="12">
        <f t="shared" si="71"/>
        <v>0</v>
      </c>
      <c r="H669" s="12">
        <f t="shared" si="72"/>
        <v>36</v>
      </c>
      <c r="I669" s="12">
        <f t="shared" ref="I669:I732" si="77">J668</f>
        <v>155.42772670807452</v>
      </c>
      <c r="J669" s="12">
        <f>I669+E669*(G669*原始输入与口径!$B$5-H669/原始输入与口径!$B$5)</f>
        <v>148.1615403726708</v>
      </c>
      <c r="K669" s="12">
        <v>155.42772670807449</v>
      </c>
      <c r="L669" s="12">
        <v>148.16154037267077</v>
      </c>
      <c r="M669" s="19">
        <f t="shared" si="73"/>
        <v>0</v>
      </c>
      <c r="N669" s="12">
        <f>E669*(G669*原始输入与口径!$B$5+H669/原始输入与口径!$B$5)/原始输入与口径!$H$5</f>
        <v>2.0183850931677016E-2</v>
      </c>
      <c r="O669" s="12">
        <v>2.0183850931677016E-2</v>
      </c>
      <c r="P669" s="19">
        <f t="shared" si="74"/>
        <v>0</v>
      </c>
      <c r="Q669" s="12">
        <f t="shared" si="75"/>
        <v>0</v>
      </c>
      <c r="R669" s="12">
        <f t="shared" si="76"/>
        <v>6.6848914285714285</v>
      </c>
      <c r="S669" s="1">
        <v>272</v>
      </c>
      <c r="T669" s="14">
        <v>46236</v>
      </c>
    </row>
    <row r="670" spans="1:20" ht="21" customHeight="1" x14ac:dyDescent="0.45">
      <c r="A670" s="31">
        <v>46236.833333333336</v>
      </c>
      <c r="B670" s="31">
        <v>46236.833339761906</v>
      </c>
      <c r="C670" s="31">
        <v>46236.833333333336</v>
      </c>
      <c r="D670" s="1" t="s">
        <v>103</v>
      </c>
      <c r="E670" s="12">
        <v>1.5428571428571428E-4</v>
      </c>
      <c r="F670" s="12">
        <f>IF(D670="d",两日求解价格与决策!K281-两日求解价格与决策!N281,IF(D670="u",两日求解价格与决策!K281+两日求解价格与决策!M281,两日求解价格与决策!K281))</f>
        <v>36</v>
      </c>
      <c r="G670" s="12">
        <f t="shared" si="71"/>
        <v>0</v>
      </c>
      <c r="H670" s="12">
        <f t="shared" si="72"/>
        <v>36</v>
      </c>
      <c r="I670" s="12">
        <f t="shared" si="77"/>
        <v>148.1615403726708</v>
      </c>
      <c r="J670" s="12">
        <f>I670+E670*(G670*原始输入与口径!$B$5-H670/原始输入与口径!$B$5)</f>
        <v>148.15550310559004</v>
      </c>
      <c r="K670" s="12">
        <v>148.16154037267077</v>
      </c>
      <c r="L670" s="12">
        <v>148.15550310559001</v>
      </c>
      <c r="M670" s="19">
        <f t="shared" si="73"/>
        <v>0</v>
      </c>
      <c r="N670" s="12">
        <f>E670*(G670*原始输入与口径!$B$5+H670/原始输入与口径!$B$5)/原始输入与口径!$H$5</f>
        <v>1.6770186335403728E-5</v>
      </c>
      <c r="O670" s="12">
        <v>1.6770186335403725E-5</v>
      </c>
      <c r="P670" s="19">
        <f t="shared" si="74"/>
        <v>0</v>
      </c>
      <c r="Q670" s="12">
        <f t="shared" si="75"/>
        <v>0</v>
      </c>
      <c r="R670" s="12">
        <f t="shared" si="76"/>
        <v>5.5542857142857139E-3</v>
      </c>
      <c r="S670" s="1">
        <v>273</v>
      </c>
      <c r="T670" s="14">
        <v>46236</v>
      </c>
    </row>
    <row r="671" spans="1:20" ht="21" customHeight="1" x14ac:dyDescent="0.45">
      <c r="A671" s="31">
        <v>46236.833339761906</v>
      </c>
      <c r="B671" s="31">
        <v>46236.833927857144</v>
      </c>
      <c r="C671" s="31">
        <v>46236.833333333336</v>
      </c>
      <c r="D671" s="1" t="s">
        <v>101</v>
      </c>
      <c r="E671" s="12">
        <v>1.4114285714285715E-2</v>
      </c>
      <c r="F671" s="12">
        <f>IF(D671="d",两日求解价格与决策!K281-两日求解价格与决策!N281,IF(D671="u",两日求解价格与决策!K281+两日求解价格与决策!M281,两日求解价格与决策!K281))</f>
        <v>60</v>
      </c>
      <c r="G671" s="12">
        <f t="shared" si="71"/>
        <v>0</v>
      </c>
      <c r="H671" s="12">
        <f t="shared" si="72"/>
        <v>60</v>
      </c>
      <c r="I671" s="12">
        <f t="shared" si="77"/>
        <v>148.15550310559004</v>
      </c>
      <c r="J671" s="12">
        <f>I671+E671*(G671*原始输入与口径!$B$5-H671/原始输入与口径!$B$5)</f>
        <v>147.23500621118009</v>
      </c>
      <c r="K671" s="12">
        <v>148.15550310559001</v>
      </c>
      <c r="L671" s="12">
        <v>147.23500621118006</v>
      </c>
      <c r="M671" s="19">
        <f t="shared" si="73"/>
        <v>0</v>
      </c>
      <c r="N671" s="12">
        <f>E671*(G671*原始输入与口径!$B$5+H671/原始输入与口径!$B$5)/原始输入与口径!$H$5</f>
        <v>2.5569358178053831E-3</v>
      </c>
      <c r="O671" s="12">
        <v>2.5569358178053831E-3</v>
      </c>
      <c r="P671" s="19">
        <f t="shared" si="74"/>
        <v>0</v>
      </c>
      <c r="Q671" s="12">
        <f t="shared" si="75"/>
        <v>0</v>
      </c>
      <c r="R671" s="12">
        <f t="shared" si="76"/>
        <v>0.84685714285714286</v>
      </c>
      <c r="S671" s="1">
        <v>273</v>
      </c>
      <c r="T671" s="14">
        <v>46236</v>
      </c>
    </row>
    <row r="672" spans="1:20" ht="21" customHeight="1" x14ac:dyDescent="0.45">
      <c r="A672" s="31">
        <v>46236.833927857144</v>
      </c>
      <c r="B672" s="31">
        <v>46236.84375</v>
      </c>
      <c r="C672" s="31">
        <v>46236.833333333336</v>
      </c>
      <c r="D672" s="1" t="s">
        <v>102</v>
      </c>
      <c r="E672" s="12">
        <v>0.23573142857142856</v>
      </c>
      <c r="F672" s="12">
        <f>IF(D672="d",两日求解价格与决策!K281-两日求解价格与决策!N281,IF(D672="u",两日求解价格与决策!K281+两日求解价格与决策!M281,两日求解价格与决策!K281))</f>
        <v>60</v>
      </c>
      <c r="G672" s="12">
        <f t="shared" si="71"/>
        <v>0</v>
      </c>
      <c r="H672" s="12">
        <f t="shared" si="72"/>
        <v>60</v>
      </c>
      <c r="I672" s="12">
        <f t="shared" si="77"/>
        <v>147.23500621118009</v>
      </c>
      <c r="J672" s="12">
        <f>I672+E672*(G672*原始输入与口径!$B$5-H672/原始输入与口径!$B$5)</f>
        <v>131.86121739130431</v>
      </c>
      <c r="K672" s="12">
        <v>147.23500621118006</v>
      </c>
      <c r="L672" s="12">
        <v>131.86121739130428</v>
      </c>
      <c r="M672" s="19">
        <f t="shared" si="73"/>
        <v>0</v>
      </c>
      <c r="N672" s="12">
        <f>E672*(G672*原始输入与口径!$B$5+H672/原始输入与口径!$B$5)/原始输入与口径!$H$5</f>
        <v>4.2704968944099378E-2</v>
      </c>
      <c r="O672" s="12">
        <v>4.2704968944099378E-2</v>
      </c>
      <c r="P672" s="19">
        <f t="shared" si="74"/>
        <v>0</v>
      </c>
      <c r="Q672" s="12">
        <f t="shared" si="75"/>
        <v>0</v>
      </c>
      <c r="R672" s="12">
        <f t="shared" si="76"/>
        <v>14.143885714285714</v>
      </c>
      <c r="S672" s="1">
        <v>273</v>
      </c>
      <c r="T672" s="14">
        <v>46236</v>
      </c>
    </row>
    <row r="673" spans="1:20" ht="21" customHeight="1" x14ac:dyDescent="0.45">
      <c r="A673" s="31">
        <v>46236.84375</v>
      </c>
      <c r="B673" s="31">
        <v>46236.844500476189</v>
      </c>
      <c r="C673" s="31">
        <v>46236.84375</v>
      </c>
      <c r="D673" s="1" t="s">
        <v>103</v>
      </c>
      <c r="E673" s="12">
        <v>1.8011428571428571E-2</v>
      </c>
      <c r="F673" s="12">
        <f>IF(D673="d",两日求解价格与决策!K282-两日求解价格与决策!N282,IF(D673="u",两日求解价格与决策!K282+两日求解价格与决策!M282,两日求解价格与决策!K282))</f>
        <v>36</v>
      </c>
      <c r="G673" s="12">
        <f t="shared" si="71"/>
        <v>0</v>
      </c>
      <c r="H673" s="12">
        <f t="shared" si="72"/>
        <v>36</v>
      </c>
      <c r="I673" s="12">
        <f t="shared" si="77"/>
        <v>131.86121739130431</v>
      </c>
      <c r="J673" s="12">
        <f>I673+E673*(G673*原始输入与口径!$B$5-H673/原始输入与口径!$B$5)</f>
        <v>131.1564223602484</v>
      </c>
      <c r="K673" s="12">
        <v>131.86121739130428</v>
      </c>
      <c r="L673" s="12">
        <v>131.15642236024837</v>
      </c>
      <c r="M673" s="19">
        <f t="shared" si="73"/>
        <v>0</v>
      </c>
      <c r="N673" s="12">
        <f>E673*(G673*原始输入与口径!$B$5+H673/原始输入与口径!$B$5)/原始输入与口径!$H$5</f>
        <v>1.9577639751552794E-3</v>
      </c>
      <c r="O673" s="12">
        <v>1.9577639751552794E-3</v>
      </c>
      <c r="P673" s="19">
        <f t="shared" si="74"/>
        <v>0</v>
      </c>
      <c r="Q673" s="12">
        <f t="shared" si="75"/>
        <v>0</v>
      </c>
      <c r="R673" s="12">
        <f t="shared" si="76"/>
        <v>0.64841142857142853</v>
      </c>
      <c r="S673" s="1">
        <v>274</v>
      </c>
      <c r="T673" s="14">
        <v>46236</v>
      </c>
    </row>
    <row r="674" spans="1:20" ht="21" customHeight="1" x14ac:dyDescent="0.45">
      <c r="A674" s="31">
        <v>46236.844500476189</v>
      </c>
      <c r="B674" s="31">
        <v>46236.844774999998</v>
      </c>
      <c r="C674" s="31">
        <v>46236.84375</v>
      </c>
      <c r="D674" s="1" t="s">
        <v>101</v>
      </c>
      <c r="E674" s="12">
        <v>6.5885714285714289E-3</v>
      </c>
      <c r="F674" s="12">
        <f>IF(D674="d",两日求解价格与决策!K282-两日求解价格与决策!N282,IF(D674="u",两日求解价格与决策!K282+两日求解价格与决策!M282,两日求解价格与决策!K282))</f>
        <v>60</v>
      </c>
      <c r="G674" s="12">
        <f t="shared" si="71"/>
        <v>0</v>
      </c>
      <c r="H674" s="12">
        <f t="shared" si="72"/>
        <v>60</v>
      </c>
      <c r="I674" s="12">
        <f t="shared" si="77"/>
        <v>131.1564223602484</v>
      </c>
      <c r="J674" s="12">
        <f>I674+E674*(G674*原始输入与口径!$B$5-H674/原始输入与口径!$B$5)</f>
        <v>130.7267329192546</v>
      </c>
      <c r="K674" s="12">
        <v>131.15642236024837</v>
      </c>
      <c r="L674" s="12">
        <v>130.72673291925457</v>
      </c>
      <c r="M674" s="19">
        <f t="shared" si="73"/>
        <v>0</v>
      </c>
      <c r="N674" s="12">
        <f>E674*(G674*原始输入与口径!$B$5+H674/原始输入与口径!$B$5)/原始输入与口径!$H$5</f>
        <v>1.1935817805383024E-3</v>
      </c>
      <c r="O674" s="12">
        <v>1.1935817805383022E-3</v>
      </c>
      <c r="P674" s="19">
        <f t="shared" si="74"/>
        <v>0</v>
      </c>
      <c r="Q674" s="12">
        <f t="shared" si="75"/>
        <v>0</v>
      </c>
      <c r="R674" s="12">
        <f t="shared" si="76"/>
        <v>0.39531428571428573</v>
      </c>
      <c r="S674" s="1">
        <v>274</v>
      </c>
      <c r="T674" s="14">
        <v>46236</v>
      </c>
    </row>
    <row r="675" spans="1:20" ht="21" customHeight="1" x14ac:dyDescent="0.45">
      <c r="A675" s="31">
        <v>46236.844774999998</v>
      </c>
      <c r="B675" s="31">
        <v>46236.854166666664</v>
      </c>
      <c r="C675" s="31">
        <v>46236.84375</v>
      </c>
      <c r="D675" s="1" t="s">
        <v>102</v>
      </c>
      <c r="E675" s="12">
        <v>0.22540000000000002</v>
      </c>
      <c r="F675" s="12">
        <f>IF(D675="d",两日求解价格与决策!K282-两日求解价格与决策!N282,IF(D675="u",两日求解价格与决策!K282+两日求解价格与决策!M282,两日求解价格与决策!K282))</f>
        <v>60</v>
      </c>
      <c r="G675" s="12">
        <f t="shared" si="71"/>
        <v>0</v>
      </c>
      <c r="H675" s="12">
        <f t="shared" si="72"/>
        <v>60</v>
      </c>
      <c r="I675" s="12">
        <f t="shared" si="77"/>
        <v>130.7267329192546</v>
      </c>
      <c r="J675" s="12">
        <f>I675+E675*(G675*原始输入与口径!$B$5-H675/原始输入与口径!$B$5)</f>
        <v>116.0267329192546</v>
      </c>
      <c r="K675" s="12">
        <v>130.72673291925457</v>
      </c>
      <c r="L675" s="12">
        <v>116.02673291925457</v>
      </c>
      <c r="M675" s="19">
        <f t="shared" si="73"/>
        <v>0</v>
      </c>
      <c r="N675" s="12">
        <f>E675*(G675*原始输入与口径!$B$5+H675/原始输入与口径!$B$5)/原始输入与口径!$H$5</f>
        <v>4.083333333333334E-2</v>
      </c>
      <c r="O675" s="12">
        <v>4.083333333333334E-2</v>
      </c>
      <c r="P675" s="19">
        <f t="shared" si="74"/>
        <v>0</v>
      </c>
      <c r="Q675" s="12">
        <f t="shared" si="75"/>
        <v>0</v>
      </c>
      <c r="R675" s="12">
        <f t="shared" si="76"/>
        <v>13.524000000000001</v>
      </c>
      <c r="S675" s="1">
        <v>274</v>
      </c>
      <c r="T675" s="14">
        <v>46236</v>
      </c>
    </row>
    <row r="676" spans="1:20" ht="21" customHeight="1" x14ac:dyDescent="0.45">
      <c r="A676" s="31">
        <v>46236.854166666664</v>
      </c>
      <c r="B676" s="31">
        <v>46236.8541697619</v>
      </c>
      <c r="C676" s="31">
        <v>46236.854166666664</v>
      </c>
      <c r="D676" s="1" t="s">
        <v>103</v>
      </c>
      <c r="E676" s="12">
        <v>7.4285714285714287E-5</v>
      </c>
      <c r="F676" s="12">
        <f>IF(D676="d",两日求解价格与决策!K283-两日求解价格与决策!N283,IF(D676="u",两日求解价格与决策!K283+两日求解价格与决策!M283,两日求解价格与决策!K283))</f>
        <v>36</v>
      </c>
      <c r="G676" s="12">
        <f t="shared" si="71"/>
        <v>0</v>
      </c>
      <c r="H676" s="12">
        <f t="shared" si="72"/>
        <v>36</v>
      </c>
      <c r="I676" s="12">
        <f t="shared" si="77"/>
        <v>116.0267329192546</v>
      </c>
      <c r="J676" s="12">
        <f>I676+E676*(G676*原始输入与口径!$B$5-H676/原始输入与口径!$B$5)</f>
        <v>116.02382608695646</v>
      </c>
      <c r="K676" s="12">
        <v>116.02673291925457</v>
      </c>
      <c r="L676" s="12">
        <v>116.02382608695643</v>
      </c>
      <c r="M676" s="19">
        <f t="shared" si="73"/>
        <v>0</v>
      </c>
      <c r="N676" s="12">
        <f>E676*(G676*原始输入与口径!$B$5+H676/原始输入与口径!$B$5)/原始输入与口径!$H$5</f>
        <v>8.074534161490682E-6</v>
      </c>
      <c r="O676" s="12">
        <v>8.074534161490682E-6</v>
      </c>
      <c r="P676" s="19">
        <f t="shared" si="74"/>
        <v>0</v>
      </c>
      <c r="Q676" s="12">
        <f t="shared" si="75"/>
        <v>0</v>
      </c>
      <c r="R676" s="12">
        <f t="shared" si="76"/>
        <v>2.6742857142857141E-3</v>
      </c>
      <c r="S676" s="1">
        <v>275</v>
      </c>
      <c r="T676" s="14">
        <v>46236</v>
      </c>
    </row>
    <row r="677" spans="1:20" ht="21" customHeight="1" x14ac:dyDescent="0.45">
      <c r="A677" s="31">
        <v>46236.8541697619</v>
      </c>
      <c r="B677" s="31">
        <v>46236.854287380949</v>
      </c>
      <c r="C677" s="31">
        <v>46236.854166666664</v>
      </c>
      <c r="D677" s="1" t="s">
        <v>101</v>
      </c>
      <c r="E677" s="12">
        <v>2.822857142857143E-3</v>
      </c>
      <c r="F677" s="12">
        <f>IF(D677="d",两日求解价格与决策!K283-两日求解价格与决策!N283,IF(D677="u",两日求解价格与决策!K283+两日求解价格与决策!M283,两日求解价格与决策!K283))</f>
        <v>60</v>
      </c>
      <c r="G677" s="12">
        <f t="shared" si="71"/>
        <v>0</v>
      </c>
      <c r="H677" s="12">
        <f t="shared" si="72"/>
        <v>60</v>
      </c>
      <c r="I677" s="12">
        <f t="shared" si="77"/>
        <v>116.02382608695646</v>
      </c>
      <c r="J677" s="12">
        <f>I677+E677*(G677*原始输入与口径!$B$5-H677/原始输入与口径!$B$5)</f>
        <v>115.83972670807448</v>
      </c>
      <c r="K677" s="12">
        <v>116.02382608695643</v>
      </c>
      <c r="L677" s="12">
        <v>115.83972670807445</v>
      </c>
      <c r="M677" s="19">
        <f t="shared" si="73"/>
        <v>0</v>
      </c>
      <c r="N677" s="12">
        <f>E677*(G677*原始输入与口径!$B$5+H677/原始输入与口径!$B$5)/原始输入与口径!$H$5</f>
        <v>5.1138716356107666E-4</v>
      </c>
      <c r="O677" s="12">
        <v>5.1138716356107666E-4</v>
      </c>
      <c r="P677" s="19">
        <f t="shared" si="74"/>
        <v>0</v>
      </c>
      <c r="Q677" s="12">
        <f t="shared" si="75"/>
        <v>0</v>
      </c>
      <c r="R677" s="12">
        <f t="shared" si="76"/>
        <v>0.16937142857142859</v>
      </c>
      <c r="S677" s="1">
        <v>275</v>
      </c>
      <c r="T677" s="14">
        <v>46236</v>
      </c>
    </row>
    <row r="678" spans="1:20" ht="21" customHeight="1" x14ac:dyDescent="0.45">
      <c r="A678" s="31">
        <v>46236.854287380949</v>
      </c>
      <c r="B678" s="31">
        <v>46236.864583333328</v>
      </c>
      <c r="C678" s="31">
        <v>46236.854166666664</v>
      </c>
      <c r="D678" s="1" t="s">
        <v>102</v>
      </c>
      <c r="E678" s="12">
        <v>0.24710285714285712</v>
      </c>
      <c r="F678" s="12">
        <f>IF(D678="d",两日求解价格与决策!K283-两日求解价格与决策!N283,IF(D678="u",两日求解价格与决策!K283+两日求解价格与决策!M283,两日求解价格与决策!K283))</f>
        <v>60</v>
      </c>
      <c r="G678" s="12">
        <f t="shared" si="71"/>
        <v>0</v>
      </c>
      <c r="H678" s="12">
        <f t="shared" si="72"/>
        <v>60</v>
      </c>
      <c r="I678" s="12">
        <f t="shared" si="77"/>
        <v>115.83972670807448</v>
      </c>
      <c r="J678" s="12">
        <f>I678+E678*(G678*原始输入与口径!$B$5-H678/原始输入与口径!$B$5)</f>
        <v>99.724322981366413</v>
      </c>
      <c r="K678" s="12">
        <v>115.83972670807445</v>
      </c>
      <c r="L678" s="12">
        <v>99.724322981366385</v>
      </c>
      <c r="M678" s="19">
        <f t="shared" si="73"/>
        <v>0</v>
      </c>
      <c r="N678" s="12">
        <f>E678*(G678*原始输入与口径!$B$5+H678/原始输入与口径!$B$5)/原始输入与口径!$H$5</f>
        <v>4.4765010351966873E-2</v>
      </c>
      <c r="O678" s="12">
        <v>4.4765010351966873E-2</v>
      </c>
      <c r="P678" s="19">
        <f t="shared" si="74"/>
        <v>0</v>
      </c>
      <c r="Q678" s="12">
        <f t="shared" si="75"/>
        <v>0</v>
      </c>
      <c r="R678" s="12">
        <f t="shared" si="76"/>
        <v>14.826171428571428</v>
      </c>
      <c r="S678" s="1">
        <v>275</v>
      </c>
      <c r="T678" s="14">
        <v>46236</v>
      </c>
    </row>
    <row r="679" spans="1:20" ht="21" customHeight="1" x14ac:dyDescent="0.45">
      <c r="A679" s="31">
        <v>46236.864583333336</v>
      </c>
      <c r="B679" s="31">
        <v>46236.864590714285</v>
      </c>
      <c r="C679" s="31">
        <v>46236.864583333336</v>
      </c>
      <c r="D679" s="1" t="s">
        <v>103</v>
      </c>
      <c r="E679" s="12">
        <v>1.7714285714285713E-4</v>
      </c>
      <c r="F679" s="12">
        <f>IF(D679="d",两日求解价格与决策!K284-两日求解价格与决策!N284,IF(D679="u",两日求解价格与决策!K284+两日求解价格与决策!M284,两日求解价格与决策!K284))</f>
        <v>36</v>
      </c>
      <c r="G679" s="12">
        <f t="shared" si="71"/>
        <v>0</v>
      </c>
      <c r="H679" s="12">
        <f t="shared" si="72"/>
        <v>36</v>
      </c>
      <c r="I679" s="12">
        <f t="shared" si="77"/>
        <v>99.724322981366413</v>
      </c>
      <c r="J679" s="12">
        <f>I679+E679*(G679*原始输入与口径!$B$5-H679/原始输入与口径!$B$5)</f>
        <v>99.717391304347785</v>
      </c>
      <c r="K679" s="12">
        <v>99.724322981366385</v>
      </c>
      <c r="L679" s="12">
        <v>99.717391304347757</v>
      </c>
      <c r="M679" s="19">
        <f t="shared" si="73"/>
        <v>0</v>
      </c>
      <c r="N679" s="12">
        <f>E679*(G679*原始输入与口径!$B$5+H679/原始输入与口径!$B$5)/原始输入与口径!$H$5</f>
        <v>1.9254658385093167E-5</v>
      </c>
      <c r="O679" s="12">
        <v>1.9254658385093164E-5</v>
      </c>
      <c r="P679" s="19">
        <f t="shared" si="74"/>
        <v>0</v>
      </c>
      <c r="Q679" s="12">
        <f t="shared" si="75"/>
        <v>0</v>
      </c>
      <c r="R679" s="12">
        <f t="shared" si="76"/>
        <v>6.3771428571428564E-3</v>
      </c>
      <c r="S679" s="1">
        <v>276</v>
      </c>
      <c r="T679" s="14">
        <v>46236</v>
      </c>
    </row>
    <row r="680" spans="1:20" ht="21" customHeight="1" x14ac:dyDescent="0.45">
      <c r="A680" s="31">
        <v>46236.864590714285</v>
      </c>
      <c r="B680" s="31">
        <v>46236.865156904765</v>
      </c>
      <c r="C680" s="31">
        <v>46236.864583333336</v>
      </c>
      <c r="D680" s="1" t="s">
        <v>101</v>
      </c>
      <c r="E680" s="12">
        <v>1.3588571428571429E-2</v>
      </c>
      <c r="F680" s="12">
        <f>IF(D680="d",两日求解价格与决策!K284-两日求解价格与决策!N284,IF(D680="u",两日求解价格与决策!K284+两日求解价格与决策!M284,两日求解价格与决策!K284))</f>
        <v>60</v>
      </c>
      <c r="G680" s="12">
        <f t="shared" si="71"/>
        <v>0</v>
      </c>
      <c r="H680" s="12">
        <f t="shared" si="72"/>
        <v>60</v>
      </c>
      <c r="I680" s="12">
        <f t="shared" si="77"/>
        <v>99.717391304347785</v>
      </c>
      <c r="J680" s="12">
        <f>I680+E680*(G680*原始输入与口径!$B$5-H680/原始输入与口径!$B$5)</f>
        <v>98.831180124223565</v>
      </c>
      <c r="K680" s="12">
        <v>99.717391304347757</v>
      </c>
      <c r="L680" s="12">
        <v>98.831180124223536</v>
      </c>
      <c r="M680" s="19">
        <f t="shared" si="73"/>
        <v>0</v>
      </c>
      <c r="N680" s="12">
        <f>E680*(G680*原始输入与口径!$B$5+H680/原始输入与口径!$B$5)/原始输入与口径!$H$5</f>
        <v>2.4616977225672878E-3</v>
      </c>
      <c r="O680" s="12">
        <v>2.4616977225672878E-3</v>
      </c>
      <c r="P680" s="19">
        <f t="shared" si="74"/>
        <v>0</v>
      </c>
      <c r="Q680" s="12">
        <f t="shared" si="75"/>
        <v>0</v>
      </c>
      <c r="R680" s="12">
        <f t="shared" si="76"/>
        <v>0.81531428571428577</v>
      </c>
      <c r="S680" s="1">
        <v>276</v>
      </c>
      <c r="T680" s="14">
        <v>46236</v>
      </c>
    </row>
    <row r="681" spans="1:20" ht="21" customHeight="1" x14ac:dyDescent="0.45">
      <c r="A681" s="31">
        <v>46236.865156904765</v>
      </c>
      <c r="B681" s="31">
        <v>46236.875</v>
      </c>
      <c r="C681" s="31">
        <v>46236.864583333336</v>
      </c>
      <c r="D681" s="1" t="s">
        <v>102</v>
      </c>
      <c r="E681" s="12">
        <v>0.23623428571428573</v>
      </c>
      <c r="F681" s="12">
        <f>IF(D681="d",两日求解价格与决策!K284-两日求解价格与决策!N284,IF(D681="u",两日求解价格与决策!K284+两日求解价格与决策!M284,两日求解价格与决策!K284))</f>
        <v>60</v>
      </c>
      <c r="G681" s="12">
        <f t="shared" si="71"/>
        <v>0</v>
      </c>
      <c r="H681" s="12">
        <f t="shared" si="72"/>
        <v>60</v>
      </c>
      <c r="I681" s="12">
        <f t="shared" si="77"/>
        <v>98.831180124223565</v>
      </c>
      <c r="J681" s="12">
        <f>I681+E681*(G681*原始输入与口径!$B$5-H681/原始输入与口径!$B$5)</f>
        <v>83.424596273291883</v>
      </c>
      <c r="K681" s="12">
        <v>98.831180124223536</v>
      </c>
      <c r="L681" s="12">
        <v>83.424596273291854</v>
      </c>
      <c r="M681" s="19">
        <f t="shared" si="73"/>
        <v>0</v>
      </c>
      <c r="N681" s="12">
        <f>E681*(G681*原始输入与口径!$B$5+H681/原始输入与口径!$B$5)/原始输入与口径!$H$5</f>
        <v>4.2796066252587993E-2</v>
      </c>
      <c r="O681" s="12">
        <v>4.2796066252587993E-2</v>
      </c>
      <c r="P681" s="19">
        <f t="shared" si="74"/>
        <v>0</v>
      </c>
      <c r="Q681" s="12">
        <f t="shared" si="75"/>
        <v>0</v>
      </c>
      <c r="R681" s="12">
        <f t="shared" si="76"/>
        <v>14.174057142857144</v>
      </c>
      <c r="S681" s="1">
        <v>276</v>
      </c>
      <c r="T681" s="14">
        <v>46236</v>
      </c>
    </row>
    <row r="682" spans="1:20" ht="21" customHeight="1" x14ac:dyDescent="0.45">
      <c r="A682" s="31">
        <v>46236.875</v>
      </c>
      <c r="B682" s="31">
        <v>46236.876611904765</v>
      </c>
      <c r="C682" s="31">
        <v>46236.875</v>
      </c>
      <c r="D682" s="1" t="s">
        <v>101</v>
      </c>
      <c r="E682" s="12">
        <v>3.8685714285714282E-2</v>
      </c>
      <c r="F682" s="12">
        <f>IF(D682="d",两日求解价格与决策!K285-两日求解价格与决策!N285,IF(D682="u",两日求解价格与决策!K285+两日求解价格与决策!M285,两日求解价格与决策!K285))</f>
        <v>60</v>
      </c>
      <c r="G682" s="12">
        <f t="shared" si="71"/>
        <v>0</v>
      </c>
      <c r="H682" s="12">
        <f t="shared" si="72"/>
        <v>60</v>
      </c>
      <c r="I682" s="12">
        <f t="shared" si="77"/>
        <v>83.424596273291883</v>
      </c>
      <c r="J682" s="12">
        <f>I682+E682*(G682*原始输入与口径!$B$5-H682/原始输入与口径!$B$5)</f>
        <v>80.901614906832251</v>
      </c>
      <c r="K682" s="12">
        <v>83.424596273291854</v>
      </c>
      <c r="L682" s="12">
        <v>80.901614906832222</v>
      </c>
      <c r="M682" s="19">
        <f t="shared" si="73"/>
        <v>0</v>
      </c>
      <c r="N682" s="12">
        <f>E682*(G682*原始输入与口径!$B$5+H682/原始输入与口径!$B$5)/原始输入与口径!$H$5</f>
        <v>7.0082815734989643E-3</v>
      </c>
      <c r="O682" s="12">
        <v>7.0082815734989635E-3</v>
      </c>
      <c r="P682" s="19">
        <f t="shared" si="74"/>
        <v>0</v>
      </c>
      <c r="Q682" s="12">
        <f t="shared" si="75"/>
        <v>0</v>
      </c>
      <c r="R682" s="12">
        <f t="shared" si="76"/>
        <v>2.3211428571428567</v>
      </c>
      <c r="S682" s="1">
        <v>277</v>
      </c>
      <c r="T682" s="14">
        <v>46236</v>
      </c>
    </row>
    <row r="683" spans="1:20" ht="21" customHeight="1" x14ac:dyDescent="0.45">
      <c r="A683" s="31">
        <v>46236.876611904765</v>
      </c>
      <c r="B683" s="31">
        <v>46236.885416666664</v>
      </c>
      <c r="C683" s="31">
        <v>46236.875</v>
      </c>
      <c r="D683" s="1" t="s">
        <v>102</v>
      </c>
      <c r="E683" s="12">
        <v>0.21131428571428573</v>
      </c>
      <c r="F683" s="12">
        <f>IF(D683="d",两日求解价格与决策!K285-两日求解价格与决策!N285,IF(D683="u",两日求解价格与决策!K285+两日求解价格与决策!M285,两日求解价格与决策!K285))</f>
        <v>36</v>
      </c>
      <c r="G683" s="12">
        <f t="shared" si="71"/>
        <v>0</v>
      </c>
      <c r="H683" s="12">
        <f t="shared" si="72"/>
        <v>36</v>
      </c>
      <c r="I683" s="12">
        <f t="shared" si="77"/>
        <v>80.901614906832251</v>
      </c>
      <c r="J683" s="12">
        <f>I683+E683*(G683*原始输入与口径!$B$5-H683/原始输入与口径!$B$5)</f>
        <v>72.632795031055849</v>
      </c>
      <c r="K683" s="12">
        <v>80.901614906832222</v>
      </c>
      <c r="L683" s="12">
        <v>72.632795031055821</v>
      </c>
      <c r="M683" s="19">
        <f t="shared" si="73"/>
        <v>0</v>
      </c>
      <c r="N683" s="12">
        <f>E683*(G683*原始输入与口径!$B$5+H683/原始输入与口径!$B$5)/原始输入与口径!$H$5</f>
        <v>2.2968944099378882E-2</v>
      </c>
      <c r="O683" s="12">
        <v>2.2968944099378882E-2</v>
      </c>
      <c r="P683" s="19">
        <f t="shared" si="74"/>
        <v>0</v>
      </c>
      <c r="Q683" s="12">
        <f t="shared" si="75"/>
        <v>0</v>
      </c>
      <c r="R683" s="12">
        <f t="shared" si="76"/>
        <v>7.6073142857142866</v>
      </c>
      <c r="S683" s="1">
        <v>277</v>
      </c>
      <c r="T683" s="14">
        <v>46236</v>
      </c>
    </row>
    <row r="684" spans="1:20" ht="21" customHeight="1" x14ac:dyDescent="0.45">
      <c r="A684" s="31">
        <v>46236.885416666664</v>
      </c>
      <c r="B684" s="31">
        <v>46236.888070000001</v>
      </c>
      <c r="C684" s="31">
        <v>46236.885416666664</v>
      </c>
      <c r="D684" s="1" t="s">
        <v>101</v>
      </c>
      <c r="E684" s="12">
        <v>6.368E-2</v>
      </c>
      <c r="F684" s="12">
        <f>IF(D684="d",两日求解价格与决策!K286-两日求解价格与决策!N286,IF(D684="u",两日求解价格与决策!K286+两日求解价格与决策!M286,两日求解价格与决策!K286))</f>
        <v>60</v>
      </c>
      <c r="G684" s="12">
        <f t="shared" si="71"/>
        <v>0</v>
      </c>
      <c r="H684" s="12">
        <f t="shared" si="72"/>
        <v>60</v>
      </c>
      <c r="I684" s="12">
        <f t="shared" si="77"/>
        <v>72.632795031055849</v>
      </c>
      <c r="J684" s="12">
        <f>I684+E684*(G684*原始输入与口径!$B$5-H684/原始输入与口径!$B$5)</f>
        <v>68.47975155279498</v>
      </c>
      <c r="K684" s="12">
        <v>72.632795031055821</v>
      </c>
      <c r="L684" s="12">
        <v>68.479751552794951</v>
      </c>
      <c r="M684" s="19">
        <f t="shared" si="73"/>
        <v>0</v>
      </c>
      <c r="N684" s="12">
        <f>E684*(G684*原始输入与口径!$B$5+H684/原始输入与口径!$B$5)/原始输入与口径!$H$5</f>
        <v>1.153623188405797E-2</v>
      </c>
      <c r="O684" s="12">
        <v>1.153623188405797E-2</v>
      </c>
      <c r="P684" s="19">
        <f t="shared" si="74"/>
        <v>0</v>
      </c>
      <c r="Q684" s="12">
        <f t="shared" si="75"/>
        <v>0</v>
      </c>
      <c r="R684" s="12">
        <f t="shared" si="76"/>
        <v>3.8208000000000002</v>
      </c>
      <c r="S684" s="1">
        <v>278</v>
      </c>
      <c r="T684" s="14">
        <v>46236</v>
      </c>
    </row>
    <row r="685" spans="1:20" ht="21" customHeight="1" x14ac:dyDescent="0.45">
      <c r="A685" s="31">
        <v>46236.888070000001</v>
      </c>
      <c r="B685" s="31">
        <v>46236.895833333328</v>
      </c>
      <c r="C685" s="31">
        <v>46236.885416666664</v>
      </c>
      <c r="D685" s="1" t="s">
        <v>102</v>
      </c>
      <c r="E685" s="12">
        <v>0.18631999999999999</v>
      </c>
      <c r="F685" s="12">
        <f>IF(D685="d",两日求解价格与决策!K286-两日求解价格与决策!N286,IF(D685="u",两日求解价格与决策!K286+两日求解价格与决策!M286,两日求解价格与决策!K286))</f>
        <v>36</v>
      </c>
      <c r="G685" s="12">
        <f t="shared" si="71"/>
        <v>0</v>
      </c>
      <c r="H685" s="12">
        <f t="shared" si="72"/>
        <v>36</v>
      </c>
      <c r="I685" s="12">
        <f t="shared" si="77"/>
        <v>68.47975155279498</v>
      </c>
      <c r="J685" s="12">
        <f>I685+E685*(G685*原始输入与口径!$B$5-H685/原始输入与口径!$B$5)</f>
        <v>61.188968944099329</v>
      </c>
      <c r="K685" s="12">
        <v>68.479751552794951</v>
      </c>
      <c r="L685" s="12">
        <v>61.188968944099301</v>
      </c>
      <c r="M685" s="19">
        <f t="shared" si="73"/>
        <v>0</v>
      </c>
      <c r="N685" s="12">
        <f>E685*(G685*原始输入与口径!$B$5+H685/原始输入与口径!$B$5)/原始输入与口径!$H$5</f>
        <v>2.0252173913043476E-2</v>
      </c>
      <c r="O685" s="12">
        <v>2.0252173913043476E-2</v>
      </c>
      <c r="P685" s="19">
        <f t="shared" si="74"/>
        <v>0</v>
      </c>
      <c r="Q685" s="12">
        <f t="shared" si="75"/>
        <v>0</v>
      </c>
      <c r="R685" s="12">
        <f t="shared" si="76"/>
        <v>6.7075199999999997</v>
      </c>
      <c r="S685" s="1">
        <v>278</v>
      </c>
      <c r="T685" s="14">
        <v>46236</v>
      </c>
    </row>
    <row r="686" spans="1:20" ht="21" customHeight="1" x14ac:dyDescent="0.45">
      <c r="A686" s="31">
        <v>46236.895833333336</v>
      </c>
      <c r="B686" s="31">
        <v>46236.895834285715</v>
      </c>
      <c r="C686" s="31">
        <v>46236.895833333336</v>
      </c>
      <c r="D686" s="1" t="s">
        <v>103</v>
      </c>
      <c r="E686" s="12">
        <v>2.2857142857142858E-5</v>
      </c>
      <c r="F686" s="12">
        <f>IF(D686="d",两日求解价格与决策!K287-两日求解价格与决策!N287,IF(D686="u",两日求解价格与决策!K287+两日求解价格与决策!M287,两日求解价格与决策!K287))</f>
        <v>12</v>
      </c>
      <c r="G686" s="12">
        <f t="shared" si="71"/>
        <v>0</v>
      </c>
      <c r="H686" s="12">
        <f t="shared" si="72"/>
        <v>12</v>
      </c>
      <c r="I686" s="12">
        <f t="shared" si="77"/>
        <v>61.188968944099329</v>
      </c>
      <c r="J686" s="12">
        <f>I686+E686*(G686*原始输入与口径!$B$5-H686/原始输入与口径!$B$5)</f>
        <v>61.18867080745337</v>
      </c>
      <c r="K686" s="12">
        <v>61.188968944099301</v>
      </c>
      <c r="L686" s="12">
        <v>61.188670807453342</v>
      </c>
      <c r="M686" s="19">
        <f t="shared" si="73"/>
        <v>0</v>
      </c>
      <c r="N686" s="12">
        <f>E686*(G686*原始输入与口径!$B$5+H686/原始输入与口径!$B$5)/原始输入与口径!$H$5</f>
        <v>8.2815734989648034E-7</v>
      </c>
      <c r="O686" s="12">
        <v>8.2815734989648045E-7</v>
      </c>
      <c r="P686" s="19">
        <f t="shared" si="74"/>
        <v>0</v>
      </c>
      <c r="Q686" s="12">
        <f t="shared" si="75"/>
        <v>0</v>
      </c>
      <c r="R686" s="12">
        <f t="shared" si="76"/>
        <v>2.7428571428571432E-4</v>
      </c>
      <c r="S686" s="1">
        <v>279</v>
      </c>
      <c r="T686" s="14">
        <v>46236</v>
      </c>
    </row>
    <row r="687" spans="1:20" ht="21" customHeight="1" x14ac:dyDescent="0.45">
      <c r="A687" s="31">
        <v>46236.895834285715</v>
      </c>
      <c r="B687" s="31">
        <v>46236.896657619051</v>
      </c>
      <c r="C687" s="31">
        <v>46236.895833333336</v>
      </c>
      <c r="D687" s="1" t="s">
        <v>101</v>
      </c>
      <c r="E687" s="12">
        <v>1.976E-2</v>
      </c>
      <c r="F687" s="12">
        <f>IF(D687="d",两日求解价格与决策!K287-两日求解价格与决策!N287,IF(D687="u",两日求解价格与决策!K287+两日求解价格与决策!M287,两日求解价格与决策!K287))</f>
        <v>60</v>
      </c>
      <c r="G687" s="12">
        <f t="shared" si="71"/>
        <v>0</v>
      </c>
      <c r="H687" s="12">
        <f t="shared" si="72"/>
        <v>60</v>
      </c>
      <c r="I687" s="12">
        <f t="shared" si="77"/>
        <v>61.18867080745337</v>
      </c>
      <c r="J687" s="12">
        <f>I687+E687*(G687*原始输入与口径!$B$5-H687/原始输入与口径!$B$5)</f>
        <v>59.899975155279456</v>
      </c>
      <c r="K687" s="12">
        <v>61.188670807453342</v>
      </c>
      <c r="L687" s="12">
        <v>59.899975155279428</v>
      </c>
      <c r="M687" s="19">
        <f t="shared" si="73"/>
        <v>0</v>
      </c>
      <c r="N687" s="12">
        <f>E687*(G687*原始输入与口径!$B$5+H687/原始输入与口径!$B$5)/原始输入与口径!$H$5</f>
        <v>3.579710144927536E-3</v>
      </c>
      <c r="O687" s="12">
        <v>3.579710144927536E-3</v>
      </c>
      <c r="P687" s="19">
        <f t="shared" si="74"/>
        <v>0</v>
      </c>
      <c r="Q687" s="12">
        <f t="shared" si="75"/>
        <v>0</v>
      </c>
      <c r="R687" s="12">
        <f t="shared" si="76"/>
        <v>1.1856</v>
      </c>
      <c r="S687" s="1">
        <v>279</v>
      </c>
      <c r="T687" s="14">
        <v>46236</v>
      </c>
    </row>
    <row r="688" spans="1:20" ht="21" customHeight="1" x14ac:dyDescent="0.45">
      <c r="A688" s="31">
        <v>46236.896657619051</v>
      </c>
      <c r="B688" s="31">
        <v>46236.90625</v>
      </c>
      <c r="C688" s="31">
        <v>46236.895833333336</v>
      </c>
      <c r="D688" s="1" t="s">
        <v>102</v>
      </c>
      <c r="E688" s="12">
        <v>0.23021714285714287</v>
      </c>
      <c r="F688" s="12">
        <f>IF(D688="d",两日求解价格与决策!K287-两日求解价格与决策!N287,IF(D688="u",两日求解价格与决策!K287+两日求解价格与决策!M287,两日求解价格与决策!K287))</f>
        <v>36</v>
      </c>
      <c r="G688" s="12">
        <f t="shared" si="71"/>
        <v>0</v>
      </c>
      <c r="H688" s="12">
        <f t="shared" si="72"/>
        <v>36</v>
      </c>
      <c r="I688" s="12">
        <f t="shared" si="77"/>
        <v>59.899975155279456</v>
      </c>
      <c r="J688" s="12">
        <f>I688+E688*(G688*原始输入与口径!$B$5-H688/原始输入与口径!$B$5)</f>
        <v>50.891478260869519</v>
      </c>
      <c r="K688" s="12">
        <v>59.899975155279428</v>
      </c>
      <c r="L688" s="12">
        <v>50.891478260869491</v>
      </c>
      <c r="M688" s="19">
        <f t="shared" si="73"/>
        <v>0</v>
      </c>
      <c r="N688" s="12">
        <f>E688*(G688*原始输入与口径!$B$5+H688/原始输入与口径!$B$5)/原始输入与口径!$H$5</f>
        <v>2.5023602484472052E-2</v>
      </c>
      <c r="O688" s="12">
        <v>2.5023602484472048E-2</v>
      </c>
      <c r="P688" s="19">
        <f t="shared" si="74"/>
        <v>0</v>
      </c>
      <c r="Q688" s="12">
        <f t="shared" si="75"/>
        <v>0</v>
      </c>
      <c r="R688" s="12">
        <f t="shared" si="76"/>
        <v>8.2878171428571434</v>
      </c>
      <c r="S688" s="1">
        <v>279</v>
      </c>
      <c r="T688" s="14">
        <v>46236</v>
      </c>
    </row>
    <row r="689" spans="1:20" ht="21" customHeight="1" x14ac:dyDescent="0.45">
      <c r="A689" s="31">
        <v>46236.90625</v>
      </c>
      <c r="B689" s="31">
        <v>46236.906838571427</v>
      </c>
      <c r="C689" s="31">
        <v>46236.90625</v>
      </c>
      <c r="D689" s="1" t="s">
        <v>103</v>
      </c>
      <c r="E689" s="12">
        <v>1.4125714285714285E-2</v>
      </c>
      <c r="F689" s="12">
        <f>IF(D689="d",两日求解价格与决策!K288-两日求解价格与决策!N288,IF(D689="u",两日求解价格与决策!K288+两日求解价格与决策!M288,两日求解价格与决策!K288))</f>
        <v>-24</v>
      </c>
      <c r="G689" s="12">
        <f t="shared" si="71"/>
        <v>24</v>
      </c>
      <c r="H689" s="12">
        <f t="shared" si="72"/>
        <v>0</v>
      </c>
      <c r="I689" s="12">
        <f t="shared" si="77"/>
        <v>50.891478260869519</v>
      </c>
      <c r="J689" s="12">
        <f>I689+E689*(G689*原始输入与口径!$B$5-H689/原始输入与口径!$B$5)</f>
        <v>51.203374032298093</v>
      </c>
      <c r="K689" s="12">
        <v>50.891478260869491</v>
      </c>
      <c r="L689" s="12">
        <v>51.203374032298065</v>
      </c>
      <c r="M689" s="19">
        <f t="shared" si="73"/>
        <v>0</v>
      </c>
      <c r="N689" s="12">
        <f>E689*(G689*原始输入与口径!$B$5+H689/原始输入与口径!$B$5)/原始输入与口径!$H$5</f>
        <v>8.6637714285714288E-4</v>
      </c>
      <c r="O689" s="12">
        <v>8.6637714285714288E-4</v>
      </c>
      <c r="P689" s="19">
        <f t="shared" si="74"/>
        <v>0</v>
      </c>
      <c r="Q689" s="12">
        <f t="shared" si="75"/>
        <v>0.33901714285714285</v>
      </c>
      <c r="R689" s="12">
        <f t="shared" si="76"/>
        <v>0</v>
      </c>
      <c r="S689" s="1">
        <v>280</v>
      </c>
      <c r="T689" s="14">
        <v>46236</v>
      </c>
    </row>
    <row r="690" spans="1:20" ht="21" customHeight="1" x14ac:dyDescent="0.45">
      <c r="A690" s="31">
        <v>46236.906838571427</v>
      </c>
      <c r="B690" s="31">
        <v>46236.906959523811</v>
      </c>
      <c r="C690" s="31">
        <v>46236.90625</v>
      </c>
      <c r="D690" s="1" t="s">
        <v>101</v>
      </c>
      <c r="E690" s="12">
        <v>2.9028571428571428E-3</v>
      </c>
      <c r="F690" s="12">
        <f>IF(D690="d",两日求解价格与决策!K288-两日求解价格与决策!N288,IF(D690="u",两日求解价格与决策!K288+两日求解价格与决策!M288,两日求解价格与决策!K288))</f>
        <v>24</v>
      </c>
      <c r="G690" s="12">
        <f t="shared" si="71"/>
        <v>0</v>
      </c>
      <c r="H690" s="12">
        <f t="shared" si="72"/>
        <v>24</v>
      </c>
      <c r="I690" s="12">
        <f t="shared" si="77"/>
        <v>51.203374032298093</v>
      </c>
      <c r="J690" s="12">
        <f>I690+E690*(G690*原始输入与口径!$B$5-H690/原始输入与口径!$B$5)</f>
        <v>51.12764732422356</v>
      </c>
      <c r="K690" s="12">
        <v>51.203374032298065</v>
      </c>
      <c r="L690" s="12">
        <v>51.127647324223531</v>
      </c>
      <c r="M690" s="19">
        <f t="shared" si="73"/>
        <v>0</v>
      </c>
      <c r="N690" s="12">
        <f>E690*(G690*原始输入与口径!$B$5+H690/原始输入与口径!$B$5)/原始输入与口径!$H$5</f>
        <v>2.10351966873706E-4</v>
      </c>
      <c r="O690" s="12">
        <v>2.10351966873706E-4</v>
      </c>
      <c r="P690" s="19">
        <f t="shared" si="74"/>
        <v>0</v>
      </c>
      <c r="Q690" s="12">
        <f t="shared" si="75"/>
        <v>0</v>
      </c>
      <c r="R690" s="12">
        <f t="shared" si="76"/>
        <v>6.9668571428571427E-2</v>
      </c>
      <c r="S690" s="1">
        <v>280</v>
      </c>
      <c r="T690" s="14">
        <v>46236</v>
      </c>
    </row>
    <row r="691" spans="1:20" ht="21" customHeight="1" x14ac:dyDescent="0.45">
      <c r="A691" s="31">
        <v>46236.906959523811</v>
      </c>
      <c r="B691" s="31">
        <v>46236.916666666664</v>
      </c>
      <c r="C691" s="31">
        <v>46236.90625</v>
      </c>
      <c r="D691" s="1" t="s">
        <v>102</v>
      </c>
      <c r="E691" s="12">
        <v>0.23297142857142855</v>
      </c>
      <c r="F691" s="12">
        <f>IF(D691="d",两日求解价格与决策!K288-两日求解价格与决策!N288,IF(D691="u",两日求解价格与决策!K288+两日求解价格与决策!M288,两日求解价格与决策!K288))</f>
        <v>0</v>
      </c>
      <c r="G691" s="12">
        <f t="shared" si="71"/>
        <v>0</v>
      </c>
      <c r="H691" s="12">
        <f t="shared" si="72"/>
        <v>0</v>
      </c>
      <c r="I691" s="12">
        <f t="shared" si="77"/>
        <v>51.12764732422356</v>
      </c>
      <c r="J691" s="12">
        <f>I691+E691*(G691*原始输入与口径!$B$5-H691/原始输入与口径!$B$5)</f>
        <v>51.12764732422356</v>
      </c>
      <c r="K691" s="12">
        <v>51.127647324223531</v>
      </c>
      <c r="L691" s="12">
        <v>51.127647324223531</v>
      </c>
      <c r="M691" s="19">
        <f t="shared" si="73"/>
        <v>0</v>
      </c>
      <c r="N691" s="12">
        <f>E691*(G691*原始输入与口径!$B$5+H691/原始输入与口径!$B$5)/原始输入与口径!$H$5</f>
        <v>0</v>
      </c>
      <c r="O691" s="12">
        <v>0</v>
      </c>
      <c r="P691" s="19">
        <f t="shared" si="74"/>
        <v>0</v>
      </c>
      <c r="Q691" s="12">
        <f t="shared" si="75"/>
        <v>0</v>
      </c>
      <c r="R691" s="12">
        <f t="shared" si="76"/>
        <v>0</v>
      </c>
      <c r="S691" s="1">
        <v>280</v>
      </c>
      <c r="T691" s="14">
        <v>46236</v>
      </c>
    </row>
    <row r="692" spans="1:20" ht="21" customHeight="1" x14ac:dyDescent="0.45">
      <c r="A692" s="31">
        <v>46236.916666666664</v>
      </c>
      <c r="B692" s="31">
        <v>46236.917069523806</v>
      </c>
      <c r="C692" s="31">
        <v>46236.916666666664</v>
      </c>
      <c r="D692" s="1" t="s">
        <v>103</v>
      </c>
      <c r="E692" s="12">
        <v>9.6685714285714274E-3</v>
      </c>
      <c r="F692" s="12">
        <f>IF(D692="d",两日求解价格与决策!K289-两日求解价格与决策!N289,IF(D692="u",两日求解价格与决策!K289+两日求解价格与决策!M289,两日求解价格与决策!K289))</f>
        <v>-24</v>
      </c>
      <c r="G692" s="12">
        <f t="shared" si="71"/>
        <v>24</v>
      </c>
      <c r="H692" s="12">
        <f t="shared" si="72"/>
        <v>0</v>
      </c>
      <c r="I692" s="12">
        <f t="shared" si="77"/>
        <v>51.12764732422356</v>
      </c>
      <c r="J692" s="12">
        <f>I692+E692*(G692*原始输入与口径!$B$5-H692/原始输入与口径!$B$5)</f>
        <v>51.341129381366414</v>
      </c>
      <c r="K692" s="12">
        <v>51.127647324223531</v>
      </c>
      <c r="L692" s="12">
        <v>51.341129381366386</v>
      </c>
      <c r="M692" s="19">
        <f t="shared" si="73"/>
        <v>0</v>
      </c>
      <c r="N692" s="12">
        <f>E692*(G692*原始输入与口径!$B$5+H692/原始输入与口径!$B$5)/原始输入与口径!$H$5</f>
        <v>5.9300571428571431E-4</v>
      </c>
      <c r="O692" s="12">
        <v>5.930057142857142E-4</v>
      </c>
      <c r="P692" s="19">
        <f t="shared" si="74"/>
        <v>0</v>
      </c>
      <c r="Q692" s="12">
        <f t="shared" si="75"/>
        <v>0.23204571428571424</v>
      </c>
      <c r="R692" s="12">
        <f t="shared" si="76"/>
        <v>0</v>
      </c>
      <c r="S692" s="1">
        <v>281</v>
      </c>
      <c r="T692" s="14">
        <v>46236</v>
      </c>
    </row>
    <row r="693" spans="1:20" ht="21" customHeight="1" x14ac:dyDescent="0.45">
      <c r="A693" s="31">
        <v>46236.917069523806</v>
      </c>
      <c r="B693" s="31">
        <v>46236.917120476188</v>
      </c>
      <c r="C693" s="31">
        <v>46236.916666666664</v>
      </c>
      <c r="D693" s="1" t="s">
        <v>101</v>
      </c>
      <c r="E693" s="12">
        <v>1.2228571428571429E-3</v>
      </c>
      <c r="F693" s="12">
        <f>IF(D693="d",两日求解价格与决策!K289-两日求解价格与决策!N289,IF(D693="u",两日求解价格与决策!K289+两日求解价格与决策!M289,两日求解价格与决策!K289))</f>
        <v>24</v>
      </c>
      <c r="G693" s="12">
        <f t="shared" si="71"/>
        <v>0</v>
      </c>
      <c r="H693" s="12">
        <f t="shared" si="72"/>
        <v>24</v>
      </c>
      <c r="I693" s="12">
        <f t="shared" si="77"/>
        <v>51.341129381366414</v>
      </c>
      <c r="J693" s="12">
        <f>I693+E693*(G693*原始输入与口径!$B$5-H693/原始输入与口径!$B$5)</f>
        <v>51.309228760248402</v>
      </c>
      <c r="K693" s="12">
        <v>51.341129381366386</v>
      </c>
      <c r="L693" s="12">
        <v>51.309228760248374</v>
      </c>
      <c r="M693" s="19">
        <f t="shared" si="73"/>
        <v>0</v>
      </c>
      <c r="N693" s="12">
        <f>E693*(G693*原始输入与口径!$B$5+H693/原始输入与口径!$B$5)/原始输入与口径!$H$5</f>
        <v>8.8612836438923398E-5</v>
      </c>
      <c r="O693" s="12">
        <v>8.8612836438923398E-5</v>
      </c>
      <c r="P693" s="19">
        <f t="shared" si="74"/>
        <v>0</v>
      </c>
      <c r="Q693" s="12">
        <f t="shared" si="75"/>
        <v>0</v>
      </c>
      <c r="R693" s="12">
        <f t="shared" si="76"/>
        <v>2.9348571428571432E-2</v>
      </c>
      <c r="S693" s="1">
        <v>281</v>
      </c>
      <c r="T693" s="14">
        <v>46236</v>
      </c>
    </row>
    <row r="694" spans="1:20" ht="21" customHeight="1" x14ac:dyDescent="0.45">
      <c r="A694" s="31">
        <v>46236.917120476188</v>
      </c>
      <c r="B694" s="31">
        <v>46236.927083333328</v>
      </c>
      <c r="C694" s="31">
        <v>46236.916666666664</v>
      </c>
      <c r="D694" s="1" t="s">
        <v>102</v>
      </c>
      <c r="E694" s="12">
        <v>0.23910857142857145</v>
      </c>
      <c r="F694" s="12">
        <f>IF(D694="d",两日求解价格与决策!K289-两日求解价格与决策!N289,IF(D694="u",两日求解价格与决策!K289+两日求解价格与决策!M289,两日求解价格与决策!K289))</f>
        <v>0</v>
      </c>
      <c r="G694" s="12">
        <f t="shared" si="71"/>
        <v>0</v>
      </c>
      <c r="H694" s="12">
        <f t="shared" si="72"/>
        <v>0</v>
      </c>
      <c r="I694" s="12">
        <f t="shared" si="77"/>
        <v>51.309228760248402</v>
      </c>
      <c r="J694" s="12">
        <f>I694+E694*(G694*原始输入与口径!$B$5-H694/原始输入与口径!$B$5)</f>
        <v>51.309228760248402</v>
      </c>
      <c r="K694" s="12">
        <v>51.309228760248374</v>
      </c>
      <c r="L694" s="12">
        <v>51.309228760248374</v>
      </c>
      <c r="M694" s="19">
        <f t="shared" si="73"/>
        <v>0</v>
      </c>
      <c r="N694" s="12">
        <f>E694*(G694*原始输入与口径!$B$5+H694/原始输入与口径!$B$5)/原始输入与口径!$H$5</f>
        <v>0</v>
      </c>
      <c r="O694" s="12">
        <v>0</v>
      </c>
      <c r="P694" s="19">
        <f t="shared" si="74"/>
        <v>0</v>
      </c>
      <c r="Q694" s="12">
        <f t="shared" si="75"/>
        <v>0</v>
      </c>
      <c r="R694" s="12">
        <f t="shared" si="76"/>
        <v>0</v>
      </c>
      <c r="S694" s="1">
        <v>281</v>
      </c>
      <c r="T694" s="14">
        <v>46236</v>
      </c>
    </row>
    <row r="695" spans="1:20" ht="21" customHeight="1" x14ac:dyDescent="0.45">
      <c r="A695" s="31">
        <v>46236.927083333336</v>
      </c>
      <c r="B695" s="31">
        <v>46236.927871428576</v>
      </c>
      <c r="C695" s="31">
        <v>46236.927083333336</v>
      </c>
      <c r="D695" s="1" t="s">
        <v>103</v>
      </c>
      <c r="E695" s="12">
        <v>1.8914285714285713E-2</v>
      </c>
      <c r="F695" s="12">
        <f>IF(D695="d",两日求解价格与决策!K290-两日求解价格与决策!N290,IF(D695="u",两日求解价格与决策!K290+两日求解价格与决策!M290,两日求解价格与决策!K290))</f>
        <v>-24</v>
      </c>
      <c r="G695" s="12">
        <f t="shared" si="71"/>
        <v>24</v>
      </c>
      <c r="H695" s="12">
        <f t="shared" si="72"/>
        <v>0</v>
      </c>
      <c r="I695" s="12">
        <f t="shared" si="77"/>
        <v>51.309228760248402</v>
      </c>
      <c r="J695" s="12">
        <f>I695+E695*(G695*原始输入与口径!$B$5-H695/原始输入与口径!$B$5)</f>
        <v>51.726856188819831</v>
      </c>
      <c r="K695" s="12">
        <v>51.309228760248374</v>
      </c>
      <c r="L695" s="12">
        <v>51.726856188819802</v>
      </c>
      <c r="M695" s="19">
        <f t="shared" si="73"/>
        <v>0</v>
      </c>
      <c r="N695" s="12">
        <f>E695*(G695*原始输入与口径!$B$5+H695/原始输入与口径!$B$5)/原始输入与口径!$H$5</f>
        <v>1.1600761904761905E-3</v>
      </c>
      <c r="O695" s="12">
        <v>1.1600761904761903E-3</v>
      </c>
      <c r="P695" s="19">
        <f t="shared" si="74"/>
        <v>0</v>
      </c>
      <c r="Q695" s="12">
        <f t="shared" si="75"/>
        <v>0.45394285714285709</v>
      </c>
      <c r="R695" s="12">
        <f t="shared" si="76"/>
        <v>0</v>
      </c>
      <c r="S695" s="1">
        <v>282</v>
      </c>
      <c r="T695" s="14">
        <v>46236</v>
      </c>
    </row>
    <row r="696" spans="1:20" ht="21" customHeight="1" x14ac:dyDescent="0.45">
      <c r="A696" s="31">
        <v>46236.927871428576</v>
      </c>
      <c r="B696" s="31">
        <v>46236.927877380956</v>
      </c>
      <c r="C696" s="31">
        <v>46236.927083333336</v>
      </c>
      <c r="D696" s="1" t="s">
        <v>101</v>
      </c>
      <c r="E696" s="12">
        <v>1.4285714285714287E-4</v>
      </c>
      <c r="F696" s="12">
        <f>IF(D696="d",两日求解价格与决策!K290-两日求解价格与决策!N290,IF(D696="u",两日求解价格与决策!K290+两日求解价格与决策!M290,两日求解价格与决策!K290))</f>
        <v>24</v>
      </c>
      <c r="G696" s="12">
        <f t="shared" si="71"/>
        <v>0</v>
      </c>
      <c r="H696" s="12">
        <f t="shared" si="72"/>
        <v>24</v>
      </c>
      <c r="I696" s="12">
        <f t="shared" si="77"/>
        <v>51.726856188819831</v>
      </c>
      <c r="J696" s="12">
        <f>I696+E696*(G696*原始输入与口径!$B$5-H696/原始输入与口径!$B$5)</f>
        <v>51.7231294807453</v>
      </c>
      <c r="K696" s="12">
        <v>51.726856188819802</v>
      </c>
      <c r="L696" s="12">
        <v>51.723129480745271</v>
      </c>
      <c r="M696" s="19">
        <f t="shared" si="73"/>
        <v>0</v>
      </c>
      <c r="N696" s="12">
        <f>E696*(G696*原始输入与口径!$B$5+H696/原始输入与口径!$B$5)/原始输入与口径!$H$5</f>
        <v>1.0351966873706003E-5</v>
      </c>
      <c r="O696" s="12">
        <v>1.0351966873706003E-5</v>
      </c>
      <c r="P696" s="19">
        <f t="shared" si="74"/>
        <v>0</v>
      </c>
      <c r="Q696" s="12">
        <f t="shared" si="75"/>
        <v>0</v>
      </c>
      <c r="R696" s="12">
        <f t="shared" si="76"/>
        <v>3.4285714285714288E-3</v>
      </c>
      <c r="S696" s="1">
        <v>282</v>
      </c>
      <c r="T696" s="14">
        <v>46236</v>
      </c>
    </row>
    <row r="697" spans="1:20" ht="21" customHeight="1" x14ac:dyDescent="0.45">
      <c r="A697" s="31">
        <v>46236.927877380956</v>
      </c>
      <c r="B697" s="31">
        <v>46236.9375</v>
      </c>
      <c r="C697" s="31">
        <v>46236.927083333336</v>
      </c>
      <c r="D697" s="1" t="s">
        <v>102</v>
      </c>
      <c r="E697" s="12">
        <v>0.23094285714285714</v>
      </c>
      <c r="F697" s="12">
        <f>IF(D697="d",两日求解价格与决策!K290-两日求解价格与决策!N290,IF(D697="u",两日求解价格与决策!K290+两日求解价格与决策!M290,两日求解价格与决策!K290))</f>
        <v>0</v>
      </c>
      <c r="G697" s="12">
        <f t="shared" si="71"/>
        <v>0</v>
      </c>
      <c r="H697" s="12">
        <f t="shared" si="72"/>
        <v>0</v>
      </c>
      <c r="I697" s="12">
        <f t="shared" si="77"/>
        <v>51.7231294807453</v>
      </c>
      <c r="J697" s="12">
        <f>I697+E697*(G697*原始输入与口径!$B$5-H697/原始输入与口径!$B$5)</f>
        <v>51.7231294807453</v>
      </c>
      <c r="K697" s="12">
        <v>51.723129480745271</v>
      </c>
      <c r="L697" s="12">
        <v>51.723129480745271</v>
      </c>
      <c r="M697" s="19">
        <f t="shared" si="73"/>
        <v>0</v>
      </c>
      <c r="N697" s="12">
        <f>E697*(G697*原始输入与口径!$B$5+H697/原始输入与口径!$B$5)/原始输入与口径!$H$5</f>
        <v>0</v>
      </c>
      <c r="O697" s="12">
        <v>0</v>
      </c>
      <c r="P697" s="19">
        <f t="shared" si="74"/>
        <v>0</v>
      </c>
      <c r="Q697" s="12">
        <f t="shared" si="75"/>
        <v>0</v>
      </c>
      <c r="R697" s="12">
        <f t="shared" si="76"/>
        <v>0</v>
      </c>
      <c r="S697" s="1">
        <v>282</v>
      </c>
      <c r="T697" s="14">
        <v>46236</v>
      </c>
    </row>
    <row r="698" spans="1:20" ht="21" customHeight="1" x14ac:dyDescent="0.45">
      <c r="A698" s="31">
        <v>46236.9375</v>
      </c>
      <c r="B698" s="31">
        <v>46236.937645714286</v>
      </c>
      <c r="C698" s="31">
        <v>46236.9375</v>
      </c>
      <c r="D698" s="1" t="s">
        <v>103</v>
      </c>
      <c r="E698" s="12">
        <v>3.4971428571428571E-3</v>
      </c>
      <c r="F698" s="12">
        <f>IF(D698="d",两日求解价格与决策!K291-两日求解价格与决策!N291,IF(D698="u",两日求解价格与决策!K291+两日求解价格与决策!M291,两日求解价格与决策!K291))</f>
        <v>-24</v>
      </c>
      <c r="G698" s="12">
        <f t="shared" si="71"/>
        <v>24</v>
      </c>
      <c r="H698" s="12">
        <f t="shared" si="72"/>
        <v>0</v>
      </c>
      <c r="I698" s="12">
        <f t="shared" si="77"/>
        <v>51.7231294807453</v>
      </c>
      <c r="J698" s="12">
        <f>I698+E698*(G698*原始输入与口径!$B$5-H698/原始输入与口径!$B$5)</f>
        <v>51.800346395031013</v>
      </c>
      <c r="K698" s="12">
        <v>51.723129480745271</v>
      </c>
      <c r="L698" s="12">
        <v>51.800346395030985</v>
      </c>
      <c r="M698" s="19">
        <f t="shared" si="73"/>
        <v>0</v>
      </c>
      <c r="N698" s="12">
        <f>E698*(G698*原始输入与口径!$B$5+H698/原始输入与口径!$B$5)/原始输入与口径!$H$5</f>
        <v>2.1449142857142859E-4</v>
      </c>
      <c r="O698" s="12">
        <v>2.1449142857142859E-4</v>
      </c>
      <c r="P698" s="19">
        <f t="shared" si="74"/>
        <v>0</v>
      </c>
      <c r="Q698" s="12">
        <f t="shared" si="75"/>
        <v>8.3931428571428573E-2</v>
      </c>
      <c r="R698" s="12">
        <f t="shared" si="76"/>
        <v>0</v>
      </c>
      <c r="S698" s="1">
        <v>283</v>
      </c>
      <c r="T698" s="14">
        <v>46236</v>
      </c>
    </row>
    <row r="699" spans="1:20" ht="21" customHeight="1" x14ac:dyDescent="0.45">
      <c r="A699" s="31">
        <v>46236.937645714286</v>
      </c>
      <c r="B699" s="31">
        <v>46236.937912380956</v>
      </c>
      <c r="C699" s="31">
        <v>46236.9375</v>
      </c>
      <c r="D699" s="1" t="s">
        <v>101</v>
      </c>
      <c r="E699" s="12">
        <v>6.4000000000000003E-3</v>
      </c>
      <c r="F699" s="12">
        <f>IF(D699="d",两日求解价格与决策!K291-两日求解价格与决策!N291,IF(D699="u",两日求解价格与决策!K291+两日求解价格与决策!M291,两日求解价格与决策!K291))</f>
        <v>24</v>
      </c>
      <c r="G699" s="12">
        <f t="shared" si="71"/>
        <v>0</v>
      </c>
      <c r="H699" s="12">
        <f t="shared" si="72"/>
        <v>24</v>
      </c>
      <c r="I699" s="12">
        <f t="shared" si="77"/>
        <v>51.800346395031013</v>
      </c>
      <c r="J699" s="12">
        <f>I699+E699*(G699*原始输入与口径!$B$5-H699/原始输入与口径!$B$5)</f>
        <v>51.633389873291883</v>
      </c>
      <c r="K699" s="12">
        <v>51.800346395030985</v>
      </c>
      <c r="L699" s="12">
        <v>51.633389873291854</v>
      </c>
      <c r="M699" s="19">
        <f t="shared" si="73"/>
        <v>0</v>
      </c>
      <c r="N699" s="12">
        <f>E699*(G699*原始输入与口径!$B$5+H699/原始输入与口径!$B$5)/原始输入与口径!$H$5</f>
        <v>4.6376811594202896E-4</v>
      </c>
      <c r="O699" s="12">
        <v>4.6376811594202902E-4</v>
      </c>
      <c r="P699" s="19">
        <f t="shared" si="74"/>
        <v>0</v>
      </c>
      <c r="Q699" s="12">
        <f t="shared" si="75"/>
        <v>0</v>
      </c>
      <c r="R699" s="12">
        <f t="shared" si="76"/>
        <v>0.15360000000000001</v>
      </c>
      <c r="S699" s="1">
        <v>283</v>
      </c>
      <c r="T699" s="14">
        <v>46236</v>
      </c>
    </row>
    <row r="700" spans="1:20" ht="21" customHeight="1" x14ac:dyDescent="0.45">
      <c r="A700" s="31">
        <v>46236.937912380956</v>
      </c>
      <c r="B700" s="31">
        <v>46236.947916666664</v>
      </c>
      <c r="C700" s="31">
        <v>46236.9375</v>
      </c>
      <c r="D700" s="1" t="s">
        <v>102</v>
      </c>
      <c r="E700" s="12">
        <v>0.24010285714285715</v>
      </c>
      <c r="F700" s="12">
        <f>IF(D700="d",两日求解价格与决策!K291-两日求解价格与决策!N291,IF(D700="u",两日求解价格与决策!K291+两日求解价格与决策!M291,两日求解价格与决策!K291))</f>
        <v>0</v>
      </c>
      <c r="G700" s="12">
        <f t="shared" si="71"/>
        <v>0</v>
      </c>
      <c r="H700" s="12">
        <f t="shared" si="72"/>
        <v>0</v>
      </c>
      <c r="I700" s="12">
        <f t="shared" si="77"/>
        <v>51.633389873291883</v>
      </c>
      <c r="J700" s="12">
        <f>I700+E700*(G700*原始输入与口径!$B$5-H700/原始输入与口径!$B$5)</f>
        <v>51.633389873291883</v>
      </c>
      <c r="K700" s="12">
        <v>51.633389873291854</v>
      </c>
      <c r="L700" s="12">
        <v>51.633389873291854</v>
      </c>
      <c r="M700" s="19">
        <f t="shared" si="73"/>
        <v>0</v>
      </c>
      <c r="N700" s="12">
        <f>E700*(G700*原始输入与口径!$B$5+H700/原始输入与口径!$B$5)/原始输入与口径!$H$5</f>
        <v>0</v>
      </c>
      <c r="O700" s="12">
        <v>0</v>
      </c>
      <c r="P700" s="19">
        <f t="shared" si="74"/>
        <v>0</v>
      </c>
      <c r="Q700" s="12">
        <f t="shared" si="75"/>
        <v>0</v>
      </c>
      <c r="R700" s="12">
        <f t="shared" si="76"/>
        <v>0</v>
      </c>
      <c r="S700" s="1">
        <v>283</v>
      </c>
      <c r="T700" s="14">
        <v>46236</v>
      </c>
    </row>
    <row r="701" spans="1:20" ht="21" customHeight="1" x14ac:dyDescent="0.45">
      <c r="A701" s="31">
        <v>46236.947916666664</v>
      </c>
      <c r="B701" s="31">
        <v>46236.94805547619</v>
      </c>
      <c r="C701" s="31">
        <v>46236.947916666664</v>
      </c>
      <c r="D701" s="1" t="s">
        <v>103</v>
      </c>
      <c r="E701" s="12">
        <v>3.3314285714285711E-3</v>
      </c>
      <c r="F701" s="12">
        <f>IF(D701="d",两日求解价格与决策!K292-两日求解价格与决策!N292,IF(D701="u",两日求解价格与决策!K292+两日求解价格与决策!M292,两日求解价格与决策!K292))</f>
        <v>-11.70613720089084</v>
      </c>
      <c r="G701" s="12">
        <f t="shared" si="71"/>
        <v>11.70613720089084</v>
      </c>
      <c r="H701" s="12">
        <f t="shared" si="72"/>
        <v>0</v>
      </c>
      <c r="I701" s="12">
        <f t="shared" si="77"/>
        <v>51.633389873291883</v>
      </c>
      <c r="J701" s="12">
        <f>I701+E701*(G701*原始输入与口径!$B$5-H701/原始输入与口径!$B$5)</f>
        <v>51.669268180429427</v>
      </c>
      <c r="K701" s="12">
        <v>51.633389873291854</v>
      </c>
      <c r="L701" s="12">
        <v>51.669268180429398</v>
      </c>
      <c r="M701" s="19">
        <f t="shared" si="73"/>
        <v>0</v>
      </c>
      <c r="N701" s="12">
        <f>E701*(G701*原始输入与口径!$B$5+H701/原始输入与口径!$B$5)/原始输入与口径!$H$5</f>
        <v>9.9661964270949377E-5</v>
      </c>
      <c r="O701" s="12">
        <v>9.9661964270949377E-5</v>
      </c>
      <c r="P701" s="19">
        <f t="shared" si="74"/>
        <v>0</v>
      </c>
      <c r="Q701" s="12">
        <f t="shared" si="75"/>
        <v>3.8998159932110622E-2</v>
      </c>
      <c r="R701" s="12">
        <f t="shared" si="76"/>
        <v>0</v>
      </c>
      <c r="S701" s="1">
        <v>284</v>
      </c>
      <c r="T701" s="14">
        <v>46236</v>
      </c>
    </row>
    <row r="702" spans="1:20" ht="21" customHeight="1" x14ac:dyDescent="0.45">
      <c r="A702" s="31">
        <v>46236.94805547619</v>
      </c>
      <c r="B702" s="31">
        <v>46236.95008238095</v>
      </c>
      <c r="C702" s="31">
        <v>46236.947916666664</v>
      </c>
      <c r="D702" s="1" t="s">
        <v>101</v>
      </c>
      <c r="E702" s="12">
        <v>4.8645714285714285E-2</v>
      </c>
      <c r="F702" s="12">
        <f>IF(D702="d",两日求解价格与决策!K292-两日求解价格与决策!N292,IF(D702="u",两日求解价格与决策!K292+两日求解价格与决策!M292,两日求解价格与决策!K292))</f>
        <v>36.293862799109164</v>
      </c>
      <c r="G702" s="12">
        <f t="shared" si="71"/>
        <v>0</v>
      </c>
      <c r="H702" s="12">
        <f t="shared" si="72"/>
        <v>36.293862799109164</v>
      </c>
      <c r="I702" s="12">
        <f t="shared" si="77"/>
        <v>51.669268180429427</v>
      </c>
      <c r="J702" s="12">
        <f>I702+E702*(G702*原始输入与口径!$B$5-H702/原始输入与口径!$B$5)</f>
        <v>49.75020200646162</v>
      </c>
      <c r="K702" s="12">
        <v>51.669268180429398</v>
      </c>
      <c r="L702" s="12">
        <v>49.750202006461592</v>
      </c>
      <c r="M702" s="19">
        <f t="shared" si="73"/>
        <v>0</v>
      </c>
      <c r="N702" s="12">
        <f>E702*(G702*原始输入与口径!$B$5+H702/原始输入与口径!$B$5)/原始输入与口径!$H$5</f>
        <v>5.3307393721327865E-3</v>
      </c>
      <c r="O702" s="12">
        <v>5.3307393721327857E-3</v>
      </c>
      <c r="P702" s="19">
        <f t="shared" si="74"/>
        <v>0</v>
      </c>
      <c r="Q702" s="12">
        <f t="shared" si="75"/>
        <v>0</v>
      </c>
      <c r="R702" s="12">
        <f t="shared" si="76"/>
        <v>1.7655408800503789</v>
      </c>
      <c r="S702" s="1">
        <v>284</v>
      </c>
      <c r="T702" s="14">
        <v>46236</v>
      </c>
    </row>
    <row r="703" spans="1:20" ht="21" customHeight="1" x14ac:dyDescent="0.45">
      <c r="A703" s="31">
        <v>46236.95008238095</v>
      </c>
      <c r="B703" s="31">
        <v>46236.958333333328</v>
      </c>
      <c r="C703" s="31">
        <v>46236.947916666664</v>
      </c>
      <c r="D703" s="1" t="s">
        <v>102</v>
      </c>
      <c r="E703" s="12">
        <v>0.19802285714285714</v>
      </c>
      <c r="F703" s="12">
        <f>IF(D703="d",两日求解价格与决策!K292-两日求解价格与决策!N292,IF(D703="u",两日求解价格与决策!K292+两日求解价格与决策!M292,两日求解价格与决策!K292))</f>
        <v>12.29386279910916</v>
      </c>
      <c r="G703" s="12">
        <f t="shared" si="71"/>
        <v>0</v>
      </c>
      <c r="H703" s="12">
        <f t="shared" si="72"/>
        <v>12.29386279910916</v>
      </c>
      <c r="I703" s="12">
        <f t="shared" si="77"/>
        <v>49.75020200646162</v>
      </c>
      <c r="J703" s="12">
        <f>I703+E703*(G703*原始输入与口径!$B$5-H703/原始输入与口径!$B$5)</f>
        <v>47.104043488198705</v>
      </c>
      <c r="K703" s="12">
        <v>49.750202006461592</v>
      </c>
      <c r="L703" s="12">
        <v>47.104043488198684</v>
      </c>
      <c r="M703" s="19">
        <f t="shared" si="73"/>
        <v>0</v>
      </c>
      <c r="N703" s="12">
        <f>E703*(G703*原始输入与口径!$B$5+H703/原始输入与口径!$B$5)/原始输入与口径!$H$5</f>
        <v>7.3504403285080885E-3</v>
      </c>
      <c r="O703" s="12">
        <v>7.3504403285080877E-3</v>
      </c>
      <c r="P703" s="19">
        <f t="shared" si="74"/>
        <v>0</v>
      </c>
      <c r="Q703" s="12">
        <f t="shared" si="75"/>
        <v>0</v>
      </c>
      <c r="R703" s="12">
        <f t="shared" si="76"/>
        <v>2.4344658368018788</v>
      </c>
      <c r="S703" s="1">
        <v>284</v>
      </c>
      <c r="T703" s="14">
        <v>46236</v>
      </c>
    </row>
    <row r="704" spans="1:20" ht="21" customHeight="1" x14ac:dyDescent="0.45">
      <c r="A704" s="31">
        <v>46236.958333333336</v>
      </c>
      <c r="B704" s="31">
        <v>46236.95836357143</v>
      </c>
      <c r="C704" s="31">
        <v>46236.958333333336</v>
      </c>
      <c r="D704" s="1" t="s">
        <v>103</v>
      </c>
      <c r="E704" s="12">
        <v>7.257142857142857E-4</v>
      </c>
      <c r="F704" s="12">
        <f>IF(D704="d",两日求解价格与决策!K293-两日求解价格与决策!N293,IF(D704="u",两日求解价格与决策!K293+两日求解价格与决策!M293,两日求解价格与决策!K293))</f>
        <v>-24</v>
      </c>
      <c r="G704" s="12">
        <f t="shared" si="71"/>
        <v>24</v>
      </c>
      <c r="H704" s="12">
        <f t="shared" si="72"/>
        <v>0</v>
      </c>
      <c r="I704" s="12">
        <f t="shared" si="77"/>
        <v>47.104043488198705</v>
      </c>
      <c r="J704" s="12">
        <f>I704+E704*(G704*原始输入与口径!$B$5-H704/原始输入与口径!$B$5)</f>
        <v>47.120067259627277</v>
      </c>
      <c r="K704" s="12">
        <v>47.104043488198684</v>
      </c>
      <c r="L704" s="12">
        <v>47.120067259627255</v>
      </c>
      <c r="M704" s="19">
        <f t="shared" si="73"/>
        <v>0</v>
      </c>
      <c r="N704" s="12">
        <f>E704*(G704*原始输入与口径!$B$5+H704/原始输入与口径!$B$5)/原始输入与口径!$H$5</f>
        <v>4.4510476190476196E-5</v>
      </c>
      <c r="O704" s="12">
        <v>4.451047619047619E-5</v>
      </c>
      <c r="P704" s="19">
        <f t="shared" si="74"/>
        <v>0</v>
      </c>
      <c r="Q704" s="12">
        <f t="shared" si="75"/>
        <v>1.7417142857142857E-2</v>
      </c>
      <c r="R704" s="12">
        <f t="shared" si="76"/>
        <v>0</v>
      </c>
      <c r="S704" s="1">
        <v>285</v>
      </c>
      <c r="T704" s="14">
        <v>46236</v>
      </c>
    </row>
    <row r="705" spans="1:20" ht="21" customHeight="1" x14ac:dyDescent="0.45">
      <c r="A705" s="31">
        <v>46236.95836357143</v>
      </c>
      <c r="B705" s="31">
        <v>46236.961122142857</v>
      </c>
      <c r="C705" s="31">
        <v>46236.958333333336</v>
      </c>
      <c r="D705" s="1" t="s">
        <v>101</v>
      </c>
      <c r="E705" s="12">
        <v>6.6205714285714284E-2</v>
      </c>
      <c r="F705" s="12">
        <f>IF(D705="d",两日求解价格与决策!K293-两日求解价格与决策!N293,IF(D705="u",两日求解价格与决策!K293+两日求解价格与决策!M293,两日求解价格与决策!K293))</f>
        <v>24</v>
      </c>
      <c r="G705" s="12">
        <f t="shared" si="71"/>
        <v>0</v>
      </c>
      <c r="H705" s="12">
        <f t="shared" si="72"/>
        <v>24</v>
      </c>
      <c r="I705" s="12">
        <f t="shared" si="77"/>
        <v>47.120067259627277</v>
      </c>
      <c r="J705" s="12">
        <f>I705+E705*(G705*原始输入与口径!$B$5-H705/原始输入与口径!$B$5)</f>
        <v>45.392961669565167</v>
      </c>
      <c r="K705" s="12">
        <v>47.120067259627255</v>
      </c>
      <c r="L705" s="12">
        <v>45.392961669565146</v>
      </c>
      <c r="M705" s="19">
        <f t="shared" si="73"/>
        <v>0</v>
      </c>
      <c r="N705" s="12">
        <f>E705*(G705*原始输入与口径!$B$5+H705/原始输入与口径!$B$5)/原始输入与口径!$H$5</f>
        <v>4.7975155279503107E-3</v>
      </c>
      <c r="O705" s="12">
        <v>4.7975155279503107E-3</v>
      </c>
      <c r="P705" s="19">
        <f t="shared" si="74"/>
        <v>0</v>
      </c>
      <c r="Q705" s="12">
        <f t="shared" si="75"/>
        <v>0</v>
      </c>
      <c r="R705" s="12">
        <f t="shared" si="76"/>
        <v>1.5889371428571428</v>
      </c>
      <c r="S705" s="1">
        <v>285</v>
      </c>
      <c r="T705" s="14">
        <v>46236</v>
      </c>
    </row>
    <row r="706" spans="1:20" ht="21" customHeight="1" x14ac:dyDescent="0.45">
      <c r="A706" s="31">
        <v>46236.961122142857</v>
      </c>
      <c r="B706" s="31">
        <v>46236.96875</v>
      </c>
      <c r="C706" s="31">
        <v>46236.958333333336</v>
      </c>
      <c r="D706" s="1" t="s">
        <v>102</v>
      </c>
      <c r="E706" s="12">
        <v>0.18306857142857144</v>
      </c>
      <c r="F706" s="12">
        <f>IF(D706="d",两日求解价格与决策!K293-两日求解价格与决策!N293,IF(D706="u",两日求解价格与决策!K293+两日求解价格与决策!M293,两日求解价格与决策!K293))</f>
        <v>0</v>
      </c>
      <c r="G706" s="12">
        <f t="shared" si="71"/>
        <v>0</v>
      </c>
      <c r="H706" s="12">
        <f t="shared" si="72"/>
        <v>0</v>
      </c>
      <c r="I706" s="12">
        <f t="shared" si="77"/>
        <v>45.392961669565167</v>
      </c>
      <c r="J706" s="12">
        <f>I706+E706*(G706*原始输入与口径!$B$5-H706/原始输入与口径!$B$5)</f>
        <v>45.392961669565167</v>
      </c>
      <c r="K706" s="12">
        <v>45.392961669565146</v>
      </c>
      <c r="L706" s="12">
        <v>45.392961669565146</v>
      </c>
      <c r="M706" s="19">
        <f t="shared" si="73"/>
        <v>0</v>
      </c>
      <c r="N706" s="12">
        <f>E706*(G706*原始输入与口径!$B$5+H706/原始输入与口径!$B$5)/原始输入与口径!$H$5</f>
        <v>0</v>
      </c>
      <c r="O706" s="12">
        <v>0</v>
      </c>
      <c r="P706" s="19">
        <f t="shared" si="74"/>
        <v>0</v>
      </c>
      <c r="Q706" s="12">
        <f t="shared" si="75"/>
        <v>0</v>
      </c>
      <c r="R706" s="12">
        <f t="shared" si="76"/>
        <v>0</v>
      </c>
      <c r="S706" s="1">
        <v>285</v>
      </c>
      <c r="T706" s="14">
        <v>46236</v>
      </c>
    </row>
    <row r="707" spans="1:20" ht="21" customHeight="1" x14ac:dyDescent="0.45">
      <c r="A707" s="31">
        <v>46236.96875</v>
      </c>
      <c r="B707" s="31">
        <v>46236.972096904763</v>
      </c>
      <c r="C707" s="31">
        <v>46236.96875</v>
      </c>
      <c r="D707" s="1" t="s">
        <v>101</v>
      </c>
      <c r="E707" s="12">
        <v>8.0325714285714292E-2</v>
      </c>
      <c r="F707" s="12">
        <f>IF(D707="d",两日求解价格与决策!K294-两日求解价格与决策!N294,IF(D707="u",两日求解价格与决策!K294+两日求解价格与决策!M294,两日求解价格与决策!K294))</f>
        <v>60</v>
      </c>
      <c r="G707" s="12">
        <f t="shared" si="71"/>
        <v>0</v>
      </c>
      <c r="H707" s="12">
        <f t="shared" si="72"/>
        <v>60</v>
      </c>
      <c r="I707" s="12">
        <f t="shared" si="77"/>
        <v>45.392961669565167</v>
      </c>
      <c r="J707" s="12">
        <f>I707+E707*(G707*原始输入与口径!$B$5-H707/原始输入与口径!$B$5)</f>
        <v>40.154328129192493</v>
      </c>
      <c r="K707" s="12">
        <v>45.392961669565146</v>
      </c>
      <c r="L707" s="12">
        <v>40.154328129192479</v>
      </c>
      <c r="M707" s="19">
        <f t="shared" si="73"/>
        <v>0</v>
      </c>
      <c r="N707" s="12">
        <f>E707*(G707*原始输入与口径!$B$5+H707/原始输入与口径!$B$5)/原始输入与口径!$H$5</f>
        <v>1.4551759834368532E-2</v>
      </c>
      <c r="O707" s="12">
        <v>1.4551759834368532E-2</v>
      </c>
      <c r="P707" s="19">
        <f t="shared" si="74"/>
        <v>0</v>
      </c>
      <c r="Q707" s="12">
        <f t="shared" si="75"/>
        <v>0</v>
      </c>
      <c r="R707" s="12">
        <f t="shared" si="76"/>
        <v>4.8195428571428574</v>
      </c>
      <c r="S707" s="1">
        <v>286</v>
      </c>
      <c r="T707" s="14">
        <v>46236</v>
      </c>
    </row>
    <row r="708" spans="1:20" ht="21" customHeight="1" x14ac:dyDescent="0.45">
      <c r="A708" s="31">
        <v>46236.972096904763</v>
      </c>
      <c r="B708" s="31">
        <v>46236.979166666664</v>
      </c>
      <c r="C708" s="31">
        <v>46236.96875</v>
      </c>
      <c r="D708" s="1" t="s">
        <v>102</v>
      </c>
      <c r="E708" s="12">
        <v>0.16967428571428572</v>
      </c>
      <c r="F708" s="12">
        <f>IF(D708="d",两日求解价格与决策!K294-两日求解价格与决策!N294,IF(D708="u",两日求解价格与决策!K294+两日求解价格与决策!M294,两日求解价格与决策!K294))</f>
        <v>36</v>
      </c>
      <c r="G708" s="12">
        <f t="shared" si="71"/>
        <v>0</v>
      </c>
      <c r="H708" s="12">
        <f t="shared" si="72"/>
        <v>36</v>
      </c>
      <c r="I708" s="12">
        <f t="shared" si="77"/>
        <v>40.154328129192493</v>
      </c>
      <c r="J708" s="12">
        <f>I708+E708*(G708*原始输入与口径!$B$5-H708/原始输入与口径!$B$5)</f>
        <v>33.514899557763918</v>
      </c>
      <c r="K708" s="12">
        <v>40.154328129192479</v>
      </c>
      <c r="L708" s="12">
        <v>33.514899557763911</v>
      </c>
      <c r="M708" s="19">
        <f t="shared" si="73"/>
        <v>0</v>
      </c>
      <c r="N708" s="12">
        <f>E708*(G708*原始输入与口径!$B$5+H708/原始输入与口径!$B$5)/原始输入与口径!$H$5</f>
        <v>1.8442857142857143E-2</v>
      </c>
      <c r="O708" s="12">
        <v>1.8442857142857143E-2</v>
      </c>
      <c r="P708" s="19">
        <f t="shared" si="74"/>
        <v>0</v>
      </c>
      <c r="Q708" s="12">
        <f t="shared" si="75"/>
        <v>0</v>
      </c>
      <c r="R708" s="12">
        <f t="shared" si="76"/>
        <v>6.1082742857142858</v>
      </c>
      <c r="S708" s="1">
        <v>286</v>
      </c>
      <c r="T708" s="14">
        <v>46236</v>
      </c>
    </row>
    <row r="709" spans="1:20" ht="21" customHeight="1" x14ac:dyDescent="0.45">
      <c r="A709" s="31">
        <v>46236.979166666664</v>
      </c>
      <c r="B709" s="31">
        <v>46236.980532380949</v>
      </c>
      <c r="C709" s="31">
        <v>46236.979166666664</v>
      </c>
      <c r="D709" s="1" t="s">
        <v>101</v>
      </c>
      <c r="E709" s="12">
        <v>3.2777142857142859E-2</v>
      </c>
      <c r="F709" s="12">
        <f>IF(D709="d",两日求解价格与决策!K295-两日求解价格与决策!N295,IF(D709="u",两日求解价格与决策!K295+两日求解价格与决策!M295,两日求解价格与决策!K295))</f>
        <v>24</v>
      </c>
      <c r="G709" s="12">
        <f t="shared" si="71"/>
        <v>0</v>
      </c>
      <c r="H709" s="12">
        <f t="shared" si="72"/>
        <v>24</v>
      </c>
      <c r="I709" s="12">
        <f t="shared" si="77"/>
        <v>33.514899557763918</v>
      </c>
      <c r="J709" s="12">
        <f>I709+E709*(G709*原始输入与口径!$B$5-H709/原始输入与口径!$B$5)</f>
        <v>32.659843657142801</v>
      </c>
      <c r="K709" s="12">
        <v>33.514899557763911</v>
      </c>
      <c r="L709" s="12">
        <v>32.659843657142794</v>
      </c>
      <c r="M709" s="19">
        <f t="shared" si="73"/>
        <v>0</v>
      </c>
      <c r="N709" s="12">
        <f>E709*(G709*原始输入与口径!$B$5+H709/原始输入与口径!$B$5)/原始输入与口径!$H$5</f>
        <v>2.3751552795031054E-3</v>
      </c>
      <c r="O709" s="12">
        <v>2.3751552795031054E-3</v>
      </c>
      <c r="P709" s="19">
        <f t="shared" si="74"/>
        <v>0</v>
      </c>
      <c r="Q709" s="12">
        <f t="shared" si="75"/>
        <v>0</v>
      </c>
      <c r="R709" s="12">
        <f t="shared" si="76"/>
        <v>0.78665142857142856</v>
      </c>
      <c r="S709" s="1">
        <v>287</v>
      </c>
      <c r="T709" s="14">
        <v>46236</v>
      </c>
    </row>
    <row r="710" spans="1:20" ht="21" customHeight="1" x14ac:dyDescent="0.45">
      <c r="A710" s="31">
        <v>46236.980532380949</v>
      </c>
      <c r="B710" s="31">
        <v>46236.989583333328</v>
      </c>
      <c r="C710" s="31">
        <v>46236.979166666664</v>
      </c>
      <c r="D710" s="1" t="s">
        <v>102</v>
      </c>
      <c r="E710" s="12">
        <v>0.21722285714285713</v>
      </c>
      <c r="F710" s="12">
        <f>IF(D710="d",两日求解价格与决策!K295-两日求解价格与决策!N295,IF(D710="u",两日求解价格与决策!K295+两日求解价格与决策!M295,两日求解价格与决策!K295))</f>
        <v>0</v>
      </c>
      <c r="G710" s="12">
        <f t="shared" si="71"/>
        <v>0</v>
      </c>
      <c r="H710" s="12">
        <f t="shared" si="72"/>
        <v>0</v>
      </c>
      <c r="I710" s="12">
        <f t="shared" si="77"/>
        <v>32.659843657142801</v>
      </c>
      <c r="J710" s="12">
        <f>I710+E710*(G710*原始输入与口径!$B$5-H710/原始输入与口径!$B$5)</f>
        <v>32.659843657142801</v>
      </c>
      <c r="K710" s="12">
        <v>32.659843657142794</v>
      </c>
      <c r="L710" s="12">
        <v>32.659843657142794</v>
      </c>
      <c r="M710" s="19">
        <f t="shared" si="73"/>
        <v>0</v>
      </c>
      <c r="N710" s="12">
        <f>E710*(G710*原始输入与口径!$B$5+H710/原始输入与口径!$B$5)/原始输入与口径!$H$5</f>
        <v>0</v>
      </c>
      <c r="O710" s="12">
        <v>0</v>
      </c>
      <c r="P710" s="19">
        <f t="shared" si="74"/>
        <v>0</v>
      </c>
      <c r="Q710" s="12">
        <f t="shared" si="75"/>
        <v>0</v>
      </c>
      <c r="R710" s="12">
        <f t="shared" si="76"/>
        <v>0</v>
      </c>
      <c r="S710" s="1">
        <v>287</v>
      </c>
      <c r="T710" s="14">
        <v>46236</v>
      </c>
    </row>
    <row r="711" spans="1:20" ht="21" customHeight="1" x14ac:dyDescent="0.45">
      <c r="A711" s="31">
        <v>46236.989583333336</v>
      </c>
      <c r="B711" s="31">
        <v>46236.989593333339</v>
      </c>
      <c r="C711" s="31">
        <v>46236.989583333336</v>
      </c>
      <c r="D711" s="1" t="s">
        <v>103</v>
      </c>
      <c r="E711" s="12">
        <v>2.4000000000000001E-4</v>
      </c>
      <c r="F711" s="12">
        <f>IF(D711="d",两日求解价格与决策!K296-两日求解价格与决策!N296,IF(D711="u",两日求解价格与决策!K296+两日求解价格与决策!M296,两日求解价格与决策!K296))</f>
        <v>-24</v>
      </c>
      <c r="G711" s="12">
        <f t="shared" si="71"/>
        <v>24</v>
      </c>
      <c r="H711" s="12">
        <f t="shared" si="72"/>
        <v>0</v>
      </c>
      <c r="I711" s="12">
        <f t="shared" si="77"/>
        <v>32.659843657142801</v>
      </c>
      <c r="J711" s="12">
        <f>I711+E711*(G711*原始输入与口径!$B$5-H711/原始输入与口径!$B$5)</f>
        <v>32.665142857142804</v>
      </c>
      <c r="K711" s="12">
        <v>32.659843657142794</v>
      </c>
      <c r="L711" s="12">
        <v>32.665142857142797</v>
      </c>
      <c r="M711" s="19">
        <f t="shared" si="73"/>
        <v>0</v>
      </c>
      <c r="N711" s="12">
        <f>E711*(G711*原始输入与口径!$B$5+H711/原始输入与口径!$B$5)/原始输入与口径!$H$5</f>
        <v>1.4720000000000001E-5</v>
      </c>
      <c r="O711" s="12">
        <v>1.4720000000000001E-5</v>
      </c>
      <c r="P711" s="19">
        <f t="shared" si="74"/>
        <v>0</v>
      </c>
      <c r="Q711" s="12">
        <f t="shared" si="75"/>
        <v>5.7600000000000004E-3</v>
      </c>
      <c r="R711" s="12">
        <f t="shared" si="76"/>
        <v>0</v>
      </c>
      <c r="S711" s="1">
        <v>288</v>
      </c>
      <c r="T711" s="14">
        <v>46236</v>
      </c>
    </row>
    <row r="712" spans="1:20" ht="21" customHeight="1" x14ac:dyDescent="0.45">
      <c r="A712" s="31">
        <v>46236.989593333339</v>
      </c>
      <c r="B712" s="31">
        <v>46236.991072380952</v>
      </c>
      <c r="C712" s="31">
        <v>46236.989583333336</v>
      </c>
      <c r="D712" s="1" t="s">
        <v>101</v>
      </c>
      <c r="E712" s="12">
        <v>3.5497142857142859E-2</v>
      </c>
      <c r="F712" s="12">
        <f>IF(D712="d",两日求解价格与决策!K296-两日求解价格与决策!N296,IF(D712="u",两日求解价格与决策!K296+两日求解价格与决策!M296,两日求解价格与决策!K296))</f>
        <v>24</v>
      </c>
      <c r="G712" s="12">
        <f t="shared" si="71"/>
        <v>0</v>
      </c>
      <c r="H712" s="12">
        <f t="shared" si="72"/>
        <v>24</v>
      </c>
      <c r="I712" s="12">
        <f t="shared" si="77"/>
        <v>32.665142857142804</v>
      </c>
      <c r="J712" s="12">
        <f>I712+E712*(G712*原始输入与口径!$B$5-H712/原始输入与口径!$B$5)</f>
        <v>31.739130434782556</v>
      </c>
      <c r="K712" s="12">
        <v>32.665142857142797</v>
      </c>
      <c r="L712" s="12">
        <v>31.739130434782549</v>
      </c>
      <c r="M712" s="19">
        <f t="shared" si="73"/>
        <v>0</v>
      </c>
      <c r="N712" s="12">
        <f>E712*(G712*原始输入与口径!$B$5+H712/原始输入与口径!$B$5)/原始输入与口径!$H$5</f>
        <v>2.5722567287784679E-3</v>
      </c>
      <c r="O712" s="12">
        <v>2.5722567287784679E-3</v>
      </c>
      <c r="P712" s="19">
        <f t="shared" si="74"/>
        <v>0</v>
      </c>
      <c r="Q712" s="12">
        <f t="shared" si="75"/>
        <v>0</v>
      </c>
      <c r="R712" s="12">
        <f t="shared" si="76"/>
        <v>0.85193142857142856</v>
      </c>
      <c r="S712" s="1">
        <v>288</v>
      </c>
      <c r="T712" s="14">
        <v>46236</v>
      </c>
    </row>
    <row r="713" spans="1:20" ht="21" customHeight="1" x14ac:dyDescent="0.45">
      <c r="A713" s="31">
        <v>46236.991072380952</v>
      </c>
      <c r="B713" s="31">
        <v>46237</v>
      </c>
      <c r="C713" s="31">
        <v>46236.989583333336</v>
      </c>
      <c r="D713" s="1" t="s">
        <v>102</v>
      </c>
      <c r="E713" s="12">
        <v>0.21426285714285714</v>
      </c>
      <c r="F713" s="12">
        <f>IF(D713="d",两日求解价格与决策!K296-两日求解价格与决策!N296,IF(D713="u",两日求解价格与决策!K296+两日求解价格与决策!M296,两日求解价格与决策!K296))</f>
        <v>0</v>
      </c>
      <c r="G713" s="12">
        <f t="shared" ref="G713:G776" si="78">MAX(-F713,0)</f>
        <v>0</v>
      </c>
      <c r="H713" s="12">
        <f t="shared" ref="H713:H776" si="79">MAX(F713,0)</f>
        <v>0</v>
      </c>
      <c r="I713" s="12">
        <f t="shared" si="77"/>
        <v>31.739130434782556</v>
      </c>
      <c r="J713" s="12">
        <f>I713+E713*(G713*原始输入与口径!$B$5-H713/原始输入与口径!$B$5)</f>
        <v>31.739130434782556</v>
      </c>
      <c r="K713" s="12">
        <v>31.739130434782549</v>
      </c>
      <c r="L713" s="12">
        <v>31.739130434782549</v>
      </c>
      <c r="M713" s="19">
        <f t="shared" ref="M713:M776" si="80">J713-L713</f>
        <v>0</v>
      </c>
      <c r="N713" s="12">
        <f>E713*(G713*原始输入与口径!$B$5+H713/原始输入与口径!$B$5)/原始输入与口径!$H$5</f>
        <v>0</v>
      </c>
      <c r="O713" s="12">
        <v>0</v>
      </c>
      <c r="P713" s="19">
        <f t="shared" ref="P713:P776" si="81">N713-O713</f>
        <v>0</v>
      </c>
      <c r="Q713" s="12">
        <f t="shared" ref="Q713:Q776" si="82">E713*G713</f>
        <v>0</v>
      </c>
      <c r="R713" s="12">
        <f t="shared" ref="R713:R776" si="83">E713*H713</f>
        <v>0</v>
      </c>
      <c r="S713" s="1">
        <v>288</v>
      </c>
      <c r="T713" s="14">
        <v>46236</v>
      </c>
    </row>
    <row r="714" spans="1:20" ht="21" customHeight="1" x14ac:dyDescent="0.45">
      <c r="A714" s="31">
        <v>46237</v>
      </c>
      <c r="B714" s="31">
        <v>46237.002259523812</v>
      </c>
      <c r="C714" s="31">
        <v>46237</v>
      </c>
      <c r="D714" s="1" t="s">
        <v>101</v>
      </c>
      <c r="E714" s="12">
        <v>5.4228571428571432E-2</v>
      </c>
      <c r="F714" s="12">
        <f>IF(D714="d",两日求解价格与决策!K297-两日求解价格与决策!N297,IF(D714="u",两日求解价格与决策!K297+两日求解价格与决策!M297,两日求解价格与决策!K297))</f>
        <v>18.440463645942256</v>
      </c>
      <c r="G714" s="12">
        <f t="shared" si="78"/>
        <v>0</v>
      </c>
      <c r="H714" s="12">
        <f t="shared" si="79"/>
        <v>18.440463645942256</v>
      </c>
      <c r="I714" s="12">
        <f t="shared" si="77"/>
        <v>31.739130434782556</v>
      </c>
      <c r="J714" s="12">
        <f>I714+E714*(G714*原始输入与口径!$B$5-H714/原始输入与口径!$B$5)</f>
        <v>30.652173913043477</v>
      </c>
      <c r="K714" s="12">
        <v>31.739130434782549</v>
      </c>
      <c r="L714" s="12">
        <v>30.65217391304347</v>
      </c>
      <c r="M714" s="19">
        <f t="shared" si="80"/>
        <v>0</v>
      </c>
      <c r="N714" s="12">
        <f>E714*(G714*原始输入与口径!$B$5+H714/原始输入与口径!$B$5)/原始输入与口径!$H$5</f>
        <v>3.019323671497447E-3</v>
      </c>
      <c r="O714" s="12">
        <v>3.019323671497447E-3</v>
      </c>
      <c r="P714" s="19">
        <f t="shared" si="81"/>
        <v>0</v>
      </c>
      <c r="Q714" s="12">
        <f t="shared" si="82"/>
        <v>0</v>
      </c>
      <c r="R714" s="12">
        <f t="shared" si="83"/>
        <v>0.99999999999995437</v>
      </c>
      <c r="S714" s="1">
        <v>289</v>
      </c>
      <c r="T714" s="14">
        <v>46236</v>
      </c>
    </row>
    <row r="715" spans="1:20" ht="21" customHeight="1" x14ac:dyDescent="0.45">
      <c r="A715" s="31">
        <v>46237.002259523812</v>
      </c>
      <c r="B715" s="31">
        <v>46237.010416666664</v>
      </c>
      <c r="C715" s="31">
        <v>46237</v>
      </c>
      <c r="D715" s="1" t="s">
        <v>102</v>
      </c>
      <c r="E715" s="12">
        <v>0.19577142857142857</v>
      </c>
      <c r="F715" s="12">
        <f>IF(D715="d",两日求解价格与决策!K297-两日求解价格与决策!N297,IF(D715="u",两日求解价格与决策!K297+两日求解价格与决策!M297,两日求解价格与决策!K297))</f>
        <v>-0.55953635405774615</v>
      </c>
      <c r="G715" s="12">
        <f t="shared" si="78"/>
        <v>0.55953635405774615</v>
      </c>
      <c r="H715" s="12">
        <f t="shared" si="79"/>
        <v>0</v>
      </c>
      <c r="I715" s="12">
        <f t="shared" si="77"/>
        <v>30.652173913043477</v>
      </c>
      <c r="J715" s="12">
        <f>I715+E715*(G715*原始输入与口径!$B$5-H715/原始输入与口径!$B$5)</f>
        <v>30.752951845905287</v>
      </c>
      <c r="K715" s="12">
        <v>30.65217391304347</v>
      </c>
      <c r="L715" s="12">
        <v>30.75295184590528</v>
      </c>
      <c r="M715" s="19">
        <f t="shared" si="80"/>
        <v>0</v>
      </c>
      <c r="N715" s="12">
        <f>E715*(G715*原始输入与口径!$B$5+H715/原始输入与口径!$B$5)/原始输入与口径!$H$5</f>
        <v>2.7993870239391926E-4</v>
      </c>
      <c r="O715" s="12">
        <v>2.7993870239391926E-4</v>
      </c>
      <c r="P715" s="19">
        <f t="shared" si="81"/>
        <v>0</v>
      </c>
      <c r="Q715" s="12">
        <f t="shared" si="82"/>
        <v>0.10954123137153361</v>
      </c>
      <c r="R715" s="12">
        <f t="shared" si="83"/>
        <v>0</v>
      </c>
      <c r="S715" s="1">
        <v>289</v>
      </c>
      <c r="T715" s="14">
        <v>46236</v>
      </c>
    </row>
    <row r="716" spans="1:20" ht="21" customHeight="1" x14ac:dyDescent="0.45">
      <c r="A716" s="31">
        <v>46237.010416666664</v>
      </c>
      <c r="B716" s="31">
        <v>46237.010453095238</v>
      </c>
      <c r="C716" s="31">
        <v>46237.010416666664</v>
      </c>
      <c r="D716" s="1" t="s">
        <v>103</v>
      </c>
      <c r="E716" s="12">
        <v>8.7428571428571427E-4</v>
      </c>
      <c r="F716" s="12">
        <f>IF(D716="d",两日求解价格与决策!K298-两日求解价格与决策!N298,IF(D716="u",两日求解价格与决策!K298+两日求解价格与决策!M298,两日求解价格与决策!K298))</f>
        <v>-24</v>
      </c>
      <c r="G716" s="12">
        <f t="shared" si="78"/>
        <v>24</v>
      </c>
      <c r="H716" s="12">
        <f t="shared" si="79"/>
        <v>0</v>
      </c>
      <c r="I716" s="12">
        <f t="shared" si="77"/>
        <v>30.752951845905287</v>
      </c>
      <c r="J716" s="12">
        <f>I716+E716*(G716*原始输入与口径!$B$5-H716/原始输入与口径!$B$5)</f>
        <v>30.772256074476715</v>
      </c>
      <c r="K716" s="12">
        <v>30.75295184590528</v>
      </c>
      <c r="L716" s="12">
        <v>30.772256074476708</v>
      </c>
      <c r="M716" s="19">
        <f t="shared" si="80"/>
        <v>0</v>
      </c>
      <c r="N716" s="12">
        <f>E716*(G716*原始输入与口径!$B$5+H716/原始输入与口径!$B$5)/原始输入与口径!$H$5</f>
        <v>5.3622857142857148E-5</v>
      </c>
      <c r="O716" s="12">
        <v>5.3622857142857148E-5</v>
      </c>
      <c r="P716" s="19">
        <f t="shared" si="81"/>
        <v>0</v>
      </c>
      <c r="Q716" s="12">
        <f t="shared" si="82"/>
        <v>2.0982857142857143E-2</v>
      </c>
      <c r="R716" s="12">
        <f t="shared" si="83"/>
        <v>0</v>
      </c>
      <c r="S716" s="1">
        <v>290</v>
      </c>
      <c r="T716" s="14">
        <v>46236</v>
      </c>
    </row>
    <row r="717" spans="1:20" ht="21" customHeight="1" x14ac:dyDescent="0.45">
      <c r="A717" s="31">
        <v>46237.010453095238</v>
      </c>
      <c r="B717" s="31">
        <v>46237.010559047616</v>
      </c>
      <c r="C717" s="31">
        <v>46237.010416666664</v>
      </c>
      <c r="D717" s="1" t="s">
        <v>101</v>
      </c>
      <c r="E717" s="12">
        <v>2.5428571428571427E-3</v>
      </c>
      <c r="F717" s="12">
        <f>IF(D717="d",两日求解价格与决策!K298-两日求解价格与决策!N298,IF(D717="u",两日求解价格与决策!K298+两日求解价格与决策!M298,两日求解价格与决策!K298))</f>
        <v>19</v>
      </c>
      <c r="G717" s="12">
        <f t="shared" si="78"/>
        <v>0</v>
      </c>
      <c r="H717" s="12">
        <f t="shared" si="79"/>
        <v>19</v>
      </c>
      <c r="I717" s="12">
        <f t="shared" si="77"/>
        <v>30.772256074476715</v>
      </c>
      <c r="J717" s="12">
        <f>I717+E717*(G717*原始输入与口径!$B$5-H717/原始输入与口径!$B$5)</f>
        <v>30.719740546526406</v>
      </c>
      <c r="K717" s="12">
        <v>30.772256074476708</v>
      </c>
      <c r="L717" s="12">
        <v>30.719740546526399</v>
      </c>
      <c r="M717" s="19">
        <f t="shared" si="80"/>
        <v>0</v>
      </c>
      <c r="N717" s="12">
        <f>E717*(G717*原始输入与口径!$B$5+H717/原始输入与口径!$B$5)/原始输入与口径!$H$5</f>
        <v>1.4587646652864042E-4</v>
      </c>
      <c r="O717" s="12">
        <v>1.4587646652864042E-4</v>
      </c>
      <c r="P717" s="19">
        <f t="shared" si="81"/>
        <v>0</v>
      </c>
      <c r="Q717" s="12">
        <f t="shared" si="82"/>
        <v>0</v>
      </c>
      <c r="R717" s="12">
        <f t="shared" si="83"/>
        <v>4.8314285714285712E-2</v>
      </c>
      <c r="S717" s="1">
        <v>290</v>
      </c>
      <c r="T717" s="14">
        <v>46236</v>
      </c>
    </row>
    <row r="718" spans="1:20" ht="21" customHeight="1" x14ac:dyDescent="0.45">
      <c r="A718" s="31">
        <v>46237.010559047616</v>
      </c>
      <c r="B718" s="31">
        <v>46237.020833333328</v>
      </c>
      <c r="C718" s="31">
        <v>46237.010416666664</v>
      </c>
      <c r="D718" s="1" t="s">
        <v>102</v>
      </c>
      <c r="E718" s="12">
        <v>0.24658285714285713</v>
      </c>
      <c r="F718" s="12">
        <f>IF(D718="d",两日求解价格与决策!K298-两日求解价格与决策!N298,IF(D718="u",两日求解价格与决策!K298+两日求解价格与决策!M298,两日求解价格与决策!K298))</f>
        <v>0</v>
      </c>
      <c r="G718" s="12">
        <f t="shared" si="78"/>
        <v>0</v>
      </c>
      <c r="H718" s="12">
        <f t="shared" si="79"/>
        <v>0</v>
      </c>
      <c r="I718" s="12">
        <f t="shared" si="77"/>
        <v>30.719740546526406</v>
      </c>
      <c r="J718" s="12">
        <f>I718+E718*(G718*原始输入与口径!$B$5-H718/原始输入与口径!$B$5)</f>
        <v>30.719740546526406</v>
      </c>
      <c r="K718" s="12">
        <v>30.719740546526399</v>
      </c>
      <c r="L718" s="12">
        <v>30.719740546526399</v>
      </c>
      <c r="M718" s="19">
        <f t="shared" si="80"/>
        <v>0</v>
      </c>
      <c r="N718" s="12">
        <f>E718*(G718*原始输入与口径!$B$5+H718/原始输入与口径!$B$5)/原始输入与口径!$H$5</f>
        <v>0</v>
      </c>
      <c r="O718" s="12">
        <v>0</v>
      </c>
      <c r="P718" s="19">
        <f t="shared" si="81"/>
        <v>0</v>
      </c>
      <c r="Q718" s="12">
        <f t="shared" si="82"/>
        <v>0</v>
      </c>
      <c r="R718" s="12">
        <f t="shared" si="83"/>
        <v>0</v>
      </c>
      <c r="S718" s="1">
        <v>290</v>
      </c>
      <c r="T718" s="14">
        <v>46236</v>
      </c>
    </row>
    <row r="719" spans="1:20" ht="21" customHeight="1" x14ac:dyDescent="0.45">
      <c r="A719" s="31">
        <v>46237.020833333336</v>
      </c>
      <c r="B719" s="31">
        <v>46237.020850000001</v>
      </c>
      <c r="C719" s="31">
        <v>46237.020833333336</v>
      </c>
      <c r="D719" s="1" t="s">
        <v>103</v>
      </c>
      <c r="E719" s="12">
        <v>4.0000000000000002E-4</v>
      </c>
      <c r="F719" s="12">
        <f>IF(D719="d",两日求解价格与决策!K299-两日求解价格与决策!N299,IF(D719="u",两日求解价格与决策!K299+两日求解价格与决策!M299,两日求解价格与决策!K299))</f>
        <v>-41.755276847213757</v>
      </c>
      <c r="G719" s="12">
        <f t="shared" si="78"/>
        <v>41.755276847213757</v>
      </c>
      <c r="H719" s="12">
        <f t="shared" si="79"/>
        <v>0</v>
      </c>
      <c r="I719" s="12">
        <f t="shared" si="77"/>
        <v>30.719740546526406</v>
      </c>
      <c r="J719" s="12">
        <f>I719+E719*(G719*原始输入与口径!$B$5-H719/原始输入与口径!$B$5)</f>
        <v>30.735106488406181</v>
      </c>
      <c r="K719" s="12">
        <v>30.719740546526399</v>
      </c>
      <c r="L719" s="12">
        <v>30.735106488406174</v>
      </c>
      <c r="M719" s="19">
        <f t="shared" si="80"/>
        <v>0</v>
      </c>
      <c r="N719" s="12">
        <f>E719*(G719*原始输入与口径!$B$5+H719/原始输入与口径!$B$5)/原始输入与口径!$H$5</f>
        <v>4.2683171888262952E-5</v>
      </c>
      <c r="O719" s="12">
        <v>4.2683171888262952E-5</v>
      </c>
      <c r="P719" s="19">
        <f t="shared" si="81"/>
        <v>0</v>
      </c>
      <c r="Q719" s="12">
        <f t="shared" si="82"/>
        <v>1.6702110738885504E-2</v>
      </c>
      <c r="R719" s="12">
        <f t="shared" si="83"/>
        <v>0</v>
      </c>
      <c r="S719" s="1">
        <v>291</v>
      </c>
      <c r="T719" s="14">
        <v>46236</v>
      </c>
    </row>
    <row r="720" spans="1:20" ht="21" customHeight="1" x14ac:dyDescent="0.45">
      <c r="A720" s="31">
        <v>46237.020850000001</v>
      </c>
      <c r="B720" s="31">
        <v>46237.02122166667</v>
      </c>
      <c r="C720" s="31">
        <v>46237.020833333336</v>
      </c>
      <c r="D720" s="1" t="s">
        <v>101</v>
      </c>
      <c r="E720" s="12">
        <v>8.9199999999999991E-3</v>
      </c>
      <c r="F720" s="12">
        <f>IF(D720="d",两日求解价格与决策!K299-两日求解价格与决策!N299,IF(D720="u",两日求解价格与决策!K299+两日求解价格与决策!M299,两日求解价格与决策!K299))</f>
        <v>1.2447231527862428</v>
      </c>
      <c r="G720" s="12">
        <f t="shared" si="78"/>
        <v>0</v>
      </c>
      <c r="H720" s="12">
        <f t="shared" si="79"/>
        <v>1.2447231527862428</v>
      </c>
      <c r="I720" s="12">
        <f t="shared" si="77"/>
        <v>30.735106488406181</v>
      </c>
      <c r="J720" s="12">
        <f>I720+E720*(G720*原始输入与口径!$B$5-H720/原始输入与口径!$B$5)</f>
        <v>30.723038085663948</v>
      </c>
      <c r="K720" s="12">
        <v>30.735106488406174</v>
      </c>
      <c r="L720" s="12">
        <v>30.723038085663941</v>
      </c>
      <c r="M720" s="19">
        <f t="shared" si="80"/>
        <v>0</v>
      </c>
      <c r="N720" s="12">
        <f>E720*(G720*原始输入与口径!$B$5+H720/原始输入与口径!$B$5)/原始输入与口径!$H$5</f>
        <v>3.3523340950643977E-5</v>
      </c>
      <c r="O720" s="12">
        <v>3.3523340950643977E-5</v>
      </c>
      <c r="P720" s="19">
        <f t="shared" si="81"/>
        <v>0</v>
      </c>
      <c r="Q720" s="12">
        <f t="shared" si="82"/>
        <v>0</v>
      </c>
      <c r="R720" s="12">
        <f t="shared" si="83"/>
        <v>1.1102930522853285E-2</v>
      </c>
      <c r="S720" s="1">
        <v>291</v>
      </c>
      <c r="T720" s="14">
        <v>46236</v>
      </c>
    </row>
    <row r="721" spans="1:20" ht="21" customHeight="1" x14ac:dyDescent="0.45">
      <c r="A721" s="31">
        <v>46237.02122166667</v>
      </c>
      <c r="B721" s="31">
        <v>46237.03125</v>
      </c>
      <c r="C721" s="31">
        <v>46237.020833333336</v>
      </c>
      <c r="D721" s="1" t="s">
        <v>102</v>
      </c>
      <c r="E721" s="12">
        <v>0.24067999999999998</v>
      </c>
      <c r="F721" s="12">
        <f>IF(D721="d",两日求解价格与决策!K299-两日求解价格与决策!N299,IF(D721="u",两日求解价格与决策!K299+两日求解价格与决策!M299,两日求解价格与决策!K299))</f>
        <v>-17.755276847213757</v>
      </c>
      <c r="G721" s="12">
        <f t="shared" si="78"/>
        <v>17.755276847213757</v>
      </c>
      <c r="H721" s="12">
        <f t="shared" si="79"/>
        <v>0</v>
      </c>
      <c r="I721" s="12">
        <f t="shared" si="77"/>
        <v>30.723038085663948</v>
      </c>
      <c r="J721" s="12">
        <f>I721+E721*(G721*原始输入与口径!$B$5-H721/原始输入与口径!$B$5)</f>
        <v>34.654510914724362</v>
      </c>
      <c r="K721" s="12">
        <v>30.723038085663941</v>
      </c>
      <c r="L721" s="12">
        <v>34.654510914724355</v>
      </c>
      <c r="M721" s="19">
        <f t="shared" si="80"/>
        <v>0</v>
      </c>
      <c r="N721" s="12">
        <f>E721*(G721*原始输入与口径!$B$5+H721/原始输入与口径!$B$5)/原始输入与口径!$H$5</f>
        <v>1.0920757858501152E-2</v>
      </c>
      <c r="O721" s="12">
        <v>1.0920757858501152E-2</v>
      </c>
      <c r="P721" s="19">
        <f t="shared" si="81"/>
        <v>0</v>
      </c>
      <c r="Q721" s="12">
        <f t="shared" si="82"/>
        <v>4.2733400315874066</v>
      </c>
      <c r="R721" s="12">
        <f t="shared" si="83"/>
        <v>0</v>
      </c>
      <c r="S721" s="1">
        <v>291</v>
      </c>
      <c r="T721" s="14">
        <v>46236</v>
      </c>
    </row>
    <row r="722" spans="1:20" ht="21" customHeight="1" x14ac:dyDescent="0.45">
      <c r="A722" s="31">
        <v>46237.03125</v>
      </c>
      <c r="B722" s="31">
        <v>46237.031253333334</v>
      </c>
      <c r="C722" s="31">
        <v>46237.03125</v>
      </c>
      <c r="D722" s="1" t="s">
        <v>103</v>
      </c>
      <c r="E722" s="12">
        <v>8.0000000000000007E-5</v>
      </c>
      <c r="F722" s="12">
        <f>IF(D722="d",两日求解价格与决策!K300-两日求解价格与决策!N300,IF(D722="u",两日求解价格与决策!K300+两日求解价格与决策!M300,两日求解价格与决策!K300))</f>
        <v>-24</v>
      </c>
      <c r="G722" s="12">
        <f t="shared" si="78"/>
        <v>24</v>
      </c>
      <c r="H722" s="12">
        <f t="shared" si="79"/>
        <v>0</v>
      </c>
      <c r="I722" s="12">
        <f t="shared" si="77"/>
        <v>34.654510914724362</v>
      </c>
      <c r="J722" s="12">
        <f>I722+E722*(G722*原始输入与口径!$B$5-H722/原始输入与口径!$B$5)</f>
        <v>34.656277314724363</v>
      </c>
      <c r="K722" s="12">
        <v>34.654510914724355</v>
      </c>
      <c r="L722" s="12">
        <v>34.656277314724356</v>
      </c>
      <c r="M722" s="19">
        <f t="shared" si="80"/>
        <v>0</v>
      </c>
      <c r="N722" s="12">
        <f>E722*(G722*原始输入与口径!$B$5+H722/原始输入与口径!$B$5)/原始输入与口径!$H$5</f>
        <v>4.9066666666666674E-6</v>
      </c>
      <c r="O722" s="12">
        <v>4.9066666666666674E-6</v>
      </c>
      <c r="P722" s="19">
        <f t="shared" si="81"/>
        <v>0</v>
      </c>
      <c r="Q722" s="12">
        <f t="shared" si="82"/>
        <v>1.9200000000000003E-3</v>
      </c>
      <c r="R722" s="12">
        <f t="shared" si="83"/>
        <v>0</v>
      </c>
      <c r="S722" s="1">
        <v>292</v>
      </c>
      <c r="T722" s="14">
        <v>46236</v>
      </c>
    </row>
    <row r="723" spans="1:20" ht="21" customHeight="1" x14ac:dyDescent="0.45">
      <c r="A723" s="31">
        <v>46237.031253333334</v>
      </c>
      <c r="B723" s="31">
        <v>46237.031395952377</v>
      </c>
      <c r="C723" s="31">
        <v>46237.03125</v>
      </c>
      <c r="D723" s="1" t="s">
        <v>101</v>
      </c>
      <c r="E723" s="12">
        <v>3.4228571428571429E-3</v>
      </c>
      <c r="F723" s="12">
        <f>IF(D723="d",两日求解价格与决策!K300-两日求解价格与决策!N300,IF(D723="u",两日求解价格与决策!K300+两日求解价格与决策!M300,两日求解价格与决策!K300))</f>
        <v>19</v>
      </c>
      <c r="G723" s="12">
        <f t="shared" si="78"/>
        <v>0</v>
      </c>
      <c r="H723" s="12">
        <f t="shared" si="79"/>
        <v>19</v>
      </c>
      <c r="I723" s="12">
        <f t="shared" si="77"/>
        <v>34.656277314724363</v>
      </c>
      <c r="J723" s="12">
        <f>I723+E723*(G723*原始输入与口径!$B$5-H723/原始输入与口径!$B$5)</f>
        <v>34.585587873730574</v>
      </c>
      <c r="K723" s="12">
        <v>34.656277314724356</v>
      </c>
      <c r="L723" s="12">
        <v>34.585587873730567</v>
      </c>
      <c r="M723" s="19">
        <f t="shared" si="80"/>
        <v>0</v>
      </c>
      <c r="N723" s="12">
        <f>E723*(G723*原始输入与口径!$B$5+H723/原始输入与口径!$B$5)/原始输入与口径!$H$5</f>
        <v>1.9635955831608006E-4</v>
      </c>
      <c r="O723" s="12">
        <v>1.9635955831608001E-4</v>
      </c>
      <c r="P723" s="19">
        <f t="shared" si="81"/>
        <v>0</v>
      </c>
      <c r="Q723" s="12">
        <f t="shared" si="82"/>
        <v>0</v>
      </c>
      <c r="R723" s="12">
        <f t="shared" si="83"/>
        <v>6.5034285714285711E-2</v>
      </c>
      <c r="S723" s="1">
        <v>292</v>
      </c>
      <c r="T723" s="14">
        <v>46236</v>
      </c>
    </row>
    <row r="724" spans="1:20" ht="21" customHeight="1" x14ac:dyDescent="0.45">
      <c r="A724" s="31">
        <v>46237.031395952377</v>
      </c>
      <c r="B724" s="31">
        <v>46237.041666666664</v>
      </c>
      <c r="C724" s="31">
        <v>46237.03125</v>
      </c>
      <c r="D724" s="1" t="s">
        <v>102</v>
      </c>
      <c r="E724" s="12">
        <v>0.24649714285714286</v>
      </c>
      <c r="F724" s="12">
        <f>IF(D724="d",两日求解价格与决策!K300-两日求解价格与决策!N300,IF(D724="u",两日求解价格与决策!K300+两日求解价格与决策!M300,两日求解价格与决策!K300))</f>
        <v>0</v>
      </c>
      <c r="G724" s="12">
        <f t="shared" si="78"/>
        <v>0</v>
      </c>
      <c r="H724" s="12">
        <f t="shared" si="79"/>
        <v>0</v>
      </c>
      <c r="I724" s="12">
        <f t="shared" si="77"/>
        <v>34.585587873730574</v>
      </c>
      <c r="J724" s="12">
        <f>I724+E724*(G724*原始输入与口径!$B$5-H724/原始输入与口径!$B$5)</f>
        <v>34.585587873730574</v>
      </c>
      <c r="K724" s="12">
        <v>34.585587873730567</v>
      </c>
      <c r="L724" s="12">
        <v>34.585587873730567</v>
      </c>
      <c r="M724" s="19">
        <f t="shared" si="80"/>
        <v>0</v>
      </c>
      <c r="N724" s="12">
        <f>E724*(G724*原始输入与口径!$B$5+H724/原始输入与口径!$B$5)/原始输入与口径!$H$5</f>
        <v>0</v>
      </c>
      <c r="O724" s="12">
        <v>0</v>
      </c>
      <c r="P724" s="19">
        <f t="shared" si="81"/>
        <v>0</v>
      </c>
      <c r="Q724" s="12">
        <f t="shared" si="82"/>
        <v>0</v>
      </c>
      <c r="R724" s="12">
        <f t="shared" si="83"/>
        <v>0</v>
      </c>
      <c r="S724" s="1">
        <v>292</v>
      </c>
      <c r="T724" s="14">
        <v>46236</v>
      </c>
    </row>
    <row r="725" spans="1:20" ht="21" customHeight="1" x14ac:dyDescent="0.45">
      <c r="A725" s="31">
        <v>46237.041666666664</v>
      </c>
      <c r="B725" s="31">
        <v>46237.044475238094</v>
      </c>
      <c r="C725" s="31">
        <v>46237.041666666664</v>
      </c>
      <c r="D725" s="1" t="s">
        <v>101</v>
      </c>
      <c r="E725" s="12">
        <v>6.7405714285714277E-2</v>
      </c>
      <c r="F725" s="12">
        <f>IF(D725="d",两日求解价格与决策!K301-两日求解价格与决策!N301,IF(D725="u",两日求解价格与决策!K301+两日求解价格与决策!M301,两日求解价格与决策!K301))</f>
        <v>24</v>
      </c>
      <c r="G725" s="12">
        <f t="shared" si="78"/>
        <v>0</v>
      </c>
      <c r="H725" s="12">
        <f t="shared" si="79"/>
        <v>24</v>
      </c>
      <c r="I725" s="12">
        <f t="shared" si="77"/>
        <v>34.585587873730574</v>
      </c>
      <c r="J725" s="12">
        <f>I725+E725*(G725*原始输入与口径!$B$5-H725/原始输入与口径!$B$5)</f>
        <v>32.827177935842379</v>
      </c>
      <c r="K725" s="12">
        <v>34.585587873730567</v>
      </c>
      <c r="L725" s="12">
        <v>32.827177935842371</v>
      </c>
      <c r="M725" s="19">
        <f t="shared" si="80"/>
        <v>0</v>
      </c>
      <c r="N725" s="12">
        <f>E725*(G725*原始输入与口径!$B$5+H725/原始输入与口径!$B$5)/原始输入与口径!$H$5</f>
        <v>4.88447204968944E-3</v>
      </c>
      <c r="O725" s="12">
        <v>4.88447204968944E-3</v>
      </c>
      <c r="P725" s="19">
        <f t="shared" si="81"/>
        <v>0</v>
      </c>
      <c r="Q725" s="12">
        <f t="shared" si="82"/>
        <v>0</v>
      </c>
      <c r="R725" s="12">
        <f t="shared" si="83"/>
        <v>1.6177371428571425</v>
      </c>
      <c r="S725" s="1">
        <v>293</v>
      </c>
      <c r="T725" s="14">
        <v>46236</v>
      </c>
    </row>
    <row r="726" spans="1:20" ht="21" customHeight="1" x14ac:dyDescent="0.45">
      <c r="A726" s="31">
        <v>46237.044475238094</v>
      </c>
      <c r="B726" s="31">
        <v>46237.052083333328</v>
      </c>
      <c r="C726" s="31">
        <v>46237.041666666664</v>
      </c>
      <c r="D726" s="1" t="s">
        <v>102</v>
      </c>
      <c r="E726" s="12">
        <v>0.18259428571428571</v>
      </c>
      <c r="F726" s="12">
        <f>IF(D726="d",两日求解价格与决策!K301-两日求解价格与决策!N301,IF(D726="u",两日求解价格与决策!K301+两日求解价格与决策!M301,两日求解价格与决策!K301))</f>
        <v>0</v>
      </c>
      <c r="G726" s="12">
        <f t="shared" si="78"/>
        <v>0</v>
      </c>
      <c r="H726" s="12">
        <f t="shared" si="79"/>
        <v>0</v>
      </c>
      <c r="I726" s="12">
        <f t="shared" si="77"/>
        <v>32.827177935842379</v>
      </c>
      <c r="J726" s="12">
        <f>I726+E726*(G726*原始输入与口径!$B$5-H726/原始输入与口径!$B$5)</f>
        <v>32.827177935842379</v>
      </c>
      <c r="K726" s="12">
        <v>32.827177935842371</v>
      </c>
      <c r="L726" s="12">
        <v>32.827177935842371</v>
      </c>
      <c r="M726" s="19">
        <f t="shared" si="80"/>
        <v>0</v>
      </c>
      <c r="N726" s="12">
        <f>E726*(G726*原始输入与口径!$B$5+H726/原始输入与口径!$B$5)/原始输入与口径!$H$5</f>
        <v>0</v>
      </c>
      <c r="O726" s="12">
        <v>0</v>
      </c>
      <c r="P726" s="19">
        <f t="shared" si="81"/>
        <v>0</v>
      </c>
      <c r="Q726" s="12">
        <f t="shared" si="82"/>
        <v>0</v>
      </c>
      <c r="R726" s="12">
        <f t="shared" si="83"/>
        <v>0</v>
      </c>
      <c r="S726" s="1">
        <v>293</v>
      </c>
      <c r="T726" s="14">
        <v>46236</v>
      </c>
    </row>
    <row r="727" spans="1:20" ht="21" customHeight="1" x14ac:dyDescent="0.45">
      <c r="A727" s="31">
        <v>46237.052083333336</v>
      </c>
      <c r="B727" s="31">
        <v>46237.052406904768</v>
      </c>
      <c r="C727" s="31">
        <v>46237.052083333336</v>
      </c>
      <c r="D727" s="1" t="s">
        <v>101</v>
      </c>
      <c r="E727" s="12">
        <v>7.7657142857142855E-3</v>
      </c>
      <c r="F727" s="12">
        <f>IF(D727="d",两日求解价格与决策!K302-两日求解价格与决策!N302,IF(D727="u",两日求解价格与决策!K302+两日求解价格与决策!M302,两日求解价格与决策!K302))</f>
        <v>24</v>
      </c>
      <c r="G727" s="12">
        <f t="shared" si="78"/>
        <v>0</v>
      </c>
      <c r="H727" s="12">
        <f t="shared" si="79"/>
        <v>24</v>
      </c>
      <c r="I727" s="12">
        <f t="shared" si="77"/>
        <v>32.827177935842379</v>
      </c>
      <c r="J727" s="12">
        <f>I727+E727*(G727*原始输入与口径!$B$5-H727/原始输入与口径!$B$5)</f>
        <v>32.624594084910704</v>
      </c>
      <c r="K727" s="12">
        <v>32.827177935842371</v>
      </c>
      <c r="L727" s="12">
        <v>32.624594084910697</v>
      </c>
      <c r="M727" s="19">
        <f t="shared" si="80"/>
        <v>0</v>
      </c>
      <c r="N727" s="12">
        <f>E727*(G727*原始输入与口径!$B$5+H727/原始输入与口径!$B$5)/原始输入与口径!$H$5</f>
        <v>5.6273291925465832E-4</v>
      </c>
      <c r="O727" s="12">
        <v>5.6273291925465832E-4</v>
      </c>
      <c r="P727" s="19">
        <f t="shared" si="81"/>
        <v>0</v>
      </c>
      <c r="Q727" s="12">
        <f t="shared" si="82"/>
        <v>0</v>
      </c>
      <c r="R727" s="12">
        <f t="shared" si="83"/>
        <v>0.18637714285714285</v>
      </c>
      <c r="S727" s="1">
        <v>294</v>
      </c>
      <c r="T727" s="14">
        <v>46236</v>
      </c>
    </row>
    <row r="728" spans="1:20" ht="21" customHeight="1" x14ac:dyDescent="0.45">
      <c r="A728" s="31">
        <v>46237.052406904768</v>
      </c>
      <c r="B728" s="31">
        <v>46237.0625</v>
      </c>
      <c r="C728" s="31">
        <v>46237.052083333336</v>
      </c>
      <c r="D728" s="1" t="s">
        <v>102</v>
      </c>
      <c r="E728" s="12">
        <v>0.24223428571428571</v>
      </c>
      <c r="F728" s="12">
        <f>IF(D728="d",两日求解价格与决策!K302-两日求解价格与决策!N302,IF(D728="u",两日求解价格与决策!K302+两日求解价格与决策!M302,两日求解价格与决策!K302))</f>
        <v>0</v>
      </c>
      <c r="G728" s="12">
        <f t="shared" si="78"/>
        <v>0</v>
      </c>
      <c r="H728" s="12">
        <f t="shared" si="79"/>
        <v>0</v>
      </c>
      <c r="I728" s="12">
        <f t="shared" si="77"/>
        <v>32.624594084910704</v>
      </c>
      <c r="J728" s="12">
        <f>I728+E728*(G728*原始输入与口径!$B$5-H728/原始输入与口径!$B$5)</f>
        <v>32.624594084910704</v>
      </c>
      <c r="K728" s="12">
        <v>32.624594084910697</v>
      </c>
      <c r="L728" s="12">
        <v>32.624594084910697</v>
      </c>
      <c r="M728" s="19">
        <f t="shared" si="80"/>
        <v>0</v>
      </c>
      <c r="N728" s="12">
        <f>E728*(G728*原始输入与口径!$B$5+H728/原始输入与口径!$B$5)/原始输入与口径!$H$5</f>
        <v>0</v>
      </c>
      <c r="O728" s="12">
        <v>0</v>
      </c>
      <c r="P728" s="19">
        <f t="shared" si="81"/>
        <v>0</v>
      </c>
      <c r="Q728" s="12">
        <f t="shared" si="82"/>
        <v>0</v>
      </c>
      <c r="R728" s="12">
        <f t="shared" si="83"/>
        <v>0</v>
      </c>
      <c r="S728" s="1">
        <v>294</v>
      </c>
      <c r="T728" s="14">
        <v>46236</v>
      </c>
    </row>
    <row r="729" spans="1:20" ht="21" customHeight="1" x14ac:dyDescent="0.45">
      <c r="A729" s="31">
        <v>46237.0625</v>
      </c>
      <c r="B729" s="31">
        <v>46237.062501428569</v>
      </c>
      <c r="C729" s="31">
        <v>46237.0625</v>
      </c>
      <c r="D729" s="1" t="s">
        <v>103</v>
      </c>
      <c r="E729" s="12">
        <v>3.4285714285714284E-5</v>
      </c>
      <c r="F729" s="12">
        <f>IF(D729="d",两日求解价格与决策!K303-两日求解价格与决策!N303,IF(D729="u",两日求解价格与决策!K303+两日求解价格与决策!M303,两日求解价格与决策!K303))</f>
        <v>-24</v>
      </c>
      <c r="G729" s="12">
        <f t="shared" si="78"/>
        <v>24</v>
      </c>
      <c r="H729" s="12">
        <f t="shared" si="79"/>
        <v>0</v>
      </c>
      <c r="I729" s="12">
        <f t="shared" si="77"/>
        <v>32.624594084910704</v>
      </c>
      <c r="J729" s="12">
        <f>I729+E729*(G729*原始输入与口径!$B$5-H729/原始输入与口径!$B$5)</f>
        <v>32.625351113482132</v>
      </c>
      <c r="K729" s="12">
        <v>32.624594084910697</v>
      </c>
      <c r="L729" s="12">
        <v>32.625351113482125</v>
      </c>
      <c r="M729" s="19">
        <f t="shared" si="80"/>
        <v>0</v>
      </c>
      <c r="N729" s="12">
        <f>E729*(G729*原始输入与口径!$B$5+H729/原始输入与口径!$B$5)/原始输入与口径!$H$5</f>
        <v>2.1028571428571427E-6</v>
      </c>
      <c r="O729" s="12">
        <v>2.1028571428571427E-6</v>
      </c>
      <c r="P729" s="19">
        <f t="shared" si="81"/>
        <v>0</v>
      </c>
      <c r="Q729" s="12">
        <f t="shared" si="82"/>
        <v>8.2285714285714275E-4</v>
      </c>
      <c r="R729" s="12">
        <f t="shared" si="83"/>
        <v>0</v>
      </c>
      <c r="S729" s="1">
        <v>295</v>
      </c>
      <c r="T729" s="14">
        <v>46236</v>
      </c>
    </row>
    <row r="730" spans="1:20" ht="21" customHeight="1" x14ac:dyDescent="0.45">
      <c r="A730" s="31">
        <v>46237.062501428569</v>
      </c>
      <c r="B730" s="31">
        <v>46237.062593571427</v>
      </c>
      <c r="C730" s="31">
        <v>46237.0625</v>
      </c>
      <c r="D730" s="1" t="s">
        <v>101</v>
      </c>
      <c r="E730" s="12">
        <v>2.2114285714285717E-3</v>
      </c>
      <c r="F730" s="12">
        <f>IF(D730="d",两日求解价格与决策!K303-两日求解价格与决策!N303,IF(D730="u",两日求解价格与决策!K303+两日求解价格与决策!M303,两日求解价格与决策!K303))</f>
        <v>24</v>
      </c>
      <c r="G730" s="12">
        <f t="shared" si="78"/>
        <v>0</v>
      </c>
      <c r="H730" s="12">
        <f t="shared" si="79"/>
        <v>24</v>
      </c>
      <c r="I730" s="12">
        <f t="shared" si="77"/>
        <v>32.625351113482132</v>
      </c>
      <c r="J730" s="12">
        <f>I730+E730*(G730*原始输入与口径!$B$5-H730/原始输入与口径!$B$5)</f>
        <v>32.567661672488342</v>
      </c>
      <c r="K730" s="12">
        <v>32.625351113482125</v>
      </c>
      <c r="L730" s="12">
        <v>32.567661672488335</v>
      </c>
      <c r="M730" s="19">
        <f t="shared" si="80"/>
        <v>0</v>
      </c>
      <c r="N730" s="12">
        <f>E730*(G730*原始输入与口径!$B$5+H730/原始输入与口径!$B$5)/原始输入与口径!$H$5</f>
        <v>1.6024844720496895E-4</v>
      </c>
      <c r="O730" s="12">
        <v>1.6024844720496895E-4</v>
      </c>
      <c r="P730" s="19">
        <f t="shared" si="81"/>
        <v>0</v>
      </c>
      <c r="Q730" s="12">
        <f t="shared" si="82"/>
        <v>0</v>
      </c>
      <c r="R730" s="12">
        <f t="shared" si="83"/>
        <v>5.307428571428572E-2</v>
      </c>
      <c r="S730" s="1">
        <v>295</v>
      </c>
      <c r="T730" s="14">
        <v>46236</v>
      </c>
    </row>
    <row r="731" spans="1:20" ht="21" customHeight="1" x14ac:dyDescent="0.45">
      <c r="A731" s="31">
        <v>46237.062593571427</v>
      </c>
      <c r="B731" s="31">
        <v>46237.072916666664</v>
      </c>
      <c r="C731" s="31">
        <v>46237.0625</v>
      </c>
      <c r="D731" s="1" t="s">
        <v>102</v>
      </c>
      <c r="E731" s="12">
        <v>0.24775428571428573</v>
      </c>
      <c r="F731" s="12">
        <f>IF(D731="d",两日求解价格与决策!K303-两日求解价格与决策!N303,IF(D731="u",两日求解价格与决策!K303+两日求解价格与决策!M303,两日求解价格与决策!K303))</f>
        <v>0</v>
      </c>
      <c r="G731" s="12">
        <f t="shared" si="78"/>
        <v>0</v>
      </c>
      <c r="H731" s="12">
        <f t="shared" si="79"/>
        <v>0</v>
      </c>
      <c r="I731" s="12">
        <f t="shared" si="77"/>
        <v>32.567661672488342</v>
      </c>
      <c r="J731" s="12">
        <f>I731+E731*(G731*原始输入与口径!$B$5-H731/原始输入与口径!$B$5)</f>
        <v>32.567661672488342</v>
      </c>
      <c r="K731" s="12">
        <v>32.567661672488335</v>
      </c>
      <c r="L731" s="12">
        <v>32.567661672488335</v>
      </c>
      <c r="M731" s="19">
        <f t="shared" si="80"/>
        <v>0</v>
      </c>
      <c r="N731" s="12">
        <f>E731*(G731*原始输入与口径!$B$5+H731/原始输入与口径!$B$5)/原始输入与口径!$H$5</f>
        <v>0</v>
      </c>
      <c r="O731" s="12">
        <v>0</v>
      </c>
      <c r="P731" s="19">
        <f t="shared" si="81"/>
        <v>0</v>
      </c>
      <c r="Q731" s="12">
        <f t="shared" si="82"/>
        <v>0</v>
      </c>
      <c r="R731" s="12">
        <f t="shared" si="83"/>
        <v>0</v>
      </c>
      <c r="S731" s="1">
        <v>295</v>
      </c>
      <c r="T731" s="14">
        <v>46236</v>
      </c>
    </row>
    <row r="732" spans="1:20" ht="21" customHeight="1" x14ac:dyDescent="0.45">
      <c r="A732" s="31">
        <v>46237.072916666664</v>
      </c>
      <c r="B732" s="31">
        <v>46237.074399761899</v>
      </c>
      <c r="C732" s="31">
        <v>46237.072916666664</v>
      </c>
      <c r="D732" s="1" t="s">
        <v>101</v>
      </c>
      <c r="E732" s="12">
        <v>3.5594285714285717E-2</v>
      </c>
      <c r="F732" s="12">
        <f>IF(D732="d",两日求解价格与决策!K304-两日求解价格与决策!N304,IF(D732="u",两日求解价格与决策!K304+两日求解价格与决策!M304,两日求解价格与决策!K304))</f>
        <v>21.414918810502851</v>
      </c>
      <c r="G732" s="12">
        <f t="shared" si="78"/>
        <v>0</v>
      </c>
      <c r="H732" s="12">
        <f t="shared" si="79"/>
        <v>21.414918810502851</v>
      </c>
      <c r="I732" s="12">
        <f t="shared" si="77"/>
        <v>32.567661672488342</v>
      </c>
      <c r="J732" s="12">
        <f>I732+E732*(G732*原始输入与口径!$B$5-H732/原始输入与口径!$B$5)</f>
        <v>31.739130434782613</v>
      </c>
      <c r="K732" s="12">
        <v>32.567661672488335</v>
      </c>
      <c r="L732" s="12">
        <v>31.739130434782606</v>
      </c>
      <c r="M732" s="19">
        <f t="shared" si="80"/>
        <v>0</v>
      </c>
      <c r="N732" s="12">
        <f>E732*(G732*原始输入与口径!$B$5+H732/原始输入与口径!$B$5)/原始输入与口径!$H$5</f>
        <v>2.3014756602936898E-3</v>
      </c>
      <c r="O732" s="12">
        <v>2.3014756602936898E-3</v>
      </c>
      <c r="P732" s="19">
        <f t="shared" si="81"/>
        <v>0</v>
      </c>
      <c r="Q732" s="12">
        <f t="shared" si="82"/>
        <v>0</v>
      </c>
      <c r="R732" s="12">
        <f t="shared" si="83"/>
        <v>0.76224873868927012</v>
      </c>
      <c r="S732" s="1">
        <v>296</v>
      </c>
      <c r="T732" s="14">
        <v>46236</v>
      </c>
    </row>
    <row r="733" spans="1:20" ht="21" customHeight="1" x14ac:dyDescent="0.45">
      <c r="A733" s="31">
        <v>46237.074399761899</v>
      </c>
      <c r="B733" s="31">
        <v>46237.083333333328</v>
      </c>
      <c r="C733" s="31">
        <v>46237.072916666664</v>
      </c>
      <c r="D733" s="1" t="s">
        <v>102</v>
      </c>
      <c r="E733" s="12">
        <v>0.21440571428571428</v>
      </c>
      <c r="F733" s="12">
        <f>IF(D733="d",两日求解价格与决策!K304-两日求解价格与决策!N304,IF(D733="u",两日求解价格与决策!K304+两日求解价格与决策!M304,两日求解价格与决策!K304))</f>
        <v>-2.5850811894971497</v>
      </c>
      <c r="G733" s="12">
        <f t="shared" si="78"/>
        <v>2.5850811894971497</v>
      </c>
      <c r="H733" s="12">
        <f t="shared" si="79"/>
        <v>0</v>
      </c>
      <c r="I733" s="12">
        <f t="shared" ref="I733:I796" si="84">J732</f>
        <v>31.739130434782613</v>
      </c>
      <c r="J733" s="12">
        <f>I733+E733*(G733*原始输入与口径!$B$5-H733/原始输入与口径!$B$5)</f>
        <v>32.249046119389661</v>
      </c>
      <c r="K733" s="12">
        <v>31.739130434782606</v>
      </c>
      <c r="L733" s="12">
        <v>32.249046119389646</v>
      </c>
      <c r="M733" s="19">
        <f t="shared" si="80"/>
        <v>0</v>
      </c>
      <c r="N733" s="12">
        <f>E733*(G733*原始输入与口径!$B$5+H733/原始输入与口径!$B$5)/原始输入与口径!$H$5</f>
        <v>1.41643245724179E-3</v>
      </c>
      <c r="O733" s="12">
        <v>1.4164324572417896E-3</v>
      </c>
      <c r="P733" s="19">
        <f t="shared" si="81"/>
        <v>0</v>
      </c>
      <c r="Q733" s="12">
        <f t="shared" si="82"/>
        <v>0.55425617892070034</v>
      </c>
      <c r="R733" s="12">
        <f t="shared" si="83"/>
        <v>0</v>
      </c>
      <c r="S733" s="1">
        <v>296</v>
      </c>
      <c r="T733" s="14">
        <v>46236</v>
      </c>
    </row>
    <row r="734" spans="1:20" ht="21" customHeight="1" x14ac:dyDescent="0.45">
      <c r="A734" s="31">
        <v>46237.083333333336</v>
      </c>
      <c r="B734" s="31">
        <v>46237.084156428573</v>
      </c>
      <c r="C734" s="31">
        <v>46237.083333333336</v>
      </c>
      <c r="D734" s="1" t="s">
        <v>101</v>
      </c>
      <c r="E734" s="12">
        <v>1.9754285714285714E-2</v>
      </c>
      <c r="F734" s="12">
        <f>IF(D734="d",两日求解价格与决策!K305-两日求解价格与决策!N305,IF(D734="u",两日求解价格与决策!K305+两日求解价格与决策!M305,两日求解价格与决策!K305))</f>
        <v>23.747881174930498</v>
      </c>
      <c r="G734" s="12">
        <f t="shared" si="78"/>
        <v>0</v>
      </c>
      <c r="H734" s="12">
        <f t="shared" si="79"/>
        <v>23.747881174930498</v>
      </c>
      <c r="I734" s="12">
        <f t="shared" si="84"/>
        <v>32.249046119389661</v>
      </c>
      <c r="J734" s="12">
        <f>I734+E734*(G734*原始输入与口径!$B$5-H734/原始输入与口径!$B$5)</f>
        <v>31.739130434782613</v>
      </c>
      <c r="K734" s="12">
        <v>32.249046119389646</v>
      </c>
      <c r="L734" s="12">
        <v>31.739130434782599</v>
      </c>
      <c r="M734" s="19">
        <f t="shared" si="80"/>
        <v>0</v>
      </c>
      <c r="N734" s="12">
        <f>E734*(G734*原始输入与口径!$B$5+H734/原始输入与口径!$B$5)/原始输入与口径!$H$5</f>
        <v>1.4164324572417998E-3</v>
      </c>
      <c r="O734" s="12">
        <v>1.4164324572417998E-3</v>
      </c>
      <c r="P734" s="19">
        <f t="shared" si="81"/>
        <v>0</v>
      </c>
      <c r="Q734" s="12">
        <f t="shared" si="82"/>
        <v>0</v>
      </c>
      <c r="R734" s="12">
        <f t="shared" si="83"/>
        <v>0.46912242983848418</v>
      </c>
      <c r="S734" s="1">
        <v>297</v>
      </c>
      <c r="T734" s="14">
        <v>46236</v>
      </c>
    </row>
    <row r="735" spans="1:20" ht="21" customHeight="1" x14ac:dyDescent="0.45">
      <c r="A735" s="31">
        <v>46237.084156428573</v>
      </c>
      <c r="B735" s="31">
        <v>46237.09375</v>
      </c>
      <c r="C735" s="31">
        <v>46237.083333333336</v>
      </c>
      <c r="D735" s="1" t="s">
        <v>102</v>
      </c>
      <c r="E735" s="12">
        <v>0.23024571428571428</v>
      </c>
      <c r="F735" s="12">
        <f>IF(D735="d",两日求解价格与决策!K305-两日求解价格与决策!N305,IF(D735="u",两日求解价格与决策!K305+两日求解价格与决策!M305,两日求解价格与决策!K305))</f>
        <v>-0.25211882506950212</v>
      </c>
      <c r="G735" s="12">
        <f t="shared" si="78"/>
        <v>0.25211882506950212</v>
      </c>
      <c r="H735" s="12">
        <f t="shared" si="79"/>
        <v>0</v>
      </c>
      <c r="I735" s="12">
        <f t="shared" si="84"/>
        <v>31.739130434782613</v>
      </c>
      <c r="J735" s="12">
        <f>I735+E735*(G735*原始输入与口径!$B$5-H735/原始输入与口径!$B$5)</f>
        <v>31.792535771428575</v>
      </c>
      <c r="K735" s="12">
        <v>31.739130434782599</v>
      </c>
      <c r="L735" s="12">
        <v>31.792535771428561</v>
      </c>
      <c r="M735" s="19">
        <f t="shared" si="80"/>
        <v>0</v>
      </c>
      <c r="N735" s="12">
        <f>E735*(G735*原始输入与口径!$B$5+H735/原始输入与口径!$B$5)/原始输入与口径!$H$5</f>
        <v>1.4834815734989543E-4</v>
      </c>
      <c r="O735" s="12">
        <v>1.4834815734989543E-4</v>
      </c>
      <c r="P735" s="19">
        <f t="shared" si="81"/>
        <v>0</v>
      </c>
      <c r="Q735" s="12">
        <f t="shared" si="82"/>
        <v>5.8049278963002562E-2</v>
      </c>
      <c r="R735" s="12">
        <f t="shared" si="83"/>
        <v>0</v>
      </c>
      <c r="S735" s="1">
        <v>297</v>
      </c>
      <c r="T735" s="14">
        <v>46236</v>
      </c>
    </row>
    <row r="736" spans="1:20" ht="21" customHeight="1" x14ac:dyDescent="0.45">
      <c r="A736" s="31">
        <v>46237.09375</v>
      </c>
      <c r="B736" s="31">
        <v>46237.093869761906</v>
      </c>
      <c r="C736" s="31">
        <v>46237.09375</v>
      </c>
      <c r="D736" s="1" t="s">
        <v>103</v>
      </c>
      <c r="E736" s="12">
        <v>2.8742857142857142E-3</v>
      </c>
      <c r="F736" s="12">
        <f>IF(D736="d",两日求解价格与决策!K306-两日求解价格与决策!N306,IF(D736="u",两日求解价格与决策!K306+两日求解价格与决策!M306,两日求解价格与决策!K306))</f>
        <v>-24</v>
      </c>
      <c r="G736" s="12">
        <f t="shared" si="78"/>
        <v>24</v>
      </c>
      <c r="H736" s="12">
        <f t="shared" si="79"/>
        <v>0</v>
      </c>
      <c r="I736" s="12">
        <f t="shared" si="84"/>
        <v>31.792535771428575</v>
      </c>
      <c r="J736" s="12">
        <f>I736+E736*(G736*原始输入与口径!$B$5-H736/原始输入与口径!$B$5)</f>
        <v>31.856000000000005</v>
      </c>
      <c r="K736" s="12">
        <v>31.792535771428561</v>
      </c>
      <c r="L736" s="12">
        <v>31.855999999999991</v>
      </c>
      <c r="M736" s="19">
        <f t="shared" si="80"/>
        <v>0</v>
      </c>
      <c r="N736" s="12">
        <f>E736*(G736*原始输入与口径!$B$5+H736/原始输入与口径!$B$5)/原始输入与口径!$H$5</f>
        <v>1.762895238095238E-4</v>
      </c>
      <c r="O736" s="12">
        <v>1.762895238095238E-4</v>
      </c>
      <c r="P736" s="19">
        <f t="shared" si="81"/>
        <v>0</v>
      </c>
      <c r="Q736" s="12">
        <f t="shared" si="82"/>
        <v>6.8982857142857137E-2</v>
      </c>
      <c r="R736" s="12">
        <f t="shared" si="83"/>
        <v>0</v>
      </c>
      <c r="S736" s="1">
        <v>298</v>
      </c>
      <c r="T736" s="14">
        <v>46236</v>
      </c>
    </row>
    <row r="737" spans="1:20" ht="21" customHeight="1" x14ac:dyDescent="0.45">
      <c r="A737" s="31">
        <v>46237.093869761906</v>
      </c>
      <c r="B737" s="31">
        <v>46237.09405642857</v>
      </c>
      <c r="C737" s="31">
        <v>46237.09375</v>
      </c>
      <c r="D737" s="1" t="s">
        <v>101</v>
      </c>
      <c r="E737" s="12">
        <v>4.4800000000000005E-3</v>
      </c>
      <c r="F737" s="12">
        <f>IF(D737="d",两日求解价格与决策!K306-两日求解价格与决策!N306,IF(D737="u",两日求解价格与决策!K306+两日求解价格与决策!M306,两日求解价格与决策!K306))</f>
        <v>24</v>
      </c>
      <c r="G737" s="12">
        <f t="shared" si="78"/>
        <v>0</v>
      </c>
      <c r="H737" s="12">
        <f t="shared" si="79"/>
        <v>24</v>
      </c>
      <c r="I737" s="12">
        <f t="shared" si="84"/>
        <v>31.856000000000005</v>
      </c>
      <c r="J737" s="12">
        <f>I737+E737*(G737*原始输入与口径!$B$5-H737/原始输入与口径!$B$5)</f>
        <v>31.739130434782613</v>
      </c>
      <c r="K737" s="12">
        <v>31.855999999999991</v>
      </c>
      <c r="L737" s="12">
        <v>31.739130434782599</v>
      </c>
      <c r="M737" s="19">
        <f t="shared" si="80"/>
        <v>0</v>
      </c>
      <c r="N737" s="12">
        <f>E737*(G737*原始输入与口径!$B$5+H737/原始输入与口径!$B$5)/原始输入与口径!$H$5</f>
        <v>3.2463768115942028E-4</v>
      </c>
      <c r="O737" s="12">
        <v>3.2463768115942028E-4</v>
      </c>
      <c r="P737" s="19">
        <f t="shared" si="81"/>
        <v>0</v>
      </c>
      <c r="Q737" s="12">
        <f t="shared" si="82"/>
        <v>0</v>
      </c>
      <c r="R737" s="12">
        <f t="shared" si="83"/>
        <v>0.10752</v>
      </c>
      <c r="S737" s="1">
        <v>298</v>
      </c>
      <c r="T737" s="14">
        <v>46236</v>
      </c>
    </row>
    <row r="738" spans="1:20" ht="21" customHeight="1" x14ac:dyDescent="0.45">
      <c r="A738" s="31">
        <v>46237.09405642857</v>
      </c>
      <c r="B738" s="31">
        <v>46237.104166666664</v>
      </c>
      <c r="C738" s="31">
        <v>46237.09375</v>
      </c>
      <c r="D738" s="1" t="s">
        <v>102</v>
      </c>
      <c r="E738" s="12">
        <v>0.24264571428571427</v>
      </c>
      <c r="F738" s="12">
        <f>IF(D738="d",两日求解价格与决策!K306-两日求解价格与决策!N306,IF(D738="u",两日求解价格与决策!K306+两日求解价格与决策!M306,两日求解价格与决策!K306))</f>
        <v>0</v>
      </c>
      <c r="G738" s="12">
        <f t="shared" si="78"/>
        <v>0</v>
      </c>
      <c r="H738" s="12">
        <f t="shared" si="79"/>
        <v>0</v>
      </c>
      <c r="I738" s="12">
        <f t="shared" si="84"/>
        <v>31.739130434782613</v>
      </c>
      <c r="J738" s="12">
        <f>I738+E738*(G738*原始输入与口径!$B$5-H738/原始输入与口径!$B$5)</f>
        <v>31.739130434782613</v>
      </c>
      <c r="K738" s="12">
        <v>31.739130434782599</v>
      </c>
      <c r="L738" s="12">
        <v>31.739130434782599</v>
      </c>
      <c r="M738" s="19">
        <f t="shared" si="80"/>
        <v>0</v>
      </c>
      <c r="N738" s="12">
        <f>E738*(G738*原始输入与口径!$B$5+H738/原始输入与口径!$B$5)/原始输入与口径!$H$5</f>
        <v>0</v>
      </c>
      <c r="O738" s="12">
        <v>0</v>
      </c>
      <c r="P738" s="19">
        <f t="shared" si="81"/>
        <v>0</v>
      </c>
      <c r="Q738" s="12">
        <f t="shared" si="82"/>
        <v>0</v>
      </c>
      <c r="R738" s="12">
        <f t="shared" si="83"/>
        <v>0</v>
      </c>
      <c r="S738" s="1">
        <v>298</v>
      </c>
      <c r="T738" s="14">
        <v>46236</v>
      </c>
    </row>
    <row r="739" spans="1:20" ht="21" customHeight="1" x14ac:dyDescent="0.45">
      <c r="A739" s="31">
        <v>46237.104166666664</v>
      </c>
      <c r="B739" s="31">
        <v>46237.104314047618</v>
      </c>
      <c r="C739" s="31">
        <v>46237.104166666664</v>
      </c>
      <c r="D739" s="1" t="s">
        <v>103</v>
      </c>
      <c r="E739" s="12">
        <v>3.5371428571428572E-3</v>
      </c>
      <c r="F739" s="12">
        <f>IF(D739="d",两日求解价格与决策!K307-两日求解价格与决策!N307,IF(D739="u",两日求解价格与决策!K307+两日求解价格与决策!M307,两日求解价格与决策!K307))</f>
        <v>-24.185453388803257</v>
      </c>
      <c r="G739" s="12">
        <f t="shared" si="78"/>
        <v>24.185453388803257</v>
      </c>
      <c r="H739" s="12">
        <f t="shared" si="79"/>
        <v>0</v>
      </c>
      <c r="I739" s="12">
        <f t="shared" si="84"/>
        <v>31.739130434782613</v>
      </c>
      <c r="J739" s="12">
        <f>I739+E739*(G739*原始输入与口径!$B$5-H739/原始输入与口径!$B$5)</f>
        <v>31.817834046187503</v>
      </c>
      <c r="K739" s="12">
        <v>31.739130434782599</v>
      </c>
      <c r="L739" s="12">
        <v>31.817834046187489</v>
      </c>
      <c r="M739" s="19">
        <f t="shared" si="80"/>
        <v>0</v>
      </c>
      <c r="N739" s="12">
        <f>E739*(G739*原始输入与口径!$B$5+H739/原始输入与口径!$B$5)/原始输入与口径!$H$5</f>
        <v>2.1862114279136001E-4</v>
      </c>
      <c r="O739" s="12">
        <v>2.1862114279135996E-4</v>
      </c>
      <c r="P739" s="19">
        <f t="shared" si="81"/>
        <v>0</v>
      </c>
      <c r="Q739" s="12">
        <f t="shared" si="82"/>
        <v>8.5547403700966945E-2</v>
      </c>
      <c r="R739" s="12">
        <f t="shared" si="83"/>
        <v>0</v>
      </c>
      <c r="S739" s="1">
        <v>299</v>
      </c>
      <c r="T739" s="14">
        <v>46236</v>
      </c>
    </row>
    <row r="740" spans="1:20" ht="21" customHeight="1" x14ac:dyDescent="0.45">
      <c r="A740" s="31">
        <v>46237.104314047618</v>
      </c>
      <c r="B740" s="31">
        <v>46237.104355952375</v>
      </c>
      <c r="C740" s="31">
        <v>46237.104166666664</v>
      </c>
      <c r="D740" s="1" t="s">
        <v>101</v>
      </c>
      <c r="E740" s="12">
        <v>1.0057142857142856E-3</v>
      </c>
      <c r="F740" s="12">
        <f>IF(D740="d",两日求解价格与决策!K307-两日求解价格与决策!N307,IF(D740="u",两日求解价格与决策!K307+两日求解价格与决策!M307,两日求解价格与决策!K307))</f>
        <v>23.814546611196743</v>
      </c>
      <c r="G740" s="12">
        <f t="shared" si="78"/>
        <v>0</v>
      </c>
      <c r="H740" s="12">
        <f t="shared" si="79"/>
        <v>23.814546611196743</v>
      </c>
      <c r="I740" s="12">
        <f t="shared" si="84"/>
        <v>31.817834046187503</v>
      </c>
      <c r="J740" s="12">
        <f>I740+E740*(G740*原始输入与口径!$B$5-H740/原始输入与口径!$B$5)</f>
        <v>31.791800752997624</v>
      </c>
      <c r="K740" s="12">
        <v>31.817834046187489</v>
      </c>
      <c r="L740" s="12">
        <v>31.791800752997609</v>
      </c>
      <c r="M740" s="19">
        <f t="shared" si="80"/>
        <v>0</v>
      </c>
      <c r="N740" s="12">
        <f>E740*(G740*原始输入与口径!$B$5+H740/原始输入与口径!$B$5)/原始输入与口径!$H$5</f>
        <v>7.2314703305221298E-5</v>
      </c>
      <c r="O740" s="12">
        <v>7.2314703305221298E-5</v>
      </c>
      <c r="P740" s="19">
        <f t="shared" si="81"/>
        <v>0</v>
      </c>
      <c r="Q740" s="12">
        <f t="shared" si="82"/>
        <v>0</v>
      </c>
      <c r="R740" s="12">
        <f t="shared" si="83"/>
        <v>2.3950629734689293E-2</v>
      </c>
      <c r="S740" s="1">
        <v>299</v>
      </c>
      <c r="T740" s="14">
        <v>46236</v>
      </c>
    </row>
    <row r="741" spans="1:20" ht="21" customHeight="1" x14ac:dyDescent="0.45">
      <c r="A741" s="31">
        <v>46237.104355952375</v>
      </c>
      <c r="B741" s="31">
        <v>46237.114583333328</v>
      </c>
      <c r="C741" s="31">
        <v>46237.104166666664</v>
      </c>
      <c r="D741" s="1" t="s">
        <v>102</v>
      </c>
      <c r="E741" s="12">
        <v>0.24545714285714287</v>
      </c>
      <c r="F741" s="12">
        <f>IF(D741="d",两日求解价格与决策!K307-两日求解价格与决策!N307,IF(D741="u",两日求解价格与决策!K307+两日求解价格与决策!M307,两日求解价格与决策!K307))</f>
        <v>-0.18545338880325624</v>
      </c>
      <c r="G741" s="12">
        <f t="shared" si="78"/>
        <v>0.18545338880325624</v>
      </c>
      <c r="H741" s="12">
        <f t="shared" si="79"/>
        <v>0</v>
      </c>
      <c r="I741" s="12">
        <f t="shared" si="84"/>
        <v>31.791800752997624</v>
      </c>
      <c r="J741" s="12">
        <f>I741+E741*(G741*原始输入与口径!$B$5-H741/原始输入与口径!$B$5)</f>
        <v>31.833679943230539</v>
      </c>
      <c r="K741" s="12">
        <v>31.791800752997609</v>
      </c>
      <c r="L741" s="12">
        <v>31.833679943230525</v>
      </c>
      <c r="M741" s="19">
        <f t="shared" si="80"/>
        <v>0</v>
      </c>
      <c r="N741" s="12">
        <f>E741*(G741*原始输入与口径!$B$5+H741/原始输入与口径!$B$5)/原始输入与口径!$H$5</f>
        <v>1.1633108398032322E-4</v>
      </c>
      <c r="O741" s="12">
        <v>1.1633108398032323E-4</v>
      </c>
      <c r="P741" s="19">
        <f t="shared" si="81"/>
        <v>0</v>
      </c>
      <c r="Q741" s="12">
        <f t="shared" si="82"/>
        <v>4.5520858948822129E-2</v>
      </c>
      <c r="R741" s="12">
        <f t="shared" si="83"/>
        <v>0</v>
      </c>
      <c r="S741" s="1">
        <v>299</v>
      </c>
      <c r="T741" s="14">
        <v>46236</v>
      </c>
    </row>
    <row r="742" spans="1:20" ht="21" customHeight="1" x14ac:dyDescent="0.45">
      <c r="A742" s="31">
        <v>46237.114583333336</v>
      </c>
      <c r="B742" s="31">
        <v>46237.115060000004</v>
      </c>
      <c r="C742" s="31">
        <v>46237.114583333336</v>
      </c>
      <c r="D742" s="1" t="s">
        <v>103</v>
      </c>
      <c r="E742" s="12">
        <v>1.1439999999999999E-2</v>
      </c>
      <c r="F742" s="12">
        <f>IF(D742="d",两日求解价格与决策!K308-两日求解价格与决策!N308,IF(D742="u",两日求解价格与决策!K308+两日求解价格与决策!M308,两日求解价格与决策!K308))</f>
        <v>-24.475016533074172</v>
      </c>
      <c r="G742" s="12">
        <f t="shared" si="78"/>
        <v>24.475016533074172</v>
      </c>
      <c r="H742" s="12">
        <f t="shared" si="79"/>
        <v>0</v>
      </c>
      <c r="I742" s="12">
        <f t="shared" si="84"/>
        <v>31.833679943230539</v>
      </c>
      <c r="J742" s="12">
        <f>I742+E742*(G742*原始输入与口径!$B$5-H742/原始输入与口径!$B$5)</f>
        <v>32.091274597237835</v>
      </c>
      <c r="K742" s="12">
        <v>31.833679943230525</v>
      </c>
      <c r="L742" s="12">
        <v>32.09127459723782</v>
      </c>
      <c r="M742" s="19">
        <f t="shared" si="80"/>
        <v>0</v>
      </c>
      <c r="N742" s="12">
        <f>E742*(G742*原始输入与口径!$B$5+H742/原始输入与口径!$B$5)/原始输入与口径!$H$5</f>
        <v>7.1554070557583059E-4</v>
      </c>
      <c r="O742" s="12">
        <v>7.1554070557583059E-4</v>
      </c>
      <c r="P742" s="19">
        <f t="shared" si="81"/>
        <v>0</v>
      </c>
      <c r="Q742" s="12">
        <f t="shared" si="82"/>
        <v>0.27999418913836849</v>
      </c>
      <c r="R742" s="12">
        <f t="shared" si="83"/>
        <v>0</v>
      </c>
      <c r="S742" s="1">
        <v>300</v>
      </c>
      <c r="T742" s="14">
        <v>46236</v>
      </c>
    </row>
    <row r="743" spans="1:20" ht="21" customHeight="1" x14ac:dyDescent="0.45">
      <c r="A743" s="31">
        <v>46237.115060000004</v>
      </c>
      <c r="B743" s="31">
        <v>46237.115633809524</v>
      </c>
      <c r="C743" s="31">
        <v>46237.114583333336</v>
      </c>
      <c r="D743" s="1" t="s">
        <v>101</v>
      </c>
      <c r="E743" s="12">
        <v>1.3771428571428572E-2</v>
      </c>
      <c r="F743" s="12">
        <f>IF(D743="d",两日求解价格与决策!K308-两日求解价格与决策!N308,IF(D743="u",两日求解价格与决策!K308+两日求解价格与决策!M308,两日求解价格与决策!K308))</f>
        <v>23.524983466925828</v>
      </c>
      <c r="G743" s="12">
        <f t="shared" si="78"/>
        <v>0</v>
      </c>
      <c r="H743" s="12">
        <f t="shared" si="79"/>
        <v>23.524983466925828</v>
      </c>
      <c r="I743" s="12">
        <f t="shared" si="84"/>
        <v>32.091274597237835</v>
      </c>
      <c r="J743" s="12">
        <f>I743+E743*(G743*原始输入与口径!$B$5-H743/原始输入与口径!$B$5)</f>
        <v>31.739130434782609</v>
      </c>
      <c r="K743" s="12">
        <v>32.09127459723782</v>
      </c>
      <c r="L743" s="12">
        <v>31.739130434782595</v>
      </c>
      <c r="M743" s="19">
        <f t="shared" si="80"/>
        <v>0</v>
      </c>
      <c r="N743" s="12">
        <f>E743*(G743*原始输入与口径!$B$5+H743/原始输入与口径!$B$5)/原始输入与口径!$H$5</f>
        <v>9.7817822904229198E-4</v>
      </c>
      <c r="O743" s="12">
        <v>9.7817822904229198E-4</v>
      </c>
      <c r="P743" s="19">
        <f t="shared" si="81"/>
        <v>0</v>
      </c>
      <c r="Q743" s="12">
        <f t="shared" si="82"/>
        <v>0</v>
      </c>
      <c r="R743" s="12">
        <f t="shared" si="83"/>
        <v>0.32397262945880712</v>
      </c>
      <c r="S743" s="1">
        <v>300</v>
      </c>
      <c r="T743" s="14">
        <v>46236</v>
      </c>
    </row>
    <row r="744" spans="1:20" ht="21" customHeight="1" x14ac:dyDescent="0.45">
      <c r="A744" s="31">
        <v>46237.115633809524</v>
      </c>
      <c r="B744" s="31">
        <v>46237.125</v>
      </c>
      <c r="C744" s="31">
        <v>46237.114583333336</v>
      </c>
      <c r="D744" s="1" t="s">
        <v>102</v>
      </c>
      <c r="E744" s="12">
        <v>0.22478857142857142</v>
      </c>
      <c r="F744" s="12">
        <f>IF(D744="d",两日求解价格与决策!K308-两日求解价格与决策!N308,IF(D744="u",两日求解价格与决策!K308+两日求解价格与决策!M308,两日求解价格与决策!K308))</f>
        <v>-0.47501653307417124</v>
      </c>
      <c r="G744" s="12">
        <f t="shared" si="78"/>
        <v>0.47501653307417124</v>
      </c>
      <c r="H744" s="12">
        <f t="shared" si="79"/>
        <v>0</v>
      </c>
      <c r="I744" s="12">
        <f t="shared" si="84"/>
        <v>31.739130434782609</v>
      </c>
      <c r="J744" s="12">
        <f>I744+E744*(G744*原始输入与口径!$B$5-H744/原始输入与口径!$B$5)</f>
        <v>31.837366459627329</v>
      </c>
      <c r="K744" s="12">
        <v>31.739130434782595</v>
      </c>
      <c r="L744" s="12">
        <v>31.837366459627315</v>
      </c>
      <c r="M744" s="19">
        <f t="shared" si="80"/>
        <v>0</v>
      </c>
      <c r="N744" s="12">
        <f>E744*(G744*原始输入与口径!$B$5+H744/原始输入与口径!$B$5)/原始输入与口径!$H$5</f>
        <v>2.7287784679088902E-4</v>
      </c>
      <c r="O744" s="12">
        <v>2.7287784679088902E-4</v>
      </c>
      <c r="P744" s="19">
        <f t="shared" si="81"/>
        <v>0</v>
      </c>
      <c r="Q744" s="12">
        <f t="shared" si="82"/>
        <v>0.1067782878746957</v>
      </c>
      <c r="R744" s="12">
        <f t="shared" si="83"/>
        <v>0</v>
      </c>
      <c r="S744" s="1">
        <v>300</v>
      </c>
      <c r="T744" s="14">
        <v>46236</v>
      </c>
    </row>
    <row r="745" spans="1:20" ht="21" customHeight="1" x14ac:dyDescent="0.45">
      <c r="A745" s="31">
        <v>46237.125</v>
      </c>
      <c r="B745" s="31">
        <v>46237.12515690476</v>
      </c>
      <c r="C745" s="31">
        <v>46237.125</v>
      </c>
      <c r="D745" s="1" t="s">
        <v>101</v>
      </c>
      <c r="E745" s="12">
        <v>3.7657142857142859E-3</v>
      </c>
      <c r="F745" s="12">
        <f>IF(D745="d",两日求解价格与决策!K309-两日求解价格与决策!N309,IF(D745="u",两日求解价格与决策!K309+两日求解价格与决策!M309,两日求解价格与决策!K309))</f>
        <v>24</v>
      </c>
      <c r="G745" s="12">
        <f t="shared" si="78"/>
        <v>0</v>
      </c>
      <c r="H745" s="12">
        <f t="shared" si="79"/>
        <v>24</v>
      </c>
      <c r="I745" s="12">
        <f t="shared" si="84"/>
        <v>31.837366459627329</v>
      </c>
      <c r="J745" s="12">
        <f>I745+E745*(G745*原始输入与口径!$B$5-H745/原始输入与口径!$B$5)</f>
        <v>31.739130434782609</v>
      </c>
      <c r="K745" s="12">
        <v>31.837366459627315</v>
      </c>
      <c r="L745" s="12">
        <v>31.739130434782595</v>
      </c>
      <c r="M745" s="19">
        <f t="shared" si="80"/>
        <v>0</v>
      </c>
      <c r="N745" s="12">
        <f>E745*(G745*原始输入与口径!$B$5+H745/原始输入与口径!$B$5)/原始输入与口径!$H$5</f>
        <v>2.7287784679089027E-4</v>
      </c>
      <c r="O745" s="12">
        <v>2.7287784679089032E-4</v>
      </c>
      <c r="P745" s="19">
        <f t="shared" si="81"/>
        <v>0</v>
      </c>
      <c r="Q745" s="12">
        <f t="shared" si="82"/>
        <v>0</v>
      </c>
      <c r="R745" s="12">
        <f t="shared" si="83"/>
        <v>9.0377142857142864E-2</v>
      </c>
      <c r="S745" s="1">
        <v>301</v>
      </c>
      <c r="T745" s="14">
        <v>46236</v>
      </c>
    </row>
    <row r="746" spans="1:20" ht="21" customHeight="1" x14ac:dyDescent="0.45">
      <c r="A746" s="31">
        <v>46237.12515690476</v>
      </c>
      <c r="B746" s="31">
        <v>46237.135416666664</v>
      </c>
      <c r="C746" s="31">
        <v>46237.125</v>
      </c>
      <c r="D746" s="1" t="s">
        <v>102</v>
      </c>
      <c r="E746" s="12">
        <v>0.24623428571428571</v>
      </c>
      <c r="F746" s="12">
        <f>IF(D746="d",两日求解价格与决策!K309-两日求解价格与决策!N309,IF(D746="u",两日求解价格与决策!K309+两日求解价格与决策!M309,两日求解价格与决策!K309))</f>
        <v>0</v>
      </c>
      <c r="G746" s="12">
        <f t="shared" si="78"/>
        <v>0</v>
      </c>
      <c r="H746" s="12">
        <f t="shared" si="79"/>
        <v>0</v>
      </c>
      <c r="I746" s="12">
        <f t="shared" si="84"/>
        <v>31.739130434782609</v>
      </c>
      <c r="J746" s="12">
        <f>I746+E746*(G746*原始输入与口径!$B$5-H746/原始输入与口径!$B$5)</f>
        <v>31.739130434782609</v>
      </c>
      <c r="K746" s="12">
        <v>31.739130434782595</v>
      </c>
      <c r="L746" s="12">
        <v>31.739130434782595</v>
      </c>
      <c r="M746" s="19">
        <f t="shared" si="80"/>
        <v>0</v>
      </c>
      <c r="N746" s="12">
        <f>E746*(G746*原始输入与口径!$B$5+H746/原始输入与口径!$B$5)/原始输入与口径!$H$5</f>
        <v>0</v>
      </c>
      <c r="O746" s="12">
        <v>0</v>
      </c>
      <c r="P746" s="19">
        <f t="shared" si="81"/>
        <v>0</v>
      </c>
      <c r="Q746" s="12">
        <f t="shared" si="82"/>
        <v>0</v>
      </c>
      <c r="R746" s="12">
        <f t="shared" si="83"/>
        <v>0</v>
      </c>
      <c r="S746" s="1">
        <v>301</v>
      </c>
      <c r="T746" s="14">
        <v>46236</v>
      </c>
    </row>
    <row r="747" spans="1:20" ht="21" customHeight="1" x14ac:dyDescent="0.45">
      <c r="A747" s="31">
        <v>46237.135416666664</v>
      </c>
      <c r="B747" s="31">
        <v>46237.136509047617</v>
      </c>
      <c r="C747" s="31">
        <v>46237.135416666664</v>
      </c>
      <c r="D747" s="1" t="s">
        <v>103</v>
      </c>
      <c r="E747" s="12">
        <v>2.6217142857142859E-2</v>
      </c>
      <c r="F747" s="12">
        <f>IF(D747="d",两日求解价格与决策!K310-两日求解价格与决策!N310,IF(D747="u",两日求解价格与决策!K310+两日求解价格与决策!M310,两日求解价格与决策!K310))</f>
        <v>-24</v>
      </c>
      <c r="G747" s="12">
        <f t="shared" si="78"/>
        <v>24</v>
      </c>
      <c r="H747" s="12">
        <f t="shared" si="79"/>
        <v>0</v>
      </c>
      <c r="I747" s="12">
        <f t="shared" si="84"/>
        <v>31.739130434782609</v>
      </c>
      <c r="J747" s="12">
        <f>I747+E747*(G747*原始输入与口径!$B$5-H747/原始输入与口径!$B$5)</f>
        <v>32.318004949068325</v>
      </c>
      <c r="K747" s="12">
        <v>31.739130434782595</v>
      </c>
      <c r="L747" s="12">
        <v>32.31800494906831</v>
      </c>
      <c r="M747" s="19">
        <f t="shared" si="80"/>
        <v>0</v>
      </c>
      <c r="N747" s="12">
        <f>E747*(G747*原始输入与口径!$B$5+H747/原始输入与口径!$B$5)/原始输入与口径!$H$5</f>
        <v>1.6079847619047622E-3</v>
      </c>
      <c r="O747" s="12">
        <v>1.6079847619047622E-3</v>
      </c>
      <c r="P747" s="19">
        <f t="shared" si="81"/>
        <v>0</v>
      </c>
      <c r="Q747" s="12">
        <f t="shared" si="82"/>
        <v>0.62921142857142864</v>
      </c>
      <c r="R747" s="12">
        <f t="shared" si="83"/>
        <v>0</v>
      </c>
      <c r="S747" s="1">
        <v>302</v>
      </c>
      <c r="T747" s="14">
        <v>46236</v>
      </c>
    </row>
    <row r="748" spans="1:20" ht="21" customHeight="1" x14ac:dyDescent="0.45">
      <c r="A748" s="31">
        <v>46237.136509047617</v>
      </c>
      <c r="B748" s="31">
        <v>46237.136510714285</v>
      </c>
      <c r="C748" s="31">
        <v>46237.135416666664</v>
      </c>
      <c r="D748" s="1" t="s">
        <v>101</v>
      </c>
      <c r="E748" s="12">
        <v>4.0000000000000003E-5</v>
      </c>
      <c r="F748" s="12">
        <f>IF(D748="d",两日求解价格与决策!K310-两日求解价格与决策!N310,IF(D748="u",两日求解价格与决策!K310+两日求解价格与决策!M310,两日求解价格与决策!K310))</f>
        <v>24</v>
      </c>
      <c r="G748" s="12">
        <f t="shared" si="78"/>
        <v>0</v>
      </c>
      <c r="H748" s="12">
        <f t="shared" si="79"/>
        <v>24</v>
      </c>
      <c r="I748" s="12">
        <f t="shared" si="84"/>
        <v>32.318004949068325</v>
      </c>
      <c r="J748" s="12">
        <f>I748+E748*(G748*原始输入与口径!$B$5-H748/原始输入与口径!$B$5)</f>
        <v>32.316961470807456</v>
      </c>
      <c r="K748" s="12">
        <v>32.31800494906831</v>
      </c>
      <c r="L748" s="12">
        <v>32.316961470807442</v>
      </c>
      <c r="M748" s="19">
        <f t="shared" si="80"/>
        <v>0</v>
      </c>
      <c r="N748" s="12">
        <f>E748*(G748*原始输入与口径!$B$5+H748/原始输入与口径!$B$5)/原始输入与口径!$H$5</f>
        <v>2.8985507246376816E-6</v>
      </c>
      <c r="O748" s="12">
        <v>2.8985507246376816E-6</v>
      </c>
      <c r="P748" s="19">
        <f t="shared" si="81"/>
        <v>0</v>
      </c>
      <c r="Q748" s="12">
        <f t="shared" si="82"/>
        <v>0</v>
      </c>
      <c r="R748" s="12">
        <f t="shared" si="83"/>
        <v>9.6000000000000013E-4</v>
      </c>
      <c r="S748" s="1">
        <v>302</v>
      </c>
      <c r="T748" s="14">
        <v>46236</v>
      </c>
    </row>
    <row r="749" spans="1:20" ht="21" customHeight="1" x14ac:dyDescent="0.45">
      <c r="A749" s="31">
        <v>46237.136510714285</v>
      </c>
      <c r="B749" s="31">
        <v>46237.145833333328</v>
      </c>
      <c r="C749" s="31">
        <v>46237.135416666664</v>
      </c>
      <c r="D749" s="1" t="s">
        <v>102</v>
      </c>
      <c r="E749" s="12">
        <v>0.22374285714285713</v>
      </c>
      <c r="F749" s="12">
        <f>IF(D749="d",两日求解价格与决策!K310-两日求解价格与决策!N310,IF(D749="u",两日求解价格与决策!K310+两日求解价格与决策!M310,两日求解价格与决策!K310))</f>
        <v>0</v>
      </c>
      <c r="G749" s="12">
        <f t="shared" si="78"/>
        <v>0</v>
      </c>
      <c r="H749" s="12">
        <f t="shared" si="79"/>
        <v>0</v>
      </c>
      <c r="I749" s="12">
        <f t="shared" si="84"/>
        <v>32.316961470807456</v>
      </c>
      <c r="J749" s="12">
        <f>I749+E749*(G749*原始输入与口径!$B$5-H749/原始输入与口径!$B$5)</f>
        <v>32.316961470807456</v>
      </c>
      <c r="K749" s="12">
        <v>32.316961470807442</v>
      </c>
      <c r="L749" s="12">
        <v>32.316961470807442</v>
      </c>
      <c r="M749" s="19">
        <f t="shared" si="80"/>
        <v>0</v>
      </c>
      <c r="N749" s="12">
        <f>E749*(G749*原始输入与口径!$B$5+H749/原始输入与口径!$B$5)/原始输入与口径!$H$5</f>
        <v>0</v>
      </c>
      <c r="O749" s="12">
        <v>0</v>
      </c>
      <c r="P749" s="19">
        <f t="shared" si="81"/>
        <v>0</v>
      </c>
      <c r="Q749" s="12">
        <f t="shared" si="82"/>
        <v>0</v>
      </c>
      <c r="R749" s="12">
        <f t="shared" si="83"/>
        <v>0</v>
      </c>
      <c r="S749" s="1">
        <v>302</v>
      </c>
      <c r="T749" s="14">
        <v>46236</v>
      </c>
    </row>
    <row r="750" spans="1:20" ht="21" customHeight="1" x14ac:dyDescent="0.45">
      <c r="A750" s="31">
        <v>46237.145833333336</v>
      </c>
      <c r="B750" s="31">
        <v>46237.145973571431</v>
      </c>
      <c r="C750" s="31">
        <v>46237.145833333336</v>
      </c>
      <c r="D750" s="1" t="s">
        <v>103</v>
      </c>
      <c r="E750" s="12">
        <v>3.3657142857142857E-3</v>
      </c>
      <c r="F750" s="12">
        <f>IF(D750="d",两日求解价格与决策!K311-两日求解价格与决策!N311,IF(D750="u",两日求解价格与决策!K311+两日求解价格与决策!M311,两日求解价格与决策!K311))</f>
        <v>-24</v>
      </c>
      <c r="G750" s="12">
        <f t="shared" si="78"/>
        <v>24</v>
      </c>
      <c r="H750" s="12">
        <f t="shared" si="79"/>
        <v>0</v>
      </c>
      <c r="I750" s="12">
        <f t="shared" si="84"/>
        <v>32.316961470807456</v>
      </c>
      <c r="J750" s="12">
        <f>I750+E750*(G750*原始输入与口径!$B$5-H750/原始输入与口径!$B$5)</f>
        <v>32.391276442236027</v>
      </c>
      <c r="K750" s="12">
        <v>32.316961470807442</v>
      </c>
      <c r="L750" s="12">
        <v>32.391276442236013</v>
      </c>
      <c r="M750" s="19">
        <f t="shared" si="80"/>
        <v>0</v>
      </c>
      <c r="N750" s="12">
        <f>E750*(G750*原始输入与口径!$B$5+H750/原始输入与口径!$B$5)/原始输入与口径!$H$5</f>
        <v>2.064304761904762E-4</v>
      </c>
      <c r="O750" s="12">
        <v>2.0643047619047617E-4</v>
      </c>
      <c r="P750" s="19">
        <f t="shared" si="81"/>
        <v>0</v>
      </c>
      <c r="Q750" s="12">
        <f t="shared" si="82"/>
        <v>8.0777142857142853E-2</v>
      </c>
      <c r="R750" s="12">
        <f t="shared" si="83"/>
        <v>0</v>
      </c>
      <c r="S750" s="1">
        <v>303</v>
      </c>
      <c r="T750" s="14">
        <v>46236</v>
      </c>
    </row>
    <row r="751" spans="1:20" ht="21" customHeight="1" x14ac:dyDescent="0.45">
      <c r="A751" s="31">
        <v>46237.145973571431</v>
      </c>
      <c r="B751" s="31">
        <v>46237.145975238098</v>
      </c>
      <c r="C751" s="31">
        <v>46237.145833333336</v>
      </c>
      <c r="D751" s="1" t="s">
        <v>101</v>
      </c>
      <c r="E751" s="12">
        <v>4.0000000000000003E-5</v>
      </c>
      <c r="F751" s="12">
        <f>IF(D751="d",两日求解价格与决策!K311-两日求解价格与决策!N311,IF(D751="u",两日求解价格与决策!K311+两日求解价格与决策!M311,两日求解价格与决策!K311))</f>
        <v>24</v>
      </c>
      <c r="G751" s="12">
        <f t="shared" si="78"/>
        <v>0</v>
      </c>
      <c r="H751" s="12">
        <f t="shared" si="79"/>
        <v>24</v>
      </c>
      <c r="I751" s="12">
        <f t="shared" si="84"/>
        <v>32.391276442236027</v>
      </c>
      <c r="J751" s="12">
        <f>I751+E751*(G751*原始输入与口径!$B$5-H751/原始输入与口径!$B$5)</f>
        <v>32.390232963975158</v>
      </c>
      <c r="K751" s="12">
        <v>32.391276442236013</v>
      </c>
      <c r="L751" s="12">
        <v>32.390232963975144</v>
      </c>
      <c r="M751" s="19">
        <f t="shared" si="80"/>
        <v>0</v>
      </c>
      <c r="N751" s="12">
        <f>E751*(G751*原始输入与口径!$B$5+H751/原始输入与口径!$B$5)/原始输入与口径!$H$5</f>
        <v>2.8985507246376816E-6</v>
      </c>
      <c r="O751" s="12">
        <v>2.8985507246376816E-6</v>
      </c>
      <c r="P751" s="19">
        <f t="shared" si="81"/>
        <v>0</v>
      </c>
      <c r="Q751" s="12">
        <f t="shared" si="82"/>
        <v>0</v>
      </c>
      <c r="R751" s="12">
        <f t="shared" si="83"/>
        <v>9.6000000000000013E-4</v>
      </c>
      <c r="S751" s="1">
        <v>303</v>
      </c>
      <c r="T751" s="14">
        <v>46236</v>
      </c>
    </row>
    <row r="752" spans="1:20" ht="21" customHeight="1" x14ac:dyDescent="0.45">
      <c r="A752" s="31">
        <v>46237.145975238098</v>
      </c>
      <c r="B752" s="31">
        <v>46237.15625</v>
      </c>
      <c r="C752" s="31">
        <v>46237.145833333336</v>
      </c>
      <c r="D752" s="1" t="s">
        <v>102</v>
      </c>
      <c r="E752" s="12">
        <v>0.24659428571428571</v>
      </c>
      <c r="F752" s="12">
        <f>IF(D752="d",两日求解价格与决策!K311-两日求解价格与决策!N311,IF(D752="u",两日求解价格与决策!K311+两日求解价格与决策!M311,两日求解价格与决策!K311))</f>
        <v>0</v>
      </c>
      <c r="G752" s="12">
        <f t="shared" si="78"/>
        <v>0</v>
      </c>
      <c r="H752" s="12">
        <f t="shared" si="79"/>
        <v>0</v>
      </c>
      <c r="I752" s="12">
        <f t="shared" si="84"/>
        <v>32.390232963975158</v>
      </c>
      <c r="J752" s="12">
        <f>I752+E752*(G752*原始输入与口径!$B$5-H752/原始输入与口径!$B$5)</f>
        <v>32.390232963975158</v>
      </c>
      <c r="K752" s="12">
        <v>32.390232963975144</v>
      </c>
      <c r="L752" s="12">
        <v>32.390232963975144</v>
      </c>
      <c r="M752" s="19">
        <f t="shared" si="80"/>
        <v>0</v>
      </c>
      <c r="N752" s="12">
        <f>E752*(G752*原始输入与口径!$B$5+H752/原始输入与口径!$B$5)/原始输入与口径!$H$5</f>
        <v>0</v>
      </c>
      <c r="O752" s="12">
        <v>0</v>
      </c>
      <c r="P752" s="19">
        <f t="shared" si="81"/>
        <v>0</v>
      </c>
      <c r="Q752" s="12">
        <f t="shared" si="82"/>
        <v>0</v>
      </c>
      <c r="R752" s="12">
        <f t="shared" si="83"/>
        <v>0</v>
      </c>
      <c r="S752" s="1">
        <v>303</v>
      </c>
      <c r="T752" s="14">
        <v>46236</v>
      </c>
    </row>
    <row r="753" spans="1:20" ht="21" customHeight="1" x14ac:dyDescent="0.45">
      <c r="A753" s="31">
        <v>46237.15625</v>
      </c>
      <c r="B753" s="31">
        <v>46237.157404523809</v>
      </c>
      <c r="C753" s="31">
        <v>46237.15625</v>
      </c>
      <c r="D753" s="1" t="s">
        <v>103</v>
      </c>
      <c r="E753" s="12">
        <v>2.770857142857143E-2</v>
      </c>
      <c r="F753" s="12">
        <f>IF(D753="d",两日求解价格与决策!K312-两日求解价格与决策!N312,IF(D753="u",两日求解价格与决策!K312+两日求解价格与决策!M312,两日求解价格与决策!K312))</f>
        <v>-24</v>
      </c>
      <c r="G753" s="12">
        <f t="shared" si="78"/>
        <v>24</v>
      </c>
      <c r="H753" s="12">
        <f t="shared" si="79"/>
        <v>0</v>
      </c>
      <c r="I753" s="12">
        <f t="shared" si="84"/>
        <v>32.390232963975158</v>
      </c>
      <c r="J753" s="12">
        <f>I753+E753*(G753*原始输入与口径!$B$5-H753/原始输入与口径!$B$5)</f>
        <v>33.002038221118013</v>
      </c>
      <c r="K753" s="12">
        <v>32.390232963975144</v>
      </c>
      <c r="L753" s="12">
        <v>33.002038221117999</v>
      </c>
      <c r="M753" s="19">
        <f t="shared" si="80"/>
        <v>0</v>
      </c>
      <c r="N753" s="12">
        <f>E753*(G753*原始输入与口径!$B$5+H753/原始输入与口径!$B$5)/原始输入与口径!$H$5</f>
        <v>1.699459047619048E-3</v>
      </c>
      <c r="O753" s="12">
        <v>1.6994590476190478E-3</v>
      </c>
      <c r="P753" s="19">
        <f t="shared" si="81"/>
        <v>0</v>
      </c>
      <c r="Q753" s="12">
        <f t="shared" si="82"/>
        <v>0.66500571428571431</v>
      </c>
      <c r="R753" s="12">
        <f t="shared" si="83"/>
        <v>0</v>
      </c>
      <c r="S753" s="1">
        <v>304</v>
      </c>
      <c r="T753" s="14">
        <v>46236</v>
      </c>
    </row>
    <row r="754" spans="1:20" ht="21" customHeight="1" x14ac:dyDescent="0.45">
      <c r="A754" s="31">
        <v>46237.157404523809</v>
      </c>
      <c r="B754" s="31">
        <v>46237.166666666664</v>
      </c>
      <c r="C754" s="31">
        <v>46237.15625</v>
      </c>
      <c r="D754" s="1" t="s">
        <v>102</v>
      </c>
      <c r="E754" s="12">
        <v>0.22229142857142858</v>
      </c>
      <c r="F754" s="12">
        <f>IF(D754="d",两日求解价格与决策!K312-两日求解价格与决策!N312,IF(D754="u",两日求解价格与决策!K312+两日求解价格与决策!M312,两日求解价格与决策!K312))</f>
        <v>0</v>
      </c>
      <c r="G754" s="12">
        <f t="shared" si="78"/>
        <v>0</v>
      </c>
      <c r="H754" s="12">
        <f t="shared" si="79"/>
        <v>0</v>
      </c>
      <c r="I754" s="12">
        <f t="shared" si="84"/>
        <v>33.002038221118013</v>
      </c>
      <c r="J754" s="12">
        <f>I754+E754*(G754*原始输入与口径!$B$5-H754/原始输入与口径!$B$5)</f>
        <v>33.002038221118013</v>
      </c>
      <c r="K754" s="12">
        <v>33.002038221117999</v>
      </c>
      <c r="L754" s="12">
        <v>33.002038221117999</v>
      </c>
      <c r="M754" s="19">
        <f t="shared" si="80"/>
        <v>0</v>
      </c>
      <c r="N754" s="12">
        <f>E754*(G754*原始输入与口径!$B$5+H754/原始输入与口径!$B$5)/原始输入与口径!$H$5</f>
        <v>0</v>
      </c>
      <c r="O754" s="12">
        <v>0</v>
      </c>
      <c r="P754" s="19">
        <f t="shared" si="81"/>
        <v>0</v>
      </c>
      <c r="Q754" s="12">
        <f t="shared" si="82"/>
        <v>0</v>
      </c>
      <c r="R754" s="12">
        <f t="shared" si="83"/>
        <v>0</v>
      </c>
      <c r="S754" s="1">
        <v>304</v>
      </c>
      <c r="T754" s="14">
        <v>46236</v>
      </c>
    </row>
    <row r="755" spans="1:20" ht="21" customHeight="1" x14ac:dyDescent="0.45">
      <c r="A755" s="31">
        <v>46237.166666666664</v>
      </c>
      <c r="B755" s="31">
        <v>46237.167578809524</v>
      </c>
      <c r="C755" s="31">
        <v>46237.166666666664</v>
      </c>
      <c r="D755" s="1" t="s">
        <v>103</v>
      </c>
      <c r="E755" s="12">
        <v>2.1891428571428572E-2</v>
      </c>
      <c r="F755" s="12">
        <f>IF(D755="d",两日求解价格与决策!K313-两日求解价格与决策!N313,IF(D755="u",两日求解价格与决策!K313+两日求解价格与决策!M313,两日求解价格与决策!K313))</f>
        <v>-24</v>
      </c>
      <c r="G755" s="12">
        <f t="shared" si="78"/>
        <v>24</v>
      </c>
      <c r="H755" s="12">
        <f t="shared" si="79"/>
        <v>0</v>
      </c>
      <c r="I755" s="12">
        <f t="shared" si="84"/>
        <v>33.002038221118013</v>
      </c>
      <c r="J755" s="12">
        <f>I755+E755*(G755*原始输入与口径!$B$5-H755/原始输入与口径!$B$5)</f>
        <v>33.48540096397516</v>
      </c>
      <c r="K755" s="12">
        <v>33.002038221117999</v>
      </c>
      <c r="L755" s="12">
        <v>33.485400963975145</v>
      </c>
      <c r="M755" s="19">
        <f t="shared" si="80"/>
        <v>0</v>
      </c>
      <c r="N755" s="12">
        <f>E755*(G755*原始输入与口径!$B$5+H755/原始输入与口径!$B$5)/原始输入与口径!$H$5</f>
        <v>1.3426742857142859E-3</v>
      </c>
      <c r="O755" s="12">
        <v>1.3426742857142856E-3</v>
      </c>
      <c r="P755" s="19">
        <f t="shared" si="81"/>
        <v>0</v>
      </c>
      <c r="Q755" s="12">
        <f t="shared" si="82"/>
        <v>0.5253942857142857</v>
      </c>
      <c r="R755" s="12">
        <f t="shared" si="83"/>
        <v>0</v>
      </c>
      <c r="S755" s="1">
        <v>305</v>
      </c>
      <c r="T755" s="14">
        <v>46236</v>
      </c>
    </row>
    <row r="756" spans="1:20" ht="21" customHeight="1" x14ac:dyDescent="0.45">
      <c r="A756" s="31">
        <v>46237.167578809524</v>
      </c>
      <c r="B756" s="31">
        <v>46237.177083333328</v>
      </c>
      <c r="C756" s="31">
        <v>46237.166666666664</v>
      </c>
      <c r="D756" s="1" t="s">
        <v>102</v>
      </c>
      <c r="E756" s="12">
        <v>0.22810857142857144</v>
      </c>
      <c r="F756" s="12">
        <f>IF(D756="d",两日求解价格与决策!K313-两日求解价格与决策!N313,IF(D756="u",两日求解价格与决策!K313+两日求解价格与决策!M313,两日求解价格与决策!K313))</f>
        <v>0</v>
      </c>
      <c r="G756" s="12">
        <f t="shared" si="78"/>
        <v>0</v>
      </c>
      <c r="H756" s="12">
        <f t="shared" si="79"/>
        <v>0</v>
      </c>
      <c r="I756" s="12">
        <f t="shared" si="84"/>
        <v>33.48540096397516</v>
      </c>
      <c r="J756" s="12">
        <f>I756+E756*(G756*原始输入与口径!$B$5-H756/原始输入与口径!$B$5)</f>
        <v>33.48540096397516</v>
      </c>
      <c r="K756" s="12">
        <v>33.485400963975145</v>
      </c>
      <c r="L756" s="12">
        <v>33.485400963975145</v>
      </c>
      <c r="M756" s="19">
        <f t="shared" si="80"/>
        <v>0</v>
      </c>
      <c r="N756" s="12">
        <f>E756*(G756*原始输入与口径!$B$5+H756/原始输入与口径!$B$5)/原始输入与口径!$H$5</f>
        <v>0</v>
      </c>
      <c r="O756" s="12">
        <v>0</v>
      </c>
      <c r="P756" s="19">
        <f t="shared" si="81"/>
        <v>0</v>
      </c>
      <c r="Q756" s="12">
        <f t="shared" si="82"/>
        <v>0</v>
      </c>
      <c r="R756" s="12">
        <f t="shared" si="83"/>
        <v>0</v>
      </c>
      <c r="S756" s="1">
        <v>305</v>
      </c>
      <c r="T756" s="14">
        <v>46236</v>
      </c>
    </row>
    <row r="757" spans="1:20" ht="21" customHeight="1" x14ac:dyDescent="0.45">
      <c r="A757" s="31">
        <v>46237.177083333336</v>
      </c>
      <c r="B757" s="31">
        <v>46237.177377619053</v>
      </c>
      <c r="C757" s="31">
        <v>46237.177083333336</v>
      </c>
      <c r="D757" s="1" t="s">
        <v>103</v>
      </c>
      <c r="E757" s="12">
        <v>7.0628571428571424E-3</v>
      </c>
      <c r="F757" s="12">
        <f>IF(D757="d",两日求解价格与决策!K314-两日求解价格与决策!N314,IF(D757="u",两日求解价格与决策!K314+两日求解价格与决策!M314,两日求解价格与决策!K314))</f>
        <v>-24</v>
      </c>
      <c r="G757" s="12">
        <f t="shared" si="78"/>
        <v>24</v>
      </c>
      <c r="H757" s="12">
        <f t="shared" si="79"/>
        <v>0</v>
      </c>
      <c r="I757" s="12">
        <f t="shared" si="84"/>
        <v>33.48540096397516</v>
      </c>
      <c r="J757" s="12">
        <f>I757+E757*(G757*原始输入与口径!$B$5-H757/原始输入与口径!$B$5)</f>
        <v>33.641348849689443</v>
      </c>
      <c r="K757" s="12">
        <v>33.485400963975145</v>
      </c>
      <c r="L757" s="12">
        <v>33.641348849689429</v>
      </c>
      <c r="M757" s="19">
        <f t="shared" si="80"/>
        <v>0</v>
      </c>
      <c r="N757" s="12">
        <f>E757*(G757*原始输入与口径!$B$5+H757/原始输入与口径!$B$5)/原始输入与口径!$H$5</f>
        <v>4.3318857142857144E-4</v>
      </c>
      <c r="O757" s="12">
        <v>4.3318857142857144E-4</v>
      </c>
      <c r="P757" s="19">
        <f t="shared" si="81"/>
        <v>0</v>
      </c>
      <c r="Q757" s="12">
        <f t="shared" si="82"/>
        <v>0.16950857142857143</v>
      </c>
      <c r="R757" s="12">
        <f t="shared" si="83"/>
        <v>0</v>
      </c>
      <c r="S757" s="1">
        <v>306</v>
      </c>
      <c r="T757" s="14">
        <v>46236</v>
      </c>
    </row>
    <row r="758" spans="1:20" ht="21" customHeight="1" x14ac:dyDescent="0.45">
      <c r="A758" s="31">
        <v>46237.177377619053</v>
      </c>
      <c r="B758" s="31">
        <v>46237.1875</v>
      </c>
      <c r="C758" s="31">
        <v>46237.177083333336</v>
      </c>
      <c r="D758" s="1" t="s">
        <v>102</v>
      </c>
      <c r="E758" s="12">
        <v>0.24293714285714285</v>
      </c>
      <c r="F758" s="12">
        <f>IF(D758="d",两日求解价格与决策!K314-两日求解价格与决策!N314,IF(D758="u",两日求解价格与决策!K314+两日求解价格与决策!M314,两日求解价格与决策!K314))</f>
        <v>0</v>
      </c>
      <c r="G758" s="12">
        <f t="shared" si="78"/>
        <v>0</v>
      </c>
      <c r="H758" s="12">
        <f t="shared" si="79"/>
        <v>0</v>
      </c>
      <c r="I758" s="12">
        <f t="shared" si="84"/>
        <v>33.641348849689443</v>
      </c>
      <c r="J758" s="12">
        <f>I758+E758*(G758*原始输入与口径!$B$5-H758/原始输入与口径!$B$5)</f>
        <v>33.641348849689443</v>
      </c>
      <c r="K758" s="12">
        <v>33.641348849689429</v>
      </c>
      <c r="L758" s="12">
        <v>33.641348849689429</v>
      </c>
      <c r="M758" s="19">
        <f t="shared" si="80"/>
        <v>0</v>
      </c>
      <c r="N758" s="12">
        <f>E758*(G758*原始输入与口径!$B$5+H758/原始输入与口径!$B$5)/原始输入与口径!$H$5</f>
        <v>0</v>
      </c>
      <c r="O758" s="12">
        <v>0</v>
      </c>
      <c r="P758" s="19">
        <f t="shared" si="81"/>
        <v>0</v>
      </c>
      <c r="Q758" s="12">
        <f t="shared" si="82"/>
        <v>0</v>
      </c>
      <c r="R758" s="12">
        <f t="shared" si="83"/>
        <v>0</v>
      </c>
      <c r="S758" s="1">
        <v>306</v>
      </c>
      <c r="T758" s="14">
        <v>46236</v>
      </c>
    </row>
    <row r="759" spans="1:20" ht="21" customHeight="1" x14ac:dyDescent="0.45">
      <c r="A759" s="31">
        <v>46237.1875</v>
      </c>
      <c r="B759" s="31">
        <v>46237.188132142859</v>
      </c>
      <c r="C759" s="31">
        <v>46237.1875</v>
      </c>
      <c r="D759" s="1" t="s">
        <v>103</v>
      </c>
      <c r="E759" s="12">
        <v>1.517142857142857E-2</v>
      </c>
      <c r="F759" s="12">
        <f>IF(D759="d",两日求解价格与决策!K315-两日求解价格与决策!N315,IF(D759="u",两日求解价格与决策!K315+两日求解价格与决策!M315,两日求解价格与决策!K315))</f>
        <v>-60</v>
      </c>
      <c r="G759" s="12">
        <f t="shared" si="78"/>
        <v>60</v>
      </c>
      <c r="H759" s="12">
        <f t="shared" si="79"/>
        <v>0</v>
      </c>
      <c r="I759" s="12">
        <f t="shared" si="84"/>
        <v>33.641348849689443</v>
      </c>
      <c r="J759" s="12">
        <f>I759+E759*(G759*原始输入与口径!$B$5-H759/原始输入与口径!$B$5)</f>
        <v>34.478811706832303</v>
      </c>
      <c r="K759" s="12">
        <v>33.641348849689429</v>
      </c>
      <c r="L759" s="12">
        <v>34.478811706832289</v>
      </c>
      <c r="M759" s="19">
        <f t="shared" si="80"/>
        <v>0</v>
      </c>
      <c r="N759" s="12">
        <f>E759*(G759*原始输入与口径!$B$5+H759/原始输入与口径!$B$5)/原始输入与口径!$H$5</f>
        <v>2.3262857142857139E-3</v>
      </c>
      <c r="O759" s="12">
        <v>2.3262857142857143E-3</v>
      </c>
      <c r="P759" s="19">
        <f t="shared" si="81"/>
        <v>0</v>
      </c>
      <c r="Q759" s="12">
        <f t="shared" si="82"/>
        <v>0.91028571428571425</v>
      </c>
      <c r="R759" s="12">
        <f t="shared" si="83"/>
        <v>0</v>
      </c>
      <c r="S759" s="1">
        <v>307</v>
      </c>
      <c r="T759" s="14">
        <v>46236</v>
      </c>
    </row>
    <row r="760" spans="1:20" ht="21" customHeight="1" x14ac:dyDescent="0.45">
      <c r="A760" s="31">
        <v>46237.188132142859</v>
      </c>
      <c r="B760" s="31">
        <v>46237.197916666664</v>
      </c>
      <c r="C760" s="31">
        <v>46237.1875</v>
      </c>
      <c r="D760" s="1" t="s">
        <v>102</v>
      </c>
      <c r="E760" s="12">
        <v>0.23482857142857144</v>
      </c>
      <c r="F760" s="12">
        <f>IF(D760="d",两日求解价格与决策!K315-两日求解价格与决策!N315,IF(D760="u",两日求解价格与决策!K315+两日求解价格与决策!M315,两日求解价格与决策!K315))</f>
        <v>-36</v>
      </c>
      <c r="G760" s="12">
        <f t="shared" si="78"/>
        <v>36</v>
      </c>
      <c r="H760" s="12">
        <f t="shared" si="79"/>
        <v>0</v>
      </c>
      <c r="I760" s="12">
        <f t="shared" si="84"/>
        <v>34.478811706832303</v>
      </c>
      <c r="J760" s="12">
        <f>I760+E760*(G760*原始输入与口径!$B$5-H760/原始输入与口径!$B$5)</f>
        <v>42.256333992546587</v>
      </c>
      <c r="K760" s="12">
        <v>34.478811706832289</v>
      </c>
      <c r="L760" s="12">
        <v>42.256333992546573</v>
      </c>
      <c r="M760" s="19">
        <f t="shared" si="80"/>
        <v>0</v>
      </c>
      <c r="N760" s="12">
        <f>E760*(G760*原始输入与口径!$B$5+H760/原始输入与口径!$B$5)/原始输入与口径!$H$5</f>
        <v>2.1604228571428574E-2</v>
      </c>
      <c r="O760" s="12">
        <v>2.1604228571428574E-2</v>
      </c>
      <c r="P760" s="19">
        <f t="shared" si="81"/>
        <v>0</v>
      </c>
      <c r="Q760" s="12">
        <f t="shared" si="82"/>
        <v>8.4538285714285717</v>
      </c>
      <c r="R760" s="12">
        <f t="shared" si="83"/>
        <v>0</v>
      </c>
      <c r="S760" s="1">
        <v>307</v>
      </c>
      <c r="T760" s="14">
        <v>46236</v>
      </c>
    </row>
    <row r="761" spans="1:20" ht="21" customHeight="1" x14ac:dyDescent="0.45">
      <c r="A761" s="31">
        <v>46237.197916666664</v>
      </c>
      <c r="B761" s="31">
        <v>46237.198539761899</v>
      </c>
      <c r="C761" s="31">
        <v>46237.197916666664</v>
      </c>
      <c r="D761" s="1" t="s">
        <v>103</v>
      </c>
      <c r="E761" s="12">
        <v>1.4954285714285715E-2</v>
      </c>
      <c r="F761" s="12">
        <f>IF(D761="d",两日求解价格与决策!K316-两日求解价格与决策!N316,IF(D761="u",两日求解价格与决策!K316+两日求解价格与决策!M316,两日求解价格与决策!K316))</f>
        <v>-60</v>
      </c>
      <c r="G761" s="12">
        <f t="shared" si="78"/>
        <v>60</v>
      </c>
      <c r="H761" s="12">
        <f t="shared" si="79"/>
        <v>0</v>
      </c>
      <c r="I761" s="12">
        <f t="shared" si="84"/>
        <v>42.256333992546587</v>
      </c>
      <c r="J761" s="12">
        <f>I761+E761*(G761*原始输入与口径!$B$5-H761/原始输入与口径!$B$5)</f>
        <v>43.081810563975161</v>
      </c>
      <c r="K761" s="12">
        <v>42.256333992546573</v>
      </c>
      <c r="L761" s="12">
        <v>43.081810563975147</v>
      </c>
      <c r="M761" s="19">
        <f t="shared" si="80"/>
        <v>0</v>
      </c>
      <c r="N761" s="12">
        <f>E761*(G761*原始输入与口径!$B$5+H761/原始输入与口径!$B$5)/原始输入与口径!$H$5</f>
        <v>2.2929904761904768E-3</v>
      </c>
      <c r="O761" s="12">
        <v>2.2929904761904763E-3</v>
      </c>
      <c r="P761" s="19">
        <f t="shared" si="81"/>
        <v>0</v>
      </c>
      <c r="Q761" s="12">
        <f t="shared" si="82"/>
        <v>0.89725714285714286</v>
      </c>
      <c r="R761" s="12">
        <f t="shared" si="83"/>
        <v>0</v>
      </c>
      <c r="S761" s="1">
        <v>308</v>
      </c>
      <c r="T761" s="14">
        <v>46236</v>
      </c>
    </row>
    <row r="762" spans="1:20" ht="21" customHeight="1" x14ac:dyDescent="0.45">
      <c r="A762" s="31">
        <v>46237.198539761899</v>
      </c>
      <c r="B762" s="31">
        <v>46237.198543095234</v>
      </c>
      <c r="C762" s="31">
        <v>46237.197916666664</v>
      </c>
      <c r="D762" s="1" t="s">
        <v>101</v>
      </c>
      <c r="E762" s="12">
        <v>8.0000000000000007E-5</v>
      </c>
      <c r="F762" s="12">
        <f>IF(D762="d",两日求解价格与决策!K316-两日求解价格与决策!N316,IF(D762="u",两日求解价格与决策!K316+两日求解价格与决策!M316,两日求解价格与决策!K316))</f>
        <v>-12</v>
      </c>
      <c r="G762" s="12">
        <f t="shared" si="78"/>
        <v>12</v>
      </c>
      <c r="H762" s="12">
        <f t="shared" si="79"/>
        <v>0</v>
      </c>
      <c r="I762" s="12">
        <f t="shared" si="84"/>
        <v>43.081810563975161</v>
      </c>
      <c r="J762" s="12">
        <f>I762+E762*(G762*原始输入与口径!$B$5-H762/原始输入与口径!$B$5)</f>
        <v>43.082693763975158</v>
      </c>
      <c r="K762" s="12">
        <v>43.081810563975147</v>
      </c>
      <c r="L762" s="12">
        <v>43.082693763975143</v>
      </c>
      <c r="M762" s="19">
        <f t="shared" si="80"/>
        <v>0</v>
      </c>
      <c r="N762" s="12">
        <f>E762*(G762*原始输入与口径!$B$5+H762/原始输入与口径!$B$5)/原始输入与口径!$H$5</f>
        <v>2.4533333333333337E-6</v>
      </c>
      <c r="O762" s="12">
        <v>2.4533333333333337E-6</v>
      </c>
      <c r="P762" s="19">
        <f t="shared" si="81"/>
        <v>0</v>
      </c>
      <c r="Q762" s="12">
        <f t="shared" si="82"/>
        <v>9.6000000000000013E-4</v>
      </c>
      <c r="R762" s="12">
        <f t="shared" si="83"/>
        <v>0</v>
      </c>
      <c r="S762" s="1">
        <v>308</v>
      </c>
      <c r="T762" s="14">
        <v>46236</v>
      </c>
    </row>
    <row r="763" spans="1:20" ht="21" customHeight="1" x14ac:dyDescent="0.45">
      <c r="A763" s="31">
        <v>46237.198543095234</v>
      </c>
      <c r="B763" s="31">
        <v>46237.208333333328</v>
      </c>
      <c r="C763" s="31">
        <v>46237.197916666664</v>
      </c>
      <c r="D763" s="1" t="s">
        <v>102</v>
      </c>
      <c r="E763" s="12">
        <v>0.23496571428571428</v>
      </c>
      <c r="F763" s="12">
        <f>IF(D763="d",两日求解价格与决策!K316-两日求解价格与决策!N316,IF(D763="u",两日求解价格与决策!K316+两日求解价格与决策!M316,两日求解价格与决策!K316))</f>
        <v>-36</v>
      </c>
      <c r="G763" s="12">
        <f t="shared" si="78"/>
        <v>36</v>
      </c>
      <c r="H763" s="12">
        <f t="shared" si="79"/>
        <v>0</v>
      </c>
      <c r="I763" s="12">
        <f t="shared" si="84"/>
        <v>43.082693763975158</v>
      </c>
      <c r="J763" s="12">
        <f>I763+E763*(G763*原始输入与口径!$B$5-H763/原始输入与口径!$B$5)</f>
        <v>50.864758221118016</v>
      </c>
      <c r="K763" s="12">
        <v>43.082693763975143</v>
      </c>
      <c r="L763" s="12">
        <v>50.864758221118002</v>
      </c>
      <c r="M763" s="19">
        <f t="shared" si="80"/>
        <v>0</v>
      </c>
      <c r="N763" s="12">
        <f>E763*(G763*原始输入与口径!$B$5+H763/原始输入与口径!$B$5)/原始输入与口径!$H$5</f>
        <v>2.1616845714285716E-2</v>
      </c>
      <c r="O763" s="12">
        <v>2.1616845714285716E-2</v>
      </c>
      <c r="P763" s="19">
        <f t="shared" si="81"/>
        <v>0</v>
      </c>
      <c r="Q763" s="12">
        <f t="shared" si="82"/>
        <v>8.4587657142857147</v>
      </c>
      <c r="R763" s="12">
        <f t="shared" si="83"/>
        <v>0</v>
      </c>
      <c r="S763" s="1">
        <v>308</v>
      </c>
      <c r="T763" s="14">
        <v>46236</v>
      </c>
    </row>
    <row r="764" spans="1:20" ht="21" customHeight="1" x14ac:dyDescent="0.45">
      <c r="A764" s="31">
        <v>46237.208333333336</v>
      </c>
      <c r="B764" s="31">
        <v>46237.209597380956</v>
      </c>
      <c r="C764" s="31">
        <v>46237.208333333336</v>
      </c>
      <c r="D764" s="1" t="s">
        <v>103</v>
      </c>
      <c r="E764" s="12">
        <v>3.0337142857142858E-2</v>
      </c>
      <c r="F764" s="12">
        <f>IF(D764="d",两日求解价格与决策!K317-两日求解价格与决策!N317,IF(D764="u",两日求解价格与决策!K317+两日求解价格与决策!M317,两日求解价格与决策!K317))</f>
        <v>-60</v>
      </c>
      <c r="G764" s="12">
        <f t="shared" si="78"/>
        <v>60</v>
      </c>
      <c r="H764" s="12">
        <f t="shared" si="79"/>
        <v>0</v>
      </c>
      <c r="I764" s="12">
        <f t="shared" si="84"/>
        <v>50.864758221118016</v>
      </c>
      <c r="J764" s="12">
        <f>I764+E764*(G764*原始输入与口径!$B$5-H764/原始输入与口径!$B$5)</f>
        <v>52.539368506832304</v>
      </c>
      <c r="K764" s="12">
        <v>50.864758221118002</v>
      </c>
      <c r="L764" s="12">
        <v>52.53936850683229</v>
      </c>
      <c r="M764" s="19">
        <f t="shared" si="80"/>
        <v>0</v>
      </c>
      <c r="N764" s="12">
        <f>E764*(G764*原始输入与口径!$B$5+H764/原始输入与口径!$B$5)/原始输入与口径!$H$5</f>
        <v>4.6516952380952388E-3</v>
      </c>
      <c r="O764" s="12">
        <v>4.6516952380952388E-3</v>
      </c>
      <c r="P764" s="19">
        <f t="shared" si="81"/>
        <v>0</v>
      </c>
      <c r="Q764" s="12">
        <f t="shared" si="82"/>
        <v>1.8202285714285715</v>
      </c>
      <c r="R764" s="12">
        <f t="shared" si="83"/>
        <v>0</v>
      </c>
      <c r="S764" s="1">
        <v>309</v>
      </c>
      <c r="T764" s="14">
        <v>46236</v>
      </c>
    </row>
    <row r="765" spans="1:20" ht="21" customHeight="1" x14ac:dyDescent="0.45">
      <c r="A765" s="31">
        <v>46237.209597380956</v>
      </c>
      <c r="B765" s="31">
        <v>46237.21875</v>
      </c>
      <c r="C765" s="31">
        <v>46237.208333333336</v>
      </c>
      <c r="D765" s="1" t="s">
        <v>102</v>
      </c>
      <c r="E765" s="12">
        <v>0.21966285714285713</v>
      </c>
      <c r="F765" s="12">
        <f>IF(D765="d",两日求解价格与决策!K317-两日求解价格与决策!N317,IF(D765="u",两日求解价格与决策!K317+两日求解价格与决策!M317,两日求解价格与决策!K317))</f>
        <v>-36</v>
      </c>
      <c r="G765" s="12">
        <f t="shared" si="78"/>
        <v>36</v>
      </c>
      <c r="H765" s="12">
        <f t="shared" si="79"/>
        <v>0</v>
      </c>
      <c r="I765" s="12">
        <f t="shared" si="84"/>
        <v>52.539368506832304</v>
      </c>
      <c r="J765" s="12">
        <f>I765+E765*(G765*原始输入与口径!$B$5-H765/原始输入与口径!$B$5)</f>
        <v>59.814602335403734</v>
      </c>
      <c r="K765" s="12">
        <v>52.53936850683229</v>
      </c>
      <c r="L765" s="12">
        <v>59.81460233540372</v>
      </c>
      <c r="M765" s="19">
        <f t="shared" si="80"/>
        <v>0</v>
      </c>
      <c r="N765" s="12">
        <f>E765*(G765*原始输入与口径!$B$5+H765/原始输入与口径!$B$5)/原始输入与口径!$H$5</f>
        <v>2.020898285714286E-2</v>
      </c>
      <c r="O765" s="12">
        <v>2.0208982857142857E-2</v>
      </c>
      <c r="P765" s="19">
        <f t="shared" si="81"/>
        <v>0</v>
      </c>
      <c r="Q765" s="12">
        <f t="shared" si="82"/>
        <v>7.9078628571428569</v>
      </c>
      <c r="R765" s="12">
        <f t="shared" si="83"/>
        <v>0</v>
      </c>
      <c r="S765" s="1">
        <v>309</v>
      </c>
      <c r="T765" s="14">
        <v>46236</v>
      </c>
    </row>
    <row r="766" spans="1:20" ht="21" customHeight="1" x14ac:dyDescent="0.45">
      <c r="A766" s="31">
        <v>46237.21875</v>
      </c>
      <c r="B766" s="31">
        <v>46237.219230714283</v>
      </c>
      <c r="C766" s="31">
        <v>46237.21875</v>
      </c>
      <c r="D766" s="1" t="s">
        <v>103</v>
      </c>
      <c r="E766" s="12">
        <v>1.1537142857142859E-2</v>
      </c>
      <c r="F766" s="12">
        <f>IF(D766="d",两日求解价格与决策!K318-两日求解价格与决策!N318,IF(D766="u",两日求解价格与决策!K318+两日求解价格与决策!M318,两日求解价格与决策!K318))</f>
        <v>-24</v>
      </c>
      <c r="G766" s="12">
        <f t="shared" si="78"/>
        <v>24</v>
      </c>
      <c r="H766" s="12">
        <f t="shared" si="79"/>
        <v>0</v>
      </c>
      <c r="I766" s="12">
        <f t="shared" si="84"/>
        <v>59.814602335403734</v>
      </c>
      <c r="J766" s="12">
        <f>I766+E766*(G766*原始输入与口径!$B$5-H766/原始输入与口径!$B$5)</f>
        <v>60.069342449689451</v>
      </c>
      <c r="K766" s="12">
        <v>59.81460233540372</v>
      </c>
      <c r="L766" s="12">
        <v>60.069342449689437</v>
      </c>
      <c r="M766" s="19">
        <f t="shared" si="80"/>
        <v>0</v>
      </c>
      <c r="N766" s="12">
        <f>E766*(G766*原始输入与口径!$B$5+H766/原始输入与口径!$B$5)/原始输入与口径!$H$5</f>
        <v>7.0761142857142881E-4</v>
      </c>
      <c r="O766" s="12">
        <v>7.0761142857142881E-4</v>
      </c>
      <c r="P766" s="19">
        <f t="shared" si="81"/>
        <v>0</v>
      </c>
      <c r="Q766" s="12">
        <f t="shared" si="82"/>
        <v>0.27689142857142862</v>
      </c>
      <c r="R766" s="12">
        <f t="shared" si="83"/>
        <v>0</v>
      </c>
      <c r="S766" s="1">
        <v>310</v>
      </c>
      <c r="T766" s="14">
        <v>46236</v>
      </c>
    </row>
    <row r="767" spans="1:20" ht="21" customHeight="1" x14ac:dyDescent="0.45">
      <c r="A767" s="31">
        <v>46237.219230714283</v>
      </c>
      <c r="B767" s="31">
        <v>46237.229166666664</v>
      </c>
      <c r="C767" s="31">
        <v>46237.21875</v>
      </c>
      <c r="D767" s="1" t="s">
        <v>102</v>
      </c>
      <c r="E767" s="12">
        <v>0.23846285714285714</v>
      </c>
      <c r="F767" s="12">
        <f>IF(D767="d",两日求解价格与决策!K318-两日求解价格与决策!N318,IF(D767="u",两日求解价格与决策!K318+两日求解价格与决策!M318,两日求解价格与决策!K318))</f>
        <v>0</v>
      </c>
      <c r="G767" s="12">
        <f t="shared" si="78"/>
        <v>0</v>
      </c>
      <c r="H767" s="12">
        <f t="shared" si="79"/>
        <v>0</v>
      </c>
      <c r="I767" s="12">
        <f t="shared" si="84"/>
        <v>60.069342449689451</v>
      </c>
      <c r="J767" s="12">
        <f>I767+E767*(G767*原始输入与口径!$B$5-H767/原始输入与口径!$B$5)</f>
        <v>60.069342449689451</v>
      </c>
      <c r="K767" s="12">
        <v>60.069342449689437</v>
      </c>
      <c r="L767" s="12">
        <v>60.069342449689437</v>
      </c>
      <c r="M767" s="19">
        <f t="shared" si="80"/>
        <v>0</v>
      </c>
      <c r="N767" s="12">
        <f>E767*(G767*原始输入与口径!$B$5+H767/原始输入与口径!$B$5)/原始输入与口径!$H$5</f>
        <v>0</v>
      </c>
      <c r="O767" s="12">
        <v>0</v>
      </c>
      <c r="P767" s="19">
        <f t="shared" si="81"/>
        <v>0</v>
      </c>
      <c r="Q767" s="12">
        <f t="shared" si="82"/>
        <v>0</v>
      </c>
      <c r="R767" s="12">
        <f t="shared" si="83"/>
        <v>0</v>
      </c>
      <c r="S767" s="1">
        <v>310</v>
      </c>
      <c r="T767" s="14">
        <v>46236</v>
      </c>
    </row>
    <row r="768" spans="1:20" ht="21" customHeight="1" x14ac:dyDescent="0.45">
      <c r="A768" s="31">
        <v>46237.229166666664</v>
      </c>
      <c r="B768" s="31">
        <v>46237.229237380947</v>
      </c>
      <c r="C768" s="31">
        <v>46237.229166666664</v>
      </c>
      <c r="D768" s="1" t="s">
        <v>103</v>
      </c>
      <c r="E768" s="12">
        <v>1.6971428571428571E-3</v>
      </c>
      <c r="F768" s="12">
        <f>IF(D768="d",两日求解价格与决策!K319-两日求解价格与决策!N319,IF(D768="u",两日求解价格与决策!K319+两日求解价格与决策!M319,两日求解价格与决策!K319))</f>
        <v>-24</v>
      </c>
      <c r="G768" s="12">
        <f t="shared" si="78"/>
        <v>24</v>
      </c>
      <c r="H768" s="12">
        <f t="shared" si="79"/>
        <v>0</v>
      </c>
      <c r="I768" s="12">
        <f t="shared" si="84"/>
        <v>60.069342449689451</v>
      </c>
      <c r="J768" s="12">
        <f>I768+E768*(G768*原始输入与口径!$B$5-H768/原始输入与口径!$B$5)</f>
        <v>60.106815363975166</v>
      </c>
      <c r="K768" s="12">
        <v>60.069342449689437</v>
      </c>
      <c r="L768" s="12">
        <v>60.106815363975151</v>
      </c>
      <c r="M768" s="19">
        <f t="shared" si="80"/>
        <v>0</v>
      </c>
      <c r="N768" s="12">
        <f>E768*(G768*原始输入与口径!$B$5+H768/原始输入与口径!$B$5)/原始输入与口径!$H$5</f>
        <v>1.0409142857142858E-4</v>
      </c>
      <c r="O768" s="12">
        <v>1.0409142857142858E-4</v>
      </c>
      <c r="P768" s="19">
        <f t="shared" si="81"/>
        <v>0</v>
      </c>
      <c r="Q768" s="12">
        <f t="shared" si="82"/>
        <v>4.0731428571428571E-2</v>
      </c>
      <c r="R768" s="12">
        <f t="shared" si="83"/>
        <v>0</v>
      </c>
      <c r="S768" s="1">
        <v>311</v>
      </c>
      <c r="T768" s="14">
        <v>46236</v>
      </c>
    </row>
    <row r="769" spans="1:20" ht="21" customHeight="1" x14ac:dyDescent="0.45">
      <c r="A769" s="31">
        <v>46237.229237380947</v>
      </c>
      <c r="B769" s="31">
        <v>46237.229245238093</v>
      </c>
      <c r="C769" s="31">
        <v>46237.229166666664</v>
      </c>
      <c r="D769" s="1" t="s">
        <v>101</v>
      </c>
      <c r="E769" s="12">
        <v>1.8857142857142857E-4</v>
      </c>
      <c r="F769" s="12">
        <f>IF(D769="d",两日求解价格与决策!K319-两日求解价格与决策!N319,IF(D769="u",两日求解价格与决策!K319+两日求解价格与决策!M319,两日求解价格与决策!K319))</f>
        <v>24</v>
      </c>
      <c r="G769" s="12">
        <f t="shared" si="78"/>
        <v>0</v>
      </c>
      <c r="H769" s="12">
        <f t="shared" si="79"/>
        <v>24</v>
      </c>
      <c r="I769" s="12">
        <f t="shared" si="84"/>
        <v>60.106815363975166</v>
      </c>
      <c r="J769" s="12">
        <f>I769+E769*(G769*原始输入与口径!$B$5-H769/原始输入与口径!$B$5)</f>
        <v>60.101896109316783</v>
      </c>
      <c r="K769" s="12">
        <v>60.106815363975151</v>
      </c>
      <c r="L769" s="12">
        <v>60.101896109316769</v>
      </c>
      <c r="M769" s="19">
        <f t="shared" si="80"/>
        <v>0</v>
      </c>
      <c r="N769" s="12">
        <f>E769*(G769*原始输入与口径!$B$5+H769/原始输入与口径!$B$5)/原始输入与口径!$H$5</f>
        <v>1.3664596273291925E-5</v>
      </c>
      <c r="O769" s="12">
        <v>1.3664596273291925E-5</v>
      </c>
      <c r="P769" s="19">
        <f t="shared" si="81"/>
        <v>0</v>
      </c>
      <c r="Q769" s="12">
        <f t="shared" si="82"/>
        <v>0</v>
      </c>
      <c r="R769" s="12">
        <f t="shared" si="83"/>
        <v>4.5257142857142857E-3</v>
      </c>
      <c r="S769" s="1">
        <v>311</v>
      </c>
      <c r="T769" s="14">
        <v>46236</v>
      </c>
    </row>
    <row r="770" spans="1:20" ht="21" customHeight="1" x14ac:dyDescent="0.45">
      <c r="A770" s="31">
        <v>46237.229245238093</v>
      </c>
      <c r="B770" s="31">
        <v>46237.239583333328</v>
      </c>
      <c r="C770" s="31">
        <v>46237.229166666664</v>
      </c>
      <c r="D770" s="1" t="s">
        <v>102</v>
      </c>
      <c r="E770" s="12">
        <v>0.2481142857142857</v>
      </c>
      <c r="F770" s="12">
        <f>IF(D770="d",两日求解价格与决策!K319-两日求解价格与决策!N319,IF(D770="u",两日求解价格与决策!K319+两日求解价格与决策!M319,两日求解价格与决策!K319))</f>
        <v>0</v>
      </c>
      <c r="G770" s="12">
        <f t="shared" si="78"/>
        <v>0</v>
      </c>
      <c r="H770" s="12">
        <f t="shared" si="79"/>
        <v>0</v>
      </c>
      <c r="I770" s="12">
        <f t="shared" si="84"/>
        <v>60.101896109316783</v>
      </c>
      <c r="J770" s="12">
        <f>I770+E770*(G770*原始输入与口径!$B$5-H770/原始输入与口径!$B$5)</f>
        <v>60.101896109316783</v>
      </c>
      <c r="K770" s="12">
        <v>60.101896109316769</v>
      </c>
      <c r="L770" s="12">
        <v>60.101896109316769</v>
      </c>
      <c r="M770" s="19">
        <f t="shared" si="80"/>
        <v>0</v>
      </c>
      <c r="N770" s="12">
        <f>E770*(G770*原始输入与口径!$B$5+H770/原始输入与口径!$B$5)/原始输入与口径!$H$5</f>
        <v>0</v>
      </c>
      <c r="O770" s="12">
        <v>0</v>
      </c>
      <c r="P770" s="19">
        <f t="shared" si="81"/>
        <v>0</v>
      </c>
      <c r="Q770" s="12">
        <f t="shared" si="82"/>
        <v>0</v>
      </c>
      <c r="R770" s="12">
        <f t="shared" si="83"/>
        <v>0</v>
      </c>
      <c r="S770" s="1">
        <v>311</v>
      </c>
      <c r="T770" s="14">
        <v>46236</v>
      </c>
    </row>
    <row r="771" spans="1:20" ht="21" customHeight="1" x14ac:dyDescent="0.45">
      <c r="A771" s="31">
        <v>46237.239583333336</v>
      </c>
      <c r="B771" s="31">
        <v>46237.239963095242</v>
      </c>
      <c r="C771" s="31">
        <v>46237.239583333336</v>
      </c>
      <c r="D771" s="1" t="s">
        <v>103</v>
      </c>
      <c r="E771" s="12">
        <v>9.1142857142857137E-3</v>
      </c>
      <c r="F771" s="12">
        <f>IF(D771="d",两日求解价格与决策!K320-两日求解价格与决策!N320,IF(D771="u",两日求解价格与决策!K320+两日求解价格与决策!M320,两日求解价格与决策!K320))</f>
        <v>-24</v>
      </c>
      <c r="G771" s="12">
        <f t="shared" si="78"/>
        <v>24</v>
      </c>
      <c r="H771" s="12">
        <f t="shared" si="79"/>
        <v>0</v>
      </c>
      <c r="I771" s="12">
        <f t="shared" si="84"/>
        <v>60.101896109316783</v>
      </c>
      <c r="J771" s="12">
        <f>I771+E771*(G771*原始输入与口径!$B$5-H771/原始输入与口径!$B$5)</f>
        <v>60.303139537888214</v>
      </c>
      <c r="K771" s="12">
        <v>60.101896109316769</v>
      </c>
      <c r="L771" s="12">
        <v>60.3031395378882</v>
      </c>
      <c r="M771" s="19">
        <f t="shared" si="80"/>
        <v>0</v>
      </c>
      <c r="N771" s="12">
        <f>E771*(G771*原始输入与口径!$B$5+H771/原始输入与口径!$B$5)/原始输入与口径!$H$5</f>
        <v>5.5900952380952382E-4</v>
      </c>
      <c r="O771" s="12">
        <v>5.5900952380952382E-4</v>
      </c>
      <c r="P771" s="19">
        <f t="shared" si="81"/>
        <v>0</v>
      </c>
      <c r="Q771" s="12">
        <f t="shared" si="82"/>
        <v>0.21874285714285713</v>
      </c>
      <c r="R771" s="12">
        <f t="shared" si="83"/>
        <v>0</v>
      </c>
      <c r="S771" s="1">
        <v>312</v>
      </c>
      <c r="T771" s="14">
        <v>46236</v>
      </c>
    </row>
    <row r="772" spans="1:20" ht="21" customHeight="1" x14ac:dyDescent="0.45">
      <c r="A772" s="31">
        <v>46237.239963095242</v>
      </c>
      <c r="B772" s="31">
        <v>46237.240003095241</v>
      </c>
      <c r="C772" s="31">
        <v>46237.239583333336</v>
      </c>
      <c r="D772" s="1" t="s">
        <v>101</v>
      </c>
      <c r="E772" s="12">
        <v>9.6000000000000002E-4</v>
      </c>
      <c r="F772" s="12">
        <f>IF(D772="d",两日求解价格与决策!K320-两日求解价格与决策!N320,IF(D772="u",两日求解价格与决策!K320+两日求解价格与决策!M320,两日求解价格与决策!K320))</f>
        <v>24</v>
      </c>
      <c r="G772" s="12">
        <f t="shared" si="78"/>
        <v>0</v>
      </c>
      <c r="H772" s="12">
        <f t="shared" si="79"/>
        <v>24</v>
      </c>
      <c r="I772" s="12">
        <f t="shared" si="84"/>
        <v>60.303139537888214</v>
      </c>
      <c r="J772" s="12">
        <f>I772+E772*(G772*原始输入与口径!$B$5-H772/原始输入与口径!$B$5)</f>
        <v>60.278096059627345</v>
      </c>
      <c r="K772" s="12">
        <v>60.3031395378882</v>
      </c>
      <c r="L772" s="12">
        <v>60.27809605962733</v>
      </c>
      <c r="M772" s="19">
        <f t="shared" si="80"/>
        <v>0</v>
      </c>
      <c r="N772" s="12">
        <f>E772*(G772*原始输入与口径!$B$5+H772/原始输入与口径!$B$5)/原始输入与口径!$H$5</f>
        <v>6.9565217391304342E-5</v>
      </c>
      <c r="O772" s="12">
        <v>6.9565217391304355E-5</v>
      </c>
      <c r="P772" s="19">
        <f t="shared" si="81"/>
        <v>0</v>
      </c>
      <c r="Q772" s="12">
        <f t="shared" si="82"/>
        <v>0</v>
      </c>
      <c r="R772" s="12">
        <f t="shared" si="83"/>
        <v>2.3040000000000001E-2</v>
      </c>
      <c r="S772" s="1">
        <v>312</v>
      </c>
      <c r="T772" s="14">
        <v>46236</v>
      </c>
    </row>
    <row r="773" spans="1:20" ht="21" customHeight="1" x14ac:dyDescent="0.45">
      <c r="A773" s="31">
        <v>46237.240003095241</v>
      </c>
      <c r="B773" s="31">
        <v>46237.25</v>
      </c>
      <c r="C773" s="31">
        <v>46237.239583333336</v>
      </c>
      <c r="D773" s="1" t="s">
        <v>102</v>
      </c>
      <c r="E773" s="12">
        <v>0.2399257142857143</v>
      </c>
      <c r="F773" s="12">
        <f>IF(D773="d",两日求解价格与决策!K320-两日求解价格与决策!N320,IF(D773="u",两日求解价格与决策!K320+两日求解价格与决策!M320,两日求解价格与决策!K320))</f>
        <v>0</v>
      </c>
      <c r="G773" s="12">
        <f t="shared" si="78"/>
        <v>0</v>
      </c>
      <c r="H773" s="12">
        <f t="shared" si="79"/>
        <v>0</v>
      </c>
      <c r="I773" s="12">
        <f t="shared" si="84"/>
        <v>60.278096059627345</v>
      </c>
      <c r="J773" s="12">
        <f>I773+E773*(G773*原始输入与口径!$B$5-H773/原始输入与口径!$B$5)</f>
        <v>60.278096059627345</v>
      </c>
      <c r="K773" s="12">
        <v>60.27809605962733</v>
      </c>
      <c r="L773" s="12">
        <v>60.27809605962733</v>
      </c>
      <c r="M773" s="19">
        <f t="shared" si="80"/>
        <v>0</v>
      </c>
      <c r="N773" s="12">
        <f>E773*(G773*原始输入与口径!$B$5+H773/原始输入与口径!$B$5)/原始输入与口径!$H$5</f>
        <v>0</v>
      </c>
      <c r="O773" s="12">
        <v>0</v>
      </c>
      <c r="P773" s="19">
        <f t="shared" si="81"/>
        <v>0</v>
      </c>
      <c r="Q773" s="12">
        <f t="shared" si="82"/>
        <v>0</v>
      </c>
      <c r="R773" s="12">
        <f t="shared" si="83"/>
        <v>0</v>
      </c>
      <c r="S773" s="1">
        <v>312</v>
      </c>
      <c r="T773" s="14">
        <v>46236</v>
      </c>
    </row>
    <row r="774" spans="1:20" ht="21" customHeight="1" x14ac:dyDescent="0.45">
      <c r="A774" s="31">
        <v>46237.25</v>
      </c>
      <c r="B774" s="31">
        <v>46237.252729285712</v>
      </c>
      <c r="C774" s="31">
        <v>46237.25</v>
      </c>
      <c r="D774" s="1" t="s">
        <v>103</v>
      </c>
      <c r="E774" s="12">
        <v>6.550285714285714E-2</v>
      </c>
      <c r="F774" s="12">
        <f>IF(D774="d",两日求解价格与决策!K321-两日求解价格与决策!N321,IF(D774="u",两日求解价格与决策!K321+两日求解价格与决策!M321,两日求解价格与决策!K321))</f>
        <v>-24</v>
      </c>
      <c r="G774" s="12">
        <f t="shared" si="78"/>
        <v>24</v>
      </c>
      <c r="H774" s="12">
        <f t="shared" si="79"/>
        <v>0</v>
      </c>
      <c r="I774" s="12">
        <f t="shared" si="84"/>
        <v>60.278096059627345</v>
      </c>
      <c r="J774" s="12">
        <f>I774+E774*(G774*原始输入与口径!$B$5-H774/原始输入与口径!$B$5)</f>
        <v>61.724399145341629</v>
      </c>
      <c r="K774" s="12">
        <v>60.27809605962733</v>
      </c>
      <c r="L774" s="12">
        <v>61.724399145341614</v>
      </c>
      <c r="M774" s="19">
        <f t="shared" si="80"/>
        <v>0</v>
      </c>
      <c r="N774" s="12">
        <f>E774*(G774*原始输入与口径!$B$5+H774/原始输入与口径!$B$5)/原始输入与口径!$H$5</f>
        <v>4.0175085714285715E-3</v>
      </c>
      <c r="O774" s="12">
        <v>4.0175085714285715E-3</v>
      </c>
      <c r="P774" s="19">
        <f t="shared" si="81"/>
        <v>0</v>
      </c>
      <c r="Q774" s="12">
        <f t="shared" si="82"/>
        <v>1.5720685714285714</v>
      </c>
      <c r="R774" s="12">
        <f t="shared" si="83"/>
        <v>0</v>
      </c>
      <c r="S774" s="1">
        <v>313</v>
      </c>
      <c r="T774" s="14">
        <v>46236</v>
      </c>
    </row>
    <row r="775" spans="1:20" ht="21" customHeight="1" x14ac:dyDescent="0.45">
      <c r="A775" s="31">
        <v>46237.252729285712</v>
      </c>
      <c r="B775" s="31">
        <v>46237.260416666664</v>
      </c>
      <c r="C775" s="31">
        <v>46237.25</v>
      </c>
      <c r="D775" s="1" t="s">
        <v>102</v>
      </c>
      <c r="E775" s="12">
        <v>0.18449714285714286</v>
      </c>
      <c r="F775" s="12">
        <f>IF(D775="d",两日求解价格与决策!K321-两日求解价格与决策!N321,IF(D775="u",两日求解价格与决策!K321+两日求解价格与决策!M321,两日求解价格与决策!K321))</f>
        <v>0</v>
      </c>
      <c r="G775" s="12">
        <f t="shared" si="78"/>
        <v>0</v>
      </c>
      <c r="H775" s="12">
        <f t="shared" si="79"/>
        <v>0</v>
      </c>
      <c r="I775" s="12">
        <f t="shared" si="84"/>
        <v>61.724399145341629</v>
      </c>
      <c r="J775" s="12">
        <f>I775+E775*(G775*原始输入与口径!$B$5-H775/原始输入与口径!$B$5)</f>
        <v>61.724399145341629</v>
      </c>
      <c r="K775" s="12">
        <v>61.724399145341614</v>
      </c>
      <c r="L775" s="12">
        <v>61.724399145341614</v>
      </c>
      <c r="M775" s="19">
        <f t="shared" si="80"/>
        <v>0</v>
      </c>
      <c r="N775" s="12">
        <f>E775*(G775*原始输入与口径!$B$5+H775/原始输入与口径!$B$5)/原始输入与口径!$H$5</f>
        <v>0</v>
      </c>
      <c r="O775" s="12">
        <v>0</v>
      </c>
      <c r="P775" s="19">
        <f t="shared" si="81"/>
        <v>0</v>
      </c>
      <c r="Q775" s="12">
        <f t="shared" si="82"/>
        <v>0</v>
      </c>
      <c r="R775" s="12">
        <f t="shared" si="83"/>
        <v>0</v>
      </c>
      <c r="S775" s="1">
        <v>313</v>
      </c>
      <c r="T775" s="14">
        <v>46236</v>
      </c>
    </row>
    <row r="776" spans="1:20" ht="21" customHeight="1" x14ac:dyDescent="0.45">
      <c r="A776" s="31">
        <v>46237.260416666664</v>
      </c>
      <c r="B776" s="31">
        <v>46237.264316904759</v>
      </c>
      <c r="C776" s="31">
        <v>46237.260416666664</v>
      </c>
      <c r="D776" s="1" t="s">
        <v>103</v>
      </c>
      <c r="E776" s="12">
        <v>9.3605714285714292E-2</v>
      </c>
      <c r="F776" s="12">
        <f>IF(D776="d",两日求解价格与决策!K322-两日求解价格与决策!N322,IF(D776="u",两日求解价格与决策!K322+两日求解价格与决策!M322,两日求解价格与决策!K322))</f>
        <v>0</v>
      </c>
      <c r="G776" s="12">
        <f t="shared" si="78"/>
        <v>0</v>
      </c>
      <c r="H776" s="12">
        <f t="shared" si="79"/>
        <v>0</v>
      </c>
      <c r="I776" s="12">
        <f t="shared" si="84"/>
        <v>61.724399145341629</v>
      </c>
      <c r="J776" s="12">
        <f>I776+E776*(G776*原始输入与口径!$B$5-H776/原始输入与口径!$B$5)</f>
        <v>61.724399145341629</v>
      </c>
      <c r="K776" s="12">
        <v>61.724399145341614</v>
      </c>
      <c r="L776" s="12">
        <v>61.724399145341614</v>
      </c>
      <c r="M776" s="19">
        <f t="shared" si="80"/>
        <v>0</v>
      </c>
      <c r="N776" s="12">
        <f>E776*(G776*原始输入与口径!$B$5+H776/原始输入与口径!$B$5)/原始输入与口径!$H$5</f>
        <v>0</v>
      </c>
      <c r="O776" s="12">
        <v>0</v>
      </c>
      <c r="P776" s="19">
        <f t="shared" si="81"/>
        <v>0</v>
      </c>
      <c r="Q776" s="12">
        <f t="shared" si="82"/>
        <v>0</v>
      </c>
      <c r="R776" s="12">
        <f t="shared" si="83"/>
        <v>0</v>
      </c>
      <c r="S776" s="1">
        <v>314</v>
      </c>
      <c r="T776" s="14">
        <v>46236</v>
      </c>
    </row>
    <row r="777" spans="1:20" ht="21" customHeight="1" x14ac:dyDescent="0.45">
      <c r="A777" s="31">
        <v>46237.264316904759</v>
      </c>
      <c r="B777" s="31">
        <v>46237.270833333328</v>
      </c>
      <c r="C777" s="31">
        <v>46237.260416666664</v>
      </c>
      <c r="D777" s="1" t="s">
        <v>102</v>
      </c>
      <c r="E777" s="12">
        <v>0.15639428571428571</v>
      </c>
      <c r="F777" s="12">
        <f>IF(D777="d",两日求解价格与决策!K322-两日求解价格与决策!N322,IF(D777="u",两日求解价格与决策!K322+两日求解价格与决策!M322,两日求解价格与决策!K322))</f>
        <v>24</v>
      </c>
      <c r="G777" s="12">
        <f t="shared" ref="G777:G840" si="85">MAX(-F777,0)</f>
        <v>0</v>
      </c>
      <c r="H777" s="12">
        <f t="shared" ref="H777:H840" si="86">MAX(F777,0)</f>
        <v>24</v>
      </c>
      <c r="I777" s="12">
        <f t="shared" si="84"/>
        <v>61.724399145341629</v>
      </c>
      <c r="J777" s="12">
        <f>I777+E777*(G777*原始输入与口径!$B$5-H777/原始输入与口径!$B$5)</f>
        <v>57.644548213664606</v>
      </c>
      <c r="K777" s="12">
        <v>61.724399145341614</v>
      </c>
      <c r="L777" s="12">
        <v>57.644548213664592</v>
      </c>
      <c r="M777" s="19">
        <f t="shared" ref="M777:M840" si="87">J777-L777</f>
        <v>0</v>
      </c>
      <c r="N777" s="12">
        <f>E777*(G777*原始输入与口径!$B$5+H777/原始输入与口径!$B$5)/原始输入与口径!$H$5</f>
        <v>1.1332919254658385E-2</v>
      </c>
      <c r="O777" s="12">
        <v>1.1332919254658385E-2</v>
      </c>
      <c r="P777" s="19">
        <f t="shared" ref="P777:P840" si="88">N777-O777</f>
        <v>0</v>
      </c>
      <c r="Q777" s="12">
        <f t="shared" ref="Q777:Q840" si="89">E777*G777</f>
        <v>0</v>
      </c>
      <c r="R777" s="12">
        <f t="shared" ref="R777:R840" si="90">E777*H777</f>
        <v>3.753462857142857</v>
      </c>
      <c r="S777" s="1">
        <v>314</v>
      </c>
      <c r="T777" s="14">
        <v>46236</v>
      </c>
    </row>
    <row r="778" spans="1:20" ht="21" customHeight="1" x14ac:dyDescent="0.45">
      <c r="A778" s="31">
        <v>46237.270833333336</v>
      </c>
      <c r="B778" s="31">
        <v>46237.272435952385</v>
      </c>
      <c r="C778" s="31">
        <v>46237.270833333336</v>
      </c>
      <c r="D778" s="1" t="s">
        <v>103</v>
      </c>
      <c r="E778" s="12">
        <v>3.8462857142857139E-2</v>
      </c>
      <c r="F778" s="12">
        <f>IF(D778="d",两日求解价格与决策!K323-两日求解价格与决策!N323,IF(D778="u",两日求解价格与决策!K323+两日求解价格与决策!M323,两日求解价格与决策!K323))</f>
        <v>-24</v>
      </c>
      <c r="G778" s="12">
        <f t="shared" si="85"/>
        <v>24</v>
      </c>
      <c r="H778" s="12">
        <f t="shared" si="86"/>
        <v>0</v>
      </c>
      <c r="I778" s="12">
        <f t="shared" si="84"/>
        <v>57.644548213664606</v>
      </c>
      <c r="J778" s="12">
        <f>I778+E778*(G778*原始输入与口径!$B$5-H778/原始输入与口径!$B$5)</f>
        <v>58.493808099378889</v>
      </c>
      <c r="K778" s="12">
        <v>57.644548213664592</v>
      </c>
      <c r="L778" s="12">
        <v>58.493808099378874</v>
      </c>
      <c r="M778" s="19">
        <f t="shared" si="87"/>
        <v>0</v>
      </c>
      <c r="N778" s="12">
        <f>E778*(G778*原始输入与口径!$B$5+H778/原始输入与口径!$B$5)/原始输入与口径!$H$5</f>
        <v>2.3590552380952381E-3</v>
      </c>
      <c r="O778" s="12">
        <v>2.3590552380952381E-3</v>
      </c>
      <c r="P778" s="19">
        <f t="shared" si="88"/>
        <v>0</v>
      </c>
      <c r="Q778" s="12">
        <f t="shared" si="89"/>
        <v>0.92310857142857139</v>
      </c>
      <c r="R778" s="12">
        <f t="shared" si="90"/>
        <v>0</v>
      </c>
      <c r="S778" s="1">
        <v>315</v>
      </c>
      <c r="T778" s="14">
        <v>46236</v>
      </c>
    </row>
    <row r="779" spans="1:20" ht="21" customHeight="1" x14ac:dyDescent="0.45">
      <c r="A779" s="31">
        <v>46237.272435952385</v>
      </c>
      <c r="B779" s="31">
        <v>46237.28125</v>
      </c>
      <c r="C779" s="31">
        <v>46237.270833333336</v>
      </c>
      <c r="D779" s="1" t="s">
        <v>102</v>
      </c>
      <c r="E779" s="12">
        <v>0.21153714285714287</v>
      </c>
      <c r="F779" s="12">
        <f>IF(D779="d",两日求解价格与决策!K323-两日求解价格与决策!N323,IF(D779="u",两日求解价格与决策!K323+两日求解价格与决策!M323,两日求解价格与决策!K323))</f>
        <v>0</v>
      </c>
      <c r="G779" s="12">
        <f t="shared" si="85"/>
        <v>0</v>
      </c>
      <c r="H779" s="12">
        <f t="shared" si="86"/>
        <v>0</v>
      </c>
      <c r="I779" s="12">
        <f t="shared" si="84"/>
        <v>58.493808099378889</v>
      </c>
      <c r="J779" s="12">
        <f>I779+E779*(G779*原始输入与口径!$B$5-H779/原始输入与口径!$B$5)</f>
        <v>58.493808099378889</v>
      </c>
      <c r="K779" s="12">
        <v>58.493808099378874</v>
      </c>
      <c r="L779" s="12">
        <v>58.493808099378874</v>
      </c>
      <c r="M779" s="19">
        <f t="shared" si="87"/>
        <v>0</v>
      </c>
      <c r="N779" s="12">
        <f>E779*(G779*原始输入与口径!$B$5+H779/原始输入与口径!$B$5)/原始输入与口径!$H$5</f>
        <v>0</v>
      </c>
      <c r="O779" s="12">
        <v>0</v>
      </c>
      <c r="P779" s="19">
        <f t="shared" si="88"/>
        <v>0</v>
      </c>
      <c r="Q779" s="12">
        <f t="shared" si="89"/>
        <v>0</v>
      </c>
      <c r="R779" s="12">
        <f t="shared" si="90"/>
        <v>0</v>
      </c>
      <c r="S779" s="1">
        <v>315</v>
      </c>
      <c r="T779" s="14">
        <v>46236</v>
      </c>
    </row>
    <row r="780" spans="1:20" ht="21" customHeight="1" x14ac:dyDescent="0.45">
      <c r="A780" s="31">
        <v>46237.28125</v>
      </c>
      <c r="B780" s="31">
        <v>46237.287017619048</v>
      </c>
      <c r="C780" s="31">
        <v>46237.28125</v>
      </c>
      <c r="D780" s="1" t="s">
        <v>103</v>
      </c>
      <c r="E780" s="12">
        <v>0.13842285714285715</v>
      </c>
      <c r="F780" s="12">
        <f>IF(D780="d",两日求解价格与决策!K324-两日求解价格与决策!N324,IF(D780="u",两日求解价格与决策!K324+两日求解价格与决策!M324,两日求解价格与决策!K324))</f>
        <v>0</v>
      </c>
      <c r="G780" s="12">
        <f t="shared" si="85"/>
        <v>0</v>
      </c>
      <c r="H780" s="12">
        <f t="shared" si="86"/>
        <v>0</v>
      </c>
      <c r="I780" s="12">
        <f t="shared" si="84"/>
        <v>58.493808099378889</v>
      </c>
      <c r="J780" s="12">
        <f>I780+E780*(G780*原始输入与口径!$B$5-H780/原始输入与口径!$B$5)</f>
        <v>58.493808099378889</v>
      </c>
      <c r="K780" s="12">
        <v>58.493808099378874</v>
      </c>
      <c r="L780" s="12">
        <v>58.493808099378874</v>
      </c>
      <c r="M780" s="19">
        <f t="shared" si="87"/>
        <v>0</v>
      </c>
      <c r="N780" s="12">
        <f>E780*(G780*原始输入与口径!$B$5+H780/原始输入与口径!$B$5)/原始输入与口径!$H$5</f>
        <v>0</v>
      </c>
      <c r="O780" s="12">
        <v>0</v>
      </c>
      <c r="P780" s="19">
        <f t="shared" si="88"/>
        <v>0</v>
      </c>
      <c r="Q780" s="12">
        <f t="shared" si="89"/>
        <v>0</v>
      </c>
      <c r="R780" s="12">
        <f t="shared" si="90"/>
        <v>0</v>
      </c>
      <c r="S780" s="1">
        <v>316</v>
      </c>
      <c r="T780" s="14">
        <v>46236</v>
      </c>
    </row>
    <row r="781" spans="1:20" ht="21" customHeight="1" x14ac:dyDescent="0.45">
      <c r="A781" s="31">
        <v>46237.287017619048</v>
      </c>
      <c r="B781" s="31">
        <v>46237.291666666664</v>
      </c>
      <c r="C781" s="31">
        <v>46237.28125</v>
      </c>
      <c r="D781" s="1" t="s">
        <v>102</v>
      </c>
      <c r="E781" s="12">
        <v>0.11157714285714285</v>
      </c>
      <c r="F781" s="12">
        <f>IF(D781="d",两日求解价格与决策!K324-两日求解价格与决策!N324,IF(D781="u",两日求解价格与决策!K324+两日求解价格与决策!M324,两日求解价格与决策!K324))</f>
        <v>24</v>
      </c>
      <c r="G781" s="12">
        <f t="shared" si="85"/>
        <v>0</v>
      </c>
      <c r="H781" s="12">
        <f t="shared" si="86"/>
        <v>24</v>
      </c>
      <c r="I781" s="12">
        <f t="shared" si="84"/>
        <v>58.493808099378889</v>
      </c>
      <c r="J781" s="12">
        <f>I781+E781*(G781*原始输入与口径!$B$5-H781/原始输入与口径!$B$5)</f>
        <v>55.583100024844725</v>
      </c>
      <c r="K781" s="12">
        <v>58.493808099378874</v>
      </c>
      <c r="L781" s="12">
        <v>55.583100024844711</v>
      </c>
      <c r="M781" s="19">
        <f t="shared" si="87"/>
        <v>0</v>
      </c>
      <c r="N781" s="12">
        <f>E781*(G781*原始输入与口径!$B$5+H781/原始输入与口径!$B$5)/原始输入与口径!$H$5</f>
        <v>8.0853002070393372E-3</v>
      </c>
      <c r="O781" s="12">
        <v>8.0853002070393372E-3</v>
      </c>
      <c r="P781" s="19">
        <f t="shared" si="88"/>
        <v>0</v>
      </c>
      <c r="Q781" s="12">
        <f t="shared" si="89"/>
        <v>0</v>
      </c>
      <c r="R781" s="12">
        <f t="shared" si="90"/>
        <v>2.6778514285714285</v>
      </c>
      <c r="S781" s="1">
        <v>316</v>
      </c>
      <c r="T781" s="14">
        <v>46236</v>
      </c>
    </row>
    <row r="782" spans="1:20" ht="21" customHeight="1" x14ac:dyDescent="0.45">
      <c r="A782" s="31">
        <v>46237.291666666664</v>
      </c>
      <c r="B782" s="31">
        <v>46237.302083333328</v>
      </c>
      <c r="C782" s="31">
        <v>46237.291666666664</v>
      </c>
      <c r="D782" s="1" t="s">
        <v>104</v>
      </c>
      <c r="E782" s="12">
        <v>0.25</v>
      </c>
      <c r="F782" s="12">
        <f>IF(D782="d",两日求解价格与决策!K325-两日求解价格与决策!N325,IF(D782="u",两日求解价格与决策!K325+两日求解价格与决策!M325,两日求解价格与决策!K325))</f>
        <v>59.999999999999993</v>
      </c>
      <c r="G782" s="12">
        <f t="shared" si="85"/>
        <v>0</v>
      </c>
      <c r="H782" s="12">
        <f t="shared" si="86"/>
        <v>59.999999999999993</v>
      </c>
      <c r="I782" s="12">
        <f t="shared" si="84"/>
        <v>55.583100024844725</v>
      </c>
      <c r="J782" s="12">
        <f>I782+E782*(G782*原始输入与口径!$B$5-H782/原始输入与口径!$B$5)</f>
        <v>39.278752198757772</v>
      </c>
      <c r="K782" s="12">
        <v>55.583100024844711</v>
      </c>
      <c r="L782" s="12">
        <v>39.278752198757758</v>
      </c>
      <c r="M782" s="19">
        <f t="shared" si="87"/>
        <v>0</v>
      </c>
      <c r="N782" s="12">
        <f>E782*(G782*原始输入与口径!$B$5+H782/原始输入与口径!$B$5)/原始输入与口径!$H$5</f>
        <v>4.5289855072463761E-2</v>
      </c>
      <c r="O782" s="12">
        <v>4.5289855072463761E-2</v>
      </c>
      <c r="P782" s="19">
        <f t="shared" si="88"/>
        <v>0</v>
      </c>
      <c r="Q782" s="12">
        <f t="shared" si="89"/>
        <v>0</v>
      </c>
      <c r="R782" s="12">
        <f t="shared" si="90"/>
        <v>14.999999999999998</v>
      </c>
      <c r="S782" s="1">
        <v>317</v>
      </c>
      <c r="T782" s="14">
        <v>46236</v>
      </c>
    </row>
    <row r="783" spans="1:20" ht="21" customHeight="1" x14ac:dyDescent="0.45">
      <c r="A783" s="31">
        <v>46237.302083333336</v>
      </c>
      <c r="B783" s="31">
        <v>46237.3125</v>
      </c>
      <c r="C783" s="31">
        <v>46237.302083333336</v>
      </c>
      <c r="D783" s="1" t="s">
        <v>104</v>
      </c>
      <c r="E783" s="12">
        <v>0.25</v>
      </c>
      <c r="F783" s="12">
        <f>IF(D783="d",两日求解价格与决策!K326-两日求解价格与决策!N326,IF(D783="u",两日求解价格与决策!K326+两日求解价格与决策!M326,两日求解价格与决策!K326))</f>
        <v>27.745808091428653</v>
      </c>
      <c r="G783" s="12">
        <f t="shared" si="85"/>
        <v>0</v>
      </c>
      <c r="H783" s="12">
        <f t="shared" si="86"/>
        <v>27.745808091428653</v>
      </c>
      <c r="I783" s="12">
        <f t="shared" si="84"/>
        <v>39.278752198757772</v>
      </c>
      <c r="J783" s="12">
        <f>I783+E783*(G783*原始输入与口径!$B$5-H783/原始输入与口径!$B$5)</f>
        <v>31.739130434782595</v>
      </c>
      <c r="K783" s="12">
        <v>39.278752198757758</v>
      </c>
      <c r="L783" s="12">
        <v>31.739130434782581</v>
      </c>
      <c r="M783" s="19">
        <f t="shared" si="87"/>
        <v>0</v>
      </c>
      <c r="N783" s="12">
        <f>E783*(G783*原始输入与口径!$B$5+H783/原始输入与口径!$B$5)/原始输入与口径!$H$5</f>
        <v>2.0943393788819934E-2</v>
      </c>
      <c r="O783" s="12">
        <v>2.0943393788819934E-2</v>
      </c>
      <c r="P783" s="19">
        <f t="shared" si="88"/>
        <v>0</v>
      </c>
      <c r="Q783" s="12">
        <f t="shared" si="89"/>
        <v>0</v>
      </c>
      <c r="R783" s="12">
        <f t="shared" si="90"/>
        <v>6.9364520228571633</v>
      </c>
      <c r="S783" s="1">
        <v>318</v>
      </c>
      <c r="T783" s="14">
        <v>46236</v>
      </c>
    </row>
    <row r="784" spans="1:20" ht="21" customHeight="1" x14ac:dyDescent="0.45">
      <c r="A784" s="31">
        <v>46237.3125</v>
      </c>
      <c r="B784" s="31">
        <v>46237.322916666664</v>
      </c>
      <c r="C784" s="31">
        <v>46237.3125</v>
      </c>
      <c r="D784" s="1" t="s">
        <v>104</v>
      </c>
      <c r="E784" s="12">
        <v>0.25</v>
      </c>
      <c r="F784" s="12">
        <f>IF(D784="d",两日求解价格与决策!K327-两日求解价格与决策!N327,IF(D784="u",两日求解价格与决策!K327+两日求解价格与决策!M327,两日求解价格与决策!K327))</f>
        <v>0</v>
      </c>
      <c r="G784" s="12">
        <f t="shared" si="85"/>
        <v>0</v>
      </c>
      <c r="H784" s="12">
        <f t="shared" si="86"/>
        <v>0</v>
      </c>
      <c r="I784" s="12">
        <f t="shared" si="84"/>
        <v>31.739130434782595</v>
      </c>
      <c r="J784" s="12">
        <f>I784+E784*(G784*原始输入与口径!$B$5-H784/原始输入与口径!$B$5)</f>
        <v>31.739130434782595</v>
      </c>
      <c r="K784" s="12">
        <v>31.739130434782581</v>
      </c>
      <c r="L784" s="12">
        <v>31.739130434782581</v>
      </c>
      <c r="M784" s="19">
        <f t="shared" si="87"/>
        <v>0</v>
      </c>
      <c r="N784" s="12">
        <f>E784*(G784*原始输入与口径!$B$5+H784/原始输入与口径!$B$5)/原始输入与口径!$H$5</f>
        <v>0</v>
      </c>
      <c r="O784" s="12">
        <v>0</v>
      </c>
      <c r="P784" s="19">
        <f t="shared" si="88"/>
        <v>0</v>
      </c>
      <c r="Q784" s="12">
        <f t="shared" si="89"/>
        <v>0</v>
      </c>
      <c r="R784" s="12">
        <f t="shared" si="90"/>
        <v>0</v>
      </c>
      <c r="S784" s="1">
        <v>319</v>
      </c>
      <c r="T784" s="14">
        <v>46236</v>
      </c>
    </row>
    <row r="785" spans="1:20" ht="21" customHeight="1" x14ac:dyDescent="0.45">
      <c r="A785" s="31">
        <v>46237.322916666664</v>
      </c>
      <c r="B785" s="31">
        <v>46237.333333333328</v>
      </c>
      <c r="C785" s="31">
        <v>46237.322916666664</v>
      </c>
      <c r="D785" s="1" t="s">
        <v>104</v>
      </c>
      <c r="E785" s="12">
        <v>0.25</v>
      </c>
      <c r="F785" s="12">
        <f>IF(D785="d",两日求解价格与决策!K328-两日求解价格与决策!N328,IF(D785="u",两日求解价格与决策!K328+两日求解价格与决策!M328,两日求解价格与决策!K328))</f>
        <v>0</v>
      </c>
      <c r="G785" s="12">
        <f t="shared" si="85"/>
        <v>0</v>
      </c>
      <c r="H785" s="12">
        <f t="shared" si="86"/>
        <v>0</v>
      </c>
      <c r="I785" s="12">
        <f t="shared" si="84"/>
        <v>31.739130434782595</v>
      </c>
      <c r="J785" s="12">
        <f>I785+E785*(G785*原始输入与口径!$B$5-H785/原始输入与口径!$B$5)</f>
        <v>31.739130434782595</v>
      </c>
      <c r="K785" s="12">
        <v>31.739130434782581</v>
      </c>
      <c r="L785" s="12">
        <v>31.739130434782581</v>
      </c>
      <c r="M785" s="19">
        <f t="shared" si="87"/>
        <v>0</v>
      </c>
      <c r="N785" s="12">
        <f>E785*(G785*原始输入与口径!$B$5+H785/原始输入与口径!$B$5)/原始输入与口径!$H$5</f>
        <v>0</v>
      </c>
      <c r="O785" s="12">
        <v>0</v>
      </c>
      <c r="P785" s="19">
        <f t="shared" si="88"/>
        <v>0</v>
      </c>
      <c r="Q785" s="12">
        <f t="shared" si="89"/>
        <v>0</v>
      </c>
      <c r="R785" s="12">
        <f t="shared" si="90"/>
        <v>0</v>
      </c>
      <c r="S785" s="1">
        <v>320</v>
      </c>
      <c r="T785" s="14">
        <v>46236</v>
      </c>
    </row>
    <row r="786" spans="1:20" ht="21" customHeight="1" x14ac:dyDescent="0.45">
      <c r="A786" s="31">
        <v>46237.333333333336</v>
      </c>
      <c r="B786" s="31">
        <v>46237.333610476191</v>
      </c>
      <c r="C786" s="31">
        <v>46237.333333333336</v>
      </c>
      <c r="D786" s="1" t="s">
        <v>103</v>
      </c>
      <c r="E786" s="12">
        <v>6.6514285714285712E-3</v>
      </c>
      <c r="F786" s="12">
        <f>IF(D786="d",两日求解价格与决策!K329-两日求解价格与决策!N329,IF(D786="u",两日求解价格与决策!K329+两日求解价格与决策!M329,两日求解价格与决策!K329))</f>
        <v>-24</v>
      </c>
      <c r="G786" s="12">
        <f t="shared" si="85"/>
        <v>24</v>
      </c>
      <c r="H786" s="12">
        <f t="shared" si="86"/>
        <v>0</v>
      </c>
      <c r="I786" s="12">
        <f t="shared" si="84"/>
        <v>31.739130434782595</v>
      </c>
      <c r="J786" s="12">
        <f>I786+E786*(G786*原始输入与口径!$B$5-H786/原始输入与口径!$B$5)</f>
        <v>31.885993977639739</v>
      </c>
      <c r="K786" s="12">
        <v>31.739130434782581</v>
      </c>
      <c r="L786" s="12">
        <v>31.885993977639725</v>
      </c>
      <c r="M786" s="19">
        <f t="shared" si="87"/>
        <v>0</v>
      </c>
      <c r="N786" s="12">
        <f>E786*(G786*原始输入与口径!$B$5+H786/原始输入与口径!$B$5)/原始输入与口径!$H$5</f>
        <v>4.0795428571428576E-4</v>
      </c>
      <c r="O786" s="12">
        <v>4.0795428571428565E-4</v>
      </c>
      <c r="P786" s="19">
        <f t="shared" si="88"/>
        <v>0</v>
      </c>
      <c r="Q786" s="12">
        <f t="shared" si="89"/>
        <v>0.1596342857142857</v>
      </c>
      <c r="R786" s="12">
        <f t="shared" si="90"/>
        <v>0</v>
      </c>
      <c r="S786" s="1">
        <v>321</v>
      </c>
      <c r="T786" s="14">
        <v>46236</v>
      </c>
    </row>
    <row r="787" spans="1:20" ht="21" customHeight="1" x14ac:dyDescent="0.45">
      <c r="A787" s="31">
        <v>46237.333610476191</v>
      </c>
      <c r="B787" s="31">
        <v>46237.333655952381</v>
      </c>
      <c r="C787" s="31">
        <v>46237.333333333336</v>
      </c>
      <c r="D787" s="1" t="s">
        <v>101</v>
      </c>
      <c r="E787" s="12">
        <v>1.0914285714285715E-3</v>
      </c>
      <c r="F787" s="12">
        <f>IF(D787="d",两日求解价格与决策!K329-两日求解价格与决策!N329,IF(D787="u",两日求解价格与决策!K329+两日求解价格与决策!M329,两日求解价格与决策!K329))</f>
        <v>24</v>
      </c>
      <c r="G787" s="12">
        <f t="shared" si="85"/>
        <v>0</v>
      </c>
      <c r="H787" s="12">
        <f t="shared" si="86"/>
        <v>24</v>
      </c>
      <c r="I787" s="12">
        <f t="shared" si="84"/>
        <v>31.885993977639739</v>
      </c>
      <c r="J787" s="12">
        <f>I787+E787*(G787*原始输入与口径!$B$5-H787/原始输入与口径!$B$5)</f>
        <v>31.857521927950298</v>
      </c>
      <c r="K787" s="12">
        <v>31.885993977639725</v>
      </c>
      <c r="L787" s="12">
        <v>31.857521927950284</v>
      </c>
      <c r="M787" s="19">
        <f t="shared" si="87"/>
        <v>0</v>
      </c>
      <c r="N787" s="12">
        <f>E787*(G787*原始输入与口径!$B$5+H787/原始输入与口径!$B$5)/原始输入与口径!$H$5</f>
        <v>7.9089026915113883E-5</v>
      </c>
      <c r="O787" s="12">
        <v>7.9089026915113883E-5</v>
      </c>
      <c r="P787" s="19">
        <f t="shared" si="88"/>
        <v>0</v>
      </c>
      <c r="Q787" s="12">
        <f t="shared" si="89"/>
        <v>0</v>
      </c>
      <c r="R787" s="12">
        <f t="shared" si="90"/>
        <v>2.6194285714285719E-2</v>
      </c>
      <c r="S787" s="1">
        <v>321</v>
      </c>
      <c r="T787" s="14">
        <v>46236</v>
      </c>
    </row>
    <row r="788" spans="1:20" ht="21" customHeight="1" x14ac:dyDescent="0.45">
      <c r="A788" s="31">
        <v>46237.333655952381</v>
      </c>
      <c r="B788" s="31">
        <v>46237.34375</v>
      </c>
      <c r="C788" s="31">
        <v>46237.333333333336</v>
      </c>
      <c r="D788" s="1" t="s">
        <v>102</v>
      </c>
      <c r="E788" s="12">
        <v>0.24225714285714287</v>
      </c>
      <c r="F788" s="12">
        <f>IF(D788="d",两日求解价格与决策!K329-两日求解价格与决策!N329,IF(D788="u",两日求解价格与决策!K329+两日求解价格与决策!M329,两日求解价格与决策!K329))</f>
        <v>0</v>
      </c>
      <c r="G788" s="12">
        <f t="shared" si="85"/>
        <v>0</v>
      </c>
      <c r="H788" s="12">
        <f t="shared" si="86"/>
        <v>0</v>
      </c>
      <c r="I788" s="12">
        <f t="shared" si="84"/>
        <v>31.857521927950298</v>
      </c>
      <c r="J788" s="12">
        <f>I788+E788*(G788*原始输入与口径!$B$5-H788/原始输入与口径!$B$5)</f>
        <v>31.857521927950298</v>
      </c>
      <c r="K788" s="12">
        <v>31.857521927950284</v>
      </c>
      <c r="L788" s="12">
        <v>31.857521927950284</v>
      </c>
      <c r="M788" s="19">
        <f t="shared" si="87"/>
        <v>0</v>
      </c>
      <c r="N788" s="12">
        <f>E788*(G788*原始输入与口径!$B$5+H788/原始输入与口径!$B$5)/原始输入与口径!$H$5</f>
        <v>0</v>
      </c>
      <c r="O788" s="12">
        <v>0</v>
      </c>
      <c r="P788" s="19">
        <f t="shared" si="88"/>
        <v>0</v>
      </c>
      <c r="Q788" s="12">
        <f t="shared" si="89"/>
        <v>0</v>
      </c>
      <c r="R788" s="12">
        <f t="shared" si="90"/>
        <v>0</v>
      </c>
      <c r="S788" s="1">
        <v>321</v>
      </c>
      <c r="T788" s="14">
        <v>46236</v>
      </c>
    </row>
    <row r="789" spans="1:20" ht="21" customHeight="1" x14ac:dyDescent="0.45">
      <c r="A789" s="31">
        <v>46237.34375</v>
      </c>
      <c r="B789" s="31">
        <v>46237.34612119048</v>
      </c>
      <c r="C789" s="31">
        <v>46237.34375</v>
      </c>
      <c r="D789" s="1" t="s">
        <v>103</v>
      </c>
      <c r="E789" s="12">
        <v>5.6908571428571426E-2</v>
      </c>
      <c r="F789" s="12">
        <f>IF(D789="d",两日求解价格与决策!K330-两日求解价格与决策!N330,IF(D789="u",两日求解价格与决策!K330+两日求解价格与决策!M330,两日求解价格与决策!K330))</f>
        <v>-24</v>
      </c>
      <c r="G789" s="12">
        <f t="shared" si="85"/>
        <v>24</v>
      </c>
      <c r="H789" s="12">
        <f t="shared" si="86"/>
        <v>0</v>
      </c>
      <c r="I789" s="12">
        <f t="shared" si="84"/>
        <v>31.857521927950298</v>
      </c>
      <c r="J789" s="12">
        <f>I789+E789*(G789*原始输入与口径!$B$5-H789/原始输入与口径!$B$5)</f>
        <v>33.114063185093158</v>
      </c>
      <c r="K789" s="12">
        <v>31.857521927950284</v>
      </c>
      <c r="L789" s="12">
        <v>33.114063185093144</v>
      </c>
      <c r="M789" s="19">
        <f t="shared" si="87"/>
        <v>0</v>
      </c>
      <c r="N789" s="12">
        <f>E789*(G789*原始输入与口径!$B$5+H789/原始输入与口径!$B$5)/原始输入与口径!$H$5</f>
        <v>3.4903923809523809E-3</v>
      </c>
      <c r="O789" s="12">
        <v>3.4903923809523809E-3</v>
      </c>
      <c r="P789" s="19">
        <f t="shared" si="88"/>
        <v>0</v>
      </c>
      <c r="Q789" s="12">
        <f t="shared" si="89"/>
        <v>1.3658057142857143</v>
      </c>
      <c r="R789" s="12">
        <f t="shared" si="90"/>
        <v>0</v>
      </c>
      <c r="S789" s="1">
        <v>322</v>
      </c>
      <c r="T789" s="14">
        <v>46236</v>
      </c>
    </row>
    <row r="790" spans="1:20" ht="21" customHeight="1" x14ac:dyDescent="0.45">
      <c r="A790" s="31">
        <v>46237.34612119048</v>
      </c>
      <c r="B790" s="31">
        <v>46237.354166666664</v>
      </c>
      <c r="C790" s="31">
        <v>46237.34375</v>
      </c>
      <c r="D790" s="1" t="s">
        <v>102</v>
      </c>
      <c r="E790" s="12">
        <v>0.19309142857142858</v>
      </c>
      <c r="F790" s="12">
        <f>IF(D790="d",两日求解价格与决策!K330-两日求解价格与决策!N330,IF(D790="u",两日求解价格与决策!K330+两日求解价格与决策!M330,两日求解价格与决策!K330))</f>
        <v>0</v>
      </c>
      <c r="G790" s="12">
        <f t="shared" si="85"/>
        <v>0</v>
      </c>
      <c r="H790" s="12">
        <f t="shared" si="86"/>
        <v>0</v>
      </c>
      <c r="I790" s="12">
        <f t="shared" si="84"/>
        <v>33.114063185093158</v>
      </c>
      <c r="J790" s="12">
        <f>I790+E790*(G790*原始输入与口径!$B$5-H790/原始输入与口径!$B$5)</f>
        <v>33.114063185093158</v>
      </c>
      <c r="K790" s="12">
        <v>33.114063185093144</v>
      </c>
      <c r="L790" s="12">
        <v>33.114063185093144</v>
      </c>
      <c r="M790" s="19">
        <f t="shared" si="87"/>
        <v>0</v>
      </c>
      <c r="N790" s="12">
        <f>E790*(G790*原始输入与口径!$B$5+H790/原始输入与口径!$B$5)/原始输入与口径!$H$5</f>
        <v>0</v>
      </c>
      <c r="O790" s="12">
        <v>0</v>
      </c>
      <c r="P790" s="19">
        <f t="shared" si="88"/>
        <v>0</v>
      </c>
      <c r="Q790" s="12">
        <f t="shared" si="89"/>
        <v>0</v>
      </c>
      <c r="R790" s="12">
        <f t="shared" si="90"/>
        <v>0</v>
      </c>
      <c r="S790" s="1">
        <v>322</v>
      </c>
      <c r="T790" s="14">
        <v>46236</v>
      </c>
    </row>
    <row r="791" spans="1:20" ht="21" customHeight="1" x14ac:dyDescent="0.45">
      <c r="A791" s="31">
        <v>46237.354166666664</v>
      </c>
      <c r="B791" s="31">
        <v>46237.359140714281</v>
      </c>
      <c r="C791" s="31">
        <v>46237.354166666664</v>
      </c>
      <c r="D791" s="1" t="s">
        <v>103</v>
      </c>
      <c r="E791" s="12">
        <v>0.11937714285714285</v>
      </c>
      <c r="F791" s="12">
        <f>IF(D791="d",两日求解价格与决策!K331-两日求解价格与决策!N331,IF(D791="u",两日求解价格与决策!K331+两日求解价格与决策!M331,两日求解价格与决策!K331))</f>
        <v>-24</v>
      </c>
      <c r="G791" s="12">
        <f t="shared" si="85"/>
        <v>24</v>
      </c>
      <c r="H791" s="12">
        <f t="shared" si="86"/>
        <v>0</v>
      </c>
      <c r="I791" s="12">
        <f t="shared" si="84"/>
        <v>33.114063185093158</v>
      </c>
      <c r="J791" s="12">
        <f>I791+E791*(G791*原始输入与口径!$B$5-H791/原始输入与口径!$B$5)</f>
        <v>35.749910499378871</v>
      </c>
      <c r="K791" s="12">
        <v>33.114063185093144</v>
      </c>
      <c r="L791" s="12">
        <v>35.749910499378856</v>
      </c>
      <c r="M791" s="19">
        <f t="shared" si="87"/>
        <v>0</v>
      </c>
      <c r="N791" s="12">
        <f>E791*(G791*原始输入与口径!$B$5+H791/原始输入与口径!$B$5)/原始输入与口径!$H$5</f>
        <v>7.3217980952380952E-3</v>
      </c>
      <c r="O791" s="12">
        <v>7.3217980952380952E-3</v>
      </c>
      <c r="P791" s="19">
        <f t="shared" si="88"/>
        <v>0</v>
      </c>
      <c r="Q791" s="12">
        <f t="shared" si="89"/>
        <v>2.8650514285714284</v>
      </c>
      <c r="R791" s="12">
        <f t="shared" si="90"/>
        <v>0</v>
      </c>
      <c r="S791" s="1">
        <v>323</v>
      </c>
      <c r="T791" s="14">
        <v>46236</v>
      </c>
    </row>
    <row r="792" spans="1:20" ht="21" customHeight="1" x14ac:dyDescent="0.45">
      <c r="A792" s="31">
        <v>46237.359140714281</v>
      </c>
      <c r="B792" s="31">
        <v>46237.364583333328</v>
      </c>
      <c r="C792" s="31">
        <v>46237.354166666664</v>
      </c>
      <c r="D792" s="1" t="s">
        <v>102</v>
      </c>
      <c r="E792" s="12">
        <v>0.13062285714285715</v>
      </c>
      <c r="F792" s="12">
        <f>IF(D792="d",两日求解价格与决策!K331-两日求解价格与决策!N331,IF(D792="u",两日求解价格与决策!K331+两日求解价格与决策!M331,两日求解价格与决策!K331))</f>
        <v>0</v>
      </c>
      <c r="G792" s="12">
        <f t="shared" si="85"/>
        <v>0</v>
      </c>
      <c r="H792" s="12">
        <f t="shared" si="86"/>
        <v>0</v>
      </c>
      <c r="I792" s="12">
        <f t="shared" si="84"/>
        <v>35.749910499378871</v>
      </c>
      <c r="J792" s="12">
        <f>I792+E792*(G792*原始输入与口径!$B$5-H792/原始输入与口径!$B$5)</f>
        <v>35.749910499378871</v>
      </c>
      <c r="K792" s="12">
        <v>35.749910499378856</v>
      </c>
      <c r="L792" s="12">
        <v>35.749910499378856</v>
      </c>
      <c r="M792" s="19">
        <f t="shared" si="87"/>
        <v>0</v>
      </c>
      <c r="N792" s="12">
        <f>E792*(G792*原始输入与口径!$B$5+H792/原始输入与口径!$B$5)/原始输入与口径!$H$5</f>
        <v>0</v>
      </c>
      <c r="O792" s="12">
        <v>0</v>
      </c>
      <c r="P792" s="19">
        <f t="shared" si="88"/>
        <v>0</v>
      </c>
      <c r="Q792" s="12">
        <f t="shared" si="89"/>
        <v>0</v>
      </c>
      <c r="R792" s="12">
        <f t="shared" si="90"/>
        <v>0</v>
      </c>
      <c r="S792" s="1">
        <v>323</v>
      </c>
      <c r="T792" s="14">
        <v>46236</v>
      </c>
    </row>
    <row r="793" spans="1:20" ht="21" customHeight="1" x14ac:dyDescent="0.45">
      <c r="A793" s="31">
        <v>46237.364583333336</v>
      </c>
      <c r="B793" s="31">
        <v>46237.36613071429</v>
      </c>
      <c r="C793" s="31">
        <v>46237.364583333336</v>
      </c>
      <c r="D793" s="1" t="s">
        <v>103</v>
      </c>
      <c r="E793" s="12">
        <v>3.7137142857142855E-2</v>
      </c>
      <c r="F793" s="12">
        <f>IF(D793="d",两日求解价格与决策!K332-两日求解价格与决策!N332,IF(D793="u",两日求解价格与决策!K332+两日求解价格与决策!M332,两日求解价格与决策!K332))</f>
        <v>-24</v>
      </c>
      <c r="G793" s="12">
        <f t="shared" si="85"/>
        <v>24</v>
      </c>
      <c r="H793" s="12">
        <f t="shared" si="86"/>
        <v>0</v>
      </c>
      <c r="I793" s="12">
        <f t="shared" si="84"/>
        <v>35.749910499378871</v>
      </c>
      <c r="J793" s="12">
        <f>I793+E793*(G793*原始输入与口径!$B$5-H793/原始输入与口径!$B$5)</f>
        <v>36.569898613664584</v>
      </c>
      <c r="K793" s="12">
        <v>35.749910499378856</v>
      </c>
      <c r="L793" s="12">
        <v>36.56989861366457</v>
      </c>
      <c r="M793" s="19">
        <f t="shared" si="87"/>
        <v>0</v>
      </c>
      <c r="N793" s="12">
        <f>E793*(G793*原始输入与口径!$B$5+H793/原始输入与口径!$B$5)/原始输入与口径!$H$5</f>
        <v>2.2777447619047619E-3</v>
      </c>
      <c r="O793" s="12">
        <v>2.2777447619047619E-3</v>
      </c>
      <c r="P793" s="19">
        <f t="shared" si="88"/>
        <v>0</v>
      </c>
      <c r="Q793" s="12">
        <f t="shared" si="89"/>
        <v>0.89129142857142851</v>
      </c>
      <c r="R793" s="12">
        <f t="shared" si="90"/>
        <v>0</v>
      </c>
      <c r="S793" s="1">
        <v>324</v>
      </c>
      <c r="T793" s="14">
        <v>46236</v>
      </c>
    </row>
    <row r="794" spans="1:20" ht="21" customHeight="1" x14ac:dyDescent="0.45">
      <c r="A794" s="31">
        <v>46237.36613071429</v>
      </c>
      <c r="B794" s="31">
        <v>46237.375</v>
      </c>
      <c r="C794" s="31">
        <v>46237.364583333336</v>
      </c>
      <c r="D794" s="1" t="s">
        <v>102</v>
      </c>
      <c r="E794" s="12">
        <v>0.21286285714285713</v>
      </c>
      <c r="F794" s="12">
        <f>IF(D794="d",两日求解价格与决策!K332-两日求解价格与决策!N332,IF(D794="u",两日求解价格与决策!K332+两日求解价格与决策!M332,两日求解价格与决策!K332))</f>
        <v>0</v>
      </c>
      <c r="G794" s="12">
        <f t="shared" si="85"/>
        <v>0</v>
      </c>
      <c r="H794" s="12">
        <f t="shared" si="86"/>
        <v>0</v>
      </c>
      <c r="I794" s="12">
        <f t="shared" si="84"/>
        <v>36.569898613664584</v>
      </c>
      <c r="J794" s="12">
        <f>I794+E794*(G794*原始输入与口径!$B$5-H794/原始输入与口径!$B$5)</f>
        <v>36.569898613664584</v>
      </c>
      <c r="K794" s="12">
        <v>36.56989861366457</v>
      </c>
      <c r="L794" s="12">
        <v>36.56989861366457</v>
      </c>
      <c r="M794" s="19">
        <f t="shared" si="87"/>
        <v>0</v>
      </c>
      <c r="N794" s="12">
        <f>E794*(G794*原始输入与口径!$B$5+H794/原始输入与口径!$B$5)/原始输入与口径!$H$5</f>
        <v>0</v>
      </c>
      <c r="O794" s="12">
        <v>0</v>
      </c>
      <c r="P794" s="19">
        <f t="shared" si="88"/>
        <v>0</v>
      </c>
      <c r="Q794" s="12">
        <f t="shared" si="89"/>
        <v>0</v>
      </c>
      <c r="R794" s="12">
        <f t="shared" si="90"/>
        <v>0</v>
      </c>
      <c r="S794" s="1">
        <v>324</v>
      </c>
      <c r="T794" s="14">
        <v>46236</v>
      </c>
    </row>
    <row r="795" spans="1:20" ht="21" customHeight="1" x14ac:dyDescent="0.45">
      <c r="A795" s="31">
        <v>46237.375</v>
      </c>
      <c r="B795" s="31">
        <v>46237.37500047619</v>
      </c>
      <c r="C795" s="31">
        <v>46237.375</v>
      </c>
      <c r="D795" s="1" t="s">
        <v>103</v>
      </c>
      <c r="E795" s="12">
        <v>1.1428571428571429E-5</v>
      </c>
      <c r="F795" s="12">
        <f>IF(D795="d",两日求解价格与决策!K333-两日求解价格与决策!N333,IF(D795="u",两日求解价格与决策!K333+两日求解价格与决策!M333,两日求解价格与决策!K333))</f>
        <v>-24</v>
      </c>
      <c r="G795" s="12">
        <f t="shared" si="85"/>
        <v>24</v>
      </c>
      <c r="H795" s="12">
        <f t="shared" si="86"/>
        <v>0</v>
      </c>
      <c r="I795" s="12">
        <f t="shared" si="84"/>
        <v>36.569898613664584</v>
      </c>
      <c r="J795" s="12">
        <f>I795+E795*(G795*原始输入与口径!$B$5-H795/原始输入与口径!$B$5)</f>
        <v>36.570150956521729</v>
      </c>
      <c r="K795" s="12">
        <v>36.56989861366457</v>
      </c>
      <c r="L795" s="12">
        <v>36.570150956521715</v>
      </c>
      <c r="M795" s="19">
        <f t="shared" si="87"/>
        <v>0</v>
      </c>
      <c r="N795" s="12">
        <f>E795*(G795*原始输入与口径!$B$5+H795/原始输入与口径!$B$5)/原始输入与口径!$H$5</f>
        <v>7.0095238095238107E-7</v>
      </c>
      <c r="O795" s="12">
        <v>7.0095238095238107E-7</v>
      </c>
      <c r="P795" s="19">
        <f t="shared" si="88"/>
        <v>0</v>
      </c>
      <c r="Q795" s="12">
        <f t="shared" si="89"/>
        <v>2.7428571428571432E-4</v>
      </c>
      <c r="R795" s="12">
        <f t="shared" si="90"/>
        <v>0</v>
      </c>
      <c r="S795" s="1">
        <v>325</v>
      </c>
      <c r="T795" s="14">
        <v>46236</v>
      </c>
    </row>
    <row r="796" spans="1:20" ht="21" customHeight="1" x14ac:dyDescent="0.45">
      <c r="A796" s="31">
        <v>46237.37500047619</v>
      </c>
      <c r="B796" s="31">
        <v>46237.37761214286</v>
      </c>
      <c r="C796" s="31">
        <v>46237.375</v>
      </c>
      <c r="D796" s="1" t="s">
        <v>101</v>
      </c>
      <c r="E796" s="12">
        <v>6.268E-2</v>
      </c>
      <c r="F796" s="12">
        <f>IF(D796="d",两日求解价格与决策!K333-两日求解价格与决策!N333,IF(D796="u",两日求解价格与决策!K333+两日求解价格与决策!M333,两日求解价格与决策!K333))</f>
        <v>24</v>
      </c>
      <c r="G796" s="12">
        <f t="shared" si="85"/>
        <v>0</v>
      </c>
      <c r="H796" s="12">
        <f t="shared" si="86"/>
        <v>24</v>
      </c>
      <c r="I796" s="12">
        <f t="shared" si="84"/>
        <v>36.570150956521729</v>
      </c>
      <c r="J796" s="12">
        <f>I796+E796*(G796*原始输入与口径!$B$5-H796/原始输入与口径!$B$5)</f>
        <v>34.935020521739119</v>
      </c>
      <c r="K796" s="12">
        <v>36.570150956521715</v>
      </c>
      <c r="L796" s="12">
        <v>34.935020521739105</v>
      </c>
      <c r="M796" s="19">
        <f t="shared" si="87"/>
        <v>0</v>
      </c>
      <c r="N796" s="12">
        <f>E796*(G796*原始输入与口径!$B$5+H796/原始输入与口径!$B$5)/原始输入与口径!$H$5</f>
        <v>4.5420289855072462E-3</v>
      </c>
      <c r="O796" s="12">
        <v>4.5420289855072462E-3</v>
      </c>
      <c r="P796" s="19">
        <f t="shared" si="88"/>
        <v>0</v>
      </c>
      <c r="Q796" s="12">
        <f t="shared" si="89"/>
        <v>0</v>
      </c>
      <c r="R796" s="12">
        <f t="shared" si="90"/>
        <v>1.5043199999999999</v>
      </c>
      <c r="S796" s="1">
        <v>325</v>
      </c>
      <c r="T796" s="14">
        <v>46236</v>
      </c>
    </row>
    <row r="797" spans="1:20" ht="21" customHeight="1" x14ac:dyDescent="0.45">
      <c r="A797" s="31">
        <v>46237.37761214286</v>
      </c>
      <c r="B797" s="31">
        <v>46237.385416666664</v>
      </c>
      <c r="C797" s="31">
        <v>46237.375</v>
      </c>
      <c r="D797" s="1" t="s">
        <v>102</v>
      </c>
      <c r="E797" s="12">
        <v>0.18730857142857141</v>
      </c>
      <c r="F797" s="12">
        <f>IF(D797="d",两日求解价格与决策!K333-两日求解价格与决策!N333,IF(D797="u",两日求解价格与决策!K333+两日求解价格与决策!M333,两日求解价格与决策!K333))</f>
        <v>0</v>
      </c>
      <c r="G797" s="12">
        <f t="shared" si="85"/>
        <v>0</v>
      </c>
      <c r="H797" s="12">
        <f t="shared" si="86"/>
        <v>0</v>
      </c>
      <c r="I797" s="12">
        <f t="shared" ref="I797:I860" si="91">J796</f>
        <v>34.935020521739119</v>
      </c>
      <c r="J797" s="12">
        <f>I797+E797*(G797*原始输入与口径!$B$5-H797/原始输入与口径!$B$5)</f>
        <v>34.935020521739119</v>
      </c>
      <c r="K797" s="12">
        <v>34.935020521739105</v>
      </c>
      <c r="L797" s="12">
        <v>34.935020521739105</v>
      </c>
      <c r="M797" s="19">
        <f t="shared" si="87"/>
        <v>0</v>
      </c>
      <c r="N797" s="12">
        <f>E797*(G797*原始输入与口径!$B$5+H797/原始输入与口径!$B$5)/原始输入与口径!$H$5</f>
        <v>0</v>
      </c>
      <c r="O797" s="12">
        <v>0</v>
      </c>
      <c r="P797" s="19">
        <f t="shared" si="88"/>
        <v>0</v>
      </c>
      <c r="Q797" s="12">
        <f t="shared" si="89"/>
        <v>0</v>
      </c>
      <c r="R797" s="12">
        <f t="shared" si="90"/>
        <v>0</v>
      </c>
      <c r="S797" s="1">
        <v>325</v>
      </c>
      <c r="T797" s="14">
        <v>46236</v>
      </c>
    </row>
    <row r="798" spans="1:20" ht="21" customHeight="1" x14ac:dyDescent="0.45">
      <c r="A798" s="31">
        <v>46237.385416666664</v>
      </c>
      <c r="B798" s="31">
        <v>46237.388545238093</v>
      </c>
      <c r="C798" s="31">
        <v>46237.385416666664</v>
      </c>
      <c r="D798" s="1" t="s">
        <v>101</v>
      </c>
      <c r="E798" s="12">
        <v>7.5085714285714283E-2</v>
      </c>
      <c r="F798" s="12">
        <f>IF(D798="d",两日求解价格与决策!K334-两日求解价格与决策!N334,IF(D798="u",两日求解价格与决策!K334+两日求解价格与决策!M334,两日求解价格与决策!K334))</f>
        <v>22.211771428074751</v>
      </c>
      <c r="G798" s="12">
        <f t="shared" si="85"/>
        <v>0</v>
      </c>
      <c r="H798" s="12">
        <f t="shared" si="86"/>
        <v>22.211771428074751</v>
      </c>
      <c r="I798" s="12">
        <f t="shared" si="91"/>
        <v>34.935020521739119</v>
      </c>
      <c r="J798" s="12">
        <f>I798+E798*(G798*原始输入与口径!$B$5-H798/原始输入与口径!$B$5)</f>
        <v>33.122208866056496</v>
      </c>
      <c r="K798" s="12">
        <v>34.935020521739105</v>
      </c>
      <c r="L798" s="12">
        <v>33.122208866056482</v>
      </c>
      <c r="M798" s="19">
        <f t="shared" si="87"/>
        <v>0</v>
      </c>
      <c r="N798" s="12">
        <f>E798*(G798*原始输入与口径!$B$5+H798/原始输入与口径!$B$5)/原始输入与口径!$H$5</f>
        <v>5.0355879324517298E-3</v>
      </c>
      <c r="O798" s="12">
        <v>5.0355879324517298E-3</v>
      </c>
      <c r="P798" s="19">
        <f t="shared" si="88"/>
        <v>0</v>
      </c>
      <c r="Q798" s="12">
        <f t="shared" si="89"/>
        <v>0</v>
      </c>
      <c r="R798" s="12">
        <f t="shared" si="90"/>
        <v>1.6677867232280128</v>
      </c>
      <c r="S798" s="1">
        <v>326</v>
      </c>
      <c r="T798" s="14">
        <v>46236</v>
      </c>
    </row>
    <row r="799" spans="1:20" ht="21" customHeight="1" x14ac:dyDescent="0.45">
      <c r="A799" s="31">
        <v>46237.388545238093</v>
      </c>
      <c r="B799" s="31">
        <v>46237.395833333328</v>
      </c>
      <c r="C799" s="31">
        <v>46237.385416666664</v>
      </c>
      <c r="D799" s="1" t="s">
        <v>102</v>
      </c>
      <c r="E799" s="12">
        <v>0.17491428571428572</v>
      </c>
      <c r="F799" s="12">
        <f>IF(D799="d",两日求解价格与决策!K334-两日求解价格与决策!N334,IF(D799="u",两日求解价格与决策!K334+两日求解价格与决策!M334,两日求解价格与决策!K334))</f>
        <v>-1.7882285719252473</v>
      </c>
      <c r="G799" s="12">
        <f t="shared" si="85"/>
        <v>1.7882285719252473</v>
      </c>
      <c r="H799" s="12">
        <f t="shared" si="86"/>
        <v>0</v>
      </c>
      <c r="I799" s="12">
        <f t="shared" si="91"/>
        <v>33.122208866056496</v>
      </c>
      <c r="J799" s="12">
        <f>I799+E799*(G799*原始输入与口径!$B$5-H799/原始输入与口径!$B$5)</f>
        <v>33.409972651540507</v>
      </c>
      <c r="K799" s="12">
        <v>33.122208866056482</v>
      </c>
      <c r="L799" s="12">
        <v>33.409972651540492</v>
      </c>
      <c r="M799" s="19">
        <f t="shared" si="87"/>
        <v>0</v>
      </c>
      <c r="N799" s="12">
        <f>E799*(G799*原始输入与口径!$B$5+H799/原始输入与口径!$B$5)/原始输入与口径!$H$5</f>
        <v>7.9934384856668707E-4</v>
      </c>
      <c r="O799" s="12">
        <v>7.9934384856668685E-4</v>
      </c>
      <c r="P799" s="19">
        <f t="shared" si="88"/>
        <v>0</v>
      </c>
      <c r="Q799" s="12">
        <f t="shared" si="89"/>
        <v>0.31278672335218183</v>
      </c>
      <c r="R799" s="12">
        <f t="shared" si="90"/>
        <v>0</v>
      </c>
      <c r="S799" s="1">
        <v>326</v>
      </c>
      <c r="T799" s="14">
        <v>46236</v>
      </c>
    </row>
    <row r="800" spans="1:20" ht="21" customHeight="1" x14ac:dyDescent="0.45">
      <c r="A800" s="31">
        <v>46237.395833333336</v>
      </c>
      <c r="B800" s="31">
        <v>46237.399886190477</v>
      </c>
      <c r="C800" s="31">
        <v>46237.395833333336</v>
      </c>
      <c r="D800" s="1" t="s">
        <v>101</v>
      </c>
      <c r="E800" s="12">
        <v>9.7268571428571426E-2</v>
      </c>
      <c r="F800" s="12">
        <f>IF(D800="d",两日求解价格与决策!K335-两日求解价格与决策!N335,IF(D800="u",两日求解价格与决策!K335+两日求解价格与决策!M335,两日求解价格与决策!K335))</f>
        <v>15.803407172953987</v>
      </c>
      <c r="G800" s="12">
        <f t="shared" si="85"/>
        <v>0</v>
      </c>
      <c r="H800" s="12">
        <f t="shared" si="86"/>
        <v>15.803407172953987</v>
      </c>
      <c r="I800" s="12">
        <f t="shared" si="91"/>
        <v>33.409972651540507</v>
      </c>
      <c r="J800" s="12">
        <f>I800+E800*(G800*原始输入与口径!$B$5-H800/原始输入与口径!$B$5)</f>
        <v>31.739130434782602</v>
      </c>
      <c r="K800" s="12">
        <v>33.409972651540492</v>
      </c>
      <c r="L800" s="12">
        <v>31.739130434782588</v>
      </c>
      <c r="M800" s="19">
        <f t="shared" si="87"/>
        <v>0</v>
      </c>
      <c r="N800" s="12">
        <f>E800*(G800*原始输入与口径!$B$5+H800/原始输入与口径!$B$5)/原始输入与口径!$H$5</f>
        <v>4.6412283798830702E-3</v>
      </c>
      <c r="O800" s="12">
        <v>4.6412283798830702E-3</v>
      </c>
      <c r="P800" s="19">
        <f t="shared" si="88"/>
        <v>0</v>
      </c>
      <c r="Q800" s="12">
        <f t="shared" si="89"/>
        <v>0</v>
      </c>
      <c r="R800" s="12">
        <f t="shared" si="90"/>
        <v>1.5371748394172728</v>
      </c>
      <c r="S800" s="1">
        <v>327</v>
      </c>
      <c r="T800" s="14">
        <v>46236</v>
      </c>
    </row>
    <row r="801" spans="1:20" ht="21" customHeight="1" x14ac:dyDescent="0.45">
      <c r="A801" s="31">
        <v>46237.399886190477</v>
      </c>
      <c r="B801" s="31">
        <v>46237.40625</v>
      </c>
      <c r="C801" s="31">
        <v>46237.395833333336</v>
      </c>
      <c r="D801" s="1" t="s">
        <v>102</v>
      </c>
      <c r="E801" s="12">
        <v>0.15273142857142857</v>
      </c>
      <c r="F801" s="12">
        <f>IF(D801="d",两日求解价格与决策!K335-两日求解价格与决策!N335,IF(D801="u",两日求解价格与决策!K335+两日求解价格与决策!M335,两日求解价格与决策!K335))</f>
        <v>-8.1965928270460129</v>
      </c>
      <c r="G801" s="12">
        <f t="shared" si="85"/>
        <v>8.1965928270460129</v>
      </c>
      <c r="H801" s="12">
        <f t="shared" si="86"/>
        <v>0</v>
      </c>
      <c r="I801" s="12">
        <f t="shared" si="91"/>
        <v>31.739130434782602</v>
      </c>
      <c r="J801" s="12">
        <f>I801+E801*(G801*原始输入与口径!$B$5-H801/原始输入与口径!$B$5)</f>
        <v>32.890857580124219</v>
      </c>
      <c r="K801" s="12">
        <v>31.739130434782588</v>
      </c>
      <c r="L801" s="12">
        <v>32.890857580124205</v>
      </c>
      <c r="M801" s="19">
        <f t="shared" si="87"/>
        <v>0</v>
      </c>
      <c r="N801" s="12">
        <f>E801*(G801*原始输入与口径!$B$5+H801/原始输入与口径!$B$5)/原始输入与口径!$H$5</f>
        <v>3.1992420703933805E-3</v>
      </c>
      <c r="O801" s="12">
        <v>3.1992420703933805E-3</v>
      </c>
      <c r="P801" s="19">
        <f t="shared" si="88"/>
        <v>0</v>
      </c>
      <c r="Q801" s="12">
        <f t="shared" si="89"/>
        <v>1.2518773318930618</v>
      </c>
      <c r="R801" s="12">
        <f t="shared" si="90"/>
        <v>0</v>
      </c>
      <c r="S801" s="1">
        <v>327</v>
      </c>
      <c r="T801" s="14">
        <v>46236</v>
      </c>
    </row>
    <row r="802" spans="1:20" ht="21" customHeight="1" x14ac:dyDescent="0.45">
      <c r="A802" s="31">
        <v>46237.40625</v>
      </c>
      <c r="B802" s="31">
        <v>46237.406399285712</v>
      </c>
      <c r="C802" s="31">
        <v>46237.40625</v>
      </c>
      <c r="D802" s="1" t="s">
        <v>103</v>
      </c>
      <c r="E802" s="12">
        <v>3.5828571428571428E-3</v>
      </c>
      <c r="F802" s="12">
        <f>IF(D802="d",两日求解价格与决策!K336-两日求解价格与决策!N336,IF(D802="u",两日求解价格与决策!K336+两日求解价格与决策!M336,两日求解价格与决策!K336))</f>
        <v>-60</v>
      </c>
      <c r="G802" s="12">
        <f t="shared" si="85"/>
        <v>60</v>
      </c>
      <c r="H802" s="12">
        <f t="shared" si="86"/>
        <v>0</v>
      </c>
      <c r="I802" s="12">
        <f t="shared" si="91"/>
        <v>32.890857580124219</v>
      </c>
      <c r="J802" s="12">
        <f>I802+E802*(G802*原始输入与口径!$B$5-H802/原始输入与口径!$B$5)</f>
        <v>33.088631294409936</v>
      </c>
      <c r="K802" s="12">
        <v>32.890857580124205</v>
      </c>
      <c r="L802" s="12">
        <v>33.088631294409922</v>
      </c>
      <c r="M802" s="19">
        <f t="shared" si="87"/>
        <v>0</v>
      </c>
      <c r="N802" s="12">
        <f>E802*(G802*原始输入与口径!$B$5+H802/原始输入与口径!$B$5)/原始输入与口径!$H$5</f>
        <v>5.4937142857142867E-4</v>
      </c>
      <c r="O802" s="12">
        <v>5.4937142857142856E-4</v>
      </c>
      <c r="P802" s="19">
        <f t="shared" si="88"/>
        <v>0</v>
      </c>
      <c r="Q802" s="12">
        <f t="shared" si="89"/>
        <v>0.21497142857142856</v>
      </c>
      <c r="R802" s="12">
        <f t="shared" si="90"/>
        <v>0</v>
      </c>
      <c r="S802" s="1">
        <v>328</v>
      </c>
      <c r="T802" s="14">
        <v>46236</v>
      </c>
    </row>
    <row r="803" spans="1:20" ht="21" customHeight="1" x14ac:dyDescent="0.45">
      <c r="A803" s="31">
        <v>46237.406399285712</v>
      </c>
      <c r="B803" s="31">
        <v>46237.407010238094</v>
      </c>
      <c r="C803" s="31">
        <v>46237.40625</v>
      </c>
      <c r="D803" s="1" t="s">
        <v>101</v>
      </c>
      <c r="E803" s="12">
        <v>1.4662857142857142E-2</v>
      </c>
      <c r="F803" s="12">
        <f>IF(D803="d",两日求解价格与决策!K336-两日求解价格与决策!N336,IF(D803="u",两日求解价格与决策!K336+两日求解价格与决策!M336,两日求解价格与决策!K336))</f>
        <v>-12</v>
      </c>
      <c r="G803" s="12">
        <f t="shared" si="85"/>
        <v>12</v>
      </c>
      <c r="H803" s="12">
        <f t="shared" si="86"/>
        <v>0</v>
      </c>
      <c r="I803" s="12">
        <f t="shared" si="91"/>
        <v>33.088631294409936</v>
      </c>
      <c r="J803" s="12">
        <f>I803+E803*(G803*原始输入与口径!$B$5-H803/原始输入与口径!$B$5)</f>
        <v>33.250509237267082</v>
      </c>
      <c r="K803" s="12">
        <v>33.088631294409922</v>
      </c>
      <c r="L803" s="12">
        <v>33.250509237267067</v>
      </c>
      <c r="M803" s="19">
        <f t="shared" si="87"/>
        <v>0</v>
      </c>
      <c r="N803" s="12">
        <f>E803*(G803*原始输入与口径!$B$5+H803/原始输入与口径!$B$5)/原始输入与口径!$H$5</f>
        <v>4.4966095238095237E-4</v>
      </c>
      <c r="O803" s="12">
        <v>4.4966095238095237E-4</v>
      </c>
      <c r="P803" s="19">
        <f t="shared" si="88"/>
        <v>0</v>
      </c>
      <c r="Q803" s="12">
        <f t="shared" si="89"/>
        <v>0.1759542857142857</v>
      </c>
      <c r="R803" s="12">
        <f t="shared" si="90"/>
        <v>0</v>
      </c>
      <c r="S803" s="1">
        <v>328</v>
      </c>
      <c r="T803" s="14">
        <v>46236</v>
      </c>
    </row>
    <row r="804" spans="1:20" ht="21" customHeight="1" x14ac:dyDescent="0.45">
      <c r="A804" s="31">
        <v>46237.407010238094</v>
      </c>
      <c r="B804" s="31">
        <v>46237.416666666664</v>
      </c>
      <c r="C804" s="31">
        <v>46237.40625</v>
      </c>
      <c r="D804" s="1" t="s">
        <v>102</v>
      </c>
      <c r="E804" s="12">
        <v>0.23175428571428572</v>
      </c>
      <c r="F804" s="12">
        <f>IF(D804="d",两日求解价格与决策!K336-两日求解价格与决策!N336,IF(D804="u",两日求解价格与决策!K336+两日求解价格与决策!M336,两日求解价格与决策!K336))</f>
        <v>-36</v>
      </c>
      <c r="G804" s="12">
        <f t="shared" si="85"/>
        <v>36</v>
      </c>
      <c r="H804" s="12">
        <f t="shared" si="86"/>
        <v>0</v>
      </c>
      <c r="I804" s="12">
        <f t="shared" si="91"/>
        <v>33.250509237267082</v>
      </c>
      <c r="J804" s="12">
        <f>I804+E804*(G804*原始输入与口径!$B$5-H804/原始输入与口径!$B$5)</f>
        <v>40.926211180124227</v>
      </c>
      <c r="K804" s="12">
        <v>33.250509237267067</v>
      </c>
      <c r="L804" s="12">
        <v>40.926211180124213</v>
      </c>
      <c r="M804" s="19">
        <f t="shared" si="87"/>
        <v>0</v>
      </c>
      <c r="N804" s="12">
        <f>E804*(G804*原始输入与口径!$B$5+H804/原始输入与口径!$B$5)/原始输入与口径!$H$5</f>
        <v>2.1321394285714289E-2</v>
      </c>
      <c r="O804" s="12">
        <v>2.1321394285714286E-2</v>
      </c>
      <c r="P804" s="19">
        <f t="shared" si="88"/>
        <v>0</v>
      </c>
      <c r="Q804" s="12">
        <f t="shared" si="89"/>
        <v>8.3431542857142862</v>
      </c>
      <c r="R804" s="12">
        <f t="shared" si="90"/>
        <v>0</v>
      </c>
      <c r="S804" s="1">
        <v>328</v>
      </c>
      <c r="T804" s="14">
        <v>46236</v>
      </c>
    </row>
    <row r="805" spans="1:20" ht="21" customHeight="1" x14ac:dyDescent="0.45">
      <c r="A805" s="31">
        <v>46237.416666666664</v>
      </c>
      <c r="B805" s="31">
        <v>46237.417941428568</v>
      </c>
      <c r="C805" s="31">
        <v>46237.416666666664</v>
      </c>
      <c r="D805" s="1" t="s">
        <v>103</v>
      </c>
      <c r="E805" s="12">
        <v>3.0594285714285716E-2</v>
      </c>
      <c r="F805" s="12">
        <f>IF(D805="d",两日求解价格与决策!K337-两日求解价格与决策!N337,IF(D805="u",两日求解价格与决策!K337+两日求解价格与决策!M337,两日求解价格与决策!K337))</f>
        <v>12</v>
      </c>
      <c r="G805" s="12">
        <f t="shared" si="85"/>
        <v>0</v>
      </c>
      <c r="H805" s="12">
        <f t="shared" si="86"/>
        <v>12</v>
      </c>
      <c r="I805" s="12">
        <f t="shared" si="91"/>
        <v>40.926211180124227</v>
      </c>
      <c r="J805" s="12">
        <f>I805+E805*(G805*原始输入与口径!$B$5-H805/原始输入与口径!$B$5)</f>
        <v>40.527155279503106</v>
      </c>
      <c r="K805" s="12">
        <v>40.926211180124213</v>
      </c>
      <c r="L805" s="12">
        <v>40.527155279503091</v>
      </c>
      <c r="M805" s="19">
        <f t="shared" si="87"/>
        <v>0</v>
      </c>
      <c r="N805" s="12">
        <f>E805*(G805*原始输入与口径!$B$5+H805/原始输入与口径!$B$5)/原始输入与口径!$H$5</f>
        <v>1.1084886128364389E-3</v>
      </c>
      <c r="O805" s="12">
        <v>1.1084886128364389E-3</v>
      </c>
      <c r="P805" s="19">
        <f t="shared" si="88"/>
        <v>0</v>
      </c>
      <c r="Q805" s="12">
        <f t="shared" si="89"/>
        <v>0</v>
      </c>
      <c r="R805" s="12">
        <f t="shared" si="90"/>
        <v>0.36713142857142861</v>
      </c>
      <c r="S805" s="1">
        <v>329</v>
      </c>
      <c r="T805" s="14">
        <v>46236</v>
      </c>
    </row>
    <row r="806" spans="1:20" ht="21" customHeight="1" x14ac:dyDescent="0.45">
      <c r="A806" s="31">
        <v>46237.417941428568</v>
      </c>
      <c r="B806" s="31">
        <v>46237.418265</v>
      </c>
      <c r="C806" s="31">
        <v>46237.416666666664</v>
      </c>
      <c r="D806" s="1" t="s">
        <v>101</v>
      </c>
      <c r="E806" s="12">
        <v>7.7657142857142855E-3</v>
      </c>
      <c r="F806" s="12">
        <f>IF(D806="d",两日求解价格与决策!K337-两日求解价格与决策!N337,IF(D806="u",两日求解价格与决策!K337+两日求解价格与决策!M337,两日求解价格与决策!K337))</f>
        <v>60</v>
      </c>
      <c r="G806" s="12">
        <f t="shared" si="85"/>
        <v>0</v>
      </c>
      <c r="H806" s="12">
        <f t="shared" si="86"/>
        <v>60</v>
      </c>
      <c r="I806" s="12">
        <f t="shared" si="91"/>
        <v>40.527155279503106</v>
      </c>
      <c r="J806" s="12">
        <f>I806+E806*(G806*原始输入与口径!$B$5-H806/原始输入与口径!$B$5)</f>
        <v>40.020695652173913</v>
      </c>
      <c r="K806" s="12">
        <v>40.527155279503091</v>
      </c>
      <c r="L806" s="12">
        <v>40.020695652173899</v>
      </c>
      <c r="M806" s="19">
        <f t="shared" si="87"/>
        <v>0</v>
      </c>
      <c r="N806" s="12">
        <f>E806*(G806*原始输入与口径!$B$5+H806/原始输入与口径!$B$5)/原始输入与口径!$H$5</f>
        <v>1.406832298136646E-3</v>
      </c>
      <c r="O806" s="12">
        <v>1.4068322981366458E-3</v>
      </c>
      <c r="P806" s="19">
        <f t="shared" si="88"/>
        <v>0</v>
      </c>
      <c r="Q806" s="12">
        <f t="shared" si="89"/>
        <v>0</v>
      </c>
      <c r="R806" s="12">
        <f t="shared" si="90"/>
        <v>0.4659428571428571</v>
      </c>
      <c r="S806" s="1">
        <v>329</v>
      </c>
      <c r="T806" s="14">
        <v>46236</v>
      </c>
    </row>
    <row r="807" spans="1:20" ht="21" customHeight="1" x14ac:dyDescent="0.45">
      <c r="A807" s="31">
        <v>46237.418265</v>
      </c>
      <c r="B807" s="31">
        <v>46237.427083333328</v>
      </c>
      <c r="C807" s="31">
        <v>46237.416666666664</v>
      </c>
      <c r="D807" s="1" t="s">
        <v>102</v>
      </c>
      <c r="E807" s="12">
        <v>0.21163999999999999</v>
      </c>
      <c r="F807" s="12">
        <f>IF(D807="d",两日求解价格与决策!K337-两日求解价格与决策!N337,IF(D807="u",两日求解价格与决策!K337+两日求解价格与决策!M337,两日求解价格与决策!K337))</f>
        <v>36</v>
      </c>
      <c r="G807" s="12">
        <f t="shared" si="85"/>
        <v>0</v>
      </c>
      <c r="H807" s="12">
        <f t="shared" si="86"/>
        <v>36</v>
      </c>
      <c r="I807" s="12">
        <f t="shared" si="91"/>
        <v>40.020695652173913</v>
      </c>
      <c r="J807" s="12">
        <f>I807+E807*(G807*原始输入与口径!$B$5-H807/原始输入与口径!$B$5)</f>
        <v>31.739130434782609</v>
      </c>
      <c r="K807" s="12">
        <v>40.020695652173899</v>
      </c>
      <c r="L807" s="12">
        <v>31.739130434782595</v>
      </c>
      <c r="M807" s="19">
        <f t="shared" si="87"/>
        <v>0</v>
      </c>
      <c r="N807" s="12">
        <f>E807*(G807*原始输入与口径!$B$5+H807/原始输入与口径!$B$5)/原始输入与口径!$H$5</f>
        <v>2.3004347826086954E-2</v>
      </c>
      <c r="O807" s="12">
        <v>2.3004347826086954E-2</v>
      </c>
      <c r="P807" s="19">
        <f t="shared" si="88"/>
        <v>0</v>
      </c>
      <c r="Q807" s="12">
        <f t="shared" si="89"/>
        <v>0</v>
      </c>
      <c r="R807" s="12">
        <f t="shared" si="90"/>
        <v>7.61904</v>
      </c>
      <c r="S807" s="1">
        <v>329</v>
      </c>
      <c r="T807" s="14">
        <v>46236</v>
      </c>
    </row>
    <row r="808" spans="1:20" ht="21" customHeight="1" x14ac:dyDescent="0.45">
      <c r="A808" s="31">
        <v>46237.427083333336</v>
      </c>
      <c r="B808" s="31">
        <v>46237.431360000002</v>
      </c>
      <c r="C808" s="31">
        <v>46237.427083333336</v>
      </c>
      <c r="D808" s="1" t="s">
        <v>103</v>
      </c>
      <c r="E808" s="12">
        <v>0.10264</v>
      </c>
      <c r="F808" s="12">
        <f>IF(D808="d",两日求解价格与决策!K338-两日求解价格与决策!N338,IF(D808="u",两日求解价格与决策!K338+两日求解价格与决策!M338,两日求解价格与决策!K338))</f>
        <v>-15.098715434297089</v>
      </c>
      <c r="G808" s="12">
        <f t="shared" si="85"/>
        <v>15.098715434297089</v>
      </c>
      <c r="H808" s="12">
        <f t="shared" si="86"/>
        <v>0</v>
      </c>
      <c r="I808" s="12">
        <f t="shared" si="91"/>
        <v>31.739130434782609</v>
      </c>
      <c r="J808" s="12">
        <f>I808+E808*(G808*原始输入与口径!$B$5-H808/原始输入与口径!$B$5)</f>
        <v>33.164884014784761</v>
      </c>
      <c r="K808" s="12">
        <v>31.739130434782595</v>
      </c>
      <c r="L808" s="12">
        <v>33.164884014784747</v>
      </c>
      <c r="M808" s="19">
        <f t="shared" si="87"/>
        <v>0</v>
      </c>
      <c r="N808" s="12">
        <f>E808*(G808*原始输入与口径!$B$5+H808/原始输入与口径!$B$5)/原始输入与口径!$H$5</f>
        <v>3.9604266111170914E-3</v>
      </c>
      <c r="O808" s="12">
        <v>3.9604266111170914E-3</v>
      </c>
      <c r="P808" s="19">
        <f t="shared" si="88"/>
        <v>0</v>
      </c>
      <c r="Q808" s="12">
        <f t="shared" si="89"/>
        <v>1.5497321521762533</v>
      </c>
      <c r="R808" s="12">
        <f t="shared" si="90"/>
        <v>0</v>
      </c>
      <c r="S808" s="1">
        <v>330</v>
      </c>
      <c r="T808" s="14">
        <v>46236</v>
      </c>
    </row>
    <row r="809" spans="1:20" ht="21" customHeight="1" x14ac:dyDescent="0.45">
      <c r="A809" s="31">
        <v>46237.431360000002</v>
      </c>
      <c r="B809" s="31">
        <v>46237.4375</v>
      </c>
      <c r="C809" s="31">
        <v>46237.427083333336</v>
      </c>
      <c r="D809" s="1" t="s">
        <v>102</v>
      </c>
      <c r="E809" s="12">
        <v>0.14735999999999999</v>
      </c>
      <c r="F809" s="12">
        <f>IF(D809="d",两日求解价格与决策!K338-两日求解价格与决策!N338,IF(D809="u",两日求解价格与决策!K338+两日求解价格与决策!M338,两日求解价格与决策!K338))</f>
        <v>8.9012845657029107</v>
      </c>
      <c r="G809" s="12">
        <f t="shared" si="85"/>
        <v>0</v>
      </c>
      <c r="H809" s="12">
        <f t="shared" si="86"/>
        <v>8.9012845657029107</v>
      </c>
      <c r="I809" s="12">
        <f t="shared" si="91"/>
        <v>33.164884014784761</v>
      </c>
      <c r="J809" s="12">
        <f>I809+E809*(G809*原始输入与口径!$B$5-H809/原始输入与口径!$B$5)</f>
        <v>31.739130434782609</v>
      </c>
      <c r="K809" s="12">
        <v>33.164884014784747</v>
      </c>
      <c r="L809" s="12">
        <v>31.739130434782595</v>
      </c>
      <c r="M809" s="19">
        <f t="shared" si="87"/>
        <v>0</v>
      </c>
      <c r="N809" s="12">
        <f>E809*(G809*原始输入与口径!$B$5+H809/原始输入与口径!$B$5)/原始输入与口径!$H$5</f>
        <v>3.9604266111170914E-3</v>
      </c>
      <c r="O809" s="12">
        <v>3.9604266111170922E-3</v>
      </c>
      <c r="P809" s="19">
        <f t="shared" si="88"/>
        <v>0</v>
      </c>
      <c r="Q809" s="12">
        <f t="shared" si="89"/>
        <v>0</v>
      </c>
      <c r="R809" s="12">
        <f t="shared" si="90"/>
        <v>1.3116932936019809</v>
      </c>
      <c r="S809" s="1">
        <v>330</v>
      </c>
      <c r="T809" s="14">
        <v>46236</v>
      </c>
    </row>
    <row r="810" spans="1:20" ht="21" customHeight="1" x14ac:dyDescent="0.45">
      <c r="A810" s="31">
        <v>46237.4375</v>
      </c>
      <c r="B810" s="31">
        <v>46237.442414999998</v>
      </c>
      <c r="C810" s="31">
        <v>46237.4375</v>
      </c>
      <c r="D810" s="1" t="s">
        <v>103</v>
      </c>
      <c r="E810" s="12">
        <v>0.11796000000000001</v>
      </c>
      <c r="F810" s="12">
        <f>IF(D810="d",两日求解价格与决策!K339-两日求解价格与决策!N339,IF(D810="u",两日求解价格与决策!K339+两日求解价格与决策!M339,两日求解价格与决策!K339))</f>
        <v>-24</v>
      </c>
      <c r="G810" s="12">
        <f t="shared" si="85"/>
        <v>24</v>
      </c>
      <c r="H810" s="12">
        <f t="shared" si="86"/>
        <v>0</v>
      </c>
      <c r="I810" s="12">
        <f t="shared" si="91"/>
        <v>31.739130434782609</v>
      </c>
      <c r="J810" s="12">
        <f>I810+E810*(G810*原始输入与口径!$B$5-H810/原始输入与口径!$B$5)</f>
        <v>34.343687234782607</v>
      </c>
      <c r="K810" s="12">
        <v>31.739130434782595</v>
      </c>
      <c r="L810" s="12">
        <v>34.343687234782593</v>
      </c>
      <c r="M810" s="19">
        <f t="shared" si="87"/>
        <v>0</v>
      </c>
      <c r="N810" s="12">
        <f>E810*(G810*原始输入与口径!$B$5+H810/原始输入与口径!$B$5)/原始输入与口径!$H$5</f>
        <v>7.2348800000000017E-3</v>
      </c>
      <c r="O810" s="12">
        <v>7.23488E-3</v>
      </c>
      <c r="P810" s="19">
        <f t="shared" si="88"/>
        <v>0</v>
      </c>
      <c r="Q810" s="12">
        <f t="shared" si="89"/>
        <v>2.8310400000000002</v>
      </c>
      <c r="R810" s="12">
        <f t="shared" si="90"/>
        <v>0</v>
      </c>
      <c r="S810" s="1">
        <v>331</v>
      </c>
      <c r="T810" s="14">
        <v>46236</v>
      </c>
    </row>
    <row r="811" spans="1:20" ht="21" customHeight="1" x14ac:dyDescent="0.45">
      <c r="A811" s="31">
        <v>46237.442414999998</v>
      </c>
      <c r="B811" s="31">
        <v>46237.447916666664</v>
      </c>
      <c r="C811" s="31">
        <v>46237.4375</v>
      </c>
      <c r="D811" s="1" t="s">
        <v>102</v>
      </c>
      <c r="E811" s="12">
        <v>0.13203999999999999</v>
      </c>
      <c r="F811" s="12">
        <f>IF(D811="d",两日求解价格与决策!K339-两日求解价格与决策!N339,IF(D811="u",两日求解价格与决策!K339+两日求解价格与决策!M339,两日求解价格与决策!K339))</f>
        <v>0</v>
      </c>
      <c r="G811" s="12">
        <f t="shared" si="85"/>
        <v>0</v>
      </c>
      <c r="H811" s="12">
        <f t="shared" si="86"/>
        <v>0</v>
      </c>
      <c r="I811" s="12">
        <f t="shared" si="91"/>
        <v>34.343687234782607</v>
      </c>
      <c r="J811" s="12">
        <f>I811+E811*(G811*原始输入与口径!$B$5-H811/原始输入与口径!$B$5)</f>
        <v>34.343687234782607</v>
      </c>
      <c r="K811" s="12">
        <v>34.343687234782593</v>
      </c>
      <c r="L811" s="12">
        <v>34.343687234782593</v>
      </c>
      <c r="M811" s="19">
        <f t="shared" si="87"/>
        <v>0</v>
      </c>
      <c r="N811" s="12">
        <f>E811*(G811*原始输入与口径!$B$5+H811/原始输入与口径!$B$5)/原始输入与口径!$H$5</f>
        <v>0</v>
      </c>
      <c r="O811" s="12">
        <v>0</v>
      </c>
      <c r="P811" s="19">
        <f t="shared" si="88"/>
        <v>0</v>
      </c>
      <c r="Q811" s="12">
        <f t="shared" si="89"/>
        <v>0</v>
      </c>
      <c r="R811" s="12">
        <f t="shared" si="90"/>
        <v>0</v>
      </c>
      <c r="S811" s="1">
        <v>331</v>
      </c>
      <c r="T811" s="14">
        <v>46236</v>
      </c>
    </row>
    <row r="812" spans="1:20" ht="21" customHeight="1" x14ac:dyDescent="0.45">
      <c r="A812" s="31">
        <v>46237.447916666664</v>
      </c>
      <c r="B812" s="31">
        <v>46237.455612619044</v>
      </c>
      <c r="C812" s="31">
        <v>46237.447916666664</v>
      </c>
      <c r="D812" s="1" t="s">
        <v>103</v>
      </c>
      <c r="E812" s="12">
        <v>0.18470285714285714</v>
      </c>
      <c r="F812" s="12">
        <f>IF(D812="d",两日求解价格与决策!K340-两日求解价格与决策!N340,IF(D812="u",两日求解价格与决策!K340+两日求解价格与决策!M340,两日求解价格与决策!K340))</f>
        <v>-60</v>
      </c>
      <c r="G812" s="12">
        <f t="shared" si="85"/>
        <v>60</v>
      </c>
      <c r="H812" s="12">
        <f t="shared" si="86"/>
        <v>0</v>
      </c>
      <c r="I812" s="12">
        <f t="shared" si="91"/>
        <v>34.343687234782607</v>
      </c>
      <c r="J812" s="12">
        <f>I812+E812*(G812*原始输入与口径!$B$5-H812/原始输入与口径!$B$5)</f>
        <v>44.539284949068318</v>
      </c>
      <c r="K812" s="12">
        <v>34.343687234782593</v>
      </c>
      <c r="L812" s="12">
        <v>44.539284949068303</v>
      </c>
      <c r="M812" s="19">
        <f t="shared" si="87"/>
        <v>0</v>
      </c>
      <c r="N812" s="12">
        <f>E812*(G812*原始输入与口径!$B$5+H812/原始输入与口径!$B$5)/原始输入与口径!$H$5</f>
        <v>2.8321104761904761E-2</v>
      </c>
      <c r="O812" s="12">
        <v>2.8321104761904761E-2</v>
      </c>
      <c r="P812" s="19">
        <f t="shared" si="88"/>
        <v>0</v>
      </c>
      <c r="Q812" s="12">
        <f t="shared" si="89"/>
        <v>11.082171428571428</v>
      </c>
      <c r="R812" s="12">
        <f t="shared" si="90"/>
        <v>0</v>
      </c>
      <c r="S812" s="1">
        <v>332</v>
      </c>
      <c r="T812" s="14">
        <v>46236</v>
      </c>
    </row>
    <row r="813" spans="1:20" ht="21" customHeight="1" x14ac:dyDescent="0.45">
      <c r="A813" s="31">
        <v>46237.455612619044</v>
      </c>
      <c r="B813" s="31">
        <v>46237.458333333328</v>
      </c>
      <c r="C813" s="31">
        <v>46237.447916666664</v>
      </c>
      <c r="D813" s="1" t="s">
        <v>102</v>
      </c>
      <c r="E813" s="12">
        <v>6.5297142857142859E-2</v>
      </c>
      <c r="F813" s="12">
        <f>IF(D813="d",两日求解价格与决策!K340-两日求解价格与决策!N340,IF(D813="u",两日求解价格与决策!K340+两日求解价格与决策!M340,两日求解价格与决策!K340))</f>
        <v>-36</v>
      </c>
      <c r="G813" s="12">
        <f t="shared" si="85"/>
        <v>36</v>
      </c>
      <c r="H813" s="12">
        <f t="shared" si="86"/>
        <v>0</v>
      </c>
      <c r="I813" s="12">
        <f t="shared" si="91"/>
        <v>44.539284949068318</v>
      </c>
      <c r="J813" s="12">
        <f>I813+E813*(G813*原始输入与口径!$B$5-H813/原始输入与口径!$B$5)</f>
        <v>46.701926320496888</v>
      </c>
      <c r="K813" s="12">
        <v>44.539284949068303</v>
      </c>
      <c r="L813" s="12">
        <v>46.701926320496874</v>
      </c>
      <c r="M813" s="19">
        <f t="shared" si="87"/>
        <v>0</v>
      </c>
      <c r="N813" s="12">
        <f>E813*(G813*原始输入与口径!$B$5+H813/原始输入与口径!$B$5)/原始输入与口径!$H$5</f>
        <v>6.0073371428571434E-3</v>
      </c>
      <c r="O813" s="12">
        <v>6.0073371428571425E-3</v>
      </c>
      <c r="P813" s="19">
        <f t="shared" si="88"/>
        <v>0</v>
      </c>
      <c r="Q813" s="12">
        <f t="shared" si="89"/>
        <v>2.3506971428571428</v>
      </c>
      <c r="R813" s="12">
        <f t="shared" si="90"/>
        <v>0</v>
      </c>
      <c r="S813" s="1">
        <v>332</v>
      </c>
      <c r="T813" s="14">
        <v>46236</v>
      </c>
    </row>
    <row r="814" spans="1:20" ht="21" customHeight="1" x14ac:dyDescent="0.45">
      <c r="A814" s="31">
        <v>46237.458333333336</v>
      </c>
      <c r="B814" s="31">
        <v>46237.465598095238</v>
      </c>
      <c r="C814" s="31">
        <v>46237.458333333336</v>
      </c>
      <c r="D814" s="1" t="s">
        <v>103</v>
      </c>
      <c r="E814" s="12">
        <v>0.17435428571428571</v>
      </c>
      <c r="F814" s="12">
        <f>IF(D814="d",两日求解价格与决策!K341-两日求解价格与决策!N341,IF(D814="u",两日求解价格与决策!K341+两日求解价格与决策!M341,两日求解价格与决策!K341))</f>
        <v>-60</v>
      </c>
      <c r="G814" s="12">
        <f t="shared" si="85"/>
        <v>60</v>
      </c>
      <c r="H814" s="12">
        <f t="shared" si="86"/>
        <v>0</v>
      </c>
      <c r="I814" s="12">
        <f t="shared" si="91"/>
        <v>46.701926320496888</v>
      </c>
      <c r="J814" s="12">
        <f>I814+E814*(G814*原始输入与口径!$B$5-H814/原始输入与口径!$B$5)</f>
        <v>56.326282891925459</v>
      </c>
      <c r="K814" s="12">
        <v>46.701926320496874</v>
      </c>
      <c r="L814" s="12">
        <v>56.326282891925445</v>
      </c>
      <c r="M814" s="19">
        <f t="shared" si="87"/>
        <v>0</v>
      </c>
      <c r="N814" s="12">
        <f>E814*(G814*原始输入与口径!$B$5+H814/原始输入与口径!$B$5)/原始输入与口径!$H$5</f>
        <v>2.6734323809523813E-2</v>
      </c>
      <c r="O814" s="12">
        <v>2.6734323809523813E-2</v>
      </c>
      <c r="P814" s="19">
        <f t="shared" si="88"/>
        <v>0</v>
      </c>
      <c r="Q814" s="12">
        <f t="shared" si="89"/>
        <v>10.461257142857143</v>
      </c>
      <c r="R814" s="12">
        <f t="shared" si="90"/>
        <v>0</v>
      </c>
      <c r="S814" s="1">
        <v>333</v>
      </c>
      <c r="T814" s="14">
        <v>46236</v>
      </c>
    </row>
    <row r="815" spans="1:20" ht="21" customHeight="1" x14ac:dyDescent="0.45">
      <c r="A815" s="31">
        <v>46237.465598095238</v>
      </c>
      <c r="B815" s="31">
        <v>46237.46875</v>
      </c>
      <c r="C815" s="31">
        <v>46237.458333333336</v>
      </c>
      <c r="D815" s="1" t="s">
        <v>102</v>
      </c>
      <c r="E815" s="12">
        <v>7.5645714285714288E-2</v>
      </c>
      <c r="F815" s="12">
        <f>IF(D815="d",两日求解价格与决策!K341-两日求解价格与决策!N341,IF(D815="u",两日求解价格与决策!K341+两日求解价格与决策!M341,两日求解价格与决策!K341))</f>
        <v>-36</v>
      </c>
      <c r="G815" s="12">
        <f t="shared" si="85"/>
        <v>36</v>
      </c>
      <c r="H815" s="12">
        <f t="shared" si="86"/>
        <v>0</v>
      </c>
      <c r="I815" s="12">
        <f t="shared" si="91"/>
        <v>56.326282891925459</v>
      </c>
      <c r="J815" s="12">
        <f>I815+E815*(G815*原始输入与口径!$B$5-H815/原始输入与口径!$B$5)</f>
        <v>58.831668949068316</v>
      </c>
      <c r="K815" s="12">
        <v>56.326282891925445</v>
      </c>
      <c r="L815" s="12">
        <v>58.831668949068302</v>
      </c>
      <c r="M815" s="19">
        <f t="shared" si="87"/>
        <v>0</v>
      </c>
      <c r="N815" s="12">
        <f>E815*(G815*原始输入与口径!$B$5+H815/原始输入与口径!$B$5)/原始输入与口径!$H$5</f>
        <v>6.9594057142857157E-3</v>
      </c>
      <c r="O815" s="12">
        <v>6.9594057142857149E-3</v>
      </c>
      <c r="P815" s="19">
        <f t="shared" si="88"/>
        <v>0</v>
      </c>
      <c r="Q815" s="12">
        <f t="shared" si="89"/>
        <v>2.7232457142857145</v>
      </c>
      <c r="R815" s="12">
        <f t="shared" si="90"/>
        <v>0</v>
      </c>
      <c r="S815" s="1">
        <v>333</v>
      </c>
      <c r="T815" s="14">
        <v>46236</v>
      </c>
    </row>
    <row r="816" spans="1:20" ht="21" customHeight="1" x14ac:dyDescent="0.45">
      <c r="A816" s="31">
        <v>46237.46875</v>
      </c>
      <c r="B816" s="31">
        <v>46237.471364761906</v>
      </c>
      <c r="C816" s="31">
        <v>46237.46875</v>
      </c>
      <c r="D816" s="1" t="s">
        <v>103</v>
      </c>
      <c r="E816" s="12">
        <v>6.2754285714285707E-2</v>
      </c>
      <c r="F816" s="12">
        <f>IF(D816="d",两日求解价格与决策!K342-两日求解价格与决策!N342,IF(D816="u",两日求解价格与决策!K342+两日求解价格与决策!M342,两日求解价格与决策!K342))</f>
        <v>-24</v>
      </c>
      <c r="G816" s="12">
        <f t="shared" si="85"/>
        <v>24</v>
      </c>
      <c r="H816" s="12">
        <f t="shared" si="86"/>
        <v>0</v>
      </c>
      <c r="I816" s="12">
        <f t="shared" si="91"/>
        <v>58.831668949068316</v>
      </c>
      <c r="J816" s="12">
        <f>I816+E816*(G816*原始输入与口径!$B$5-H816/原始输入与口径!$B$5)</f>
        <v>60.217283577639748</v>
      </c>
      <c r="K816" s="12">
        <v>58.831668949068302</v>
      </c>
      <c r="L816" s="12">
        <v>60.217283577639733</v>
      </c>
      <c r="M816" s="19">
        <f t="shared" si="87"/>
        <v>0</v>
      </c>
      <c r="N816" s="12">
        <f>E816*(G816*原始输入与口径!$B$5+H816/原始输入与口径!$B$5)/原始输入与口径!$H$5</f>
        <v>3.848929523809524E-3</v>
      </c>
      <c r="O816" s="12">
        <v>3.8489295238095232E-3</v>
      </c>
      <c r="P816" s="19">
        <f t="shared" si="88"/>
        <v>0</v>
      </c>
      <c r="Q816" s="12">
        <f t="shared" si="89"/>
        <v>1.506102857142857</v>
      </c>
      <c r="R816" s="12">
        <f t="shared" si="90"/>
        <v>0</v>
      </c>
      <c r="S816" s="1">
        <v>334</v>
      </c>
      <c r="T816" s="14">
        <v>46236</v>
      </c>
    </row>
    <row r="817" spans="1:20" ht="21" customHeight="1" x14ac:dyDescent="0.45">
      <c r="A817" s="31">
        <v>46237.471364761906</v>
      </c>
      <c r="B817" s="31">
        <v>46237.479166666664</v>
      </c>
      <c r="C817" s="31">
        <v>46237.46875</v>
      </c>
      <c r="D817" s="1" t="s">
        <v>102</v>
      </c>
      <c r="E817" s="12">
        <v>0.18724571428571429</v>
      </c>
      <c r="F817" s="12">
        <f>IF(D817="d",两日求解价格与决策!K342-两日求解价格与决策!N342,IF(D817="u",两日求解价格与决策!K342+两日求解价格与决策!M342,两日求解价格与决策!K342))</f>
        <v>0</v>
      </c>
      <c r="G817" s="12">
        <f t="shared" si="85"/>
        <v>0</v>
      </c>
      <c r="H817" s="12">
        <f t="shared" si="86"/>
        <v>0</v>
      </c>
      <c r="I817" s="12">
        <f t="shared" si="91"/>
        <v>60.217283577639748</v>
      </c>
      <c r="J817" s="12">
        <f>I817+E817*(G817*原始输入与口径!$B$5-H817/原始输入与口径!$B$5)</f>
        <v>60.217283577639748</v>
      </c>
      <c r="K817" s="12">
        <v>60.217283577639733</v>
      </c>
      <c r="L817" s="12">
        <v>60.217283577639733</v>
      </c>
      <c r="M817" s="19">
        <f t="shared" si="87"/>
        <v>0</v>
      </c>
      <c r="N817" s="12">
        <f>E817*(G817*原始输入与口径!$B$5+H817/原始输入与口径!$B$5)/原始输入与口径!$H$5</f>
        <v>0</v>
      </c>
      <c r="O817" s="12">
        <v>0</v>
      </c>
      <c r="P817" s="19">
        <f t="shared" si="88"/>
        <v>0</v>
      </c>
      <c r="Q817" s="12">
        <f t="shared" si="89"/>
        <v>0</v>
      </c>
      <c r="R817" s="12">
        <f t="shared" si="90"/>
        <v>0</v>
      </c>
      <c r="S817" s="1">
        <v>334</v>
      </c>
      <c r="T817" s="14">
        <v>46236</v>
      </c>
    </row>
    <row r="818" spans="1:20" ht="21" customHeight="1" x14ac:dyDescent="0.45">
      <c r="A818" s="31">
        <v>46237.479166666664</v>
      </c>
      <c r="B818" s="31">
        <v>46237.481225238094</v>
      </c>
      <c r="C818" s="31">
        <v>46237.479166666664</v>
      </c>
      <c r="D818" s="1" t="s">
        <v>103</v>
      </c>
      <c r="E818" s="12">
        <v>4.9405714285714289E-2</v>
      </c>
      <c r="F818" s="12">
        <f>IF(D818="d",两日求解价格与决策!K343-两日求解价格与决策!N343,IF(D818="u",两日求解价格与决策!K343+两日求解价格与决策!M343,两日求解价格与决策!K343))</f>
        <v>-24</v>
      </c>
      <c r="G818" s="12">
        <f t="shared" si="85"/>
        <v>24</v>
      </c>
      <c r="H818" s="12">
        <f t="shared" si="86"/>
        <v>0</v>
      </c>
      <c r="I818" s="12">
        <f t="shared" si="91"/>
        <v>60.217283577639748</v>
      </c>
      <c r="J818" s="12">
        <f>I818+E818*(G818*原始输入与口径!$B$5-H818/原始输入与口径!$B$5)</f>
        <v>61.308161749068319</v>
      </c>
      <c r="K818" s="12">
        <v>60.217283577639733</v>
      </c>
      <c r="L818" s="12">
        <v>61.308161749068304</v>
      </c>
      <c r="M818" s="19">
        <f t="shared" si="87"/>
        <v>0</v>
      </c>
      <c r="N818" s="12">
        <f>E818*(G818*原始输入与口径!$B$5+H818/原始输入与口径!$B$5)/原始输入与口径!$H$5</f>
        <v>3.0302171428571432E-3</v>
      </c>
      <c r="O818" s="12">
        <v>3.0302171428571432E-3</v>
      </c>
      <c r="P818" s="19">
        <f t="shared" si="88"/>
        <v>0</v>
      </c>
      <c r="Q818" s="12">
        <f t="shared" si="89"/>
        <v>1.185737142857143</v>
      </c>
      <c r="R818" s="12">
        <f t="shared" si="90"/>
        <v>0</v>
      </c>
      <c r="S818" s="1">
        <v>335</v>
      </c>
      <c r="T818" s="14">
        <v>46236</v>
      </c>
    </row>
    <row r="819" spans="1:20" ht="21" customHeight="1" x14ac:dyDescent="0.45">
      <c r="A819" s="31">
        <v>46237.481225238094</v>
      </c>
      <c r="B819" s="31">
        <v>46237.489583333328</v>
      </c>
      <c r="C819" s="31">
        <v>46237.479166666664</v>
      </c>
      <c r="D819" s="1" t="s">
        <v>102</v>
      </c>
      <c r="E819" s="12">
        <v>0.20059428571428572</v>
      </c>
      <c r="F819" s="12">
        <f>IF(D819="d",两日求解价格与决策!K343-两日求解价格与决策!N343,IF(D819="u",两日求解价格与决策!K343+两日求解价格与决策!M343,两日求解价格与决策!K343))</f>
        <v>0</v>
      </c>
      <c r="G819" s="12">
        <f t="shared" si="85"/>
        <v>0</v>
      </c>
      <c r="H819" s="12">
        <f t="shared" si="86"/>
        <v>0</v>
      </c>
      <c r="I819" s="12">
        <f t="shared" si="91"/>
        <v>61.308161749068319</v>
      </c>
      <c r="J819" s="12">
        <f>I819+E819*(G819*原始输入与口径!$B$5-H819/原始输入与口径!$B$5)</f>
        <v>61.308161749068319</v>
      </c>
      <c r="K819" s="12">
        <v>61.308161749068304</v>
      </c>
      <c r="L819" s="12">
        <v>61.308161749068304</v>
      </c>
      <c r="M819" s="19">
        <f t="shared" si="87"/>
        <v>0</v>
      </c>
      <c r="N819" s="12">
        <f>E819*(G819*原始输入与口径!$B$5+H819/原始输入与口径!$B$5)/原始输入与口径!$H$5</f>
        <v>0</v>
      </c>
      <c r="O819" s="12">
        <v>0</v>
      </c>
      <c r="P819" s="19">
        <f t="shared" si="88"/>
        <v>0</v>
      </c>
      <c r="Q819" s="12">
        <f t="shared" si="89"/>
        <v>0</v>
      </c>
      <c r="R819" s="12">
        <f t="shared" si="90"/>
        <v>0</v>
      </c>
      <c r="S819" s="1">
        <v>335</v>
      </c>
      <c r="T819" s="14">
        <v>46236</v>
      </c>
    </row>
    <row r="820" spans="1:20" ht="21" customHeight="1" x14ac:dyDescent="0.45">
      <c r="A820" s="31">
        <v>46237.489583333336</v>
      </c>
      <c r="B820" s="31">
        <v>46237.492815476195</v>
      </c>
      <c r="C820" s="31">
        <v>46237.489583333336</v>
      </c>
      <c r="D820" s="1" t="s">
        <v>103</v>
      </c>
      <c r="E820" s="12">
        <v>7.7571428571428569E-2</v>
      </c>
      <c r="F820" s="12">
        <f>IF(D820="d",两日求解价格与决策!K344-两日求解价格与决策!N344,IF(D820="u",两日求解价格与决策!K344+两日求解价格与决策!M344,两日求解价格与决策!K344))</f>
        <v>-60</v>
      </c>
      <c r="G820" s="12">
        <f t="shared" si="85"/>
        <v>60</v>
      </c>
      <c r="H820" s="12">
        <f t="shared" si="86"/>
        <v>0</v>
      </c>
      <c r="I820" s="12">
        <f t="shared" si="91"/>
        <v>61.308161749068319</v>
      </c>
      <c r="J820" s="12">
        <f>I820+E820*(G820*原始输入与口径!$B$5-H820/原始输入与口径!$B$5)</f>
        <v>65.59010460621117</v>
      </c>
      <c r="K820" s="12">
        <v>61.308161749068304</v>
      </c>
      <c r="L820" s="12">
        <v>65.590104606211156</v>
      </c>
      <c r="M820" s="19">
        <f t="shared" si="87"/>
        <v>0</v>
      </c>
      <c r="N820" s="12">
        <f>E820*(G820*原始输入与口径!$B$5+H820/原始输入与口径!$B$5)/原始输入与口径!$H$5</f>
        <v>1.1894285714285715E-2</v>
      </c>
      <c r="O820" s="12">
        <v>1.1894285714285715E-2</v>
      </c>
      <c r="P820" s="19">
        <f t="shared" si="88"/>
        <v>0</v>
      </c>
      <c r="Q820" s="12">
        <f t="shared" si="89"/>
        <v>4.6542857142857139</v>
      </c>
      <c r="R820" s="12">
        <f t="shared" si="90"/>
        <v>0</v>
      </c>
      <c r="S820" s="1">
        <v>336</v>
      </c>
      <c r="T820" s="14">
        <v>46236</v>
      </c>
    </row>
    <row r="821" spans="1:20" ht="21" customHeight="1" x14ac:dyDescent="0.45">
      <c r="A821" s="31">
        <v>46237.492815476195</v>
      </c>
      <c r="B821" s="31">
        <v>46237.5</v>
      </c>
      <c r="C821" s="31">
        <v>46237.489583333336</v>
      </c>
      <c r="D821" s="1" t="s">
        <v>102</v>
      </c>
      <c r="E821" s="12">
        <v>0.17242857142857143</v>
      </c>
      <c r="F821" s="12">
        <f>IF(D821="d",两日求解价格与决策!K344-两日求解价格与决策!N344,IF(D821="u",两日求解价格与决策!K344+两日求解价格与决策!M344,两日求解价格与决策!K344))</f>
        <v>-36</v>
      </c>
      <c r="G821" s="12">
        <f t="shared" si="85"/>
        <v>36</v>
      </c>
      <c r="H821" s="12">
        <f t="shared" si="86"/>
        <v>0</v>
      </c>
      <c r="I821" s="12">
        <f t="shared" si="91"/>
        <v>65.59010460621117</v>
      </c>
      <c r="J821" s="12">
        <f>I821+E821*(G821*原始输入与口径!$B$5-H821/原始输入与口径!$B$5)</f>
        <v>71.300938891925455</v>
      </c>
      <c r="K821" s="12">
        <v>65.590104606211156</v>
      </c>
      <c r="L821" s="12">
        <v>71.300938891925441</v>
      </c>
      <c r="M821" s="19">
        <f t="shared" si="87"/>
        <v>0</v>
      </c>
      <c r="N821" s="12">
        <f>E821*(G821*原始输入与口径!$B$5+H821/原始输入与口径!$B$5)/原始输入与口径!$H$5</f>
        <v>1.5863428571428573E-2</v>
      </c>
      <c r="O821" s="12">
        <v>1.5863428571428573E-2</v>
      </c>
      <c r="P821" s="19">
        <f t="shared" si="88"/>
        <v>0</v>
      </c>
      <c r="Q821" s="12">
        <f t="shared" si="89"/>
        <v>6.2074285714285713</v>
      </c>
      <c r="R821" s="12">
        <f t="shared" si="90"/>
        <v>0</v>
      </c>
      <c r="S821" s="1">
        <v>336</v>
      </c>
      <c r="T821" s="14">
        <v>46236</v>
      </c>
    </row>
    <row r="822" spans="1:20" ht="21" customHeight="1" x14ac:dyDescent="0.45">
      <c r="A822" s="31">
        <v>46237.5</v>
      </c>
      <c r="B822" s="31">
        <v>46237.504435714283</v>
      </c>
      <c r="C822" s="31">
        <v>46237.5</v>
      </c>
      <c r="D822" s="1" t="s">
        <v>103</v>
      </c>
      <c r="E822" s="12">
        <v>0.10645714285714285</v>
      </c>
      <c r="F822" s="12">
        <f>IF(D822="d",两日求解价格与决策!K345-两日求解价格与决策!N345,IF(D822="u",两日求解价格与决策!K345+两日求解价格与决策!M345,两日求解价格与决策!K345))</f>
        <v>11.999999999999993</v>
      </c>
      <c r="G822" s="12">
        <f t="shared" si="85"/>
        <v>0</v>
      </c>
      <c r="H822" s="12">
        <f t="shared" si="86"/>
        <v>11.999999999999993</v>
      </c>
      <c r="I822" s="12">
        <f t="shared" si="91"/>
        <v>71.300938891925455</v>
      </c>
      <c r="J822" s="12">
        <f>I822+E822*(G822*原始输入与口径!$B$5-H822/原始输入与口径!$B$5)</f>
        <v>69.91236746335403</v>
      </c>
      <c r="K822" s="12">
        <v>71.300938891925441</v>
      </c>
      <c r="L822" s="12">
        <v>69.912367463354016</v>
      </c>
      <c r="M822" s="19">
        <f t="shared" si="87"/>
        <v>0</v>
      </c>
      <c r="N822" s="12">
        <f>E822*(G822*原始输入与口径!$B$5+H822/原始输入与口径!$B$5)/原始输入与口径!$H$5</f>
        <v>3.8571428571428546E-3</v>
      </c>
      <c r="O822" s="12">
        <v>3.8571428571428546E-3</v>
      </c>
      <c r="P822" s="19">
        <f t="shared" si="88"/>
        <v>0</v>
      </c>
      <c r="Q822" s="12">
        <f t="shared" si="89"/>
        <v>0</v>
      </c>
      <c r="R822" s="12">
        <f t="shared" si="90"/>
        <v>1.2774857142857134</v>
      </c>
      <c r="S822" s="1">
        <v>337</v>
      </c>
      <c r="T822" s="14">
        <v>46236</v>
      </c>
    </row>
    <row r="823" spans="1:20" ht="21" customHeight="1" x14ac:dyDescent="0.45">
      <c r="A823" s="31">
        <v>46237.504435714283</v>
      </c>
      <c r="B823" s="31">
        <v>46237.510416666664</v>
      </c>
      <c r="C823" s="31">
        <v>46237.5</v>
      </c>
      <c r="D823" s="1" t="s">
        <v>102</v>
      </c>
      <c r="E823" s="12">
        <v>0.14354285714285714</v>
      </c>
      <c r="F823" s="12">
        <f>IF(D823="d",两日求解价格与决策!K345-两日求解价格与决策!N345,IF(D823="u",两日求解价格与决策!K345+两日求解价格与决策!M345,两日求解价格与决策!K345))</f>
        <v>35.999999999999993</v>
      </c>
      <c r="G823" s="12">
        <f t="shared" si="85"/>
        <v>0</v>
      </c>
      <c r="H823" s="12">
        <f t="shared" si="86"/>
        <v>35.999999999999993</v>
      </c>
      <c r="I823" s="12">
        <f t="shared" si="91"/>
        <v>69.91236746335403</v>
      </c>
      <c r="J823" s="12">
        <f>I823+E823*(G823*原始输入与口径!$B$5-H823/原始输入与口径!$B$5)</f>
        <v>64.295473053416146</v>
      </c>
      <c r="K823" s="12">
        <v>69.912367463354016</v>
      </c>
      <c r="L823" s="12">
        <v>64.295473053416131</v>
      </c>
      <c r="M823" s="19">
        <f t="shared" si="87"/>
        <v>0</v>
      </c>
      <c r="N823" s="12">
        <f>E823*(G823*原始输入与口径!$B$5+H823/原始输入与口径!$B$5)/原始输入与口径!$H$5</f>
        <v>1.5602484472049686E-2</v>
      </c>
      <c r="O823" s="12">
        <v>1.5602484472049687E-2</v>
      </c>
      <c r="P823" s="19">
        <f t="shared" si="88"/>
        <v>0</v>
      </c>
      <c r="Q823" s="12">
        <f t="shared" si="89"/>
        <v>0</v>
      </c>
      <c r="R823" s="12">
        <f t="shared" si="90"/>
        <v>5.1675428571428563</v>
      </c>
      <c r="S823" s="1">
        <v>337</v>
      </c>
      <c r="T823" s="14">
        <v>46236</v>
      </c>
    </row>
    <row r="824" spans="1:20" ht="21" customHeight="1" x14ac:dyDescent="0.45">
      <c r="A824" s="31">
        <v>46237.510416666664</v>
      </c>
      <c r="B824" s="31">
        <v>46237.513788571428</v>
      </c>
      <c r="C824" s="31">
        <v>46237.510416666664</v>
      </c>
      <c r="D824" s="1" t="s">
        <v>103</v>
      </c>
      <c r="E824" s="12">
        <v>8.0925714285714295E-2</v>
      </c>
      <c r="F824" s="12">
        <f>IF(D824="d",两日求解价格与决策!K346-两日求解价格与决策!N346,IF(D824="u",两日求解价格与决策!K346+两日求解价格与决策!M346,两日求解价格与决策!K346))</f>
        <v>-24</v>
      </c>
      <c r="G824" s="12">
        <f t="shared" si="85"/>
        <v>24</v>
      </c>
      <c r="H824" s="12">
        <f t="shared" si="86"/>
        <v>0</v>
      </c>
      <c r="I824" s="12">
        <f t="shared" si="91"/>
        <v>64.295473053416146</v>
      </c>
      <c r="J824" s="12">
        <f>I824+E824*(G824*原始输入与口径!$B$5-H824/原始输入与口径!$B$5)</f>
        <v>66.08231282484472</v>
      </c>
      <c r="K824" s="12">
        <v>64.295473053416131</v>
      </c>
      <c r="L824" s="12">
        <v>66.082312824844706</v>
      </c>
      <c r="M824" s="19">
        <f t="shared" si="87"/>
        <v>0</v>
      </c>
      <c r="N824" s="12">
        <f>E824*(G824*原始输入与口径!$B$5+H824/原始输入与口径!$B$5)/原始输入与口径!$H$5</f>
        <v>4.9634438095238105E-3</v>
      </c>
      <c r="O824" s="12">
        <v>4.9634438095238105E-3</v>
      </c>
      <c r="P824" s="19">
        <f t="shared" si="88"/>
        <v>0</v>
      </c>
      <c r="Q824" s="12">
        <f t="shared" si="89"/>
        <v>1.9422171428571431</v>
      </c>
      <c r="R824" s="12">
        <f t="shared" si="90"/>
        <v>0</v>
      </c>
      <c r="S824" s="1">
        <v>338</v>
      </c>
      <c r="T824" s="14">
        <v>46236</v>
      </c>
    </row>
    <row r="825" spans="1:20" ht="21" customHeight="1" x14ac:dyDescent="0.45">
      <c r="A825" s="31">
        <v>46237.513788571428</v>
      </c>
      <c r="B825" s="31">
        <v>46237.520833333328</v>
      </c>
      <c r="C825" s="31">
        <v>46237.510416666664</v>
      </c>
      <c r="D825" s="1" t="s">
        <v>102</v>
      </c>
      <c r="E825" s="12">
        <v>0.1690742857142857</v>
      </c>
      <c r="F825" s="12">
        <f>IF(D825="d",两日求解价格与决策!K346-两日求解价格与决策!N346,IF(D825="u",两日求解价格与决策!K346+两日求解价格与决策!M346,两日求解价格与决策!K346))</f>
        <v>0</v>
      </c>
      <c r="G825" s="12">
        <f t="shared" si="85"/>
        <v>0</v>
      </c>
      <c r="H825" s="12">
        <f t="shared" si="86"/>
        <v>0</v>
      </c>
      <c r="I825" s="12">
        <f t="shared" si="91"/>
        <v>66.08231282484472</v>
      </c>
      <c r="J825" s="12">
        <f>I825+E825*(G825*原始输入与口径!$B$5-H825/原始输入与口径!$B$5)</f>
        <v>66.08231282484472</v>
      </c>
      <c r="K825" s="12">
        <v>66.082312824844706</v>
      </c>
      <c r="L825" s="12">
        <v>66.082312824844706</v>
      </c>
      <c r="M825" s="19">
        <f t="shared" si="87"/>
        <v>0</v>
      </c>
      <c r="N825" s="12">
        <f>E825*(G825*原始输入与口径!$B$5+H825/原始输入与口径!$B$5)/原始输入与口径!$H$5</f>
        <v>0</v>
      </c>
      <c r="O825" s="12">
        <v>0</v>
      </c>
      <c r="P825" s="19">
        <f t="shared" si="88"/>
        <v>0</v>
      </c>
      <c r="Q825" s="12">
        <f t="shared" si="89"/>
        <v>0</v>
      </c>
      <c r="R825" s="12">
        <f t="shared" si="90"/>
        <v>0</v>
      </c>
      <c r="S825" s="1">
        <v>338</v>
      </c>
      <c r="T825" s="14">
        <v>46236</v>
      </c>
    </row>
    <row r="826" spans="1:20" ht="21" customHeight="1" x14ac:dyDescent="0.45">
      <c r="A826" s="31">
        <v>46237.520833333336</v>
      </c>
      <c r="B826" s="31">
        <v>46237.524911190478</v>
      </c>
      <c r="C826" s="31">
        <v>46237.520833333336</v>
      </c>
      <c r="D826" s="1" t="s">
        <v>103</v>
      </c>
      <c r="E826" s="12">
        <v>9.7868571428571416E-2</v>
      </c>
      <c r="F826" s="12">
        <f>IF(D826="d",两日求解价格与决策!K347-两日求解价格与决策!N347,IF(D826="u",两日求解价格与决策!K347+两日求解价格与决策!M347,两日求解价格与决策!K347))</f>
        <v>-60</v>
      </c>
      <c r="G826" s="12">
        <f t="shared" si="85"/>
        <v>60</v>
      </c>
      <c r="H826" s="12">
        <f t="shared" si="86"/>
        <v>0</v>
      </c>
      <c r="I826" s="12">
        <f t="shared" si="91"/>
        <v>66.08231282484472</v>
      </c>
      <c r="J826" s="12">
        <f>I826+E826*(G826*原始输入与口径!$B$5-H826/原始输入与口径!$B$5)</f>
        <v>71.484657967701864</v>
      </c>
      <c r="K826" s="12">
        <v>66.082312824844706</v>
      </c>
      <c r="L826" s="12">
        <v>71.48465796770185</v>
      </c>
      <c r="M826" s="19">
        <f t="shared" si="87"/>
        <v>0</v>
      </c>
      <c r="N826" s="12">
        <f>E826*(G826*原始输入与口径!$B$5+H826/原始输入与口径!$B$5)/原始输入与口径!$H$5</f>
        <v>1.5006514285714284E-2</v>
      </c>
      <c r="O826" s="12">
        <v>1.5006514285714284E-2</v>
      </c>
      <c r="P826" s="19">
        <f t="shared" si="88"/>
        <v>0</v>
      </c>
      <c r="Q826" s="12">
        <f t="shared" si="89"/>
        <v>5.872114285714285</v>
      </c>
      <c r="R826" s="12">
        <f t="shared" si="90"/>
        <v>0</v>
      </c>
      <c r="S826" s="1">
        <v>339</v>
      </c>
      <c r="T826" s="14">
        <v>46236</v>
      </c>
    </row>
    <row r="827" spans="1:20" ht="21" customHeight="1" x14ac:dyDescent="0.45">
      <c r="A827" s="31">
        <v>46237.524911190478</v>
      </c>
      <c r="B827" s="31">
        <v>46237.53125</v>
      </c>
      <c r="C827" s="31">
        <v>46237.520833333336</v>
      </c>
      <c r="D827" s="1" t="s">
        <v>102</v>
      </c>
      <c r="E827" s="12">
        <v>0.15213142857142858</v>
      </c>
      <c r="F827" s="12">
        <f>IF(D827="d",两日求解价格与决策!K347-两日求解价格与决策!N347,IF(D827="u",两日求解价格与决策!K347+两日求解价格与决策!M347,两日求解价格与决策!K347))</f>
        <v>-36</v>
      </c>
      <c r="G827" s="12">
        <f t="shared" si="85"/>
        <v>36</v>
      </c>
      <c r="H827" s="12">
        <f t="shared" si="86"/>
        <v>0</v>
      </c>
      <c r="I827" s="12">
        <f t="shared" si="91"/>
        <v>71.484657967701864</v>
      </c>
      <c r="J827" s="12">
        <f>I827+E827*(G827*原始输入与口径!$B$5-H827/原始输入与口径!$B$5)</f>
        <v>76.523250881987579</v>
      </c>
      <c r="K827" s="12">
        <v>71.48465796770185</v>
      </c>
      <c r="L827" s="12">
        <v>76.523250881987565</v>
      </c>
      <c r="M827" s="19">
        <f t="shared" si="87"/>
        <v>0</v>
      </c>
      <c r="N827" s="12">
        <f>E827*(G827*原始输入与口径!$B$5+H827/原始输入与口径!$B$5)/原始输入与口径!$H$5</f>
        <v>1.3996091428571431E-2</v>
      </c>
      <c r="O827" s="12">
        <v>1.3996091428571431E-2</v>
      </c>
      <c r="P827" s="19">
        <f t="shared" si="88"/>
        <v>0</v>
      </c>
      <c r="Q827" s="12">
        <f t="shared" si="89"/>
        <v>5.476731428571429</v>
      </c>
      <c r="R827" s="12">
        <f t="shared" si="90"/>
        <v>0</v>
      </c>
      <c r="S827" s="1">
        <v>339</v>
      </c>
      <c r="T827" s="14">
        <v>46236</v>
      </c>
    </row>
    <row r="828" spans="1:20" ht="21" customHeight="1" x14ac:dyDescent="0.45">
      <c r="A828" s="31">
        <v>46237.53125</v>
      </c>
      <c r="B828" s="31">
        <v>46237.534752380954</v>
      </c>
      <c r="C828" s="31">
        <v>46237.53125</v>
      </c>
      <c r="D828" s="1" t="s">
        <v>103</v>
      </c>
      <c r="E828" s="12">
        <v>8.4057142857142858E-2</v>
      </c>
      <c r="F828" s="12">
        <f>IF(D828="d",两日求解价格与决策!K348-两日求解价格与决策!N348,IF(D828="u",两日求解价格与决策!K348+两日求解价格与决策!M348,两日求解价格与决策!K348))</f>
        <v>-60</v>
      </c>
      <c r="G828" s="12">
        <f t="shared" si="85"/>
        <v>60</v>
      </c>
      <c r="H828" s="12">
        <f t="shared" si="86"/>
        <v>0</v>
      </c>
      <c r="I828" s="12">
        <f t="shared" si="91"/>
        <v>76.523250881987579</v>
      </c>
      <c r="J828" s="12">
        <f>I828+E828*(G828*原始输入与口径!$B$5-H828/原始输入与口径!$B$5)</f>
        <v>81.163205167701861</v>
      </c>
      <c r="K828" s="12">
        <v>76.523250881987565</v>
      </c>
      <c r="L828" s="12">
        <v>81.163205167701847</v>
      </c>
      <c r="M828" s="19">
        <f t="shared" si="87"/>
        <v>0</v>
      </c>
      <c r="N828" s="12">
        <f>E828*(G828*原始输入与口径!$B$5+H828/原始输入与口径!$B$5)/原始输入与口径!$H$5</f>
        <v>1.2888761904761906E-2</v>
      </c>
      <c r="O828" s="12">
        <v>1.2888761904761906E-2</v>
      </c>
      <c r="P828" s="19">
        <f t="shared" si="88"/>
        <v>0</v>
      </c>
      <c r="Q828" s="12">
        <f t="shared" si="89"/>
        <v>5.0434285714285716</v>
      </c>
      <c r="R828" s="12">
        <f t="shared" si="90"/>
        <v>0</v>
      </c>
      <c r="S828" s="1">
        <v>340</v>
      </c>
      <c r="T828" s="14">
        <v>46236</v>
      </c>
    </row>
    <row r="829" spans="1:20" ht="21" customHeight="1" x14ac:dyDescent="0.45">
      <c r="A829" s="31">
        <v>46237.534752380954</v>
      </c>
      <c r="B829" s="31">
        <v>46237.541666666664</v>
      </c>
      <c r="C829" s="31">
        <v>46237.53125</v>
      </c>
      <c r="D829" s="1" t="s">
        <v>102</v>
      </c>
      <c r="E829" s="12">
        <v>0.16594285714285714</v>
      </c>
      <c r="F829" s="12">
        <f>IF(D829="d",两日求解价格与决策!K348-两日求解价格与决策!N348,IF(D829="u",两日求解价格与决策!K348+两日求解价格与决策!M348,两日求解价格与决策!K348))</f>
        <v>-36</v>
      </c>
      <c r="G829" s="12">
        <f t="shared" si="85"/>
        <v>36</v>
      </c>
      <c r="H829" s="12">
        <f t="shared" si="86"/>
        <v>0</v>
      </c>
      <c r="I829" s="12">
        <f t="shared" si="91"/>
        <v>81.163205167701861</v>
      </c>
      <c r="J829" s="12">
        <f>I829+E829*(G829*原始输入与口径!$B$5-H829/原始输入与口径!$B$5)</f>
        <v>86.659232596273284</v>
      </c>
      <c r="K829" s="12">
        <v>81.163205167701847</v>
      </c>
      <c r="L829" s="12">
        <v>86.65923259627327</v>
      </c>
      <c r="M829" s="19">
        <f t="shared" si="87"/>
        <v>0</v>
      </c>
      <c r="N829" s="12">
        <f>E829*(G829*原始输入与口径!$B$5+H829/原始输入与口径!$B$5)/原始输入与口径!$H$5</f>
        <v>1.526674285714286E-2</v>
      </c>
      <c r="O829" s="12">
        <v>1.5266742857142858E-2</v>
      </c>
      <c r="P829" s="19">
        <f t="shared" si="88"/>
        <v>0</v>
      </c>
      <c r="Q829" s="12">
        <f t="shared" si="89"/>
        <v>5.9739428571428572</v>
      </c>
      <c r="R829" s="12">
        <f t="shared" si="90"/>
        <v>0</v>
      </c>
      <c r="S829" s="1">
        <v>340</v>
      </c>
      <c r="T829" s="14">
        <v>46236</v>
      </c>
    </row>
    <row r="830" spans="1:20" ht="21" customHeight="1" x14ac:dyDescent="0.45">
      <c r="A830" s="31">
        <v>46237.541666666664</v>
      </c>
      <c r="B830" s="31">
        <v>46237.547137619047</v>
      </c>
      <c r="C830" s="31">
        <v>46237.541666666664</v>
      </c>
      <c r="D830" s="1" t="s">
        <v>103</v>
      </c>
      <c r="E830" s="12">
        <v>0.13130285714285714</v>
      </c>
      <c r="F830" s="12">
        <f>IF(D830="d",两日求解价格与决策!K349-两日求解价格与决策!N349,IF(D830="u",两日求解价格与决策!K349+两日求解价格与决策!M349,两日求解价格与决策!K349))</f>
        <v>-60</v>
      </c>
      <c r="G830" s="12">
        <f t="shared" si="85"/>
        <v>60</v>
      </c>
      <c r="H830" s="12">
        <f t="shared" si="86"/>
        <v>0</v>
      </c>
      <c r="I830" s="12">
        <f t="shared" si="91"/>
        <v>86.659232596273284</v>
      </c>
      <c r="J830" s="12">
        <f>I830+E830*(G830*原始输入与口径!$B$5-H830/原始输入与口径!$B$5)</f>
        <v>93.907150310559004</v>
      </c>
      <c r="K830" s="12">
        <v>86.65923259627327</v>
      </c>
      <c r="L830" s="12">
        <v>93.90715031055899</v>
      </c>
      <c r="M830" s="19">
        <f t="shared" si="87"/>
        <v>0</v>
      </c>
      <c r="N830" s="12">
        <f>E830*(G830*原始输入与口径!$B$5+H830/原始输入与口径!$B$5)/原始输入与口径!$H$5</f>
        <v>2.013310476190476E-2</v>
      </c>
      <c r="O830" s="12">
        <v>2.013310476190476E-2</v>
      </c>
      <c r="P830" s="19">
        <f t="shared" si="88"/>
        <v>0</v>
      </c>
      <c r="Q830" s="12">
        <f t="shared" si="89"/>
        <v>7.8781714285714282</v>
      </c>
      <c r="R830" s="12">
        <f t="shared" si="90"/>
        <v>0</v>
      </c>
      <c r="S830" s="1">
        <v>341</v>
      </c>
      <c r="T830" s="14">
        <v>46236</v>
      </c>
    </row>
    <row r="831" spans="1:20" ht="21" customHeight="1" x14ac:dyDescent="0.45">
      <c r="A831" s="31">
        <v>46237.547137619047</v>
      </c>
      <c r="B831" s="31">
        <v>46237.552083333328</v>
      </c>
      <c r="C831" s="31">
        <v>46237.541666666664</v>
      </c>
      <c r="D831" s="1" t="s">
        <v>102</v>
      </c>
      <c r="E831" s="12">
        <v>0.11869714285714286</v>
      </c>
      <c r="F831" s="12">
        <f>IF(D831="d",两日求解价格与决策!K349-两日求解价格与决策!N349,IF(D831="u",两日求解价格与决策!K349+两日求解价格与决策!M349,两日求解价格与决策!K349))</f>
        <v>-60</v>
      </c>
      <c r="G831" s="12">
        <f t="shared" si="85"/>
        <v>60</v>
      </c>
      <c r="H831" s="12">
        <f t="shared" si="86"/>
        <v>0</v>
      </c>
      <c r="I831" s="12">
        <f t="shared" si="91"/>
        <v>93.907150310559004</v>
      </c>
      <c r="J831" s="12">
        <f>I831+E831*(G831*原始输入与口径!$B$5-H831/原始输入与口径!$B$5)</f>
        <v>100.4592325962733</v>
      </c>
      <c r="K831" s="12">
        <v>93.90715031055899</v>
      </c>
      <c r="L831" s="12">
        <v>100.45923259627328</v>
      </c>
      <c r="M831" s="19">
        <f t="shared" si="87"/>
        <v>0</v>
      </c>
      <c r="N831" s="12">
        <f>E831*(G831*原始输入与口径!$B$5+H831/原始输入与口径!$B$5)/原始输入与口径!$H$5</f>
        <v>1.8200228571428573E-2</v>
      </c>
      <c r="O831" s="12">
        <v>1.8200228571428573E-2</v>
      </c>
      <c r="P831" s="19">
        <f t="shared" si="88"/>
        <v>0</v>
      </c>
      <c r="Q831" s="12">
        <f t="shared" si="89"/>
        <v>7.1218285714285718</v>
      </c>
      <c r="R831" s="12">
        <f t="shared" si="90"/>
        <v>0</v>
      </c>
      <c r="S831" s="1">
        <v>341</v>
      </c>
      <c r="T831" s="14">
        <v>46236</v>
      </c>
    </row>
    <row r="832" spans="1:20" ht="21" customHeight="1" x14ac:dyDescent="0.45">
      <c r="A832" s="31">
        <v>46237.552083333336</v>
      </c>
      <c r="B832" s="31">
        <v>46237.553206666671</v>
      </c>
      <c r="C832" s="31">
        <v>46237.552083333336</v>
      </c>
      <c r="D832" s="1" t="s">
        <v>103</v>
      </c>
      <c r="E832" s="12">
        <v>2.6960000000000001E-2</v>
      </c>
      <c r="F832" s="12">
        <f>IF(D832="d",两日求解价格与决策!K350-两日求解价格与决策!N350,IF(D832="u",两日求解价格与决策!K350+两日求解价格与决策!M350,两日求解价格与决策!K350))</f>
        <v>-60</v>
      </c>
      <c r="G832" s="12">
        <f t="shared" si="85"/>
        <v>60</v>
      </c>
      <c r="H832" s="12">
        <f t="shared" si="86"/>
        <v>0</v>
      </c>
      <c r="I832" s="12">
        <f t="shared" si="91"/>
        <v>100.4592325962733</v>
      </c>
      <c r="J832" s="12">
        <f>I832+E832*(G832*原始输入与口径!$B$5-H832/原始输入与口径!$B$5)</f>
        <v>101.94742459627329</v>
      </c>
      <c r="K832" s="12">
        <v>100.45923259627328</v>
      </c>
      <c r="L832" s="12">
        <v>101.94742459627328</v>
      </c>
      <c r="M832" s="19">
        <f t="shared" si="87"/>
        <v>0</v>
      </c>
      <c r="N832" s="12">
        <f>E832*(G832*原始输入与口径!$B$5+H832/原始输入与口径!$B$5)/原始输入与口径!$H$5</f>
        <v>4.1338666666666671E-3</v>
      </c>
      <c r="O832" s="12">
        <v>4.1338666666666671E-3</v>
      </c>
      <c r="P832" s="19">
        <f t="shared" si="88"/>
        <v>0</v>
      </c>
      <c r="Q832" s="12">
        <f t="shared" si="89"/>
        <v>1.6176000000000001</v>
      </c>
      <c r="R832" s="12">
        <f t="shared" si="90"/>
        <v>0</v>
      </c>
      <c r="S832" s="1">
        <v>342</v>
      </c>
      <c r="T832" s="14">
        <v>46236</v>
      </c>
    </row>
    <row r="833" spans="1:20" ht="21" customHeight="1" x14ac:dyDescent="0.45">
      <c r="A833" s="31">
        <v>46237.553206666671</v>
      </c>
      <c r="B833" s="31">
        <v>46237.553245714291</v>
      </c>
      <c r="C833" s="31">
        <v>46237.552083333336</v>
      </c>
      <c r="D833" s="1" t="s">
        <v>101</v>
      </c>
      <c r="E833" s="12">
        <v>9.371428571428572E-4</v>
      </c>
      <c r="F833" s="12">
        <f>IF(D833="d",两日求解价格与决策!K350-两日求解价格与决策!N350,IF(D833="u",两日求解价格与决策!K350+两日求解价格与决策!M350,两日求解价格与决策!K350))</f>
        <v>-36</v>
      </c>
      <c r="G833" s="12">
        <f t="shared" si="85"/>
        <v>36</v>
      </c>
      <c r="H833" s="12">
        <f t="shared" si="86"/>
        <v>0</v>
      </c>
      <c r="I833" s="12">
        <f t="shared" si="91"/>
        <v>101.94742459627329</v>
      </c>
      <c r="J833" s="12">
        <f>I833+E833*(G833*原始输入与口径!$B$5-H833/原始输入与口径!$B$5)</f>
        <v>101.97846276770187</v>
      </c>
      <c r="K833" s="12">
        <v>101.94742459627328</v>
      </c>
      <c r="L833" s="12">
        <v>101.97846276770186</v>
      </c>
      <c r="M833" s="19">
        <f t="shared" si="87"/>
        <v>0</v>
      </c>
      <c r="N833" s="12">
        <f>E833*(G833*原始输入与口径!$B$5+H833/原始输入与口径!$B$5)/原始输入与口径!$H$5</f>
        <v>8.6217142857142882E-5</v>
      </c>
      <c r="O833" s="12">
        <v>8.6217142857142882E-5</v>
      </c>
      <c r="P833" s="19">
        <f t="shared" si="88"/>
        <v>0</v>
      </c>
      <c r="Q833" s="12">
        <f t="shared" si="89"/>
        <v>3.3737142857142861E-2</v>
      </c>
      <c r="R833" s="12">
        <f t="shared" si="90"/>
        <v>0</v>
      </c>
      <c r="S833" s="1">
        <v>342</v>
      </c>
      <c r="T833" s="14">
        <v>46236</v>
      </c>
    </row>
    <row r="834" spans="1:20" ht="21" customHeight="1" x14ac:dyDescent="0.45">
      <c r="A834" s="31">
        <v>46237.553245714291</v>
      </c>
      <c r="B834" s="31">
        <v>46237.5625</v>
      </c>
      <c r="C834" s="31">
        <v>46237.552083333336</v>
      </c>
      <c r="D834" s="1" t="s">
        <v>102</v>
      </c>
      <c r="E834" s="12">
        <v>0.22210285714285713</v>
      </c>
      <c r="F834" s="12">
        <f>IF(D834="d",两日求解价格与决策!K350-两日求解价格与决策!N350,IF(D834="u",两日求解价格与决策!K350+两日求解价格与决策!M350,两日求解价格与决策!K350))</f>
        <v>-60</v>
      </c>
      <c r="G834" s="12">
        <f t="shared" si="85"/>
        <v>60</v>
      </c>
      <c r="H834" s="12">
        <f t="shared" si="86"/>
        <v>0</v>
      </c>
      <c r="I834" s="12">
        <f t="shared" si="91"/>
        <v>101.97846276770187</v>
      </c>
      <c r="J834" s="12">
        <f>I834+E834*(G834*原始输入与口径!$B$5-H834/原始输入与口径!$B$5)</f>
        <v>114.23854048198758</v>
      </c>
      <c r="K834" s="12">
        <v>101.97846276770186</v>
      </c>
      <c r="L834" s="12">
        <v>114.23854048198757</v>
      </c>
      <c r="M834" s="19">
        <f t="shared" si="87"/>
        <v>0</v>
      </c>
      <c r="N834" s="12">
        <f>E834*(G834*原始输入与口径!$B$5+H834/原始输入与口径!$B$5)/原始输入与口径!$H$5</f>
        <v>3.4055771428571427E-2</v>
      </c>
      <c r="O834" s="12">
        <v>3.4055771428571427E-2</v>
      </c>
      <c r="P834" s="19">
        <f t="shared" si="88"/>
        <v>0</v>
      </c>
      <c r="Q834" s="12">
        <f t="shared" si="89"/>
        <v>13.326171428571428</v>
      </c>
      <c r="R834" s="12">
        <f t="shared" si="90"/>
        <v>0</v>
      </c>
      <c r="S834" s="1">
        <v>342</v>
      </c>
      <c r="T834" s="14">
        <v>46236</v>
      </c>
    </row>
    <row r="835" spans="1:20" ht="21" customHeight="1" x14ac:dyDescent="0.45">
      <c r="A835" s="31">
        <v>46237.5625</v>
      </c>
      <c r="B835" s="31">
        <v>46237.562575238095</v>
      </c>
      <c r="C835" s="31">
        <v>46237.5625</v>
      </c>
      <c r="D835" s="1" t="s">
        <v>103</v>
      </c>
      <c r="E835" s="12">
        <v>1.8057142857142857E-3</v>
      </c>
      <c r="F835" s="12">
        <f>IF(D835="d",两日求解价格与决策!K351-两日求解价格与决策!N351,IF(D835="u",两日求解价格与决策!K351+两日求解价格与决策!M351,两日求解价格与决策!K351))</f>
        <v>-60</v>
      </c>
      <c r="G835" s="12">
        <f t="shared" si="85"/>
        <v>60</v>
      </c>
      <c r="H835" s="12">
        <f t="shared" si="86"/>
        <v>0</v>
      </c>
      <c r="I835" s="12">
        <f t="shared" si="91"/>
        <v>114.23854048198758</v>
      </c>
      <c r="J835" s="12">
        <f>I835+E835*(G835*原始输入与口径!$B$5-H835/原始输入与口径!$B$5)</f>
        <v>114.33821591055901</v>
      </c>
      <c r="K835" s="12">
        <v>114.23854048198757</v>
      </c>
      <c r="L835" s="12">
        <v>114.338215910559</v>
      </c>
      <c r="M835" s="19">
        <f t="shared" si="87"/>
        <v>0</v>
      </c>
      <c r="N835" s="12">
        <f>E835*(G835*原始输入与口径!$B$5+H835/原始输入与口径!$B$5)/原始输入与口径!$H$5</f>
        <v>2.7687619047619049E-4</v>
      </c>
      <c r="O835" s="12">
        <v>2.7687619047619049E-4</v>
      </c>
      <c r="P835" s="19">
        <f t="shared" si="88"/>
        <v>0</v>
      </c>
      <c r="Q835" s="12">
        <f t="shared" si="89"/>
        <v>0.10834285714285714</v>
      </c>
      <c r="R835" s="12">
        <f t="shared" si="90"/>
        <v>0</v>
      </c>
      <c r="S835" s="1">
        <v>343</v>
      </c>
      <c r="T835" s="14">
        <v>46236</v>
      </c>
    </row>
    <row r="836" spans="1:20" ht="21" customHeight="1" x14ac:dyDescent="0.45">
      <c r="A836" s="31">
        <v>46237.562575238095</v>
      </c>
      <c r="B836" s="31">
        <v>46237.562639523807</v>
      </c>
      <c r="C836" s="31">
        <v>46237.5625</v>
      </c>
      <c r="D836" s="1" t="s">
        <v>101</v>
      </c>
      <c r="E836" s="12">
        <v>1.5428571428571429E-3</v>
      </c>
      <c r="F836" s="12">
        <f>IF(D836="d",两日求解价格与决策!K351-两日求解价格与决策!N351,IF(D836="u",两日求解价格与决策!K351+两日求解价格与决策!M351,两日求解价格与决策!K351))</f>
        <v>-36</v>
      </c>
      <c r="G836" s="12">
        <f t="shared" si="85"/>
        <v>36</v>
      </c>
      <c r="H836" s="12">
        <f t="shared" si="86"/>
        <v>0</v>
      </c>
      <c r="I836" s="12">
        <f t="shared" si="91"/>
        <v>114.33821591055901</v>
      </c>
      <c r="J836" s="12">
        <f>I836+E836*(G836*原始输入与口径!$B$5-H836/原始输入与口径!$B$5)</f>
        <v>114.38931533913045</v>
      </c>
      <c r="K836" s="12">
        <v>114.338215910559</v>
      </c>
      <c r="L836" s="12">
        <v>114.38931533913043</v>
      </c>
      <c r="M836" s="19">
        <f t="shared" si="87"/>
        <v>0</v>
      </c>
      <c r="N836" s="12">
        <f>E836*(G836*原始输入与口径!$B$5+H836/原始输入与口径!$B$5)/原始输入与口径!$H$5</f>
        <v>1.4194285714285717E-4</v>
      </c>
      <c r="O836" s="12">
        <v>1.4194285714285714E-4</v>
      </c>
      <c r="P836" s="19">
        <f t="shared" si="88"/>
        <v>0</v>
      </c>
      <c r="Q836" s="12">
        <f t="shared" si="89"/>
        <v>5.5542857142857144E-2</v>
      </c>
      <c r="R836" s="12">
        <f t="shared" si="90"/>
        <v>0</v>
      </c>
      <c r="S836" s="1">
        <v>343</v>
      </c>
      <c r="T836" s="14">
        <v>46236</v>
      </c>
    </row>
    <row r="837" spans="1:20" ht="21" customHeight="1" x14ac:dyDescent="0.45">
      <c r="A837" s="31">
        <v>46237.562639523807</v>
      </c>
      <c r="B837" s="31">
        <v>46237.572916666664</v>
      </c>
      <c r="C837" s="31">
        <v>46237.5625</v>
      </c>
      <c r="D837" s="1" t="s">
        <v>102</v>
      </c>
      <c r="E837" s="12">
        <v>0.24665142857142855</v>
      </c>
      <c r="F837" s="12">
        <f>IF(D837="d",两日求解价格与决策!K351-两日求解价格与决策!N351,IF(D837="u",两日求解价格与决策!K351+两日求解价格与决策!M351,两日求解价格与决策!K351))</f>
        <v>-60</v>
      </c>
      <c r="G837" s="12">
        <f t="shared" si="85"/>
        <v>60</v>
      </c>
      <c r="H837" s="12">
        <f t="shared" si="86"/>
        <v>0</v>
      </c>
      <c r="I837" s="12">
        <f t="shared" si="91"/>
        <v>114.38931533913045</v>
      </c>
      <c r="J837" s="12">
        <f>I837+E837*(G837*原始输入与口径!$B$5-H837/原始输入与口径!$B$5)</f>
        <v>128.00447419627329</v>
      </c>
      <c r="K837" s="12">
        <v>114.38931533913043</v>
      </c>
      <c r="L837" s="12">
        <v>128.00447419627329</v>
      </c>
      <c r="M837" s="19">
        <f t="shared" si="87"/>
        <v>0</v>
      </c>
      <c r="N837" s="12">
        <f>E837*(G837*原始输入与口径!$B$5+H837/原始输入与口径!$B$5)/原始输入与口径!$H$5</f>
        <v>3.7819885714285711E-2</v>
      </c>
      <c r="O837" s="12">
        <v>3.7819885714285711E-2</v>
      </c>
      <c r="P837" s="19">
        <f t="shared" si="88"/>
        <v>0</v>
      </c>
      <c r="Q837" s="12">
        <f t="shared" si="89"/>
        <v>14.799085714285713</v>
      </c>
      <c r="R837" s="12">
        <f t="shared" si="90"/>
        <v>0</v>
      </c>
      <c r="S837" s="1">
        <v>343</v>
      </c>
      <c r="T837" s="14">
        <v>46236</v>
      </c>
    </row>
    <row r="838" spans="1:20" ht="21" customHeight="1" x14ac:dyDescent="0.45">
      <c r="A838" s="31">
        <v>46237.572916666664</v>
      </c>
      <c r="B838" s="31">
        <v>46237.572939523809</v>
      </c>
      <c r="C838" s="31">
        <v>46237.572916666664</v>
      </c>
      <c r="D838" s="1" t="s">
        <v>103</v>
      </c>
      <c r="E838" s="12">
        <v>5.4857142857142854E-4</v>
      </c>
      <c r="F838" s="12">
        <f>IF(D838="d",两日求解价格与决策!K352-两日求解价格与决策!N352,IF(D838="u",两日求解价格与决策!K352+两日求解价格与决策!M352,两日求解价格与决策!K352))</f>
        <v>-60</v>
      </c>
      <c r="G838" s="12">
        <f t="shared" si="85"/>
        <v>60</v>
      </c>
      <c r="H838" s="12">
        <f t="shared" si="86"/>
        <v>0</v>
      </c>
      <c r="I838" s="12">
        <f t="shared" si="91"/>
        <v>128.00447419627329</v>
      </c>
      <c r="J838" s="12">
        <f>I838+E838*(G838*原始输入与口径!$B$5-H838/原始输入与口径!$B$5)</f>
        <v>128.03475533913044</v>
      </c>
      <c r="K838" s="12">
        <v>128.00447419627329</v>
      </c>
      <c r="L838" s="12">
        <v>128.03475533913044</v>
      </c>
      <c r="M838" s="19">
        <f t="shared" si="87"/>
        <v>0</v>
      </c>
      <c r="N838" s="12">
        <f>E838*(G838*原始输入与口径!$B$5+H838/原始输入与口径!$B$5)/原始输入与口径!$H$5</f>
        <v>8.4114285714285714E-5</v>
      </c>
      <c r="O838" s="12">
        <v>8.4114285714285728E-5</v>
      </c>
      <c r="P838" s="19">
        <f t="shared" si="88"/>
        <v>0</v>
      </c>
      <c r="Q838" s="12">
        <f t="shared" si="89"/>
        <v>3.2914285714285715E-2</v>
      </c>
      <c r="R838" s="12">
        <f t="shared" si="90"/>
        <v>0</v>
      </c>
      <c r="S838" s="1">
        <v>344</v>
      </c>
      <c r="T838" s="14">
        <v>46236</v>
      </c>
    </row>
    <row r="839" spans="1:20" ht="21" customHeight="1" x14ac:dyDescent="0.45">
      <c r="A839" s="31">
        <v>46237.572939523809</v>
      </c>
      <c r="B839" s="31">
        <v>46237.573006428567</v>
      </c>
      <c r="C839" s="31">
        <v>46237.572916666664</v>
      </c>
      <c r="D839" s="1" t="s">
        <v>101</v>
      </c>
      <c r="E839" s="12">
        <v>1.6057142857142858E-3</v>
      </c>
      <c r="F839" s="12">
        <f>IF(D839="d",两日求解价格与决策!K352-两日求解价格与决策!N352,IF(D839="u",两日求解价格与决策!K352+两日求解价格与决策!M352,两日求解价格与决策!K352))</f>
        <v>-36</v>
      </c>
      <c r="G839" s="12">
        <f t="shared" si="85"/>
        <v>36</v>
      </c>
      <c r="H839" s="12">
        <f t="shared" si="86"/>
        <v>0</v>
      </c>
      <c r="I839" s="12">
        <f t="shared" si="91"/>
        <v>128.03475533913044</v>
      </c>
      <c r="J839" s="12">
        <f>I839+E839*(G839*原始输入与口径!$B$5-H839/原始输入与口径!$B$5)</f>
        <v>128.08793659627329</v>
      </c>
      <c r="K839" s="12">
        <v>128.03475533913044</v>
      </c>
      <c r="L839" s="12">
        <v>128.08793659627329</v>
      </c>
      <c r="M839" s="19">
        <f t="shared" si="87"/>
        <v>0</v>
      </c>
      <c r="N839" s="12">
        <f>E839*(G839*原始输入与口径!$B$5+H839/原始输入与口径!$B$5)/原始输入与口径!$H$5</f>
        <v>1.4772571428571432E-4</v>
      </c>
      <c r="O839" s="12">
        <v>1.4772571428571432E-4</v>
      </c>
      <c r="P839" s="19">
        <f t="shared" si="88"/>
        <v>0</v>
      </c>
      <c r="Q839" s="12">
        <f t="shared" si="89"/>
        <v>5.7805714285714294E-2</v>
      </c>
      <c r="R839" s="12">
        <f t="shared" si="90"/>
        <v>0</v>
      </c>
      <c r="S839" s="1">
        <v>344</v>
      </c>
      <c r="T839" s="14">
        <v>46236</v>
      </c>
    </row>
    <row r="840" spans="1:20" ht="21" customHeight="1" x14ac:dyDescent="0.45">
      <c r="A840" s="31">
        <v>46237.573006428567</v>
      </c>
      <c r="B840" s="31">
        <v>46237.583333333328</v>
      </c>
      <c r="C840" s="31">
        <v>46237.572916666664</v>
      </c>
      <c r="D840" s="1" t="s">
        <v>102</v>
      </c>
      <c r="E840" s="12">
        <v>0.24784571428571428</v>
      </c>
      <c r="F840" s="12">
        <f>IF(D840="d",两日求解价格与决策!K352-两日求解价格与决策!N352,IF(D840="u",两日求解价格与决策!K352+两日求解价格与决策!M352,两日求解价格与决策!K352))</f>
        <v>-60</v>
      </c>
      <c r="G840" s="12">
        <f t="shared" si="85"/>
        <v>60</v>
      </c>
      <c r="H840" s="12">
        <f t="shared" si="86"/>
        <v>0</v>
      </c>
      <c r="I840" s="12">
        <f t="shared" si="91"/>
        <v>128.08793659627329</v>
      </c>
      <c r="J840" s="12">
        <f>I840+E840*(G840*原始输入与口径!$B$5-H840/原始输入与口径!$B$5)</f>
        <v>141.76902002484474</v>
      </c>
      <c r="K840" s="12">
        <v>128.08793659627329</v>
      </c>
      <c r="L840" s="12">
        <v>141.76902002484474</v>
      </c>
      <c r="M840" s="19">
        <f t="shared" si="87"/>
        <v>0</v>
      </c>
      <c r="N840" s="12">
        <f>E840*(G840*原始输入与口径!$B$5+H840/原始输入与口径!$B$5)/原始输入与口径!$H$5</f>
        <v>3.8003009523809521E-2</v>
      </c>
      <c r="O840" s="12">
        <v>3.8003009523809521E-2</v>
      </c>
      <c r="P840" s="19">
        <f t="shared" si="88"/>
        <v>0</v>
      </c>
      <c r="Q840" s="12">
        <f t="shared" si="89"/>
        <v>14.870742857142856</v>
      </c>
      <c r="R840" s="12">
        <f t="shared" si="90"/>
        <v>0</v>
      </c>
      <c r="S840" s="1">
        <v>344</v>
      </c>
      <c r="T840" s="14">
        <v>46236</v>
      </c>
    </row>
    <row r="841" spans="1:20" ht="21" customHeight="1" x14ac:dyDescent="0.45">
      <c r="A841" s="31">
        <v>46237.583333333336</v>
      </c>
      <c r="B841" s="31">
        <v>46237.584882380957</v>
      </c>
      <c r="C841" s="31">
        <v>46237.583333333336</v>
      </c>
      <c r="D841" s="1" t="s">
        <v>103</v>
      </c>
      <c r="E841" s="12">
        <v>3.717714285714286E-2</v>
      </c>
      <c r="F841" s="12">
        <f>IF(D841="d",两日求解价格与决策!K353-两日求解价格与决策!N353,IF(D841="u",两日求解价格与决策!K353+两日求解价格与决策!M353,两日求解价格与决策!K353))</f>
        <v>-60</v>
      </c>
      <c r="G841" s="12">
        <f t="shared" ref="G841:G904" si="92">MAX(-F841,0)</f>
        <v>60</v>
      </c>
      <c r="H841" s="12">
        <f t="shared" ref="H841:H904" si="93">MAX(F841,0)</f>
        <v>0</v>
      </c>
      <c r="I841" s="12">
        <f t="shared" si="91"/>
        <v>141.76902002484474</v>
      </c>
      <c r="J841" s="12">
        <f>I841+E841*(G841*原始输入与口径!$B$5-H841/原始输入与口径!$B$5)</f>
        <v>143.82119831055903</v>
      </c>
      <c r="K841" s="12">
        <v>141.76902002484474</v>
      </c>
      <c r="L841" s="12">
        <v>143.82119831055903</v>
      </c>
      <c r="M841" s="19">
        <f t="shared" ref="M841:M904" si="94">J841-L841</f>
        <v>0</v>
      </c>
      <c r="N841" s="12">
        <f>E841*(G841*原始输入与口径!$B$5+H841/原始输入与口径!$B$5)/原始输入与口径!$H$5</f>
        <v>5.7004952380952387E-3</v>
      </c>
      <c r="O841" s="12">
        <v>5.7004952380952378E-3</v>
      </c>
      <c r="P841" s="19">
        <f t="shared" ref="P841:P904" si="95">N841-O841</f>
        <v>0</v>
      </c>
      <c r="Q841" s="12">
        <f t="shared" ref="Q841:Q904" si="96">E841*G841</f>
        <v>2.2306285714285714</v>
      </c>
      <c r="R841" s="12">
        <f t="shared" ref="R841:R904" si="97">E841*H841</f>
        <v>0</v>
      </c>
      <c r="S841" s="1">
        <v>345</v>
      </c>
      <c r="T841" s="14">
        <v>46236</v>
      </c>
    </row>
    <row r="842" spans="1:20" ht="21" customHeight="1" x14ac:dyDescent="0.45">
      <c r="A842" s="31">
        <v>46237.584882380957</v>
      </c>
      <c r="B842" s="31">
        <v>46237.584912619051</v>
      </c>
      <c r="C842" s="31">
        <v>46237.583333333336</v>
      </c>
      <c r="D842" s="1" t="s">
        <v>101</v>
      </c>
      <c r="E842" s="12">
        <v>7.257142857142857E-4</v>
      </c>
      <c r="F842" s="12">
        <f>IF(D842="d",两日求解价格与决策!K353-两日求解价格与决策!N353,IF(D842="u",两日求解价格与决策!K353+两日求解价格与决策!M353,两日求解价格与决策!K353))</f>
        <v>-12</v>
      </c>
      <c r="G842" s="12">
        <f t="shared" si="92"/>
        <v>12</v>
      </c>
      <c r="H842" s="12">
        <f t="shared" si="93"/>
        <v>0</v>
      </c>
      <c r="I842" s="12">
        <f t="shared" si="91"/>
        <v>143.82119831055903</v>
      </c>
      <c r="J842" s="12">
        <f>I842+E842*(G842*原始输入与口径!$B$5-H842/原始输入与口径!$B$5)</f>
        <v>143.82921019627332</v>
      </c>
      <c r="K842" s="12">
        <v>143.82119831055903</v>
      </c>
      <c r="L842" s="12">
        <v>143.82921019627332</v>
      </c>
      <c r="M842" s="19">
        <f t="shared" si="94"/>
        <v>0</v>
      </c>
      <c r="N842" s="12">
        <f>E842*(G842*原始输入与口径!$B$5+H842/原始输入与口径!$B$5)/原始输入与口径!$H$5</f>
        <v>2.2255238095238098E-5</v>
      </c>
      <c r="O842" s="12">
        <v>2.2255238095238095E-5</v>
      </c>
      <c r="P842" s="19">
        <f t="shared" si="95"/>
        <v>0</v>
      </c>
      <c r="Q842" s="12">
        <f t="shared" si="96"/>
        <v>8.7085714285714284E-3</v>
      </c>
      <c r="R842" s="12">
        <f t="shared" si="97"/>
        <v>0</v>
      </c>
      <c r="S842" s="1">
        <v>345</v>
      </c>
      <c r="T842" s="14">
        <v>46236</v>
      </c>
    </row>
    <row r="843" spans="1:20" ht="21" customHeight="1" x14ac:dyDescent="0.45">
      <c r="A843" s="31">
        <v>46237.584912619051</v>
      </c>
      <c r="B843" s="31">
        <v>46237.59375</v>
      </c>
      <c r="C843" s="31">
        <v>46237.583333333336</v>
      </c>
      <c r="D843" s="1" t="s">
        <v>102</v>
      </c>
      <c r="E843" s="12">
        <v>0.21209714285714287</v>
      </c>
      <c r="F843" s="12">
        <f>IF(D843="d",两日求解价格与决策!K353-两日求解价格与决策!N353,IF(D843="u",两日求解价格与决策!K353+两日求解价格与决策!M353,两日求解价格与决策!K353))</f>
        <v>-36</v>
      </c>
      <c r="G843" s="12">
        <f t="shared" si="92"/>
        <v>36</v>
      </c>
      <c r="H843" s="12">
        <f t="shared" si="93"/>
        <v>0</v>
      </c>
      <c r="I843" s="12">
        <f t="shared" si="91"/>
        <v>143.82921019627332</v>
      </c>
      <c r="J843" s="12">
        <f>I843+E843*(G843*原始输入与口径!$B$5-H843/原始输入与口径!$B$5)</f>
        <v>150.85386756770188</v>
      </c>
      <c r="K843" s="12">
        <v>143.82921019627332</v>
      </c>
      <c r="L843" s="12">
        <v>150.85386756770188</v>
      </c>
      <c r="M843" s="19">
        <f t="shared" si="94"/>
        <v>0</v>
      </c>
      <c r="N843" s="12">
        <f>E843*(G843*原始输入与口径!$B$5+H843/原始输入与口径!$B$5)/原始输入与口径!$H$5</f>
        <v>1.9512937142857147E-2</v>
      </c>
      <c r="O843" s="12">
        <v>1.9512937142857147E-2</v>
      </c>
      <c r="P843" s="19">
        <f t="shared" si="95"/>
        <v>0</v>
      </c>
      <c r="Q843" s="12">
        <f t="shared" si="96"/>
        <v>7.6354971428571439</v>
      </c>
      <c r="R843" s="12">
        <f t="shared" si="97"/>
        <v>0</v>
      </c>
      <c r="S843" s="1">
        <v>345</v>
      </c>
      <c r="T843" s="14">
        <v>46236</v>
      </c>
    </row>
    <row r="844" spans="1:20" ht="21" customHeight="1" x14ac:dyDescent="0.45">
      <c r="A844" s="31">
        <v>46237.59375</v>
      </c>
      <c r="B844" s="31">
        <v>46237.596303333332</v>
      </c>
      <c r="C844" s="31">
        <v>46237.59375</v>
      </c>
      <c r="D844" s="1" t="s">
        <v>103</v>
      </c>
      <c r="E844" s="12">
        <v>6.1280000000000001E-2</v>
      </c>
      <c r="F844" s="12">
        <f>IF(D844="d",两日求解价格与决策!K354-两日求解价格与决策!N354,IF(D844="u",两日求解价格与决策!K354+两日求解价格与决策!M354,两日求解价格与决策!K354))</f>
        <v>-24</v>
      </c>
      <c r="G844" s="12">
        <f t="shared" si="92"/>
        <v>24</v>
      </c>
      <c r="H844" s="12">
        <f t="shared" si="93"/>
        <v>0</v>
      </c>
      <c r="I844" s="12">
        <f t="shared" si="91"/>
        <v>150.85386756770188</v>
      </c>
      <c r="J844" s="12">
        <f>I844+E844*(G844*原始输入与口径!$B$5-H844/原始输入与口径!$B$5)</f>
        <v>152.20692996770188</v>
      </c>
      <c r="K844" s="12">
        <v>150.85386756770188</v>
      </c>
      <c r="L844" s="12">
        <v>152.20692996770188</v>
      </c>
      <c r="M844" s="19">
        <f t="shared" si="94"/>
        <v>0</v>
      </c>
      <c r="N844" s="12">
        <f>E844*(G844*原始输入与口径!$B$5+H844/原始输入与口径!$B$5)/原始输入与口径!$H$5</f>
        <v>3.7585066666666672E-3</v>
      </c>
      <c r="O844" s="12">
        <v>3.7585066666666667E-3</v>
      </c>
      <c r="P844" s="19">
        <f t="shared" si="95"/>
        <v>0</v>
      </c>
      <c r="Q844" s="12">
        <f t="shared" si="96"/>
        <v>1.47072</v>
      </c>
      <c r="R844" s="12">
        <f t="shared" si="97"/>
        <v>0</v>
      </c>
      <c r="S844" s="1">
        <v>346</v>
      </c>
      <c r="T844" s="14">
        <v>46236</v>
      </c>
    </row>
    <row r="845" spans="1:20" ht="21" customHeight="1" x14ac:dyDescent="0.45">
      <c r="A845" s="31">
        <v>46237.596303333332</v>
      </c>
      <c r="B845" s="31">
        <v>46237.604166666664</v>
      </c>
      <c r="C845" s="31">
        <v>46237.59375</v>
      </c>
      <c r="D845" s="1" t="s">
        <v>102</v>
      </c>
      <c r="E845" s="12">
        <v>0.18872</v>
      </c>
      <c r="F845" s="12">
        <f>IF(D845="d",两日求解价格与决策!K354-两日求解价格与决策!N354,IF(D845="u",两日求解价格与决策!K354+两日求解价格与决策!M354,两日求解价格与决策!K354))</f>
        <v>0</v>
      </c>
      <c r="G845" s="12">
        <f t="shared" si="92"/>
        <v>0</v>
      </c>
      <c r="H845" s="12">
        <f t="shared" si="93"/>
        <v>0</v>
      </c>
      <c r="I845" s="12">
        <f t="shared" si="91"/>
        <v>152.20692996770188</v>
      </c>
      <c r="J845" s="12">
        <f>I845+E845*(G845*原始输入与口径!$B$5-H845/原始输入与口径!$B$5)</f>
        <v>152.20692996770188</v>
      </c>
      <c r="K845" s="12">
        <v>152.20692996770188</v>
      </c>
      <c r="L845" s="12">
        <v>152.20692996770188</v>
      </c>
      <c r="M845" s="19">
        <f t="shared" si="94"/>
        <v>0</v>
      </c>
      <c r="N845" s="12">
        <f>E845*(G845*原始输入与口径!$B$5+H845/原始输入与口径!$B$5)/原始输入与口径!$H$5</f>
        <v>0</v>
      </c>
      <c r="O845" s="12">
        <v>0</v>
      </c>
      <c r="P845" s="19">
        <f t="shared" si="95"/>
        <v>0</v>
      </c>
      <c r="Q845" s="12">
        <f t="shared" si="96"/>
        <v>0</v>
      </c>
      <c r="R845" s="12">
        <f t="shared" si="97"/>
        <v>0</v>
      </c>
      <c r="S845" s="1">
        <v>346</v>
      </c>
      <c r="T845" s="14">
        <v>46236</v>
      </c>
    </row>
    <row r="846" spans="1:20" ht="21" customHeight="1" x14ac:dyDescent="0.45">
      <c r="A846" s="31">
        <v>46237.604166666664</v>
      </c>
      <c r="B846" s="31">
        <v>46237.605529761902</v>
      </c>
      <c r="C846" s="31">
        <v>46237.604166666664</v>
      </c>
      <c r="D846" s="1" t="s">
        <v>103</v>
      </c>
      <c r="E846" s="12">
        <v>3.271428571428571E-2</v>
      </c>
      <c r="F846" s="12">
        <f>IF(D846="d",两日求解价格与决策!K355-两日求解价格与决策!N355,IF(D846="u",两日求解价格与决策!K355+两日求解价格与决策!M355,两日求解价格与决策!K355))</f>
        <v>-60</v>
      </c>
      <c r="G846" s="12">
        <f t="shared" si="92"/>
        <v>60</v>
      </c>
      <c r="H846" s="12">
        <f t="shared" si="93"/>
        <v>0</v>
      </c>
      <c r="I846" s="12">
        <f t="shared" si="91"/>
        <v>152.20692996770188</v>
      </c>
      <c r="J846" s="12">
        <f>I846+E846*(G846*原始输入与口径!$B$5-H846/原始输入与口径!$B$5)</f>
        <v>154.01275853913046</v>
      </c>
      <c r="K846" s="12">
        <v>152.20692996770188</v>
      </c>
      <c r="L846" s="12">
        <v>154.01275853913046</v>
      </c>
      <c r="M846" s="19">
        <f t="shared" si="94"/>
        <v>0</v>
      </c>
      <c r="N846" s="12">
        <f>E846*(G846*原始输入与口径!$B$5+H846/原始输入与口径!$B$5)/原始输入与口径!$H$5</f>
        <v>5.0161904761904762E-3</v>
      </c>
      <c r="O846" s="12">
        <v>5.0161904761904762E-3</v>
      </c>
      <c r="P846" s="19">
        <f t="shared" si="95"/>
        <v>0</v>
      </c>
      <c r="Q846" s="12">
        <f t="shared" si="96"/>
        <v>1.9628571428571426</v>
      </c>
      <c r="R846" s="12">
        <f t="shared" si="97"/>
        <v>0</v>
      </c>
      <c r="S846" s="1">
        <v>347</v>
      </c>
      <c r="T846" s="14">
        <v>46236</v>
      </c>
    </row>
    <row r="847" spans="1:20" ht="21" customHeight="1" x14ac:dyDescent="0.45">
      <c r="A847" s="31">
        <v>46237.605529761902</v>
      </c>
      <c r="B847" s="31">
        <v>46237.60553047619</v>
      </c>
      <c r="C847" s="31">
        <v>46237.604166666664</v>
      </c>
      <c r="D847" s="1" t="s">
        <v>101</v>
      </c>
      <c r="E847" s="12">
        <v>1.7142857142857142E-5</v>
      </c>
      <c r="F847" s="12">
        <f>IF(D847="d",两日求解价格与决策!K355-两日求解价格与决策!N355,IF(D847="u",两日求解价格与决策!K355+两日求解价格与决策!M355,两日求解价格与决策!K355))</f>
        <v>-12</v>
      </c>
      <c r="G847" s="12">
        <f t="shared" si="92"/>
        <v>12</v>
      </c>
      <c r="H847" s="12">
        <f t="shared" si="93"/>
        <v>0</v>
      </c>
      <c r="I847" s="12">
        <f t="shared" si="91"/>
        <v>154.01275853913046</v>
      </c>
      <c r="J847" s="12">
        <f>I847+E847*(G847*原始输入与口径!$B$5-H847/原始输入与口径!$B$5)</f>
        <v>154.01294779627332</v>
      </c>
      <c r="K847" s="12">
        <v>154.01275853913046</v>
      </c>
      <c r="L847" s="12">
        <v>154.01294779627332</v>
      </c>
      <c r="M847" s="19">
        <f t="shared" si="94"/>
        <v>0</v>
      </c>
      <c r="N847" s="12">
        <f>E847*(G847*原始输入与口径!$B$5+H847/原始输入与口径!$B$5)/原始输入与口径!$H$5</f>
        <v>5.2571428571428567E-7</v>
      </c>
      <c r="O847" s="12">
        <v>5.2571428571428567E-7</v>
      </c>
      <c r="P847" s="19">
        <f t="shared" si="95"/>
        <v>0</v>
      </c>
      <c r="Q847" s="12">
        <f t="shared" si="96"/>
        <v>2.0571428571428569E-4</v>
      </c>
      <c r="R847" s="12">
        <f t="shared" si="97"/>
        <v>0</v>
      </c>
      <c r="S847" s="1">
        <v>347</v>
      </c>
      <c r="T847" s="14">
        <v>46236</v>
      </c>
    </row>
    <row r="848" spans="1:20" ht="21" customHeight="1" x14ac:dyDescent="0.45">
      <c r="A848" s="31">
        <v>46237.60553047619</v>
      </c>
      <c r="B848" s="31">
        <v>46237.614583333328</v>
      </c>
      <c r="C848" s="31">
        <v>46237.604166666664</v>
      </c>
      <c r="D848" s="1" t="s">
        <v>102</v>
      </c>
      <c r="E848" s="12">
        <v>0.21726857142857142</v>
      </c>
      <c r="F848" s="12">
        <f>IF(D848="d",两日求解价格与决策!K355-两日求解价格与决策!N355,IF(D848="u",两日求解价格与决策!K355+两日求解价格与决策!M355,两日求解价格与决策!K355))</f>
        <v>-36</v>
      </c>
      <c r="G848" s="12">
        <f t="shared" si="92"/>
        <v>36</v>
      </c>
      <c r="H848" s="12">
        <f t="shared" si="93"/>
        <v>0</v>
      </c>
      <c r="I848" s="12">
        <f t="shared" si="91"/>
        <v>154.01294779627332</v>
      </c>
      <c r="J848" s="12">
        <f>I848+E848*(G848*原始输入与口径!$B$5-H848/原始输入与口径!$B$5)</f>
        <v>161.20888288198762</v>
      </c>
      <c r="K848" s="12">
        <v>154.01294779627332</v>
      </c>
      <c r="L848" s="12">
        <v>161.20888288198762</v>
      </c>
      <c r="M848" s="19">
        <f t="shared" si="94"/>
        <v>0</v>
      </c>
      <c r="N848" s="12">
        <f>E848*(G848*原始输入与口径!$B$5+H848/原始输入与口径!$B$5)/原始输入与口径!$H$5</f>
        <v>1.9988708571428575E-2</v>
      </c>
      <c r="O848" s="12">
        <v>1.9988708571428572E-2</v>
      </c>
      <c r="P848" s="19">
        <f t="shared" si="95"/>
        <v>0</v>
      </c>
      <c r="Q848" s="12">
        <f t="shared" si="96"/>
        <v>7.821668571428571</v>
      </c>
      <c r="R848" s="12">
        <f t="shared" si="97"/>
        <v>0</v>
      </c>
      <c r="S848" s="1">
        <v>347</v>
      </c>
      <c r="T848" s="14">
        <v>46236</v>
      </c>
    </row>
    <row r="849" spans="1:20" ht="21" customHeight="1" x14ac:dyDescent="0.45">
      <c r="A849" s="31">
        <v>46237.614583333336</v>
      </c>
      <c r="B849" s="31">
        <v>46237.614654047618</v>
      </c>
      <c r="C849" s="31">
        <v>46237.614583333336</v>
      </c>
      <c r="D849" s="1" t="s">
        <v>103</v>
      </c>
      <c r="E849" s="12">
        <v>1.6971428571428571E-3</v>
      </c>
      <c r="F849" s="12">
        <f>IF(D849="d",两日求解价格与决策!K356-两日求解价格与决策!N356,IF(D849="u",两日求解价格与决策!K356+两日求解价格与决策!M356,两日求解价格与决策!K356))</f>
        <v>-60</v>
      </c>
      <c r="G849" s="12">
        <f t="shared" si="92"/>
        <v>60</v>
      </c>
      <c r="H849" s="12">
        <f t="shared" si="93"/>
        <v>0</v>
      </c>
      <c r="I849" s="12">
        <f t="shared" si="91"/>
        <v>161.20888288198762</v>
      </c>
      <c r="J849" s="12">
        <f>I849+E849*(G849*原始输入与口径!$B$5-H849/原始输入与口径!$B$5)</f>
        <v>161.30256516770191</v>
      </c>
      <c r="K849" s="12">
        <v>161.20888288198762</v>
      </c>
      <c r="L849" s="12">
        <v>161.30256516770191</v>
      </c>
      <c r="M849" s="19">
        <f t="shared" si="94"/>
        <v>0</v>
      </c>
      <c r="N849" s="12">
        <f>E849*(G849*原始输入与口径!$B$5+H849/原始输入与口径!$B$5)/原始输入与口径!$H$5</f>
        <v>2.6022857142857144E-4</v>
      </c>
      <c r="O849" s="12">
        <v>2.6022857142857144E-4</v>
      </c>
      <c r="P849" s="19">
        <f t="shared" si="95"/>
        <v>0</v>
      </c>
      <c r="Q849" s="12">
        <f t="shared" si="96"/>
        <v>0.10182857142857143</v>
      </c>
      <c r="R849" s="12">
        <f t="shared" si="97"/>
        <v>0</v>
      </c>
      <c r="S849" s="1">
        <v>348</v>
      </c>
      <c r="T849" s="14">
        <v>46236</v>
      </c>
    </row>
    <row r="850" spans="1:20" ht="21" customHeight="1" x14ac:dyDescent="0.45">
      <c r="A850" s="31">
        <v>46237.614654047618</v>
      </c>
      <c r="B850" s="31">
        <v>46237.614710476191</v>
      </c>
      <c r="C850" s="31">
        <v>46237.614583333336</v>
      </c>
      <c r="D850" s="1" t="s">
        <v>101</v>
      </c>
      <c r="E850" s="12">
        <v>1.3542857142857141E-3</v>
      </c>
      <c r="F850" s="12">
        <f>IF(D850="d",两日求解价格与决策!K356-两日求解价格与决策!N356,IF(D850="u",两日求解价格与决策!K356+两日求解价格与决策!M356,两日求解价格与决策!K356))</f>
        <v>-12</v>
      </c>
      <c r="G850" s="12">
        <f t="shared" si="92"/>
        <v>12</v>
      </c>
      <c r="H850" s="12">
        <f t="shared" si="93"/>
        <v>0</v>
      </c>
      <c r="I850" s="12">
        <f t="shared" si="91"/>
        <v>161.30256516770191</v>
      </c>
      <c r="J850" s="12">
        <f>I850+E850*(G850*原始输入与口径!$B$5-H850/原始输入与口径!$B$5)</f>
        <v>161.31751648198764</v>
      </c>
      <c r="K850" s="12">
        <v>161.30256516770191</v>
      </c>
      <c r="L850" s="12">
        <v>161.31751648198764</v>
      </c>
      <c r="M850" s="19">
        <f t="shared" si="94"/>
        <v>0</v>
      </c>
      <c r="N850" s="12">
        <f>E850*(G850*原始输入与口径!$B$5+H850/原始输入与口径!$B$5)/原始输入与口径!$H$5</f>
        <v>4.1531428571428569E-5</v>
      </c>
      <c r="O850" s="12">
        <v>4.1531428571428569E-5</v>
      </c>
      <c r="P850" s="19">
        <f t="shared" si="95"/>
        <v>0</v>
      </c>
      <c r="Q850" s="12">
        <f t="shared" si="96"/>
        <v>1.6251428571428569E-2</v>
      </c>
      <c r="R850" s="12">
        <f t="shared" si="97"/>
        <v>0</v>
      </c>
      <c r="S850" s="1">
        <v>348</v>
      </c>
      <c r="T850" s="14">
        <v>46236</v>
      </c>
    </row>
    <row r="851" spans="1:20" ht="21" customHeight="1" x14ac:dyDescent="0.45">
      <c r="A851" s="31">
        <v>46237.614710476191</v>
      </c>
      <c r="B851" s="31">
        <v>46237.625</v>
      </c>
      <c r="C851" s="31">
        <v>46237.614583333336</v>
      </c>
      <c r="D851" s="1" t="s">
        <v>102</v>
      </c>
      <c r="E851" s="12">
        <v>0.24694857142857141</v>
      </c>
      <c r="F851" s="12">
        <f>IF(D851="d",两日求解价格与决策!K356-两日求解价格与决策!N356,IF(D851="u",两日求解价格与决策!K356+两日求解价格与决策!M356,两日求解价格与决策!K356))</f>
        <v>-36</v>
      </c>
      <c r="G851" s="12">
        <f t="shared" si="92"/>
        <v>36</v>
      </c>
      <c r="H851" s="12">
        <f t="shared" si="93"/>
        <v>0</v>
      </c>
      <c r="I851" s="12">
        <f t="shared" si="91"/>
        <v>161.31751648198764</v>
      </c>
      <c r="J851" s="12">
        <f>I851+E851*(G851*原始输入与口径!$B$5-H851/原始输入与口径!$B$5)</f>
        <v>169.49645316770193</v>
      </c>
      <c r="K851" s="12">
        <v>161.31751648198764</v>
      </c>
      <c r="L851" s="12">
        <v>169.49645316770193</v>
      </c>
      <c r="M851" s="19">
        <f t="shared" si="94"/>
        <v>0</v>
      </c>
      <c r="N851" s="12">
        <f>E851*(G851*原始输入与口径!$B$5+H851/原始输入与口径!$B$5)/原始输入与口径!$H$5</f>
        <v>2.2719268571428572E-2</v>
      </c>
      <c r="O851" s="12">
        <v>2.2719268571428572E-2</v>
      </c>
      <c r="P851" s="19">
        <f t="shared" si="95"/>
        <v>0</v>
      </c>
      <c r="Q851" s="12">
        <f t="shared" si="96"/>
        <v>8.8901485714285702</v>
      </c>
      <c r="R851" s="12">
        <f t="shared" si="97"/>
        <v>0</v>
      </c>
      <c r="S851" s="1">
        <v>348</v>
      </c>
      <c r="T851" s="14">
        <v>46236</v>
      </c>
    </row>
    <row r="852" spans="1:20" ht="21" customHeight="1" x14ac:dyDescent="0.45">
      <c r="A852" s="31">
        <v>46237.625</v>
      </c>
      <c r="B852" s="31">
        <v>46237.625024285713</v>
      </c>
      <c r="C852" s="31">
        <v>46237.625</v>
      </c>
      <c r="D852" s="1" t="s">
        <v>103</v>
      </c>
      <c r="E852" s="12">
        <v>5.8285714285714278E-4</v>
      </c>
      <c r="F852" s="12">
        <f>IF(D852="d",两日求解价格与决策!K357-两日求解价格与决策!N357,IF(D852="u",两日求解价格与决策!K357+两日求解价格与决策!M357,两日求解价格与决策!K357))</f>
        <v>-31.487806587787237</v>
      </c>
      <c r="G852" s="12">
        <f t="shared" si="92"/>
        <v>31.487806587787237</v>
      </c>
      <c r="H852" s="12">
        <f t="shared" si="93"/>
        <v>0</v>
      </c>
      <c r="I852" s="12">
        <f t="shared" si="91"/>
        <v>169.49645316770193</v>
      </c>
      <c r="J852" s="12">
        <f>I852+E852*(G852*原始输入与口径!$B$5-H852/原始输入与口径!$B$5)</f>
        <v>169.51333782924593</v>
      </c>
      <c r="K852" s="12">
        <v>169.49645316770193</v>
      </c>
      <c r="L852" s="12">
        <v>169.51333782924593</v>
      </c>
      <c r="M852" s="19">
        <f t="shared" si="94"/>
        <v>0</v>
      </c>
      <c r="N852" s="12">
        <f>E852*(G852*原始输入与口径!$B$5+H852/原始输入与口径!$B$5)/原始输入与口径!$H$5</f>
        <v>4.6901837622189745E-5</v>
      </c>
      <c r="O852" s="12">
        <v>4.6901837622189745E-5</v>
      </c>
      <c r="P852" s="19">
        <f t="shared" si="95"/>
        <v>0</v>
      </c>
      <c r="Q852" s="12">
        <f t="shared" si="96"/>
        <v>1.8352892982595986E-2</v>
      </c>
      <c r="R852" s="12">
        <f t="shared" si="97"/>
        <v>0</v>
      </c>
      <c r="S852" s="1">
        <v>349</v>
      </c>
      <c r="T852" s="14">
        <v>46236</v>
      </c>
    </row>
    <row r="853" spans="1:20" ht="21" customHeight="1" x14ac:dyDescent="0.45">
      <c r="A853" s="31">
        <v>46237.625024285713</v>
      </c>
      <c r="B853" s="31">
        <v>46237.625089285713</v>
      </c>
      <c r="C853" s="31">
        <v>46237.625</v>
      </c>
      <c r="D853" s="1" t="s">
        <v>101</v>
      </c>
      <c r="E853" s="12">
        <v>1.5600000000000002E-3</v>
      </c>
      <c r="F853" s="12">
        <f>IF(D853="d",两日求解价格与决策!K357-两日求解价格与决策!N357,IF(D853="u",两日求解价格与决策!K357+两日求解价格与决策!M357,两日求解价格与决策!K357))</f>
        <v>16.512193412212763</v>
      </c>
      <c r="G853" s="12">
        <f t="shared" si="92"/>
        <v>0</v>
      </c>
      <c r="H853" s="12">
        <f t="shared" si="93"/>
        <v>16.512193412212763</v>
      </c>
      <c r="I853" s="12">
        <f t="shared" si="91"/>
        <v>169.51333782924593</v>
      </c>
      <c r="J853" s="12">
        <f>I853+E853*(G853*原始输入与口径!$B$5-H853/原始输入与口径!$B$5)</f>
        <v>169.48533889259045</v>
      </c>
      <c r="K853" s="12">
        <v>169.51333782924593</v>
      </c>
      <c r="L853" s="12">
        <v>169.48533889259045</v>
      </c>
      <c r="M853" s="19">
        <f t="shared" si="94"/>
        <v>0</v>
      </c>
      <c r="N853" s="12">
        <f>E853*(G853*原始输入与口径!$B$5+H853/原始输入与口径!$B$5)/原始输入与口径!$H$5</f>
        <v>7.7774824043031136E-5</v>
      </c>
      <c r="O853" s="12">
        <v>7.7774824043031136E-5</v>
      </c>
      <c r="P853" s="19">
        <f t="shared" si="95"/>
        <v>0</v>
      </c>
      <c r="Q853" s="12">
        <f t="shared" si="96"/>
        <v>0</v>
      </c>
      <c r="R853" s="12">
        <f t="shared" si="97"/>
        <v>2.5759021723051913E-2</v>
      </c>
      <c r="S853" s="1">
        <v>349</v>
      </c>
      <c r="T853" s="14">
        <v>46236</v>
      </c>
    </row>
    <row r="854" spans="1:20" ht="21" customHeight="1" x14ac:dyDescent="0.45">
      <c r="A854" s="31">
        <v>46237.625089285713</v>
      </c>
      <c r="B854" s="31">
        <v>46237.635416666664</v>
      </c>
      <c r="C854" s="31">
        <v>46237.625</v>
      </c>
      <c r="D854" s="1" t="s">
        <v>102</v>
      </c>
      <c r="E854" s="12">
        <v>0.24785714285714286</v>
      </c>
      <c r="F854" s="12">
        <f>IF(D854="d",两日求解价格与决策!K357-两日求解价格与决策!N357,IF(D854="u",两日求解价格与决策!K357+两日求解价格与决策!M357,两日求解价格与决策!K357))</f>
        <v>-7.4878065877872357</v>
      </c>
      <c r="G854" s="12">
        <f t="shared" si="92"/>
        <v>7.4878065877872357</v>
      </c>
      <c r="H854" s="12">
        <f t="shared" si="93"/>
        <v>0</v>
      </c>
      <c r="I854" s="12">
        <f t="shared" si="91"/>
        <v>169.48533889259045</v>
      </c>
      <c r="J854" s="12">
        <f>I854+E854*(G854*原始输入与口径!$B$5-H854/原始输入与口径!$B$5)</f>
        <v>171.19277273193703</v>
      </c>
      <c r="K854" s="12">
        <v>169.48533889259045</v>
      </c>
      <c r="L854" s="12">
        <v>171.19277273193703</v>
      </c>
      <c r="M854" s="19">
        <f t="shared" si="94"/>
        <v>0</v>
      </c>
      <c r="N854" s="12">
        <f>E854*(G854*原始输入与口径!$B$5+H854/原始输入与口径!$B$5)/原始输入与口径!$H$5</f>
        <v>4.7428717759626935E-3</v>
      </c>
      <c r="O854" s="12">
        <v>4.7428717759626935E-3</v>
      </c>
      <c r="P854" s="19">
        <f t="shared" si="95"/>
        <v>0</v>
      </c>
      <c r="Q854" s="12">
        <f t="shared" si="96"/>
        <v>1.8559063471158364</v>
      </c>
      <c r="R854" s="12">
        <f t="shared" si="97"/>
        <v>0</v>
      </c>
      <c r="S854" s="1">
        <v>349</v>
      </c>
      <c r="T854" s="14">
        <v>46236</v>
      </c>
    </row>
    <row r="855" spans="1:20" ht="21" customHeight="1" x14ac:dyDescent="0.45">
      <c r="A855" s="31">
        <v>46237.635416666664</v>
      </c>
      <c r="B855" s="31">
        <v>46237.636192142854</v>
      </c>
      <c r="C855" s="31">
        <v>46237.635416666664</v>
      </c>
      <c r="D855" s="1" t="s">
        <v>103</v>
      </c>
      <c r="E855" s="12">
        <v>1.861142857142857E-2</v>
      </c>
      <c r="F855" s="12">
        <f>IF(D855="d",两日求解价格与决策!K358-两日求解价格与决策!N358,IF(D855="u",两日求解价格与决策!K358+两日求解价格与决策!M358,两日求解价格与决策!K358))</f>
        <v>-23.783146637690294</v>
      </c>
      <c r="G855" s="12">
        <f t="shared" si="92"/>
        <v>23.783146637690294</v>
      </c>
      <c r="H855" s="12">
        <f t="shared" si="93"/>
        <v>0</v>
      </c>
      <c r="I855" s="12">
        <f t="shared" si="91"/>
        <v>171.19277273193703</v>
      </c>
      <c r="J855" s="12">
        <f>I855+E855*(G855*原始输入与口径!$B$5-H855/原始输入与口径!$B$5)</f>
        <v>171.60000000000011</v>
      </c>
      <c r="K855" s="12">
        <v>171.19277273193703</v>
      </c>
      <c r="L855" s="12">
        <v>171.60000000000011</v>
      </c>
      <c r="M855" s="19">
        <f t="shared" si="94"/>
        <v>0</v>
      </c>
      <c r="N855" s="12">
        <f>E855*(G855*原始输入与口径!$B$5+H855/原始输入与口径!$B$5)/原始输入与口径!$H$5</f>
        <v>1.1311868557308047E-3</v>
      </c>
      <c r="O855" s="12">
        <v>1.1311868557308047E-3</v>
      </c>
      <c r="P855" s="19">
        <f t="shared" si="95"/>
        <v>0</v>
      </c>
      <c r="Q855" s="12">
        <f t="shared" si="96"/>
        <v>0.44263833485118448</v>
      </c>
      <c r="R855" s="12">
        <f t="shared" si="97"/>
        <v>0</v>
      </c>
      <c r="S855" s="1">
        <v>350</v>
      </c>
      <c r="T855" s="14">
        <v>46236</v>
      </c>
    </row>
    <row r="856" spans="1:20" ht="21" customHeight="1" x14ac:dyDescent="0.45">
      <c r="A856" s="31">
        <v>46237.636192142854</v>
      </c>
      <c r="B856" s="31">
        <v>46237.636193095233</v>
      </c>
      <c r="C856" s="31">
        <v>46237.635416666664</v>
      </c>
      <c r="D856" s="1" t="s">
        <v>101</v>
      </c>
      <c r="E856" s="12">
        <v>2.2857142857142858E-5</v>
      </c>
      <c r="F856" s="12">
        <f>IF(D856="d",两日求解价格与决策!K358-两日求解价格与决策!N358,IF(D856="u",两日求解价格与决策!K358+两日求解价格与决策!M358,两日求解价格与决策!K358))</f>
        <v>24.216853362309706</v>
      </c>
      <c r="G856" s="12">
        <f t="shared" si="92"/>
        <v>0</v>
      </c>
      <c r="H856" s="12">
        <f t="shared" si="93"/>
        <v>24.216853362309706</v>
      </c>
      <c r="I856" s="12">
        <f t="shared" si="91"/>
        <v>171.60000000000011</v>
      </c>
      <c r="J856" s="12">
        <f>I856+E856*(G856*原始输入与口径!$B$5-H856/原始输入与口径!$B$5)</f>
        <v>171.59939833904701</v>
      </c>
      <c r="K856" s="12">
        <v>171.60000000000011</v>
      </c>
      <c r="L856" s="12">
        <v>171.59939833904701</v>
      </c>
      <c r="M856" s="19">
        <f t="shared" si="94"/>
        <v>0</v>
      </c>
      <c r="N856" s="12">
        <f>E856*(G856*原始输入与口径!$B$5+H856/原始输入与口径!$B$5)/原始输入与口径!$H$5</f>
        <v>1.6712804252801731E-6</v>
      </c>
      <c r="O856" s="12">
        <v>1.6712804252801731E-6</v>
      </c>
      <c r="P856" s="19">
        <f t="shared" si="95"/>
        <v>0</v>
      </c>
      <c r="Q856" s="12">
        <f t="shared" si="96"/>
        <v>0</v>
      </c>
      <c r="R856" s="12">
        <f t="shared" si="97"/>
        <v>5.535280768527933E-4</v>
      </c>
      <c r="S856" s="1">
        <v>350</v>
      </c>
      <c r="T856" s="14">
        <v>46236</v>
      </c>
    </row>
    <row r="857" spans="1:20" ht="21" customHeight="1" x14ac:dyDescent="0.45">
      <c r="A857" s="31">
        <v>46237.636193095233</v>
      </c>
      <c r="B857" s="31">
        <v>46237.645833333328</v>
      </c>
      <c r="C857" s="31">
        <v>46237.635416666664</v>
      </c>
      <c r="D857" s="1" t="s">
        <v>102</v>
      </c>
      <c r="E857" s="12">
        <v>0.23136571428571429</v>
      </c>
      <c r="F857" s="12">
        <f>IF(D857="d",两日求解价格与决策!K358-两日求解价格与决策!N358,IF(D857="u",两日求解价格与决策!K358+两日求解价格与决策!M358,两日求解价格与决策!K358))</f>
        <v>0.21685336230970481</v>
      </c>
      <c r="G857" s="12">
        <f t="shared" si="92"/>
        <v>0</v>
      </c>
      <c r="H857" s="12">
        <f t="shared" si="93"/>
        <v>0.21685336230970481</v>
      </c>
      <c r="I857" s="12">
        <f t="shared" si="91"/>
        <v>171.59939833904701</v>
      </c>
      <c r="J857" s="12">
        <f>I857+E857*(G857*原始输入与口径!$B$5-H857/原始输入与口径!$B$5)</f>
        <v>171.54486308571435</v>
      </c>
      <c r="K857" s="12">
        <v>171.59939833904701</v>
      </c>
      <c r="L857" s="12">
        <v>171.54486308571435</v>
      </c>
      <c r="M857" s="19">
        <f t="shared" si="94"/>
        <v>0</v>
      </c>
      <c r="N857" s="12">
        <f>E857*(G857*原始输入与口径!$B$5+H857/原始输入与口径!$B$5)/原始输入与口径!$H$5</f>
        <v>1.5148681481293372E-4</v>
      </c>
      <c r="O857" s="12">
        <v>1.514868148129337E-4</v>
      </c>
      <c r="P857" s="19">
        <f t="shared" si="95"/>
        <v>0</v>
      </c>
      <c r="Q857" s="12">
        <f t="shared" si="96"/>
        <v>0</v>
      </c>
      <c r="R857" s="12">
        <f t="shared" si="97"/>
        <v>5.0172433066043645E-2</v>
      </c>
      <c r="S857" s="1">
        <v>350</v>
      </c>
      <c r="T857" s="14">
        <v>46236</v>
      </c>
    </row>
    <row r="858" spans="1:20" ht="21" customHeight="1" x14ac:dyDescent="0.45">
      <c r="A858" s="31">
        <v>46237.645833333336</v>
      </c>
      <c r="B858" s="31">
        <v>46237.645937380956</v>
      </c>
      <c r="C858" s="31">
        <v>46237.645833333336</v>
      </c>
      <c r="D858" s="1" t="s">
        <v>103</v>
      </c>
      <c r="E858" s="12">
        <v>2.4971428571428571E-3</v>
      </c>
      <c r="F858" s="12">
        <f>IF(D858="d",两日求解价格与决策!K359-两日求解价格与决策!N359,IF(D858="u",两日求解价格与决策!K359+两日求解价格与决策!M359,两日求解价格与决策!K359))</f>
        <v>-24</v>
      </c>
      <c r="G858" s="12">
        <f t="shared" si="92"/>
        <v>24</v>
      </c>
      <c r="H858" s="12">
        <f t="shared" si="93"/>
        <v>0</v>
      </c>
      <c r="I858" s="12">
        <f t="shared" si="91"/>
        <v>171.54486308571435</v>
      </c>
      <c r="J858" s="12">
        <f>I858+E858*(G858*原始输入与口径!$B$5-H858/原始输入与口径!$B$5)</f>
        <v>171.60000000000008</v>
      </c>
      <c r="K858" s="12">
        <v>171.54486308571435</v>
      </c>
      <c r="L858" s="12">
        <v>171.60000000000008</v>
      </c>
      <c r="M858" s="19">
        <f t="shared" si="94"/>
        <v>0</v>
      </c>
      <c r="N858" s="12">
        <f>E858*(G858*原始输入与口径!$B$5+H858/原始输入与口径!$B$5)/原始输入与口径!$H$5</f>
        <v>1.5315809523809524E-4</v>
      </c>
      <c r="O858" s="12">
        <v>1.5315809523809521E-4</v>
      </c>
      <c r="P858" s="19">
        <f t="shared" si="95"/>
        <v>0</v>
      </c>
      <c r="Q858" s="12">
        <f t="shared" si="96"/>
        <v>5.9931428571428566E-2</v>
      </c>
      <c r="R858" s="12">
        <f t="shared" si="97"/>
        <v>0</v>
      </c>
      <c r="S858" s="1">
        <v>351</v>
      </c>
      <c r="T858" s="14">
        <v>46236</v>
      </c>
    </row>
    <row r="859" spans="1:20" ht="21" customHeight="1" x14ac:dyDescent="0.45">
      <c r="A859" s="31">
        <v>46237.645937380956</v>
      </c>
      <c r="B859" s="31">
        <v>46237.647050952386</v>
      </c>
      <c r="C859" s="31">
        <v>46237.645833333336</v>
      </c>
      <c r="D859" s="1" t="s">
        <v>101</v>
      </c>
      <c r="E859" s="12">
        <v>2.6725714285714283E-2</v>
      </c>
      <c r="F859" s="12">
        <f>IF(D859="d",两日求解价格与决策!K359-两日求解价格与决策!N359,IF(D859="u",两日求解价格与决策!K359+两日求解价格与决策!M359,两日求解价格与决策!K359))</f>
        <v>24</v>
      </c>
      <c r="G859" s="12">
        <f t="shared" si="92"/>
        <v>0</v>
      </c>
      <c r="H859" s="12">
        <f t="shared" si="93"/>
        <v>24</v>
      </c>
      <c r="I859" s="12">
        <f t="shared" si="91"/>
        <v>171.60000000000008</v>
      </c>
      <c r="J859" s="12">
        <f>I859+E859*(G859*原始输入与口径!$B$5-H859/原始输入与口径!$B$5)</f>
        <v>170.90280745341622</v>
      </c>
      <c r="K859" s="12">
        <v>171.60000000000008</v>
      </c>
      <c r="L859" s="12">
        <v>170.90280745341622</v>
      </c>
      <c r="M859" s="19">
        <f t="shared" si="94"/>
        <v>0</v>
      </c>
      <c r="N859" s="12">
        <f>E859*(G859*原始输入与口径!$B$5+H859/原始输入与口径!$B$5)/原始输入与口径!$H$5</f>
        <v>1.9366459627329191E-3</v>
      </c>
      <c r="O859" s="12">
        <v>1.9366459627329191E-3</v>
      </c>
      <c r="P859" s="19">
        <f t="shared" si="95"/>
        <v>0</v>
      </c>
      <c r="Q859" s="12">
        <f t="shared" si="96"/>
        <v>0</v>
      </c>
      <c r="R859" s="12">
        <f t="shared" si="97"/>
        <v>0.6414171428571428</v>
      </c>
      <c r="S859" s="1">
        <v>351</v>
      </c>
      <c r="T859" s="14">
        <v>46236</v>
      </c>
    </row>
    <row r="860" spans="1:20" ht="21" customHeight="1" x14ac:dyDescent="0.45">
      <c r="A860" s="31">
        <v>46237.647050952386</v>
      </c>
      <c r="B860" s="31">
        <v>46237.65625</v>
      </c>
      <c r="C860" s="31">
        <v>46237.645833333336</v>
      </c>
      <c r="D860" s="1" t="s">
        <v>102</v>
      </c>
      <c r="E860" s="12">
        <v>0.22077714285714284</v>
      </c>
      <c r="F860" s="12">
        <f>IF(D860="d",两日求解价格与决策!K359-两日求解价格与决策!N359,IF(D860="u",两日求解价格与决策!K359+两日求解价格与决策!M359,两日求解价格与决策!K359))</f>
        <v>0</v>
      </c>
      <c r="G860" s="12">
        <f t="shared" si="92"/>
        <v>0</v>
      </c>
      <c r="H860" s="12">
        <f t="shared" si="93"/>
        <v>0</v>
      </c>
      <c r="I860" s="12">
        <f t="shared" si="91"/>
        <v>170.90280745341622</v>
      </c>
      <c r="J860" s="12">
        <f>I860+E860*(G860*原始输入与口径!$B$5-H860/原始输入与口径!$B$5)</f>
        <v>170.90280745341622</v>
      </c>
      <c r="K860" s="12">
        <v>170.90280745341622</v>
      </c>
      <c r="L860" s="12">
        <v>170.90280745341622</v>
      </c>
      <c r="M860" s="19">
        <f t="shared" si="94"/>
        <v>0</v>
      </c>
      <c r="N860" s="12">
        <f>E860*(G860*原始输入与口径!$B$5+H860/原始输入与口径!$B$5)/原始输入与口径!$H$5</f>
        <v>0</v>
      </c>
      <c r="O860" s="12">
        <v>0</v>
      </c>
      <c r="P860" s="19">
        <f t="shared" si="95"/>
        <v>0</v>
      </c>
      <c r="Q860" s="12">
        <f t="shared" si="96"/>
        <v>0</v>
      </c>
      <c r="R860" s="12">
        <f t="shared" si="97"/>
        <v>0</v>
      </c>
      <c r="S860" s="1">
        <v>351</v>
      </c>
      <c r="T860" s="14">
        <v>46236</v>
      </c>
    </row>
    <row r="861" spans="1:20" ht="21" customHeight="1" x14ac:dyDescent="0.45">
      <c r="A861" s="31">
        <v>46237.65625</v>
      </c>
      <c r="B861" s="31">
        <v>46237.656960952379</v>
      </c>
      <c r="C861" s="31">
        <v>46237.65625</v>
      </c>
      <c r="D861" s="1" t="s">
        <v>101</v>
      </c>
      <c r="E861" s="12">
        <v>1.7062857142857143E-2</v>
      </c>
      <c r="F861" s="12">
        <f>IF(D861="d",两日求解价格与决策!K360-两日求解价格与决策!N360,IF(D861="u",两日求解价格与决策!K360+两日求解价格与决策!M360,两日求解价格与决策!K360))</f>
        <v>24</v>
      </c>
      <c r="G861" s="12">
        <f t="shared" si="92"/>
        <v>0</v>
      </c>
      <c r="H861" s="12">
        <f t="shared" si="93"/>
        <v>24</v>
      </c>
      <c r="I861" s="12">
        <f t="shared" ref="I861:I929" si="98">J860</f>
        <v>170.90280745341622</v>
      </c>
      <c r="J861" s="12">
        <f>I861+E861*(G861*原始输入与口径!$B$5-H861/原始输入与口径!$B$5)</f>
        <v>170.45768944099385</v>
      </c>
      <c r="K861" s="12">
        <v>170.90280745341622</v>
      </c>
      <c r="L861" s="12">
        <v>170.45768944099385</v>
      </c>
      <c r="M861" s="19">
        <f t="shared" si="94"/>
        <v>0</v>
      </c>
      <c r="N861" s="12">
        <f>E861*(G861*原始输入与口径!$B$5+H861/原始输入与口径!$B$5)/原始输入与口径!$H$5</f>
        <v>1.2364389233954453E-3</v>
      </c>
      <c r="O861" s="12">
        <v>1.2364389233954453E-3</v>
      </c>
      <c r="P861" s="19">
        <f t="shared" si="95"/>
        <v>0</v>
      </c>
      <c r="Q861" s="12">
        <f t="shared" si="96"/>
        <v>0</v>
      </c>
      <c r="R861" s="12">
        <f t="shared" si="97"/>
        <v>0.40950857142857144</v>
      </c>
      <c r="S861" s="1">
        <v>352</v>
      </c>
      <c r="T861" s="14">
        <v>46236</v>
      </c>
    </row>
    <row r="862" spans="1:20" ht="21" customHeight="1" x14ac:dyDescent="0.45">
      <c r="A862" s="31">
        <v>46237.656960952379</v>
      </c>
      <c r="B862" s="31">
        <v>46237.666666666664</v>
      </c>
      <c r="C862" s="31">
        <v>46237.65625</v>
      </c>
      <c r="D862" s="1" t="s">
        <v>102</v>
      </c>
      <c r="E862" s="12">
        <v>0.23293714285714284</v>
      </c>
      <c r="F862" s="12">
        <f>IF(D862="d",两日求解价格与决策!K360-两日求解价格与决策!N360,IF(D862="u",两日求解价格与决策!K360+两日求解价格与决策!M360,两日求解价格与决策!K360))</f>
        <v>0</v>
      </c>
      <c r="G862" s="12">
        <f t="shared" si="92"/>
        <v>0</v>
      </c>
      <c r="H862" s="12">
        <f t="shared" si="93"/>
        <v>0</v>
      </c>
      <c r="I862" s="12">
        <f t="shared" si="98"/>
        <v>170.45768944099385</v>
      </c>
      <c r="J862" s="12">
        <f>I862+E862*(G862*原始输入与口径!$B$5-H862/原始输入与口径!$B$5)</f>
        <v>170.45768944099385</v>
      </c>
      <c r="K862" s="12">
        <v>170.45768944099385</v>
      </c>
      <c r="L862" s="12">
        <v>170.45768944099385</v>
      </c>
      <c r="M862" s="19">
        <f t="shared" si="94"/>
        <v>0</v>
      </c>
      <c r="N862" s="12">
        <f>E862*(G862*原始输入与口径!$B$5+H862/原始输入与口径!$B$5)/原始输入与口径!$H$5</f>
        <v>0</v>
      </c>
      <c r="O862" s="12">
        <v>0</v>
      </c>
      <c r="P862" s="19">
        <f t="shared" si="95"/>
        <v>0</v>
      </c>
      <c r="Q862" s="12">
        <f t="shared" si="96"/>
        <v>0</v>
      </c>
      <c r="R862" s="12">
        <f t="shared" si="97"/>
        <v>0</v>
      </c>
      <c r="S862" s="1">
        <v>352</v>
      </c>
      <c r="T862" s="14">
        <v>46236</v>
      </c>
    </row>
    <row r="863" spans="1:20" ht="21" customHeight="1" x14ac:dyDescent="0.45">
      <c r="A863" s="31">
        <v>46237.666666666664</v>
      </c>
      <c r="B863" s="31">
        <v>46237.667096428566</v>
      </c>
      <c r="C863" s="31">
        <v>46237.666666666664</v>
      </c>
      <c r="D863" s="1" t="s">
        <v>103</v>
      </c>
      <c r="E863" s="12">
        <v>1.0314285714285713E-2</v>
      </c>
      <c r="F863" s="12">
        <f>IF(D863="d",两日求解价格与决策!K361-两日求解价格与决策!N361,IF(D863="u",两日求解价格与决策!K361+两日求解价格与决策!M361,两日求解价格与决策!K361))</f>
        <v>-24.694566956829959</v>
      </c>
      <c r="G863" s="12">
        <f t="shared" si="92"/>
        <v>24.694566956829959</v>
      </c>
      <c r="H863" s="12">
        <f t="shared" si="93"/>
        <v>0</v>
      </c>
      <c r="I863" s="12">
        <f t="shared" si="98"/>
        <v>170.45768944099385</v>
      </c>
      <c r="J863" s="12">
        <f>I863+E863*(G863*原始输入与口径!$B$5-H863/原始输入与口径!$B$5)</f>
        <v>170.6920197146425</v>
      </c>
      <c r="K863" s="12">
        <v>170.45768944099385</v>
      </c>
      <c r="L863" s="12">
        <v>170.6920197146425</v>
      </c>
      <c r="M863" s="19">
        <f t="shared" si="94"/>
        <v>0</v>
      </c>
      <c r="N863" s="12">
        <f>E863*(G863*原始输入与口径!$B$5+H863/原始输入与口径!$B$5)/原始输入与口径!$H$5</f>
        <v>6.5091742680177501E-4</v>
      </c>
      <c r="O863" s="12">
        <v>6.5091742680177512E-4</v>
      </c>
      <c r="P863" s="19">
        <f t="shared" si="95"/>
        <v>0</v>
      </c>
      <c r="Q863" s="12">
        <f t="shared" si="96"/>
        <v>0.25470681918330329</v>
      </c>
      <c r="R863" s="12">
        <f t="shared" si="97"/>
        <v>0</v>
      </c>
      <c r="S863" s="1">
        <v>353</v>
      </c>
      <c r="T863" s="14">
        <v>46236</v>
      </c>
    </row>
    <row r="864" spans="1:20" ht="21" customHeight="1" x14ac:dyDescent="0.45">
      <c r="A864" s="31">
        <v>46237.667096428566</v>
      </c>
      <c r="B864" s="31">
        <v>46237.667113809519</v>
      </c>
      <c r="C864" s="31">
        <v>46237.666666666664</v>
      </c>
      <c r="D864" s="1" t="s">
        <v>101</v>
      </c>
      <c r="E864" s="12">
        <v>4.1714285714285714E-4</v>
      </c>
      <c r="F864" s="12">
        <f>IF(D864="d",两日求解价格与决策!K361-两日求解价格与决策!N361,IF(D864="u",两日求解价格与决策!K361+两日求解价格与决策!M361,两日求解价格与决策!K361))</f>
        <v>-0.6945669568299605</v>
      </c>
      <c r="G864" s="12">
        <f t="shared" si="92"/>
        <v>0.6945669568299605</v>
      </c>
      <c r="H864" s="12">
        <f t="shared" si="93"/>
        <v>0</v>
      </c>
      <c r="I864" s="12">
        <f t="shared" si="98"/>
        <v>170.6920197146425</v>
      </c>
      <c r="J864" s="12">
        <f>I864+E864*(G864*原始输入与口径!$B$5-H864/原始输入与口径!$B$5)</f>
        <v>170.69228626959577</v>
      </c>
      <c r="K864" s="12">
        <v>170.6920197146425</v>
      </c>
      <c r="L864" s="12">
        <v>170.69228626959577</v>
      </c>
      <c r="M864" s="19">
        <f t="shared" si="94"/>
        <v>0</v>
      </c>
      <c r="N864" s="12">
        <f>E864*(G864*原始输入与口径!$B$5+H864/原始输入与口径!$B$5)/原始输入与口径!$H$5</f>
        <v>7.404304257253992E-7</v>
      </c>
      <c r="O864" s="12">
        <v>7.404304257253992E-7</v>
      </c>
      <c r="P864" s="19">
        <f t="shared" si="95"/>
        <v>0</v>
      </c>
      <c r="Q864" s="12">
        <f t="shared" si="96"/>
        <v>2.8973364484906924E-4</v>
      </c>
      <c r="R864" s="12">
        <f t="shared" si="97"/>
        <v>0</v>
      </c>
      <c r="S864" s="1">
        <v>353</v>
      </c>
      <c r="T864" s="14">
        <v>46236</v>
      </c>
    </row>
    <row r="865" spans="1:20" ht="21" customHeight="1" x14ac:dyDescent="0.45">
      <c r="A865" s="31">
        <v>46237.667113809519</v>
      </c>
      <c r="B865" s="31">
        <v>46237.677083333328</v>
      </c>
      <c r="C865" s="31">
        <v>46237.666666666664</v>
      </c>
      <c r="D865" s="1" t="s">
        <v>102</v>
      </c>
      <c r="E865" s="12">
        <v>0.23926857142857141</v>
      </c>
      <c r="F865" s="12">
        <f>IF(D865="d",两日求解价格与决策!K361-两日求解价格与决策!N361,IF(D865="u",两日求解价格与决策!K361+两日求解价格与决策!M361,两日求解价格与决策!K361))</f>
        <v>-0.6945669568299605</v>
      </c>
      <c r="G865" s="12">
        <f t="shared" si="92"/>
        <v>0.6945669568299605</v>
      </c>
      <c r="H865" s="12">
        <f t="shared" si="93"/>
        <v>0</v>
      </c>
      <c r="I865" s="12">
        <f t="shared" si="98"/>
        <v>170.69228626959577</v>
      </c>
      <c r="J865" s="12">
        <f>I865+E865*(G865*原始输入与口径!$B$5-H865/原始输入与口径!$B$5)</f>
        <v>170.84517926963619</v>
      </c>
      <c r="K865" s="12">
        <v>170.69228626959577</v>
      </c>
      <c r="L865" s="12">
        <v>170.84517926963619</v>
      </c>
      <c r="M865" s="19">
        <f t="shared" si="94"/>
        <v>0</v>
      </c>
      <c r="N865" s="12">
        <f>E865*(G865*原始输入与口径!$B$5+H865/原始输入与口径!$B$5)/原始输入与口径!$H$5</f>
        <v>4.2470277789005364E-4</v>
      </c>
      <c r="O865" s="12">
        <v>4.2470277789005364E-4</v>
      </c>
      <c r="P865" s="19">
        <f t="shared" si="95"/>
        <v>0</v>
      </c>
      <c r="Q865" s="12">
        <f t="shared" si="96"/>
        <v>0.16618804352219488</v>
      </c>
      <c r="R865" s="12">
        <f t="shared" si="97"/>
        <v>0</v>
      </c>
      <c r="S865" s="1">
        <v>353</v>
      </c>
      <c r="T865" s="14">
        <v>46236</v>
      </c>
    </row>
    <row r="866" spans="1:20" ht="21" customHeight="1" x14ac:dyDescent="0.45">
      <c r="A866" s="31">
        <v>46237.677083333336</v>
      </c>
      <c r="B866" s="31">
        <v>46237.678798571433</v>
      </c>
      <c r="C866" s="31">
        <v>46237.677083333336</v>
      </c>
      <c r="D866" s="1" t="s">
        <v>103</v>
      </c>
      <c r="E866" s="12">
        <v>4.1165714285714285E-2</v>
      </c>
      <c r="F866" s="12">
        <f>IF(D866="d",两日求解价格与决策!K362-两日求解价格与决策!N362,IF(D866="u",两日求解价格与决策!K362+两日求解价格与决策!M362,两日求解价格与决策!K362))</f>
        <v>-19.930598310975245</v>
      </c>
      <c r="G866" s="12">
        <f t="shared" si="92"/>
        <v>19.930598310975245</v>
      </c>
      <c r="H866" s="12">
        <f t="shared" si="93"/>
        <v>0</v>
      </c>
      <c r="I866" s="12">
        <f t="shared" si="98"/>
        <v>170.84517926963619</v>
      </c>
      <c r="J866" s="12">
        <f>I866+E866*(G866*原始输入与口径!$B$5-H866/原始输入与口径!$B$5)</f>
        <v>171.60000000000011</v>
      </c>
      <c r="K866" s="12">
        <v>170.84517926963619</v>
      </c>
      <c r="L866" s="12">
        <v>171.60000000000011</v>
      </c>
      <c r="M866" s="19">
        <f t="shared" si="94"/>
        <v>0</v>
      </c>
      <c r="N866" s="12">
        <f>E866*(G866*原始输入与口径!$B$5+H866/原始输入与口径!$B$5)/原始输入与口径!$H$5</f>
        <v>2.0967242510108635E-3</v>
      </c>
      <c r="O866" s="12">
        <v>2.0967242510108639E-3</v>
      </c>
      <c r="P866" s="19">
        <f t="shared" si="95"/>
        <v>0</v>
      </c>
      <c r="Q866" s="12">
        <f t="shared" si="96"/>
        <v>0.82045731561294666</v>
      </c>
      <c r="R866" s="12">
        <f t="shared" si="97"/>
        <v>0</v>
      </c>
      <c r="S866" s="1">
        <v>354</v>
      </c>
      <c r="T866" s="14">
        <v>46236</v>
      </c>
    </row>
    <row r="867" spans="1:20" ht="21" customHeight="1" x14ac:dyDescent="0.45">
      <c r="A867" s="31">
        <v>46237.678798571433</v>
      </c>
      <c r="B867" s="31">
        <v>46237.6875</v>
      </c>
      <c r="C867" s="31">
        <v>46237.677083333336</v>
      </c>
      <c r="D867" s="1" t="s">
        <v>102</v>
      </c>
      <c r="E867" s="12">
        <v>0.20883428571428572</v>
      </c>
      <c r="F867" s="12">
        <f>IF(D867="d",两日求解价格与决策!K362-两日求解价格与决策!N362,IF(D867="u",两日求解价格与决策!K362+两日求解价格与决策!M362,两日求解价格与决策!K362))</f>
        <v>4.0694016890247555</v>
      </c>
      <c r="G867" s="12">
        <f t="shared" si="92"/>
        <v>0</v>
      </c>
      <c r="H867" s="12">
        <f t="shared" si="93"/>
        <v>4.0694016890247555</v>
      </c>
      <c r="I867" s="12">
        <f t="shared" si="98"/>
        <v>171.60000000000011</v>
      </c>
      <c r="J867" s="12">
        <f>I867+E867*(G867*原始输入与口径!$B$5-H867/原始输入与口径!$B$5)</f>
        <v>170.67627109237839</v>
      </c>
      <c r="K867" s="12">
        <v>171.60000000000011</v>
      </c>
      <c r="L867" s="12">
        <v>170.67627109237839</v>
      </c>
      <c r="M867" s="19">
        <f t="shared" si="94"/>
        <v>0</v>
      </c>
      <c r="N867" s="12">
        <f>E867*(G867*原始输入与口径!$B$5+H867/原始输入与口径!$B$5)/原始输入与口径!$H$5</f>
        <v>2.5659136322825865E-3</v>
      </c>
      <c r="O867" s="12">
        <v>2.5659136322825865E-3</v>
      </c>
      <c r="P867" s="19">
        <f t="shared" si="95"/>
        <v>0</v>
      </c>
      <c r="Q867" s="12">
        <f t="shared" si="96"/>
        <v>0</v>
      </c>
      <c r="R867" s="12">
        <f t="shared" si="97"/>
        <v>0.84983059501199265</v>
      </c>
      <c r="S867" s="1">
        <v>354</v>
      </c>
      <c r="T867" s="14">
        <v>46236</v>
      </c>
    </row>
    <row r="868" spans="1:20" ht="21" customHeight="1" x14ac:dyDescent="0.45">
      <c r="A868" s="31">
        <v>46237.6875</v>
      </c>
      <c r="B868" s="31">
        <v>46237.69025642857</v>
      </c>
      <c r="C868" s="31">
        <v>46237.6875</v>
      </c>
      <c r="D868" s="1" t="s">
        <v>103</v>
      </c>
      <c r="E868" s="12">
        <v>6.6154285714285707E-2</v>
      </c>
      <c r="F868" s="12">
        <f>IF(D868="d",两日求解价格与决策!K363-两日求解价格与决策!N363,IF(D868="u",两日求解价格与决策!K363+两日求解价格与决策!M363,两日求解价格与决策!K363))</f>
        <v>-15.177446927547951</v>
      </c>
      <c r="G868" s="12">
        <f t="shared" si="92"/>
        <v>15.177446927547951</v>
      </c>
      <c r="H868" s="12">
        <f t="shared" si="93"/>
        <v>0</v>
      </c>
      <c r="I868" s="12">
        <f t="shared" si="98"/>
        <v>170.67627109237839</v>
      </c>
      <c r="J868" s="12">
        <f>I868+E868*(G868*原始输入与口径!$B$5-H868/原始输入与口径!$B$5)</f>
        <v>171.60000000000014</v>
      </c>
      <c r="K868" s="12">
        <v>170.67627109237839</v>
      </c>
      <c r="L868" s="12">
        <v>171.60000000000014</v>
      </c>
      <c r="M868" s="19">
        <f t="shared" si="94"/>
        <v>0</v>
      </c>
      <c r="N868" s="12">
        <f>E868*(G868*原始输入与口径!$B$5+H868/原始输入与口径!$B$5)/原始输入与口径!$H$5</f>
        <v>2.565913632282616E-3</v>
      </c>
      <c r="O868" s="12">
        <v>2.565913632282616E-3</v>
      </c>
      <c r="P868" s="19">
        <f t="shared" si="95"/>
        <v>0</v>
      </c>
      <c r="Q868" s="12">
        <f t="shared" si="96"/>
        <v>1.0040531604584149</v>
      </c>
      <c r="R868" s="12">
        <f t="shared" si="97"/>
        <v>0</v>
      </c>
      <c r="S868" s="1">
        <v>355</v>
      </c>
      <c r="T868" s="14">
        <v>46236</v>
      </c>
    </row>
    <row r="869" spans="1:20" ht="21" customHeight="1" x14ac:dyDescent="0.45">
      <c r="A869" s="31">
        <v>46237.69025642857</v>
      </c>
      <c r="B869" s="31">
        <v>46237.697916666664</v>
      </c>
      <c r="C869" s="31">
        <v>46237.6875</v>
      </c>
      <c r="D869" s="1" t="s">
        <v>102</v>
      </c>
      <c r="E869" s="12">
        <v>0.18384571428571428</v>
      </c>
      <c r="F869" s="12">
        <f>IF(D869="d",两日求解价格与决策!K363-两日求解价格与决策!N363,IF(D869="u",两日求解价格与决策!K363+两日求解价格与决策!M363,两日求解价格与决策!K363))</f>
        <v>8.8225530724520489</v>
      </c>
      <c r="G869" s="12">
        <f t="shared" si="92"/>
        <v>0</v>
      </c>
      <c r="H869" s="12">
        <f t="shared" si="93"/>
        <v>8.8225530724520489</v>
      </c>
      <c r="I869" s="12">
        <f t="shared" si="98"/>
        <v>171.60000000000014</v>
      </c>
      <c r="J869" s="12">
        <f>I869+E869*(G869*原始输入与口径!$B$5-H869/原始输入与口径!$B$5)</f>
        <v>169.83696894409951</v>
      </c>
      <c r="K869" s="12">
        <v>171.60000000000014</v>
      </c>
      <c r="L869" s="12">
        <v>169.83696894409951</v>
      </c>
      <c r="M869" s="19">
        <f t="shared" si="94"/>
        <v>0</v>
      </c>
      <c r="N869" s="12">
        <f>E869*(G869*原始输入与口径!$B$5+H869/原始输入与口径!$B$5)/原始输入与口径!$H$5</f>
        <v>4.897308488612832E-3</v>
      </c>
      <c r="O869" s="12">
        <v>4.897308488612832E-3</v>
      </c>
      <c r="P869" s="19">
        <f t="shared" si="95"/>
        <v>0</v>
      </c>
      <c r="Q869" s="12">
        <f t="shared" si="96"/>
        <v>0</v>
      </c>
      <c r="R869" s="12">
        <f t="shared" si="97"/>
        <v>1.62198857142857</v>
      </c>
      <c r="S869" s="1">
        <v>355</v>
      </c>
      <c r="T869" s="14">
        <v>46236</v>
      </c>
    </row>
    <row r="870" spans="1:20" ht="21" customHeight="1" x14ac:dyDescent="0.45">
      <c r="A870" s="31">
        <v>46237.697916666664</v>
      </c>
      <c r="B870" s="31">
        <v>46237.704732619044</v>
      </c>
      <c r="C870" s="31">
        <v>46237.697916666664</v>
      </c>
      <c r="D870" s="1" t="s">
        <v>103</v>
      </c>
      <c r="E870" s="12">
        <v>0.16358285714285714</v>
      </c>
      <c r="F870" s="12">
        <f>IF(D870="d",两日求解价格与决策!K364-两日求解价格与决策!N364,IF(D870="u",两日求解价格与决策!K364+两日求解价格与决策!M364,两日求解价格与决策!K364))</f>
        <v>36</v>
      </c>
      <c r="G870" s="12">
        <f t="shared" si="92"/>
        <v>0</v>
      </c>
      <c r="H870" s="12">
        <f t="shared" si="93"/>
        <v>36</v>
      </c>
      <c r="I870" s="12">
        <f t="shared" si="98"/>
        <v>169.83696894409951</v>
      </c>
      <c r="J870" s="12">
        <f>I870+E870*(G870*原始输入与口径!$B$5-H870/原始输入与口径!$B$5)</f>
        <v>163.43590062111815</v>
      </c>
      <c r="K870" s="12">
        <v>169.83696894409951</v>
      </c>
      <c r="L870" s="12">
        <v>163.43590062111815</v>
      </c>
      <c r="M870" s="19">
        <f t="shared" si="94"/>
        <v>0</v>
      </c>
      <c r="N870" s="12">
        <f>E870*(G870*原始输入与口径!$B$5+H870/原始输入与口径!$B$5)/原始输入与口径!$H$5</f>
        <v>1.7780745341614907E-2</v>
      </c>
      <c r="O870" s="12">
        <v>1.7780745341614904E-2</v>
      </c>
      <c r="P870" s="19">
        <f t="shared" si="95"/>
        <v>0</v>
      </c>
      <c r="Q870" s="12">
        <f t="shared" si="96"/>
        <v>0</v>
      </c>
      <c r="R870" s="12">
        <f t="shared" si="97"/>
        <v>5.8889828571428566</v>
      </c>
      <c r="S870" s="1">
        <v>356</v>
      </c>
      <c r="T870" s="14">
        <v>46236</v>
      </c>
    </row>
    <row r="871" spans="1:20" ht="21" customHeight="1" x14ac:dyDescent="0.45">
      <c r="A871" s="31">
        <v>46237.704732619044</v>
      </c>
      <c r="B871" s="31">
        <v>46237.708333333328</v>
      </c>
      <c r="C871" s="31">
        <v>46237.697916666664</v>
      </c>
      <c r="D871" s="1" t="s">
        <v>102</v>
      </c>
      <c r="E871" s="12">
        <v>8.6417142857142859E-2</v>
      </c>
      <c r="F871" s="12">
        <f>IF(D871="d",两日求解价格与决策!K364-两日求解价格与决策!N364,IF(D871="u",两日求解价格与决策!K364+两日求解价格与决策!M364,两日求解价格与决策!K364))</f>
        <v>60</v>
      </c>
      <c r="G871" s="12">
        <f t="shared" si="92"/>
        <v>0</v>
      </c>
      <c r="H871" s="12">
        <f t="shared" si="93"/>
        <v>60</v>
      </c>
      <c r="I871" s="12">
        <f t="shared" si="98"/>
        <v>163.43590062111815</v>
      </c>
      <c r="J871" s="12">
        <f>I871+E871*(G871*原始输入与口径!$B$5-H871/原始输入与口径!$B$5)</f>
        <v>157.80000000000013</v>
      </c>
      <c r="K871" s="12">
        <v>163.43590062111815</v>
      </c>
      <c r="L871" s="12">
        <v>157.80000000000013</v>
      </c>
      <c r="M871" s="19">
        <f t="shared" si="94"/>
        <v>0</v>
      </c>
      <c r="N871" s="12">
        <f>E871*(G871*原始输入与口径!$B$5+H871/原始输入与口径!$B$5)/原始输入与口径!$H$5</f>
        <v>1.565527950310559E-2</v>
      </c>
      <c r="O871" s="12">
        <v>1.5655279503105586E-2</v>
      </c>
      <c r="P871" s="19">
        <f t="shared" si="95"/>
        <v>0</v>
      </c>
      <c r="Q871" s="12">
        <f t="shared" si="96"/>
        <v>0</v>
      </c>
      <c r="R871" s="12">
        <f t="shared" si="97"/>
        <v>5.1850285714285711</v>
      </c>
      <c r="S871" s="1">
        <v>356</v>
      </c>
      <c r="T871" s="14">
        <v>46236</v>
      </c>
    </row>
    <row r="872" spans="1:20" ht="21" customHeight="1" x14ac:dyDescent="0.45">
      <c r="A872" s="31">
        <v>46237.708333333336</v>
      </c>
      <c r="B872" s="31">
        <v>46237.71875</v>
      </c>
      <c r="C872" s="31">
        <v>46237.708333333336</v>
      </c>
      <c r="D872" s="1" t="s">
        <v>104</v>
      </c>
      <c r="E872" s="12">
        <v>0.25</v>
      </c>
      <c r="F872" s="12">
        <f>IF(D872="d",两日求解价格与决策!K365-两日求解价格与决策!N365,IF(D872="u",两日求解价格与决策!K365+两日求解价格与决策!M365,两日求解价格与决策!K365))</f>
        <v>-60</v>
      </c>
      <c r="G872" s="12">
        <f t="shared" si="92"/>
        <v>60</v>
      </c>
      <c r="H872" s="12">
        <f t="shared" si="93"/>
        <v>0</v>
      </c>
      <c r="I872" s="12">
        <f t="shared" si="98"/>
        <v>157.80000000000013</v>
      </c>
      <c r="J872" s="12">
        <f>I872+E872*(G872*原始输入与口径!$B$5-H872/原始输入与口径!$B$5)</f>
        <v>171.60000000000014</v>
      </c>
      <c r="K872" s="12">
        <v>157.80000000000013</v>
      </c>
      <c r="L872" s="12">
        <v>171.60000000000014</v>
      </c>
      <c r="M872" s="19">
        <f t="shared" si="94"/>
        <v>0</v>
      </c>
      <c r="N872" s="12">
        <f>E872*(G872*原始输入与口径!$B$5+H872/原始输入与口径!$B$5)/原始输入与口径!$H$5</f>
        <v>3.8333333333333337E-2</v>
      </c>
      <c r="O872" s="12">
        <v>3.8333333333333337E-2</v>
      </c>
      <c r="P872" s="19">
        <f t="shared" si="95"/>
        <v>0</v>
      </c>
      <c r="Q872" s="12">
        <f t="shared" si="96"/>
        <v>15</v>
      </c>
      <c r="R872" s="12">
        <f t="shared" si="97"/>
        <v>0</v>
      </c>
      <c r="S872" s="1">
        <v>357</v>
      </c>
      <c r="T872" s="14">
        <v>46236</v>
      </c>
    </row>
    <row r="873" spans="1:20" ht="21" customHeight="1" x14ac:dyDescent="0.45">
      <c r="A873" s="31">
        <v>46237.71875</v>
      </c>
      <c r="B873" s="31">
        <v>46237.729166666664</v>
      </c>
      <c r="C873" s="31">
        <v>46237.71875</v>
      </c>
      <c r="D873" s="1" t="s">
        <v>104</v>
      </c>
      <c r="E873" s="12">
        <v>0.25</v>
      </c>
      <c r="F873" s="12">
        <f>IF(D873="d",两日求解价格与决策!K366-两日求解价格与决策!N366,IF(D873="u",两日求解价格与决策!K366+两日求解价格与决策!M366,两日求解价格与决策!K366))</f>
        <v>0</v>
      </c>
      <c r="G873" s="12">
        <f t="shared" si="92"/>
        <v>0</v>
      </c>
      <c r="H873" s="12">
        <f t="shared" si="93"/>
        <v>0</v>
      </c>
      <c r="I873" s="12">
        <f t="shared" si="98"/>
        <v>171.60000000000014</v>
      </c>
      <c r="J873" s="12">
        <f>I873+E873*(G873*原始输入与口径!$B$5-H873/原始输入与口径!$B$5)</f>
        <v>171.60000000000014</v>
      </c>
      <c r="K873" s="12">
        <v>171.60000000000014</v>
      </c>
      <c r="L873" s="12">
        <v>171.60000000000014</v>
      </c>
      <c r="M873" s="19">
        <f t="shared" si="94"/>
        <v>0</v>
      </c>
      <c r="N873" s="12">
        <f>E873*(G873*原始输入与口径!$B$5+H873/原始输入与口径!$B$5)/原始输入与口径!$H$5</f>
        <v>0</v>
      </c>
      <c r="O873" s="12">
        <v>0</v>
      </c>
      <c r="P873" s="19">
        <f t="shared" si="95"/>
        <v>0</v>
      </c>
      <c r="Q873" s="12">
        <f t="shared" si="96"/>
        <v>0</v>
      </c>
      <c r="R873" s="12">
        <f t="shared" si="97"/>
        <v>0</v>
      </c>
      <c r="S873" s="1">
        <v>358</v>
      </c>
      <c r="T873" s="14">
        <v>46236</v>
      </c>
    </row>
    <row r="874" spans="1:20" ht="21" customHeight="1" x14ac:dyDescent="0.45">
      <c r="A874" s="31">
        <v>46237.729166666664</v>
      </c>
      <c r="B874" s="31">
        <v>46237.739583333328</v>
      </c>
      <c r="C874" s="31">
        <v>46237.729166666664</v>
      </c>
      <c r="D874" s="1" t="s">
        <v>104</v>
      </c>
      <c r="E874" s="12">
        <v>0.25</v>
      </c>
      <c r="F874" s="12">
        <f>IF(D874="d",两日求解价格与决策!K367-两日求解价格与决策!N367,IF(D874="u",两日求解价格与决策!K367+两日求解价格与决策!M367,两日求解价格与决策!K367))</f>
        <v>0</v>
      </c>
      <c r="G874" s="12">
        <f t="shared" si="92"/>
        <v>0</v>
      </c>
      <c r="H874" s="12">
        <f t="shared" si="93"/>
        <v>0</v>
      </c>
      <c r="I874" s="12">
        <f t="shared" si="98"/>
        <v>171.60000000000014</v>
      </c>
      <c r="J874" s="12">
        <f>I874+E874*(G874*原始输入与口径!$B$5-H874/原始输入与口径!$B$5)</f>
        <v>171.60000000000014</v>
      </c>
      <c r="K874" s="12">
        <v>171.60000000000014</v>
      </c>
      <c r="L874" s="12">
        <v>171.60000000000014</v>
      </c>
      <c r="M874" s="19">
        <f t="shared" si="94"/>
        <v>0</v>
      </c>
      <c r="N874" s="12">
        <f>E874*(G874*原始输入与口径!$B$5+H874/原始输入与口径!$B$5)/原始输入与口径!$H$5</f>
        <v>0</v>
      </c>
      <c r="O874" s="12">
        <v>0</v>
      </c>
      <c r="P874" s="19">
        <f t="shared" si="95"/>
        <v>0</v>
      </c>
      <c r="Q874" s="12">
        <f t="shared" si="96"/>
        <v>0</v>
      </c>
      <c r="R874" s="12">
        <f t="shared" si="97"/>
        <v>0</v>
      </c>
      <c r="S874" s="1">
        <v>359</v>
      </c>
      <c r="T874" s="14">
        <v>46236</v>
      </c>
    </row>
    <row r="875" spans="1:20" ht="21" customHeight="1" x14ac:dyDescent="0.45">
      <c r="A875" s="31">
        <v>46237.739583333336</v>
      </c>
      <c r="B875" s="31">
        <v>46237.75</v>
      </c>
      <c r="C875" s="31">
        <v>46237.739583333336</v>
      </c>
      <c r="D875" s="1" t="s">
        <v>104</v>
      </c>
      <c r="E875" s="12">
        <v>0.25</v>
      </c>
      <c r="F875" s="12">
        <f>IF(D875="d",两日求解价格与决策!K368-两日求解价格与决策!N368,IF(D875="u",两日求解价格与决策!K368+两日求解价格与决策!M368,两日求解价格与决策!K368))</f>
        <v>38.349912807459155</v>
      </c>
      <c r="G875" s="12">
        <f t="shared" si="92"/>
        <v>0</v>
      </c>
      <c r="H875" s="12">
        <f t="shared" si="93"/>
        <v>38.349912807459155</v>
      </c>
      <c r="I875" s="12">
        <f t="shared" si="98"/>
        <v>171.60000000000014</v>
      </c>
      <c r="J875" s="12">
        <f>I875+E875*(G875*原始输入与口径!$B$5-H875/原始输入与口径!$B$5)</f>
        <v>161.17882804145145</v>
      </c>
      <c r="K875" s="12">
        <v>171.60000000000014</v>
      </c>
      <c r="L875" s="12">
        <v>161.17882804145145</v>
      </c>
      <c r="M875" s="19">
        <f t="shared" si="94"/>
        <v>0</v>
      </c>
      <c r="N875" s="12">
        <f>E875*(G875*原始输入与口径!$B$5+H875/原始输入与口径!$B$5)/原始输入与口径!$H$5</f>
        <v>2.8947699884857455E-2</v>
      </c>
      <c r="O875" s="12">
        <v>2.8947699884857455E-2</v>
      </c>
      <c r="P875" s="19">
        <f t="shared" si="95"/>
        <v>0</v>
      </c>
      <c r="Q875" s="12">
        <f t="shared" si="96"/>
        <v>0</v>
      </c>
      <c r="R875" s="12">
        <f t="shared" si="97"/>
        <v>9.5874782018647888</v>
      </c>
      <c r="S875" s="1">
        <v>360</v>
      </c>
      <c r="T875" s="14">
        <v>46236</v>
      </c>
    </row>
    <row r="876" spans="1:20" ht="21" customHeight="1" x14ac:dyDescent="0.45">
      <c r="A876" s="31">
        <v>46237.75</v>
      </c>
      <c r="B876" s="31">
        <v>46237.752795714288</v>
      </c>
      <c r="C876" s="31">
        <v>46237.75</v>
      </c>
      <c r="D876" s="1" t="s">
        <v>103</v>
      </c>
      <c r="E876" s="12">
        <v>6.7097142857142869E-2</v>
      </c>
      <c r="F876" s="12">
        <f>IF(D876="d",两日求解价格与决策!K369-两日求解价格与决策!N369,IF(D876="u",两日求解价格与决策!K369+两日求解价格与决策!M369,两日求解价格与决策!K369))</f>
        <v>-60</v>
      </c>
      <c r="G876" s="12">
        <f t="shared" si="92"/>
        <v>60</v>
      </c>
      <c r="H876" s="12">
        <f t="shared" si="93"/>
        <v>0</v>
      </c>
      <c r="I876" s="12">
        <f t="shared" si="98"/>
        <v>161.17882804145145</v>
      </c>
      <c r="J876" s="12">
        <f>I876+E876*(G876*原始输入与口径!$B$5-H876/原始输入与口径!$B$5)</f>
        <v>164.88259032716573</v>
      </c>
      <c r="K876" s="12">
        <v>161.17882804145145</v>
      </c>
      <c r="L876" s="12">
        <v>164.88259032716573</v>
      </c>
      <c r="M876" s="19">
        <f t="shared" si="94"/>
        <v>0</v>
      </c>
      <c r="N876" s="12">
        <f>E876*(G876*原始输入与口径!$B$5+H876/原始输入与口径!$B$5)/原始输入与口径!$H$5</f>
        <v>1.0288228571428575E-2</v>
      </c>
      <c r="O876" s="12">
        <v>1.0288228571428573E-2</v>
      </c>
      <c r="P876" s="19">
        <f t="shared" si="95"/>
        <v>0</v>
      </c>
      <c r="Q876" s="12">
        <f t="shared" si="96"/>
        <v>4.0258285714285718</v>
      </c>
      <c r="R876" s="12">
        <f t="shared" si="97"/>
        <v>0</v>
      </c>
      <c r="S876" s="1">
        <v>361</v>
      </c>
      <c r="T876" s="14">
        <v>46236</v>
      </c>
    </row>
    <row r="877" spans="1:20" ht="21" customHeight="1" x14ac:dyDescent="0.45">
      <c r="A877" s="31">
        <v>46237.752795714288</v>
      </c>
      <c r="B877" s="31">
        <v>46237.760416666664</v>
      </c>
      <c r="C877" s="31">
        <v>46237.75</v>
      </c>
      <c r="D877" s="1" t="s">
        <v>102</v>
      </c>
      <c r="E877" s="12">
        <v>0.18290285714285714</v>
      </c>
      <c r="F877" s="12">
        <f>IF(D877="d",两日求解价格与决策!K369-两日求解价格与决策!N369,IF(D877="u",两日求解价格与决策!K369+两日求解价格与决策!M369,两日求解价格与决策!K369))</f>
        <v>-36</v>
      </c>
      <c r="G877" s="12">
        <f t="shared" si="92"/>
        <v>36</v>
      </c>
      <c r="H877" s="12">
        <f t="shared" si="93"/>
        <v>0</v>
      </c>
      <c r="I877" s="12">
        <f t="shared" si="98"/>
        <v>164.88259032716573</v>
      </c>
      <c r="J877" s="12">
        <f>I877+E877*(G877*原始输入与口径!$B$5-H877/原始输入与口径!$B$5)</f>
        <v>170.94033295573715</v>
      </c>
      <c r="K877" s="12">
        <v>164.88259032716573</v>
      </c>
      <c r="L877" s="12">
        <v>170.94033295573715</v>
      </c>
      <c r="M877" s="19">
        <f t="shared" si="94"/>
        <v>0</v>
      </c>
      <c r="N877" s="12">
        <f>E877*(G877*原始输入与口径!$B$5+H877/原始输入与口径!$B$5)/原始输入与口径!$H$5</f>
        <v>1.682706285714286E-2</v>
      </c>
      <c r="O877" s="12">
        <v>1.6827062857142857E-2</v>
      </c>
      <c r="P877" s="19">
        <f t="shared" si="95"/>
        <v>0</v>
      </c>
      <c r="Q877" s="12">
        <f t="shared" si="96"/>
        <v>6.5845028571428568</v>
      </c>
      <c r="R877" s="12">
        <f t="shared" si="97"/>
        <v>0</v>
      </c>
      <c r="S877" s="1">
        <v>361</v>
      </c>
      <c r="T877" s="14">
        <v>46236</v>
      </c>
    </row>
    <row r="878" spans="1:20" ht="21" customHeight="1" x14ac:dyDescent="0.45">
      <c r="A878" s="31">
        <v>46237.760416666664</v>
      </c>
      <c r="B878" s="31">
        <v>46237.761605</v>
      </c>
      <c r="C878" s="31">
        <v>46237.760416666664</v>
      </c>
      <c r="D878" s="1" t="s">
        <v>103</v>
      </c>
      <c r="E878" s="12">
        <v>2.8519999999999997E-2</v>
      </c>
      <c r="F878" s="12">
        <f>IF(D878="d",两日求解价格与决策!K370-两日求解价格与决策!N370,IF(D878="u",两日求解价格与决策!K370+两日求解价格与决策!M370,两日求解价格与决策!K370))</f>
        <v>-25.141283167531164</v>
      </c>
      <c r="G878" s="12">
        <f t="shared" si="92"/>
        <v>25.141283167531164</v>
      </c>
      <c r="H878" s="12">
        <f t="shared" si="93"/>
        <v>0</v>
      </c>
      <c r="I878" s="12">
        <f t="shared" si="98"/>
        <v>170.94033295573715</v>
      </c>
      <c r="J878" s="12">
        <f>I878+E878*(G878*原始输入与口径!$B$5-H878/原始输入与口径!$B$5)</f>
        <v>171.60000000000011</v>
      </c>
      <c r="K878" s="12">
        <v>170.94033295573715</v>
      </c>
      <c r="L878" s="12">
        <v>171.60000000000011</v>
      </c>
      <c r="M878" s="19">
        <f t="shared" si="94"/>
        <v>0</v>
      </c>
      <c r="N878" s="12">
        <f>E878*(G878*原始输入与口径!$B$5+H878/原始输入与口径!$B$5)/原始输入与口径!$H$5</f>
        <v>1.8324084562859712E-3</v>
      </c>
      <c r="O878" s="12">
        <v>1.8324084562859712E-3</v>
      </c>
      <c r="P878" s="19">
        <f t="shared" si="95"/>
        <v>0</v>
      </c>
      <c r="Q878" s="12">
        <f t="shared" si="96"/>
        <v>0.71702939593798876</v>
      </c>
      <c r="R878" s="12">
        <f t="shared" si="97"/>
        <v>0</v>
      </c>
      <c r="S878" s="1">
        <v>362</v>
      </c>
      <c r="T878" s="14">
        <v>46236</v>
      </c>
    </row>
    <row r="879" spans="1:20" ht="21" customHeight="1" x14ac:dyDescent="0.45">
      <c r="A879" s="31">
        <v>46237.761605</v>
      </c>
      <c r="B879" s="31">
        <v>46237.761981190473</v>
      </c>
      <c r="C879" s="31">
        <v>46237.760416666664</v>
      </c>
      <c r="D879" s="1" t="s">
        <v>101</v>
      </c>
      <c r="E879" s="12">
        <v>9.0285714285714292E-3</v>
      </c>
      <c r="F879" s="12">
        <f>IF(D879="d",两日求解价格与决策!K370-两日求解价格与决策!N370,IF(D879="u",两日求解价格与决策!K370+两日求解价格与决策!M370,两日求解价格与决策!K370))</f>
        <v>22.858716832468836</v>
      </c>
      <c r="G879" s="12">
        <f t="shared" si="92"/>
        <v>0</v>
      </c>
      <c r="H879" s="12">
        <f t="shared" si="93"/>
        <v>22.858716832468836</v>
      </c>
      <c r="I879" s="12">
        <f t="shared" si="98"/>
        <v>171.60000000000011</v>
      </c>
      <c r="J879" s="12">
        <f>I879+E879*(G879*原始输入与口径!$B$5-H879/原始输入与口径!$B$5)</f>
        <v>171.37567221990508</v>
      </c>
      <c r="K879" s="12">
        <v>171.60000000000011</v>
      </c>
      <c r="L879" s="12">
        <v>171.37567221990508</v>
      </c>
      <c r="M879" s="19">
        <f t="shared" si="94"/>
        <v>0</v>
      </c>
      <c r="N879" s="12">
        <f>E879*(G879*原始输入与口径!$B$5+H879/原始输入与口径!$B$5)/原始输入与口径!$H$5</f>
        <v>6.2313272248621049E-4</v>
      </c>
      <c r="O879" s="12">
        <v>6.2313272248621049E-4</v>
      </c>
      <c r="P879" s="19">
        <f t="shared" si="95"/>
        <v>0</v>
      </c>
      <c r="Q879" s="12">
        <f t="shared" si="96"/>
        <v>0</v>
      </c>
      <c r="R879" s="12">
        <f t="shared" si="97"/>
        <v>0.20638155768743294</v>
      </c>
      <c r="S879" s="1">
        <v>362</v>
      </c>
      <c r="T879" s="14">
        <v>46236</v>
      </c>
    </row>
    <row r="880" spans="1:20" ht="21" customHeight="1" x14ac:dyDescent="0.45">
      <c r="A880" s="31">
        <v>46237.761981190473</v>
      </c>
      <c r="B880" s="31">
        <v>46237.770833333328</v>
      </c>
      <c r="C880" s="31">
        <v>46237.760416666664</v>
      </c>
      <c r="D880" s="1" t="s">
        <v>102</v>
      </c>
      <c r="E880" s="12">
        <v>0.21245142857142857</v>
      </c>
      <c r="F880" s="12">
        <f>IF(D880="d",两日求解价格与决策!K370-两日求解价格与决策!N370,IF(D880="u",两日求解价格与决策!K370+两日求解价格与决策!M370,两日求解价格与决策!K370))</f>
        <v>-1.1412831675311623</v>
      </c>
      <c r="G880" s="12">
        <f t="shared" si="92"/>
        <v>1.1412831675311623</v>
      </c>
      <c r="H880" s="12">
        <f t="shared" si="93"/>
        <v>0</v>
      </c>
      <c r="I880" s="12">
        <f t="shared" si="98"/>
        <v>171.37567221990508</v>
      </c>
      <c r="J880" s="12">
        <f>I880+E880*(G880*原始输入与口径!$B$5-H880/原始输入与口径!$B$5)</f>
        <v>171.59874208010388</v>
      </c>
      <c r="K880" s="12">
        <v>171.37567221990508</v>
      </c>
      <c r="L880" s="12">
        <v>171.59874208010388</v>
      </c>
      <c r="M880" s="19">
        <f t="shared" si="94"/>
        <v>0</v>
      </c>
      <c r="N880" s="12">
        <f>E880*(G880*原始输入与口径!$B$5+H880/原始输入与口径!$B$5)/原始输入与口径!$H$5</f>
        <v>6.1963850055221897E-4</v>
      </c>
      <c r="O880" s="12">
        <v>6.1963850055221897E-4</v>
      </c>
      <c r="P880" s="19">
        <f t="shared" si="95"/>
        <v>0</v>
      </c>
      <c r="Q880" s="12">
        <f t="shared" si="96"/>
        <v>0.24246723934652048</v>
      </c>
      <c r="R880" s="12">
        <f t="shared" si="97"/>
        <v>0</v>
      </c>
      <c r="S880" s="1">
        <v>362</v>
      </c>
      <c r="T880" s="14">
        <v>46236</v>
      </c>
    </row>
    <row r="881" spans="1:20" ht="21" customHeight="1" x14ac:dyDescent="0.45">
      <c r="A881" s="31">
        <v>46237.770833333336</v>
      </c>
      <c r="B881" s="31">
        <v>46237.770835238094</v>
      </c>
      <c r="C881" s="31">
        <v>46237.770833333336</v>
      </c>
      <c r="D881" s="1" t="s">
        <v>103</v>
      </c>
      <c r="E881" s="12">
        <v>4.5714285714285716E-5</v>
      </c>
      <c r="F881" s="12">
        <f>IF(D881="d",两日求解价格与决策!K371-两日求解价格与决策!N371,IF(D881="u",两日求解价格与决策!K371+两日求解价格与决策!M371,两日求解价格与决策!K371))</f>
        <v>-29.909780142456839</v>
      </c>
      <c r="G881" s="12">
        <f t="shared" si="92"/>
        <v>29.909780142456839</v>
      </c>
      <c r="H881" s="12">
        <f t="shared" si="93"/>
        <v>0</v>
      </c>
      <c r="I881" s="12">
        <f t="shared" si="98"/>
        <v>171.59874208010388</v>
      </c>
      <c r="J881" s="12">
        <f>I881+E881*(G881*原始输入与口径!$B$5-H881/原始输入与口径!$B$5)</f>
        <v>171.60000000000016</v>
      </c>
      <c r="K881" s="12">
        <v>171.59874208010388</v>
      </c>
      <c r="L881" s="12">
        <v>171.60000000000016</v>
      </c>
      <c r="M881" s="19">
        <f t="shared" si="94"/>
        <v>0</v>
      </c>
      <c r="N881" s="12">
        <f>E881*(G881*原始输入与口径!$B$5+H881/原始输入与口径!$B$5)/原始输入与口径!$H$5</f>
        <v>3.4942219341028947E-6</v>
      </c>
      <c r="O881" s="12">
        <v>3.4942219341028947E-6</v>
      </c>
      <c r="P881" s="19">
        <f t="shared" si="95"/>
        <v>0</v>
      </c>
      <c r="Q881" s="12">
        <f t="shared" si="96"/>
        <v>1.3673042350837413E-3</v>
      </c>
      <c r="R881" s="12">
        <f t="shared" si="97"/>
        <v>0</v>
      </c>
      <c r="S881" s="1">
        <v>363</v>
      </c>
      <c r="T881" s="14">
        <v>46236</v>
      </c>
    </row>
    <row r="882" spans="1:20" ht="21" customHeight="1" x14ac:dyDescent="0.45">
      <c r="A882" s="31">
        <v>46237.770835238094</v>
      </c>
      <c r="B882" s="31">
        <v>46237.77309119048</v>
      </c>
      <c r="C882" s="31">
        <v>46237.770833333336</v>
      </c>
      <c r="D882" s="1" t="s">
        <v>101</v>
      </c>
      <c r="E882" s="12">
        <v>5.4142857142857138E-2</v>
      </c>
      <c r="F882" s="12">
        <f>IF(D882="d",两日求解价格与决策!K371-两日求解价格与决策!N371,IF(D882="u",两日求解价格与决策!K371+两日求解价格与决策!M371,两日求解价格与决策!K371))</f>
        <v>18.090219857543161</v>
      </c>
      <c r="G882" s="12">
        <f t="shared" si="92"/>
        <v>0</v>
      </c>
      <c r="H882" s="12">
        <f t="shared" si="93"/>
        <v>18.090219857543161</v>
      </c>
      <c r="I882" s="12">
        <f t="shared" si="98"/>
        <v>171.60000000000016</v>
      </c>
      <c r="J882" s="12">
        <f>I882+E882*(G882*原始输入与口径!$B$5-H882/原始输入与口径!$B$5)</f>
        <v>170.53537370714164</v>
      </c>
      <c r="K882" s="12">
        <v>171.60000000000016</v>
      </c>
      <c r="L882" s="12">
        <v>170.53537370714164</v>
      </c>
      <c r="M882" s="19">
        <f t="shared" si="94"/>
        <v>0</v>
      </c>
      <c r="N882" s="12">
        <f>E882*(G882*原始输入与口径!$B$5+H882/原始输入与口径!$B$5)/原始输入与口径!$H$5</f>
        <v>2.9572952579403288E-3</v>
      </c>
      <c r="O882" s="12">
        <v>2.9572952579403284E-3</v>
      </c>
      <c r="P882" s="19">
        <f t="shared" si="95"/>
        <v>0</v>
      </c>
      <c r="Q882" s="12">
        <f t="shared" si="96"/>
        <v>0</v>
      </c>
      <c r="R882" s="12">
        <f t="shared" si="97"/>
        <v>0.97945618942983681</v>
      </c>
      <c r="S882" s="1">
        <v>363</v>
      </c>
      <c r="T882" s="14">
        <v>46236</v>
      </c>
    </row>
    <row r="883" spans="1:20" ht="21" customHeight="1" x14ac:dyDescent="0.45">
      <c r="A883" s="31">
        <v>46237.77309119048</v>
      </c>
      <c r="B883" s="31">
        <v>46237.78125</v>
      </c>
      <c r="C883" s="31">
        <v>46237.770833333336</v>
      </c>
      <c r="D883" s="1" t="s">
        <v>102</v>
      </c>
      <c r="E883" s="12">
        <v>0.19581142857142858</v>
      </c>
      <c r="F883" s="12">
        <f>IF(D883="d",两日求解价格与决策!K371-两日求解价格与决策!N371,IF(D883="u",两日求解价格与决策!K371+两日求解价格与决策!M371,两日求解价格与决策!K371))</f>
        <v>-5.909780142456837</v>
      </c>
      <c r="G883" s="12">
        <f t="shared" si="92"/>
        <v>5.909780142456837</v>
      </c>
      <c r="H883" s="12">
        <f t="shared" si="93"/>
        <v>0</v>
      </c>
      <c r="I883" s="12">
        <f t="shared" si="98"/>
        <v>170.53537370714164</v>
      </c>
      <c r="J883" s="12">
        <f>I883+E883*(G883*原始输入与口径!$B$5-H883/原始输入与口径!$B$5)</f>
        <v>171.60000000000016</v>
      </c>
      <c r="K883" s="12">
        <v>170.53537370714164</v>
      </c>
      <c r="L883" s="12">
        <v>171.60000000000016</v>
      </c>
      <c r="M883" s="19">
        <f t="shared" si="94"/>
        <v>0</v>
      </c>
      <c r="N883" s="12">
        <f>E883*(G883*原始输入与口径!$B$5+H883/原始输入与口径!$B$5)/原始输入与口径!$H$5</f>
        <v>2.9572952579403648E-3</v>
      </c>
      <c r="O883" s="12">
        <v>2.9572952579403648E-3</v>
      </c>
      <c r="P883" s="19">
        <f t="shared" si="95"/>
        <v>0</v>
      </c>
      <c r="Q883" s="12">
        <f t="shared" si="96"/>
        <v>1.1572024922375339</v>
      </c>
      <c r="R883" s="12">
        <f t="shared" si="97"/>
        <v>0</v>
      </c>
      <c r="S883" s="1">
        <v>363</v>
      </c>
      <c r="T883" s="14">
        <v>46236</v>
      </c>
    </row>
    <row r="884" spans="1:20" ht="21" customHeight="1" x14ac:dyDescent="0.45">
      <c r="A884" s="31">
        <v>46237.78125</v>
      </c>
      <c r="B884" s="31">
        <v>46237.787762142856</v>
      </c>
      <c r="C884" s="31">
        <v>46237.78125</v>
      </c>
      <c r="D884" s="1" t="s">
        <v>101</v>
      </c>
      <c r="E884" s="12">
        <v>0.15629142857142855</v>
      </c>
      <c r="F884" s="12">
        <f>IF(D884="d",两日求解价格与决策!K372-两日求解价格与决策!N372,IF(D884="u",两日求解价格与决策!K372+两日求解价格与决策!M372,两日求解价格与决策!K372))</f>
        <v>14.117990118995991</v>
      </c>
      <c r="G884" s="12">
        <f t="shared" si="92"/>
        <v>0</v>
      </c>
      <c r="H884" s="12">
        <f t="shared" si="93"/>
        <v>14.117990118995991</v>
      </c>
      <c r="I884" s="12">
        <f t="shared" si="98"/>
        <v>171.60000000000016</v>
      </c>
      <c r="J884" s="12">
        <f>I884+E884*(G884*原始输入与口径!$B$5-H884/原始输入与口径!$B$5)</f>
        <v>169.20160777798364</v>
      </c>
      <c r="K884" s="12">
        <v>171.60000000000016</v>
      </c>
      <c r="L884" s="12">
        <v>169.20160777798364</v>
      </c>
      <c r="M884" s="19">
        <f t="shared" si="94"/>
        <v>0</v>
      </c>
      <c r="N884" s="12">
        <f>E884*(G884*原始输入与口径!$B$5+H884/原始输入与口径!$B$5)/原始输入与口径!$H$5</f>
        <v>6.6622006167125474E-3</v>
      </c>
      <c r="O884" s="12">
        <v>6.6622006167125474E-3</v>
      </c>
      <c r="P884" s="19">
        <f t="shared" si="95"/>
        <v>0</v>
      </c>
      <c r="Q884" s="12">
        <f t="shared" si="96"/>
        <v>0</v>
      </c>
      <c r="R884" s="12">
        <f t="shared" si="97"/>
        <v>2.2065208442551958</v>
      </c>
      <c r="S884" s="1">
        <v>364</v>
      </c>
      <c r="T884" s="14">
        <v>46236</v>
      </c>
    </row>
    <row r="885" spans="1:20" ht="21" customHeight="1" x14ac:dyDescent="0.45">
      <c r="A885" s="31">
        <v>46237.787762142856</v>
      </c>
      <c r="B885" s="31">
        <v>46237.791666666664</v>
      </c>
      <c r="C885" s="31">
        <v>46237.78125</v>
      </c>
      <c r="D885" s="1" t="s">
        <v>102</v>
      </c>
      <c r="E885" s="12">
        <v>9.3708571428571447E-2</v>
      </c>
      <c r="F885" s="12">
        <f>IF(D885="d",两日求解价格与决策!K372-两日求解价格与决策!N372,IF(D885="u",两日求解价格与决策!K372+两日求解价格与决策!M372,两日求解价格与决策!K372))</f>
        <v>-9.8820098810040093</v>
      </c>
      <c r="G885" s="12">
        <f t="shared" si="92"/>
        <v>9.8820098810040093</v>
      </c>
      <c r="H885" s="12">
        <f t="shared" si="93"/>
        <v>0</v>
      </c>
      <c r="I885" s="12">
        <f t="shared" si="98"/>
        <v>169.20160777798364</v>
      </c>
      <c r="J885" s="12">
        <f>I885+E885*(G885*原始输入与口径!$B$5-H885/原始输入与口径!$B$5)</f>
        <v>170.05355448447219</v>
      </c>
      <c r="K885" s="12">
        <v>169.20160777798364</v>
      </c>
      <c r="L885" s="12">
        <v>170.05355448447219</v>
      </c>
      <c r="M885" s="19">
        <f t="shared" si="94"/>
        <v>0</v>
      </c>
      <c r="N885" s="12">
        <f>E885*(G885*原始输入与口径!$B$5+H885/原始输入与口径!$B$5)/原始输入与口径!$H$5</f>
        <v>2.3665186291348889E-3</v>
      </c>
      <c r="O885" s="12">
        <v>2.3665186291348889E-3</v>
      </c>
      <c r="P885" s="19">
        <f t="shared" si="95"/>
        <v>0</v>
      </c>
      <c r="Q885" s="12">
        <f t="shared" si="96"/>
        <v>0.92602902879191307</v>
      </c>
      <c r="R885" s="12">
        <f t="shared" si="97"/>
        <v>0</v>
      </c>
      <c r="S885" s="1">
        <v>364</v>
      </c>
      <c r="T885" s="14">
        <v>46236</v>
      </c>
    </row>
    <row r="886" spans="1:20" ht="21" customHeight="1" x14ac:dyDescent="0.45">
      <c r="A886" s="31">
        <v>46237.791666666664</v>
      </c>
      <c r="B886" s="31">
        <v>46237.792004761905</v>
      </c>
      <c r="C886" s="31">
        <v>46237.791666666664</v>
      </c>
      <c r="D886" s="1" t="s">
        <v>103</v>
      </c>
      <c r="E886" s="12">
        <v>8.1142857142857145E-3</v>
      </c>
      <c r="F886" s="12">
        <f>IF(D886="d",两日求解价格与决策!K373-两日求解价格与决策!N373,IF(D886="u",两日求解价格与决策!K373+两日求解价格与决策!M373,两日求解价格与决策!K373))</f>
        <v>-24</v>
      </c>
      <c r="G886" s="12">
        <f t="shared" si="92"/>
        <v>24</v>
      </c>
      <c r="H886" s="12">
        <f t="shared" si="93"/>
        <v>0</v>
      </c>
      <c r="I886" s="12">
        <f t="shared" si="98"/>
        <v>170.05355448447219</v>
      </c>
      <c r="J886" s="12">
        <f>I886+E886*(G886*原始输入与口径!$B$5-H886/原始输入与口径!$B$5)</f>
        <v>170.23271791304361</v>
      </c>
      <c r="K886" s="12">
        <v>170.05355448447219</v>
      </c>
      <c r="L886" s="12">
        <v>170.23271791304361</v>
      </c>
      <c r="M886" s="19">
        <f t="shared" si="94"/>
        <v>0</v>
      </c>
      <c r="N886" s="12">
        <f>E886*(G886*原始输入与口径!$B$5+H886/原始输入与口径!$B$5)/原始输入与口径!$H$5</f>
        <v>4.9767619047619055E-4</v>
      </c>
      <c r="O886" s="12">
        <v>4.9767619047619055E-4</v>
      </c>
      <c r="P886" s="19">
        <f t="shared" si="95"/>
        <v>0</v>
      </c>
      <c r="Q886" s="12">
        <f t="shared" si="96"/>
        <v>0.19474285714285716</v>
      </c>
      <c r="R886" s="12">
        <f t="shared" si="97"/>
        <v>0</v>
      </c>
      <c r="S886" s="1">
        <v>365</v>
      </c>
      <c r="T886" s="14">
        <v>46236</v>
      </c>
    </row>
    <row r="887" spans="1:20" ht="21" customHeight="1" x14ac:dyDescent="0.45">
      <c r="A887" s="31">
        <v>46237.792004761905</v>
      </c>
      <c r="B887" s="31">
        <v>46237.793198333333</v>
      </c>
      <c r="C887" s="31">
        <v>46237.791666666664</v>
      </c>
      <c r="D887" s="1" t="s">
        <v>101</v>
      </c>
      <c r="E887" s="12">
        <v>2.8645714285714285E-2</v>
      </c>
      <c r="F887" s="12">
        <f>IF(D887="d",两日求解价格与决策!K373-两日求解价格与决策!N373,IF(D887="u",两日求解价格与决策!K373+两日求解价格与决策!M373,两日求解价格与决策!K373))</f>
        <v>24</v>
      </c>
      <c r="G887" s="12">
        <f t="shared" si="92"/>
        <v>0</v>
      </c>
      <c r="H887" s="12">
        <f t="shared" si="93"/>
        <v>24</v>
      </c>
      <c r="I887" s="12">
        <f t="shared" si="98"/>
        <v>170.23271791304361</v>
      </c>
      <c r="J887" s="12">
        <f>I887+E887*(G887*原始输入与口径!$B$5-H887/原始输入与口径!$B$5)</f>
        <v>169.48543840993801</v>
      </c>
      <c r="K887" s="12">
        <v>170.23271791304361</v>
      </c>
      <c r="L887" s="12">
        <v>169.48543840993801</v>
      </c>
      <c r="M887" s="19">
        <f t="shared" si="94"/>
        <v>0</v>
      </c>
      <c r="N887" s="12">
        <f>E887*(G887*原始输入与口径!$B$5+H887/原始输入与口径!$B$5)/原始输入与口径!$H$5</f>
        <v>2.075776397515528E-3</v>
      </c>
      <c r="O887" s="12">
        <v>2.075776397515528E-3</v>
      </c>
      <c r="P887" s="19">
        <f t="shared" si="95"/>
        <v>0</v>
      </c>
      <c r="Q887" s="12">
        <f t="shared" si="96"/>
        <v>0</v>
      </c>
      <c r="R887" s="12">
        <f t="shared" si="97"/>
        <v>0.68749714285714281</v>
      </c>
      <c r="S887" s="1">
        <v>365</v>
      </c>
      <c r="T887" s="14">
        <v>46236</v>
      </c>
    </row>
    <row r="888" spans="1:20" ht="21" customHeight="1" x14ac:dyDescent="0.45">
      <c r="A888" s="31">
        <v>46237.793198333333</v>
      </c>
      <c r="B888" s="31">
        <v>46237.802083333328</v>
      </c>
      <c r="C888" s="31">
        <v>46237.791666666664</v>
      </c>
      <c r="D888" s="1" t="s">
        <v>102</v>
      </c>
      <c r="E888" s="12">
        <v>0.21324000000000001</v>
      </c>
      <c r="F888" s="12">
        <f>IF(D888="d",两日求解价格与决策!K373-两日求解价格与决策!N373,IF(D888="u",两日求解价格与决策!K373+两日求解价格与决策!M373,两日求解价格与决策!K373))</f>
        <v>0</v>
      </c>
      <c r="G888" s="12">
        <f t="shared" si="92"/>
        <v>0</v>
      </c>
      <c r="H888" s="12">
        <f t="shared" si="93"/>
        <v>0</v>
      </c>
      <c r="I888" s="12">
        <f t="shared" si="98"/>
        <v>169.48543840993801</v>
      </c>
      <c r="J888" s="12">
        <f>I888+E888*(G888*原始输入与口径!$B$5-H888/原始输入与口径!$B$5)</f>
        <v>169.48543840993801</v>
      </c>
      <c r="K888" s="12">
        <v>169.48543840993801</v>
      </c>
      <c r="L888" s="12">
        <v>169.48543840993801</v>
      </c>
      <c r="M888" s="19">
        <f t="shared" si="94"/>
        <v>0</v>
      </c>
      <c r="N888" s="12">
        <f>E888*(G888*原始输入与口径!$B$5+H888/原始输入与口径!$B$5)/原始输入与口径!$H$5</f>
        <v>0</v>
      </c>
      <c r="O888" s="12">
        <v>0</v>
      </c>
      <c r="P888" s="19">
        <f t="shared" si="95"/>
        <v>0</v>
      </c>
      <c r="Q888" s="12">
        <f t="shared" si="96"/>
        <v>0</v>
      </c>
      <c r="R888" s="12">
        <f t="shared" si="97"/>
        <v>0</v>
      </c>
      <c r="S888" s="1">
        <v>365</v>
      </c>
      <c r="T888" s="14">
        <v>46236</v>
      </c>
    </row>
    <row r="889" spans="1:20" ht="21" customHeight="1" x14ac:dyDescent="0.45">
      <c r="A889" s="31">
        <v>46237.802083333336</v>
      </c>
      <c r="B889" s="31">
        <v>46237.804713333338</v>
      </c>
      <c r="C889" s="31">
        <v>46237.802083333336</v>
      </c>
      <c r="D889" s="1" t="s">
        <v>101</v>
      </c>
      <c r="E889" s="12">
        <v>6.3119999999999996E-2</v>
      </c>
      <c r="F889" s="12">
        <f>IF(D889="d",两日求解价格与决策!K374-两日求解价格与决策!N374,IF(D889="u",两日求解价格与决策!K374+两日求解价格与决策!M374,两日求解价格与决策!K374))</f>
        <v>24</v>
      </c>
      <c r="G889" s="12">
        <f t="shared" si="92"/>
        <v>0</v>
      </c>
      <c r="H889" s="12">
        <f t="shared" si="93"/>
        <v>24</v>
      </c>
      <c r="I889" s="12">
        <f t="shared" si="98"/>
        <v>169.48543840993801</v>
      </c>
      <c r="J889" s="12">
        <f>I889+E889*(G889*原始输入与口径!$B$5-H889/原始输入与口径!$B$5)</f>
        <v>167.83882971428585</v>
      </c>
      <c r="K889" s="12">
        <v>169.48543840993801</v>
      </c>
      <c r="L889" s="12">
        <v>167.83882971428585</v>
      </c>
      <c r="M889" s="19">
        <f t="shared" si="94"/>
        <v>0</v>
      </c>
      <c r="N889" s="12">
        <f>E889*(G889*原始输入与口径!$B$5+H889/原始输入与口径!$B$5)/原始输入与口径!$H$5</f>
        <v>4.5739130434782607E-3</v>
      </c>
      <c r="O889" s="12">
        <v>4.5739130434782607E-3</v>
      </c>
      <c r="P889" s="19">
        <f t="shared" si="95"/>
        <v>0</v>
      </c>
      <c r="Q889" s="12">
        <f t="shared" si="96"/>
        <v>0</v>
      </c>
      <c r="R889" s="12">
        <f t="shared" si="97"/>
        <v>1.5148799999999998</v>
      </c>
      <c r="S889" s="1">
        <v>366</v>
      </c>
      <c r="T889" s="14">
        <v>46236</v>
      </c>
    </row>
    <row r="890" spans="1:20" ht="21" customHeight="1" x14ac:dyDescent="0.45">
      <c r="A890" s="31">
        <v>46237.804713333338</v>
      </c>
      <c r="B890" s="31">
        <v>46237.8125</v>
      </c>
      <c r="C890" s="31">
        <v>46237.802083333336</v>
      </c>
      <c r="D890" s="1" t="s">
        <v>102</v>
      </c>
      <c r="E890" s="12">
        <v>0.18687999999999999</v>
      </c>
      <c r="F890" s="12">
        <f>IF(D890="d",两日求解价格与决策!K374-两日求解价格与决策!N374,IF(D890="u",两日求解价格与决策!K374+两日求解价格与决策!M374,两日求解价格与决策!K374))</f>
        <v>0</v>
      </c>
      <c r="G890" s="12">
        <f t="shared" si="92"/>
        <v>0</v>
      </c>
      <c r="H890" s="12">
        <f t="shared" si="93"/>
        <v>0</v>
      </c>
      <c r="I890" s="12">
        <f t="shared" si="98"/>
        <v>167.83882971428585</v>
      </c>
      <c r="J890" s="12">
        <f>I890+E890*(G890*原始输入与口径!$B$5-H890/原始输入与口径!$B$5)</f>
        <v>167.83882971428585</v>
      </c>
      <c r="K890" s="12">
        <v>167.83882971428585</v>
      </c>
      <c r="L890" s="12">
        <v>167.83882971428585</v>
      </c>
      <c r="M890" s="19">
        <f t="shared" si="94"/>
        <v>0</v>
      </c>
      <c r="N890" s="12">
        <f>E890*(G890*原始输入与口径!$B$5+H890/原始输入与口径!$B$5)/原始输入与口径!$H$5</f>
        <v>0</v>
      </c>
      <c r="O890" s="12">
        <v>0</v>
      </c>
      <c r="P890" s="19">
        <f t="shared" si="95"/>
        <v>0</v>
      </c>
      <c r="Q890" s="12">
        <f t="shared" si="96"/>
        <v>0</v>
      </c>
      <c r="R890" s="12">
        <f t="shared" si="97"/>
        <v>0</v>
      </c>
      <c r="S890" s="1">
        <v>366</v>
      </c>
      <c r="T890" s="14">
        <v>46236</v>
      </c>
    </row>
    <row r="891" spans="1:20" ht="21" customHeight="1" x14ac:dyDescent="0.45">
      <c r="A891" s="31">
        <v>46237.8125</v>
      </c>
      <c r="B891" s="31">
        <v>46237.815819047617</v>
      </c>
      <c r="C891" s="31">
        <v>46237.8125</v>
      </c>
      <c r="D891" s="1" t="s">
        <v>101</v>
      </c>
      <c r="E891" s="12">
        <v>7.9657142857142857E-2</v>
      </c>
      <c r="F891" s="12">
        <f>IF(D891="d",两日求解价格与决策!K375-两日求解价格与决策!N375,IF(D891="u",两日求解价格与决策!K375+两日求解价格与决策!M375,两日求解价格与决策!K375))</f>
        <v>0</v>
      </c>
      <c r="G891" s="12">
        <f t="shared" si="92"/>
        <v>0</v>
      </c>
      <c r="H891" s="12">
        <f t="shared" si="93"/>
        <v>0</v>
      </c>
      <c r="I891" s="12">
        <f t="shared" si="98"/>
        <v>167.83882971428585</v>
      </c>
      <c r="J891" s="12">
        <f>I891+E891*(G891*原始输入与口径!$B$5-H891/原始输入与口径!$B$5)</f>
        <v>167.83882971428585</v>
      </c>
      <c r="K891" s="12">
        <v>167.83882971428585</v>
      </c>
      <c r="L891" s="12">
        <v>167.83882971428585</v>
      </c>
      <c r="M891" s="19">
        <f t="shared" si="94"/>
        <v>0</v>
      </c>
      <c r="N891" s="12">
        <f>E891*(G891*原始输入与口径!$B$5+H891/原始输入与口径!$B$5)/原始输入与口径!$H$5</f>
        <v>0</v>
      </c>
      <c r="O891" s="12">
        <v>0</v>
      </c>
      <c r="P891" s="19">
        <f t="shared" si="95"/>
        <v>0</v>
      </c>
      <c r="Q891" s="12">
        <f t="shared" si="96"/>
        <v>0</v>
      </c>
      <c r="R891" s="12">
        <f t="shared" si="97"/>
        <v>0</v>
      </c>
      <c r="S891" s="1">
        <v>367</v>
      </c>
      <c r="T891" s="14">
        <v>46236</v>
      </c>
    </row>
    <row r="892" spans="1:20" ht="21" customHeight="1" x14ac:dyDescent="0.45">
      <c r="A892" s="31">
        <v>46237.815819047617</v>
      </c>
      <c r="B892" s="31">
        <v>46237.822916666664</v>
      </c>
      <c r="C892" s="31">
        <v>46237.8125</v>
      </c>
      <c r="D892" s="1" t="s">
        <v>102</v>
      </c>
      <c r="E892" s="12">
        <v>0.17034285714285713</v>
      </c>
      <c r="F892" s="12">
        <f>IF(D892="d",两日求解价格与决策!K375-两日求解价格与决策!N375,IF(D892="u",两日求解价格与决策!K375+两日求解价格与决策!M375,两日求解价格与决策!K375))</f>
        <v>-24</v>
      </c>
      <c r="G892" s="12">
        <f t="shared" si="92"/>
        <v>24</v>
      </c>
      <c r="H892" s="12">
        <f t="shared" si="93"/>
        <v>0</v>
      </c>
      <c r="I892" s="12">
        <f t="shared" si="98"/>
        <v>167.83882971428585</v>
      </c>
      <c r="J892" s="12">
        <f>I892+E892*(G892*原始输入与口径!$B$5-H892/原始输入与口径!$B$5)</f>
        <v>171.60000000000014</v>
      </c>
      <c r="K892" s="12">
        <v>167.83882971428585</v>
      </c>
      <c r="L892" s="12">
        <v>171.60000000000014</v>
      </c>
      <c r="M892" s="19">
        <f t="shared" si="94"/>
        <v>0</v>
      </c>
      <c r="N892" s="12">
        <f>E892*(G892*原始输入与口径!$B$5+H892/原始输入与口径!$B$5)/原始输入与口径!$H$5</f>
        <v>1.0447695238095238E-2</v>
      </c>
      <c r="O892" s="12">
        <v>1.0447695238095238E-2</v>
      </c>
      <c r="P892" s="19">
        <f t="shared" si="95"/>
        <v>0</v>
      </c>
      <c r="Q892" s="12">
        <f t="shared" si="96"/>
        <v>4.0882285714285711</v>
      </c>
      <c r="R892" s="12">
        <f t="shared" si="97"/>
        <v>0</v>
      </c>
      <c r="S892" s="1">
        <v>367</v>
      </c>
      <c r="T892" s="14">
        <v>46236</v>
      </c>
    </row>
    <row r="893" spans="1:20" ht="21" customHeight="1" x14ac:dyDescent="0.45">
      <c r="A893" s="31">
        <v>46237.822916666664</v>
      </c>
      <c r="B893" s="31">
        <v>46237.825184761903</v>
      </c>
      <c r="C893" s="31">
        <v>46237.822916666664</v>
      </c>
      <c r="D893" s="1" t="s">
        <v>101</v>
      </c>
      <c r="E893" s="12">
        <v>5.4434285714285713E-2</v>
      </c>
      <c r="F893" s="12">
        <f>IF(D893="d",两日求解价格与决策!K376-两日求解价格与决策!N376,IF(D893="u",两日求解价格与决策!K376+两日求解价格与决策!M376,两日求解价格与决策!K376))</f>
        <v>60</v>
      </c>
      <c r="G893" s="12">
        <f t="shared" si="92"/>
        <v>0</v>
      </c>
      <c r="H893" s="12">
        <f t="shared" si="93"/>
        <v>60</v>
      </c>
      <c r="I893" s="12">
        <f t="shared" si="98"/>
        <v>171.60000000000014</v>
      </c>
      <c r="J893" s="12">
        <f>I893+E893*(G893*原始输入与口径!$B$5-H893/原始输入与口径!$B$5)</f>
        <v>168.04993788819888</v>
      </c>
      <c r="K893" s="12">
        <v>171.60000000000014</v>
      </c>
      <c r="L893" s="12">
        <v>168.04993788819888</v>
      </c>
      <c r="M893" s="19">
        <f t="shared" si="94"/>
        <v>0</v>
      </c>
      <c r="N893" s="12">
        <f>E893*(G893*原始输入与口径!$B$5+H893/原始输入与口径!$B$5)/原始输入与口径!$H$5</f>
        <v>9.861283643892339E-3</v>
      </c>
      <c r="O893" s="12">
        <v>9.861283643892339E-3</v>
      </c>
      <c r="P893" s="19">
        <f t="shared" si="95"/>
        <v>0</v>
      </c>
      <c r="Q893" s="12">
        <f t="shared" si="96"/>
        <v>0</v>
      </c>
      <c r="R893" s="12">
        <f t="shared" si="97"/>
        <v>3.266057142857143</v>
      </c>
      <c r="S893" s="1">
        <v>368</v>
      </c>
      <c r="T893" s="14">
        <v>46236</v>
      </c>
    </row>
    <row r="894" spans="1:20" ht="21" customHeight="1" x14ac:dyDescent="0.45">
      <c r="A894" s="31">
        <v>46237.825184761903</v>
      </c>
      <c r="B894" s="31">
        <v>46237.833333333328</v>
      </c>
      <c r="C894" s="31">
        <v>46237.822916666664</v>
      </c>
      <c r="D894" s="1" t="s">
        <v>102</v>
      </c>
      <c r="E894" s="12">
        <v>0.19556571428571429</v>
      </c>
      <c r="F894" s="12">
        <f>IF(D894="d",两日求解价格与决策!K376-两日求解价格与决策!N376,IF(D894="u",两日求解价格与决策!K376+两日求解价格与决策!M376,两日求解价格与决策!K376))</f>
        <v>36</v>
      </c>
      <c r="G894" s="12">
        <f t="shared" si="92"/>
        <v>0</v>
      </c>
      <c r="H894" s="12">
        <f t="shared" si="93"/>
        <v>36</v>
      </c>
      <c r="I894" s="12">
        <f t="shared" si="98"/>
        <v>168.04993788819888</v>
      </c>
      <c r="J894" s="12">
        <f>I894+E894*(G894*原始输入与口径!$B$5-H894/原始输入与口径!$B$5)</f>
        <v>160.39736645962745</v>
      </c>
      <c r="K894" s="12">
        <v>168.04993788819888</v>
      </c>
      <c r="L894" s="12">
        <v>160.39736645962745</v>
      </c>
      <c r="M894" s="19">
        <f t="shared" si="94"/>
        <v>0</v>
      </c>
      <c r="N894" s="12">
        <f>E894*(G894*原始输入与口径!$B$5+H894/原始输入与口径!$B$5)/原始输入与口径!$H$5</f>
        <v>2.1257142857142856E-2</v>
      </c>
      <c r="O894" s="12">
        <v>2.1257142857142856E-2</v>
      </c>
      <c r="P894" s="19">
        <f t="shared" si="95"/>
        <v>0</v>
      </c>
      <c r="Q894" s="12">
        <f t="shared" si="96"/>
        <v>0</v>
      </c>
      <c r="R894" s="12">
        <f t="shared" si="97"/>
        <v>7.0403657142857146</v>
      </c>
      <c r="S894" s="1">
        <v>368</v>
      </c>
      <c r="T894" s="14">
        <v>46236</v>
      </c>
    </row>
    <row r="895" spans="1:20" ht="21" customHeight="1" x14ac:dyDescent="0.45">
      <c r="A895" s="31">
        <v>46237.833333333336</v>
      </c>
      <c r="B895" s="31">
        <v>46237.835341666672</v>
      </c>
      <c r="C895" s="31">
        <v>46237.833333333336</v>
      </c>
      <c r="D895" s="1" t="s">
        <v>101</v>
      </c>
      <c r="E895" s="12">
        <v>4.82E-2</v>
      </c>
      <c r="F895" s="12">
        <f>IF(D895="d",两日求解价格与决策!K377-两日求解价格与决策!N377,IF(D895="u",两日求解价格与决策!K377+两日求解价格与决策!M377,两日求解价格与决策!K377))</f>
        <v>-76</v>
      </c>
      <c r="G895" s="12">
        <f t="shared" si="92"/>
        <v>76</v>
      </c>
      <c r="H895" s="12">
        <f t="shared" si="93"/>
        <v>0</v>
      </c>
      <c r="I895" s="12">
        <f t="shared" si="98"/>
        <v>160.39736645962745</v>
      </c>
      <c r="J895" s="12">
        <f>I895+E895*(G895*原始输入与口径!$B$5-H895/原始输入与口径!$B$5)</f>
        <v>163.76751045962746</v>
      </c>
      <c r="K895" s="12">
        <v>160.39736645962745</v>
      </c>
      <c r="L895" s="12">
        <v>163.76751045962746</v>
      </c>
      <c r="M895" s="19">
        <f t="shared" si="94"/>
        <v>0</v>
      </c>
      <c r="N895" s="12">
        <f>E895*(G895*原始输入与口径!$B$5+H895/原始输入与口径!$B$5)/原始输入与口径!$H$5</f>
        <v>9.3615111111111111E-3</v>
      </c>
      <c r="O895" s="12">
        <v>9.3615111111111111E-3</v>
      </c>
      <c r="P895" s="19">
        <f t="shared" si="95"/>
        <v>0</v>
      </c>
      <c r="Q895" s="12">
        <f t="shared" si="96"/>
        <v>3.6631999999999998</v>
      </c>
      <c r="R895" s="12">
        <f t="shared" si="97"/>
        <v>0</v>
      </c>
      <c r="S895" s="1">
        <v>369</v>
      </c>
      <c r="T895" s="14">
        <v>46236</v>
      </c>
    </row>
    <row r="896" spans="1:20" ht="21" customHeight="1" x14ac:dyDescent="0.45">
      <c r="A896" s="31">
        <v>46237.835341666672</v>
      </c>
      <c r="B896" s="31">
        <v>46237.84375</v>
      </c>
      <c r="C896" s="31">
        <v>46237.833333333336</v>
      </c>
      <c r="D896" s="1" t="s">
        <v>102</v>
      </c>
      <c r="E896" s="12">
        <v>0.20180000000000001</v>
      </c>
      <c r="F896" s="12">
        <f>IF(D896="d",两日求解价格与决策!K377-两日求解价格与决策!N377,IF(D896="u",两日求解价格与决策!K377+两日求解价格与决策!M377,两日求解价格与决策!K377))</f>
        <v>-76</v>
      </c>
      <c r="G896" s="12">
        <f t="shared" si="92"/>
        <v>76</v>
      </c>
      <c r="H896" s="12">
        <f t="shared" si="93"/>
        <v>0</v>
      </c>
      <c r="I896" s="12">
        <f t="shared" si="98"/>
        <v>163.76751045962746</v>
      </c>
      <c r="J896" s="12">
        <f>I896+E896*(G896*原始输入与口径!$B$5-H896/原始输入与口径!$B$5)</f>
        <v>177.87736645962747</v>
      </c>
      <c r="K896" s="12">
        <v>163.76751045962746</v>
      </c>
      <c r="L896" s="12">
        <v>177.87736645962747</v>
      </c>
      <c r="M896" s="19">
        <f t="shared" si="94"/>
        <v>0</v>
      </c>
      <c r="N896" s="12">
        <f>E896*(G896*原始输入与口径!$B$5+H896/原始输入与口径!$B$5)/原始输入与口径!$H$5</f>
        <v>3.9194044444444444E-2</v>
      </c>
      <c r="O896" s="12">
        <v>3.9194044444444444E-2</v>
      </c>
      <c r="P896" s="19">
        <f t="shared" si="95"/>
        <v>0</v>
      </c>
      <c r="Q896" s="12">
        <f t="shared" si="96"/>
        <v>15.3368</v>
      </c>
      <c r="R896" s="12">
        <f t="shared" si="97"/>
        <v>0</v>
      </c>
      <c r="S896" s="1">
        <v>369</v>
      </c>
      <c r="T896" s="14">
        <v>46236</v>
      </c>
    </row>
    <row r="897" spans="1:20" ht="21" customHeight="1" x14ac:dyDescent="0.45">
      <c r="A897" s="31">
        <v>46237.84375</v>
      </c>
      <c r="B897" s="31">
        <v>46237.845126190477</v>
      </c>
      <c r="C897" s="31">
        <v>46237.84375</v>
      </c>
      <c r="D897" s="1" t="s">
        <v>101</v>
      </c>
      <c r="E897" s="12">
        <v>3.3028571428571428E-2</v>
      </c>
      <c r="F897" s="12">
        <f>IF(D897="d",两日求解价格与决策!K378-两日求解价格与决策!N378,IF(D897="u",两日求解价格与决策!K378+两日求解价格与决策!M378,两日求解价格与决策!K378))</f>
        <v>37.804068571428665</v>
      </c>
      <c r="G897" s="12">
        <f t="shared" si="92"/>
        <v>0</v>
      </c>
      <c r="H897" s="12">
        <f t="shared" si="93"/>
        <v>37.804068571428665</v>
      </c>
      <c r="I897" s="12">
        <f t="shared" si="98"/>
        <v>177.87736645962747</v>
      </c>
      <c r="J897" s="12">
        <f>I897+E897*(G897*原始输入与口径!$B$5-H897/原始输入与口径!$B$5)</f>
        <v>176.52017691712524</v>
      </c>
      <c r="K897" s="12">
        <v>177.87736645962747</v>
      </c>
      <c r="L897" s="12">
        <v>176.52017691712524</v>
      </c>
      <c r="M897" s="19">
        <f t="shared" si="94"/>
        <v>0</v>
      </c>
      <c r="N897" s="12">
        <f>E897*(G897*原始输入与口径!$B$5+H897/原始输入与口径!$B$5)/原始输入与口径!$H$5</f>
        <v>3.76997095139506E-3</v>
      </c>
      <c r="O897" s="12">
        <v>3.76997095139506E-3</v>
      </c>
      <c r="P897" s="19">
        <f t="shared" si="95"/>
        <v>0</v>
      </c>
      <c r="Q897" s="12">
        <f t="shared" si="96"/>
        <v>0</v>
      </c>
      <c r="R897" s="12">
        <f t="shared" si="97"/>
        <v>1.2486143791020439</v>
      </c>
      <c r="S897" s="1">
        <v>370</v>
      </c>
      <c r="T897" s="14">
        <v>46236</v>
      </c>
    </row>
    <row r="898" spans="1:20" ht="21" customHeight="1" x14ac:dyDescent="0.45">
      <c r="A898" s="31">
        <v>46237.845126190477</v>
      </c>
      <c r="B898" s="31">
        <v>46237.854166666664</v>
      </c>
      <c r="C898" s="31">
        <v>46237.84375</v>
      </c>
      <c r="D898" s="1" t="s">
        <v>102</v>
      </c>
      <c r="E898" s="12">
        <v>0.21697142857142857</v>
      </c>
      <c r="F898" s="12">
        <f>IF(D898="d",两日求解价格与决策!K378-两日求解价格与决策!N378,IF(D898="u",两日求解价格与决策!K378+两日求解价格与决策!M378,两日求解价格与决策!K378))</f>
        <v>37.804068571428665</v>
      </c>
      <c r="G898" s="12">
        <f t="shared" si="92"/>
        <v>0</v>
      </c>
      <c r="H898" s="12">
        <f t="shared" si="93"/>
        <v>37.804068571428665</v>
      </c>
      <c r="I898" s="12">
        <f t="shared" si="98"/>
        <v>176.52017691712524</v>
      </c>
      <c r="J898" s="12">
        <f>I898+E898*(G898*原始输入与口径!$B$5-H898/原始输入与口径!$B$5)</f>
        <v>167.60452173913055</v>
      </c>
      <c r="K898" s="12">
        <v>176.52017691712524</v>
      </c>
      <c r="L898" s="12">
        <v>167.60452173913055</v>
      </c>
      <c r="M898" s="19">
        <f t="shared" si="94"/>
        <v>0</v>
      </c>
      <c r="N898" s="12">
        <f>E898*(G898*原始输入与口径!$B$5+H898/原始输入与口径!$B$5)/原始输入与口径!$H$5</f>
        <v>2.4765708827763046E-2</v>
      </c>
      <c r="O898" s="12">
        <v>2.4765708827763046E-2</v>
      </c>
      <c r="P898" s="19">
        <f t="shared" si="95"/>
        <v>0</v>
      </c>
      <c r="Q898" s="12">
        <f t="shared" si="96"/>
        <v>0</v>
      </c>
      <c r="R898" s="12">
        <f t="shared" si="97"/>
        <v>8.2024027637551225</v>
      </c>
      <c r="S898" s="1">
        <v>370</v>
      </c>
      <c r="T898" s="14">
        <v>46236</v>
      </c>
    </row>
    <row r="899" spans="1:20" ht="21" customHeight="1" x14ac:dyDescent="0.45">
      <c r="A899" s="31">
        <v>46237.854166666664</v>
      </c>
      <c r="B899" s="31">
        <v>46237.855850714281</v>
      </c>
      <c r="C899" s="31">
        <v>46237.854166666664</v>
      </c>
      <c r="D899" s="1" t="s">
        <v>101</v>
      </c>
      <c r="E899" s="12">
        <v>4.041714285714286E-2</v>
      </c>
      <c r="F899" s="12">
        <f>IF(D899="d",两日求解价格与决策!K379-两日求解价格与决策!N379,IF(D899="u",两日求解价格与决策!K379+两日求解价格与决策!M379,两日求解价格与决策!K379))</f>
        <v>100</v>
      </c>
      <c r="G899" s="12">
        <f t="shared" si="92"/>
        <v>0</v>
      </c>
      <c r="H899" s="12">
        <f t="shared" si="93"/>
        <v>100</v>
      </c>
      <c r="I899" s="12">
        <f t="shared" si="98"/>
        <v>167.60452173913055</v>
      </c>
      <c r="J899" s="12">
        <f>I899+E899*(G899*原始输入与口径!$B$5-H899/原始输入与口径!$B$5)</f>
        <v>163.2113540372672</v>
      </c>
      <c r="K899" s="12">
        <v>167.60452173913055</v>
      </c>
      <c r="L899" s="12">
        <v>163.2113540372672</v>
      </c>
      <c r="M899" s="19">
        <f t="shared" si="94"/>
        <v>0</v>
      </c>
      <c r="N899" s="12">
        <f>E899*(G899*原始输入与口径!$B$5+H899/原始输入与口径!$B$5)/原始输入与口径!$H$5</f>
        <v>1.2203243616287095E-2</v>
      </c>
      <c r="O899" s="12">
        <v>1.2203243616287095E-2</v>
      </c>
      <c r="P899" s="19">
        <f t="shared" si="95"/>
        <v>0</v>
      </c>
      <c r="Q899" s="12">
        <f t="shared" si="96"/>
        <v>0</v>
      </c>
      <c r="R899" s="12">
        <f t="shared" si="97"/>
        <v>4.0417142857142858</v>
      </c>
      <c r="S899" s="1">
        <v>371</v>
      </c>
      <c r="T899" s="14">
        <v>46236</v>
      </c>
    </row>
    <row r="900" spans="1:20" ht="21" customHeight="1" x14ac:dyDescent="0.45">
      <c r="A900" s="31">
        <v>46237.855850714281</v>
      </c>
      <c r="B900" s="31">
        <v>46237.864583333328</v>
      </c>
      <c r="C900" s="31">
        <v>46237.854166666664</v>
      </c>
      <c r="D900" s="1" t="s">
        <v>102</v>
      </c>
      <c r="E900" s="12">
        <v>0.20958285714285713</v>
      </c>
      <c r="F900" s="12">
        <f>IF(D900="d",两日求解价格与决策!K379-两日求解价格与决策!N379,IF(D900="u",两日求解价格与决策!K379+两日求解价格与决策!M379,两日求解价格与决策!K379))</f>
        <v>100</v>
      </c>
      <c r="G900" s="12">
        <f t="shared" si="92"/>
        <v>0</v>
      </c>
      <c r="H900" s="12">
        <f t="shared" si="93"/>
        <v>100</v>
      </c>
      <c r="I900" s="12">
        <f t="shared" si="98"/>
        <v>163.2113540372672</v>
      </c>
      <c r="J900" s="12">
        <f>I900+E900*(G900*原始输入与口径!$B$5-H900/原始输入与口径!$B$5)</f>
        <v>140.4306086956523</v>
      </c>
      <c r="K900" s="12">
        <v>163.2113540372672</v>
      </c>
      <c r="L900" s="12">
        <v>140.4306086956523</v>
      </c>
      <c r="M900" s="19">
        <f t="shared" si="94"/>
        <v>0</v>
      </c>
      <c r="N900" s="12">
        <f>E900*(G900*原始输入与口径!$B$5+H900/原始输入与口径!$B$5)/原始输入与口径!$H$5</f>
        <v>6.3279848171152508E-2</v>
      </c>
      <c r="O900" s="12">
        <v>6.3279848171152508E-2</v>
      </c>
      <c r="P900" s="19">
        <f t="shared" si="95"/>
        <v>0</v>
      </c>
      <c r="Q900" s="12">
        <f t="shared" si="96"/>
        <v>0</v>
      </c>
      <c r="R900" s="12">
        <f t="shared" si="97"/>
        <v>20.958285714285712</v>
      </c>
      <c r="S900" s="1">
        <v>371</v>
      </c>
      <c r="T900" s="14">
        <v>46236</v>
      </c>
    </row>
    <row r="901" spans="1:20" ht="21" customHeight="1" x14ac:dyDescent="0.45">
      <c r="A901" s="31">
        <v>46237.864583333336</v>
      </c>
      <c r="B901" s="31">
        <v>46237.864585952382</v>
      </c>
      <c r="C901" s="31">
        <v>46237.864583333336</v>
      </c>
      <c r="D901" s="1" t="s">
        <v>103</v>
      </c>
      <c r="E901" s="12">
        <v>6.2857142857142848E-5</v>
      </c>
      <c r="F901" s="12">
        <f>IF(D901="d",两日求解价格与决策!K380-两日求解价格与决策!N380,IF(D901="u",两日求解价格与决策!K380+两日求解价格与决策!M380,两日求解价格与决策!K380))</f>
        <v>76</v>
      </c>
      <c r="G901" s="12">
        <f t="shared" si="92"/>
        <v>0</v>
      </c>
      <c r="H901" s="12">
        <f t="shared" si="93"/>
        <v>76</v>
      </c>
      <c r="I901" s="12">
        <f t="shared" si="98"/>
        <v>140.4306086956523</v>
      </c>
      <c r="J901" s="12">
        <f>I901+E901*(G901*原始输入与口径!$B$5-H901/原始输入与口径!$B$5)</f>
        <v>140.42541614906844</v>
      </c>
      <c r="K901" s="12">
        <v>140.4306086956523</v>
      </c>
      <c r="L901" s="12">
        <v>140.42541614906844</v>
      </c>
      <c r="M901" s="19">
        <f t="shared" si="94"/>
        <v>0</v>
      </c>
      <c r="N901" s="12">
        <f>E901*(G901*原始输入与口径!$B$5+H901/原始输入与口径!$B$5)/原始输入与口径!$H$5</f>
        <v>1.442374051069703E-5</v>
      </c>
      <c r="O901" s="12">
        <v>1.442374051069703E-5</v>
      </c>
      <c r="P901" s="19">
        <f t="shared" si="95"/>
        <v>0</v>
      </c>
      <c r="Q901" s="12">
        <f t="shared" si="96"/>
        <v>0</v>
      </c>
      <c r="R901" s="12">
        <f t="shared" si="97"/>
        <v>4.7771428571428565E-3</v>
      </c>
      <c r="S901" s="1">
        <v>372</v>
      </c>
      <c r="T901" s="14">
        <v>46236</v>
      </c>
    </row>
    <row r="902" spans="1:20" ht="21" customHeight="1" x14ac:dyDescent="0.45">
      <c r="A902" s="31">
        <v>46237.864585952382</v>
      </c>
      <c r="B902" s="31">
        <v>46237.865330000001</v>
      </c>
      <c r="C902" s="31">
        <v>46237.864583333336</v>
      </c>
      <c r="D902" s="1" t="s">
        <v>101</v>
      </c>
      <c r="E902" s="12">
        <v>1.7857142857142856E-2</v>
      </c>
      <c r="F902" s="12">
        <f>IF(D902="d",两日求解价格与决策!K380-两日求解价格与决策!N380,IF(D902="u",两日求解价格与决策!K380+两日求解价格与决策!M380,两日求解价格与决策!K380))</f>
        <v>100</v>
      </c>
      <c r="G902" s="12">
        <f t="shared" si="92"/>
        <v>0</v>
      </c>
      <c r="H902" s="12">
        <f t="shared" si="93"/>
        <v>100</v>
      </c>
      <c r="I902" s="12">
        <f t="shared" si="98"/>
        <v>140.42541614906844</v>
      </c>
      <c r="J902" s="12">
        <f>I902+E902*(G902*原始输入与口径!$B$5-H902/原始输入与口径!$B$5)</f>
        <v>138.48442236024857</v>
      </c>
      <c r="K902" s="12">
        <v>140.42541614906844</v>
      </c>
      <c r="L902" s="12">
        <v>138.48442236024857</v>
      </c>
      <c r="M902" s="19">
        <f t="shared" si="94"/>
        <v>0</v>
      </c>
      <c r="N902" s="12">
        <f>E902*(G902*原始输入与口径!$B$5+H902/原始输入与口径!$B$5)/原始输入与口径!$H$5</f>
        <v>5.3916494133885431E-3</v>
      </c>
      <c r="O902" s="12">
        <v>5.3916494133885431E-3</v>
      </c>
      <c r="P902" s="19">
        <f t="shared" si="95"/>
        <v>0</v>
      </c>
      <c r="Q902" s="12">
        <f t="shared" si="96"/>
        <v>0</v>
      </c>
      <c r="R902" s="12">
        <f t="shared" si="97"/>
        <v>1.7857142857142856</v>
      </c>
      <c r="S902" s="1">
        <v>372</v>
      </c>
      <c r="T902" s="14">
        <v>46236</v>
      </c>
    </row>
    <row r="903" spans="1:20" ht="21" customHeight="1" x14ac:dyDescent="0.45">
      <c r="A903" s="31">
        <v>46237.865330000001</v>
      </c>
      <c r="B903" s="31">
        <v>46237.875</v>
      </c>
      <c r="C903" s="31">
        <v>46237.864583333336</v>
      </c>
      <c r="D903" s="1" t="s">
        <v>102</v>
      </c>
      <c r="E903" s="12">
        <v>0.23208000000000001</v>
      </c>
      <c r="F903" s="12">
        <f>IF(D903="d",两日求解价格与决策!K380-两日求解价格与决策!N380,IF(D903="u",两日求解价格与决策!K380+两日求解价格与决策!M380,两日求解价格与决策!K380))</f>
        <v>100</v>
      </c>
      <c r="G903" s="12">
        <f t="shared" si="92"/>
        <v>0</v>
      </c>
      <c r="H903" s="12">
        <f t="shared" si="93"/>
        <v>100</v>
      </c>
      <c r="I903" s="12">
        <f t="shared" si="98"/>
        <v>138.48442236024857</v>
      </c>
      <c r="J903" s="12">
        <f>I903+E903*(G903*原始输入与口径!$B$5-H903/原始输入与口径!$B$5)</f>
        <v>113.25833540372683</v>
      </c>
      <c r="K903" s="12">
        <v>138.48442236024857</v>
      </c>
      <c r="L903" s="12">
        <v>113.25833540372683</v>
      </c>
      <c r="M903" s="19">
        <f t="shared" si="94"/>
        <v>0</v>
      </c>
      <c r="N903" s="12">
        <f>E903*(G903*原始输入与口径!$B$5+H903/原始输入与口径!$B$5)/原始输入与口径!$H$5</f>
        <v>7.0072463768115933E-2</v>
      </c>
      <c r="O903" s="12">
        <v>7.0072463768115947E-2</v>
      </c>
      <c r="P903" s="19">
        <f t="shared" si="95"/>
        <v>0</v>
      </c>
      <c r="Q903" s="12">
        <f t="shared" si="96"/>
        <v>0</v>
      </c>
      <c r="R903" s="12">
        <f t="shared" si="97"/>
        <v>23.208000000000002</v>
      </c>
      <c r="S903" s="1">
        <v>372</v>
      </c>
      <c r="T903" s="14">
        <v>46236</v>
      </c>
    </row>
    <row r="904" spans="1:20" ht="21" customHeight="1" x14ac:dyDescent="0.45">
      <c r="A904" s="31">
        <v>46237.875</v>
      </c>
      <c r="B904" s="31">
        <v>46237.875004047622</v>
      </c>
      <c r="C904" s="31">
        <v>46237.875</v>
      </c>
      <c r="D904" s="1" t="s">
        <v>103</v>
      </c>
      <c r="E904" s="12">
        <v>9.7142857142857152E-5</v>
      </c>
      <c r="F904" s="12">
        <f>IF(D904="d",两日求解价格与决策!K381-两日求解价格与决策!N381,IF(D904="u",两日求解价格与决策!K381+两日求解价格与决策!M381,两日求解价格与决策!K381))</f>
        <v>76</v>
      </c>
      <c r="G904" s="12">
        <f t="shared" si="92"/>
        <v>0</v>
      </c>
      <c r="H904" s="12">
        <f t="shared" si="93"/>
        <v>76</v>
      </c>
      <c r="I904" s="12">
        <f t="shared" si="98"/>
        <v>113.25833540372683</v>
      </c>
      <c r="J904" s="12">
        <f>I904+E904*(G904*原始输入与口径!$B$5-H904/原始输入与口径!$B$5)</f>
        <v>113.25031055900634</v>
      </c>
      <c r="K904" s="12">
        <v>113.25833540372683</v>
      </c>
      <c r="L904" s="12">
        <v>113.25031055900634</v>
      </c>
      <c r="M904" s="19">
        <f t="shared" si="94"/>
        <v>0</v>
      </c>
      <c r="N904" s="12">
        <f>E904*(G904*原始输入与口径!$B$5+H904/原始输入与口径!$B$5)/原始输入与口径!$H$5</f>
        <v>2.2291235334713597E-5</v>
      </c>
      <c r="O904" s="12">
        <v>2.2291235334713597E-5</v>
      </c>
      <c r="P904" s="19">
        <f t="shared" si="95"/>
        <v>0</v>
      </c>
      <c r="Q904" s="12">
        <f t="shared" si="96"/>
        <v>0</v>
      </c>
      <c r="R904" s="12">
        <f t="shared" si="97"/>
        <v>7.3828571428571433E-3</v>
      </c>
      <c r="S904" s="1">
        <v>373</v>
      </c>
      <c r="T904" s="14">
        <v>46236</v>
      </c>
    </row>
    <row r="905" spans="1:20" ht="21" customHeight="1" x14ac:dyDescent="0.45">
      <c r="A905" s="31">
        <v>46237.875004047622</v>
      </c>
      <c r="B905" s="31">
        <v>46237.875427380954</v>
      </c>
      <c r="C905" s="31">
        <v>46237.875</v>
      </c>
      <c r="D905" s="1" t="s">
        <v>101</v>
      </c>
      <c r="E905" s="12">
        <v>1.0160000000000001E-2</v>
      </c>
      <c r="F905" s="12">
        <f>IF(D905="d",两日求解价格与决策!K381-两日求解价格与决策!N381,IF(D905="u",两日求解价格与决策!K381+两日求解价格与决策!M381,两日求解价格与决策!K381))</f>
        <v>100</v>
      </c>
      <c r="G905" s="12">
        <f t="shared" ref="G905:G968" si="99">MAX(-F905,0)</f>
        <v>0</v>
      </c>
      <c r="H905" s="12">
        <f t="shared" ref="H905:H929" si="100">MAX(F905,0)</f>
        <v>100</v>
      </c>
      <c r="I905" s="12">
        <f t="shared" si="98"/>
        <v>113.25031055900634</v>
      </c>
      <c r="J905" s="12">
        <f>I905+E905*(G905*原始输入与口径!$B$5-H905/原始输入与口径!$B$5)</f>
        <v>112.14596273291939</v>
      </c>
      <c r="K905" s="12">
        <v>113.25031055900634</v>
      </c>
      <c r="L905" s="12">
        <v>112.14596273291939</v>
      </c>
      <c r="M905" s="19">
        <f t="shared" ref="M905:M968" si="101">J905-L905</f>
        <v>0</v>
      </c>
      <c r="N905" s="12">
        <f>E905*(G905*原始输入与口径!$B$5+H905/原始输入与口径!$B$5)/原始输入与口径!$H$5</f>
        <v>3.0676328502415463E-3</v>
      </c>
      <c r="O905" s="12">
        <v>3.0676328502415463E-3</v>
      </c>
      <c r="P905" s="19">
        <f t="shared" ref="P905:P968" si="102">N905-O905</f>
        <v>0</v>
      </c>
      <c r="Q905" s="12">
        <f t="shared" ref="Q905:Q929" si="103">E905*G905</f>
        <v>0</v>
      </c>
      <c r="R905" s="12">
        <f t="shared" ref="R905:R929" si="104">E905*H905</f>
        <v>1.016</v>
      </c>
      <c r="S905" s="1">
        <v>373</v>
      </c>
      <c r="T905" s="14">
        <v>46236</v>
      </c>
    </row>
    <row r="906" spans="1:20" ht="21" customHeight="1" x14ac:dyDescent="0.45">
      <c r="A906" s="31">
        <v>46237.875427380954</v>
      </c>
      <c r="B906" s="31">
        <v>46237.885416666664</v>
      </c>
      <c r="C906" s="31">
        <v>46237.875</v>
      </c>
      <c r="D906" s="1" t="s">
        <v>102</v>
      </c>
      <c r="E906" s="12">
        <v>0.23974285714285715</v>
      </c>
      <c r="F906" s="12">
        <f>IF(D906="d",两日求解价格与决策!K381-两日求解价格与决策!N381,IF(D906="u",两日求解价格与决策!K381+两日求解价格与决策!M381,两日求解价格与决策!K381))</f>
        <v>100</v>
      </c>
      <c r="G906" s="12">
        <f t="shared" si="99"/>
        <v>0</v>
      </c>
      <c r="H906" s="12">
        <f t="shared" si="100"/>
        <v>100</v>
      </c>
      <c r="I906" s="12">
        <f t="shared" si="98"/>
        <v>112.14596273291939</v>
      </c>
      <c r="J906" s="12">
        <f>I906+E906*(G906*原始输入与口径!$B$5-H906/原始输入与口径!$B$5)</f>
        <v>86.086956521739268</v>
      </c>
      <c r="K906" s="12">
        <v>112.14596273291939</v>
      </c>
      <c r="L906" s="12">
        <v>86.086956521739268</v>
      </c>
      <c r="M906" s="19">
        <f t="shared" si="101"/>
        <v>0</v>
      </c>
      <c r="N906" s="12">
        <f>E906*(G906*原始输入与口径!$B$5+H906/原始输入与口径!$B$5)/原始输入与口径!$H$5</f>
        <v>7.2386128364389235E-2</v>
      </c>
      <c r="O906" s="12">
        <v>7.2386128364389235E-2</v>
      </c>
      <c r="P906" s="19">
        <f t="shared" si="102"/>
        <v>0</v>
      </c>
      <c r="Q906" s="12">
        <f t="shared" si="103"/>
        <v>0</v>
      </c>
      <c r="R906" s="12">
        <f t="shared" si="104"/>
        <v>23.974285714285713</v>
      </c>
      <c r="S906" s="1">
        <v>373</v>
      </c>
      <c r="T906" s="14">
        <v>46236</v>
      </c>
    </row>
    <row r="907" spans="1:20" ht="21" customHeight="1" x14ac:dyDescent="0.45">
      <c r="A907" s="31">
        <v>46237.885416666664</v>
      </c>
      <c r="B907" s="31">
        <v>46237.889671428566</v>
      </c>
      <c r="C907" s="31">
        <v>46237.885416666664</v>
      </c>
      <c r="D907" s="1" t="s">
        <v>101</v>
      </c>
      <c r="E907" s="12">
        <v>0.10211428571428573</v>
      </c>
      <c r="F907" s="12">
        <f>IF(D907="d",两日求解价格与决策!K382-两日求解价格与决策!N382,IF(D907="u",两日求解价格与决策!K382+两日求解价格与决策!M382,两日求解价格与决策!K382))</f>
        <v>100</v>
      </c>
      <c r="G907" s="12">
        <f t="shared" si="99"/>
        <v>0</v>
      </c>
      <c r="H907" s="12">
        <f t="shared" si="100"/>
        <v>100</v>
      </c>
      <c r="I907" s="12">
        <f t="shared" si="98"/>
        <v>86.086956521739268</v>
      </c>
      <c r="J907" s="12">
        <f>I907+E907*(G907*原始输入与口径!$B$5-H907/原始输入与口径!$B$5)</f>
        <v>74.987577639751692</v>
      </c>
      <c r="K907" s="12">
        <v>86.086956521739268</v>
      </c>
      <c r="L907" s="12">
        <v>74.987577639751692</v>
      </c>
      <c r="M907" s="19">
        <f t="shared" si="101"/>
        <v>0</v>
      </c>
      <c r="N907" s="12">
        <f>E907*(G907*原始输入与口径!$B$5+H907/原始输入与口径!$B$5)/原始输入与口径!$H$5</f>
        <v>3.0831608005521049E-2</v>
      </c>
      <c r="O907" s="12">
        <v>3.0831608005521056E-2</v>
      </c>
      <c r="P907" s="19">
        <f t="shared" si="102"/>
        <v>0</v>
      </c>
      <c r="Q907" s="12">
        <f t="shared" si="103"/>
        <v>0</v>
      </c>
      <c r="R907" s="12">
        <f t="shared" si="104"/>
        <v>10.211428571428574</v>
      </c>
      <c r="S907" s="1">
        <v>374</v>
      </c>
      <c r="T907" s="14">
        <v>46236</v>
      </c>
    </row>
    <row r="908" spans="1:20" ht="21" customHeight="1" x14ac:dyDescent="0.45">
      <c r="A908" s="31">
        <v>46237.889671428566</v>
      </c>
      <c r="B908" s="31">
        <v>46237.895833333328</v>
      </c>
      <c r="C908" s="31">
        <v>46237.885416666664</v>
      </c>
      <c r="D908" s="1" t="s">
        <v>102</v>
      </c>
      <c r="E908" s="12">
        <v>0.14788571428571429</v>
      </c>
      <c r="F908" s="12">
        <f>IF(D908="d",两日求解价格与决策!K382-两日求解价格与决策!N382,IF(D908="u",两日求解价格与决策!K382+两日求解价格与决策!M382,两日求解价格与决策!K382))</f>
        <v>100</v>
      </c>
      <c r="G908" s="12">
        <f t="shared" si="99"/>
        <v>0</v>
      </c>
      <c r="H908" s="12">
        <f t="shared" si="100"/>
        <v>100</v>
      </c>
      <c r="I908" s="12">
        <f t="shared" si="98"/>
        <v>74.987577639751692</v>
      </c>
      <c r="J908" s="12">
        <f>I908+E908*(G908*原始输入与口径!$B$5-H908/原始输入与口径!$B$5)</f>
        <v>58.91304347826101</v>
      </c>
      <c r="K908" s="12">
        <v>74.987577639751692</v>
      </c>
      <c r="L908" s="12">
        <v>58.91304347826101</v>
      </c>
      <c r="M908" s="19">
        <f t="shared" si="101"/>
        <v>0</v>
      </c>
      <c r="N908" s="12">
        <f>E908*(G908*原始输入与口径!$B$5+H908/原始输入与口径!$B$5)/原始输入与口径!$H$5</f>
        <v>4.4651483781918563E-2</v>
      </c>
      <c r="O908" s="12">
        <v>4.4651483781918563E-2</v>
      </c>
      <c r="P908" s="19">
        <f t="shared" si="102"/>
        <v>0</v>
      </c>
      <c r="Q908" s="12">
        <f t="shared" si="103"/>
        <v>0</v>
      </c>
      <c r="R908" s="12">
        <f t="shared" si="104"/>
        <v>14.788571428571428</v>
      </c>
      <c r="S908" s="1">
        <v>374</v>
      </c>
      <c r="T908" s="14">
        <v>46236</v>
      </c>
    </row>
    <row r="909" spans="1:20" ht="21" customHeight="1" x14ac:dyDescent="0.45">
      <c r="A909" s="31">
        <v>46237.895833333336</v>
      </c>
      <c r="B909" s="31">
        <v>46237.898891666671</v>
      </c>
      <c r="C909" s="31">
        <v>46237.895833333336</v>
      </c>
      <c r="D909" s="1" t="s">
        <v>101</v>
      </c>
      <c r="E909" s="12">
        <v>7.3400000000000007E-2</v>
      </c>
      <c r="F909" s="12">
        <f>IF(D909="d",两日求解价格与决策!K383-两日求解价格与决策!N383,IF(D909="u",两日求解价格与决策!K383+两日求解价格与决策!M383,两日求解价格与决策!K383))</f>
        <v>100</v>
      </c>
      <c r="G909" s="12">
        <f t="shared" si="99"/>
        <v>0</v>
      </c>
      <c r="H909" s="12">
        <f t="shared" si="100"/>
        <v>100</v>
      </c>
      <c r="I909" s="12">
        <f t="shared" si="98"/>
        <v>58.91304347826101</v>
      </c>
      <c r="J909" s="12">
        <f>I909+E909*(G909*原始输入与口径!$B$5-H909/原始输入与口径!$B$5)</f>
        <v>50.934782608695791</v>
      </c>
      <c r="K909" s="12">
        <v>58.91304347826101</v>
      </c>
      <c r="L909" s="12">
        <v>50.934782608695791</v>
      </c>
      <c r="M909" s="19">
        <f t="shared" si="101"/>
        <v>0</v>
      </c>
      <c r="N909" s="12">
        <f>E909*(G909*原始输入与口径!$B$5+H909/原始输入与口径!$B$5)/原始输入与口径!$H$5</f>
        <v>2.2161835748792272E-2</v>
      </c>
      <c r="O909" s="12">
        <v>2.2161835748792272E-2</v>
      </c>
      <c r="P909" s="19">
        <f t="shared" si="102"/>
        <v>0</v>
      </c>
      <c r="Q909" s="12">
        <f t="shared" si="103"/>
        <v>0</v>
      </c>
      <c r="R909" s="12">
        <f t="shared" si="104"/>
        <v>7.3400000000000007</v>
      </c>
      <c r="S909" s="1">
        <v>375</v>
      </c>
      <c r="T909" s="14">
        <v>46236</v>
      </c>
    </row>
    <row r="910" spans="1:20" ht="21" customHeight="1" x14ac:dyDescent="0.45">
      <c r="A910" s="31">
        <v>46237.898891666671</v>
      </c>
      <c r="B910" s="31">
        <v>46237.90625</v>
      </c>
      <c r="C910" s="31">
        <v>46237.895833333336</v>
      </c>
      <c r="D910" s="1" t="s">
        <v>102</v>
      </c>
      <c r="E910" s="12">
        <v>0.17659999999999998</v>
      </c>
      <c r="F910" s="12">
        <f>IF(D910="d",两日求解价格与决策!K383-两日求解价格与决策!N383,IF(D910="u",两日求解价格与决策!K383+两日求解价格与决策!M383,两日求解价格与决策!K383))</f>
        <v>100</v>
      </c>
      <c r="G910" s="12">
        <f t="shared" si="99"/>
        <v>0</v>
      </c>
      <c r="H910" s="12">
        <f t="shared" si="100"/>
        <v>100</v>
      </c>
      <c r="I910" s="12">
        <f t="shared" si="98"/>
        <v>50.934782608695791</v>
      </c>
      <c r="J910" s="12">
        <f>I910+E910*(G910*原始输入与口径!$B$5-H910/原始输入与口径!$B$5)</f>
        <v>31.739130434782751</v>
      </c>
      <c r="K910" s="12">
        <v>50.934782608695791</v>
      </c>
      <c r="L910" s="12">
        <v>31.739130434782751</v>
      </c>
      <c r="M910" s="19">
        <f t="shared" si="101"/>
        <v>0</v>
      </c>
      <c r="N910" s="12">
        <f>E910*(G910*原始输入与口径!$B$5+H910/原始输入与口径!$B$5)/原始输入与口径!$H$5</f>
        <v>5.3321256038647333E-2</v>
      </c>
      <c r="O910" s="12">
        <v>5.3321256038647333E-2</v>
      </c>
      <c r="P910" s="19">
        <f t="shared" si="102"/>
        <v>0</v>
      </c>
      <c r="Q910" s="12">
        <f t="shared" si="103"/>
        <v>0</v>
      </c>
      <c r="R910" s="12">
        <f t="shared" si="104"/>
        <v>17.659999999999997</v>
      </c>
      <c r="S910" s="1">
        <v>375</v>
      </c>
      <c r="T910" s="14">
        <v>46236</v>
      </c>
    </row>
    <row r="911" spans="1:20" ht="21" customHeight="1" x14ac:dyDescent="0.45">
      <c r="A911" s="31">
        <v>46237.90625</v>
      </c>
      <c r="B911" s="31">
        <v>46237.91013952381</v>
      </c>
      <c r="C911" s="31">
        <v>46237.90625</v>
      </c>
      <c r="D911" s="1" t="s">
        <v>101</v>
      </c>
      <c r="E911" s="12">
        <v>9.334857142857142E-2</v>
      </c>
      <c r="F911" s="12">
        <f>IF(D911="d",两日求解价格与决策!K384-两日求解价格与决策!N384,IF(D911="u",两日求解价格与决策!K384+两日求解价格与决策!M384,两日求解价格与决策!K384))</f>
        <v>0</v>
      </c>
      <c r="G911" s="12">
        <f t="shared" si="99"/>
        <v>0</v>
      </c>
      <c r="H911" s="12">
        <f t="shared" si="100"/>
        <v>0</v>
      </c>
      <c r="I911" s="12">
        <f t="shared" si="98"/>
        <v>31.739130434782751</v>
      </c>
      <c r="J911" s="12">
        <f>I911+E911*(G911*原始输入与口径!$B$5-H911/原始输入与口径!$B$5)</f>
        <v>31.739130434782751</v>
      </c>
      <c r="K911" s="12">
        <v>31.739130434782751</v>
      </c>
      <c r="L911" s="12">
        <v>31.739130434782751</v>
      </c>
      <c r="M911" s="19">
        <f t="shared" si="101"/>
        <v>0</v>
      </c>
      <c r="N911" s="12">
        <f>E911*(G911*原始输入与口径!$B$5+H911/原始输入与口径!$B$5)/原始输入与口径!$H$5</f>
        <v>0</v>
      </c>
      <c r="O911" s="12">
        <v>0</v>
      </c>
      <c r="P911" s="19">
        <f t="shared" si="102"/>
        <v>0</v>
      </c>
      <c r="Q911" s="12">
        <f t="shared" si="103"/>
        <v>0</v>
      </c>
      <c r="R911" s="12">
        <f t="shared" si="104"/>
        <v>0</v>
      </c>
      <c r="S911" s="1">
        <v>376</v>
      </c>
      <c r="T911" s="14">
        <v>46236</v>
      </c>
    </row>
    <row r="912" spans="1:20" ht="21" customHeight="1" x14ac:dyDescent="0.45">
      <c r="A912" s="31">
        <v>46237.91013952381</v>
      </c>
      <c r="B912" s="31">
        <v>46237.916666666664</v>
      </c>
      <c r="C912" s="31">
        <v>46237.90625</v>
      </c>
      <c r="D912" s="1" t="s">
        <v>102</v>
      </c>
      <c r="E912" s="12">
        <v>0.15665142857142858</v>
      </c>
      <c r="F912" s="12">
        <f>IF(D912="d",两日求解价格与决策!K384-两日求解价格与决策!N384,IF(D912="u",两日求解价格与决策!K384+两日求解价格与决策!M384,两日求解价格与决策!K384))</f>
        <v>0</v>
      </c>
      <c r="G912" s="12">
        <f t="shared" si="99"/>
        <v>0</v>
      </c>
      <c r="H912" s="12">
        <f t="shared" si="100"/>
        <v>0</v>
      </c>
      <c r="I912" s="12">
        <f t="shared" si="98"/>
        <v>31.739130434782751</v>
      </c>
      <c r="J912" s="12">
        <f>I912+E912*(G912*原始输入与口径!$B$5-H912/原始输入与口径!$B$5)</f>
        <v>31.739130434782751</v>
      </c>
      <c r="K912" s="12">
        <v>31.739130434782751</v>
      </c>
      <c r="L912" s="12">
        <v>31.739130434782751</v>
      </c>
      <c r="M912" s="19">
        <f t="shared" si="101"/>
        <v>0</v>
      </c>
      <c r="N912" s="12">
        <f>E912*(G912*原始输入与口径!$B$5+H912/原始输入与口径!$B$5)/原始输入与口径!$H$5</f>
        <v>0</v>
      </c>
      <c r="O912" s="12">
        <v>0</v>
      </c>
      <c r="P912" s="19">
        <f t="shared" si="102"/>
        <v>0</v>
      </c>
      <c r="Q912" s="12">
        <f t="shared" si="103"/>
        <v>0</v>
      </c>
      <c r="R912" s="12">
        <f t="shared" si="104"/>
        <v>0</v>
      </c>
      <c r="S912" s="1">
        <v>376</v>
      </c>
      <c r="T912" s="14">
        <v>46236</v>
      </c>
    </row>
    <row r="913" spans="1:20" ht="21" customHeight="1" x14ac:dyDescent="0.45">
      <c r="A913" s="31">
        <v>46237.916666666664</v>
      </c>
      <c r="B913" s="31">
        <v>46237.920636666662</v>
      </c>
      <c r="C913" s="31">
        <v>46237.916666666664</v>
      </c>
      <c r="D913" s="1" t="s">
        <v>101</v>
      </c>
      <c r="E913" s="12">
        <v>9.5280000000000004E-2</v>
      </c>
      <c r="F913" s="12">
        <f>IF(D913="d",两日求解价格与决策!K385-两日求解价格与决策!N385,IF(D913="u",两日求解价格与决策!K385+两日求解价格与决策!M385,两日求解价格与决策!K385))</f>
        <v>0</v>
      </c>
      <c r="G913" s="12">
        <f t="shared" si="99"/>
        <v>0</v>
      </c>
      <c r="H913" s="12">
        <f t="shared" si="100"/>
        <v>0</v>
      </c>
      <c r="I913" s="12">
        <f t="shared" si="98"/>
        <v>31.739130434782751</v>
      </c>
      <c r="J913" s="12">
        <f>I913+E913*(G913*原始输入与口径!$B$5-H913/原始输入与口径!$B$5)</f>
        <v>31.739130434782751</v>
      </c>
      <c r="K913" s="12">
        <v>31.739130434782751</v>
      </c>
      <c r="L913" s="12">
        <v>31.739130434782751</v>
      </c>
      <c r="M913" s="19">
        <f t="shared" si="101"/>
        <v>0</v>
      </c>
      <c r="N913" s="12">
        <f>E913*(G913*原始输入与口径!$B$5+H913/原始输入与口径!$B$5)/原始输入与口径!$H$5</f>
        <v>0</v>
      </c>
      <c r="O913" s="12">
        <v>0</v>
      </c>
      <c r="P913" s="19">
        <f t="shared" si="102"/>
        <v>0</v>
      </c>
      <c r="Q913" s="12">
        <f t="shared" si="103"/>
        <v>0</v>
      </c>
      <c r="R913" s="12">
        <f t="shared" si="104"/>
        <v>0</v>
      </c>
      <c r="S913" s="1">
        <v>377</v>
      </c>
      <c r="T913" s="14">
        <v>46236</v>
      </c>
    </row>
    <row r="914" spans="1:20" ht="21" customHeight="1" x14ac:dyDescent="0.45">
      <c r="A914" s="31">
        <v>46237.920636666662</v>
      </c>
      <c r="B914" s="31">
        <v>46237.927083333328</v>
      </c>
      <c r="C914" s="31">
        <v>46237.916666666664</v>
      </c>
      <c r="D914" s="1" t="s">
        <v>102</v>
      </c>
      <c r="E914" s="12">
        <v>0.15472</v>
      </c>
      <c r="F914" s="12">
        <f>IF(D914="d",两日求解价格与决策!K385-两日求解价格与决策!N385,IF(D914="u",两日求解价格与决策!K385+两日求解价格与决策!M385,两日求解价格与决策!K385))</f>
        <v>0</v>
      </c>
      <c r="G914" s="12">
        <f t="shared" si="99"/>
        <v>0</v>
      </c>
      <c r="H914" s="12">
        <f t="shared" si="100"/>
        <v>0</v>
      </c>
      <c r="I914" s="12">
        <f t="shared" si="98"/>
        <v>31.739130434782751</v>
      </c>
      <c r="J914" s="12">
        <f>I914+E914*(G914*原始输入与口径!$B$5-H914/原始输入与口径!$B$5)</f>
        <v>31.739130434782751</v>
      </c>
      <c r="K914" s="12">
        <v>31.739130434782751</v>
      </c>
      <c r="L914" s="12">
        <v>31.739130434782751</v>
      </c>
      <c r="M914" s="19">
        <f t="shared" si="101"/>
        <v>0</v>
      </c>
      <c r="N914" s="12">
        <f>E914*(G914*原始输入与口径!$B$5+H914/原始输入与口径!$B$5)/原始输入与口径!$H$5</f>
        <v>0</v>
      </c>
      <c r="O914" s="12">
        <v>0</v>
      </c>
      <c r="P914" s="19">
        <f t="shared" si="102"/>
        <v>0</v>
      </c>
      <c r="Q914" s="12">
        <f t="shared" si="103"/>
        <v>0</v>
      </c>
      <c r="R914" s="12">
        <f t="shared" si="104"/>
        <v>0</v>
      </c>
      <c r="S914" s="1">
        <v>377</v>
      </c>
      <c r="T914" s="14">
        <v>46236</v>
      </c>
    </row>
    <row r="915" spans="1:20" ht="21" customHeight="1" x14ac:dyDescent="0.45">
      <c r="A915" s="31">
        <v>46237.927083333336</v>
      </c>
      <c r="B915" s="31">
        <v>46237.93126357143</v>
      </c>
      <c r="C915" s="31">
        <v>46237.927083333336</v>
      </c>
      <c r="D915" s="1" t="s">
        <v>101</v>
      </c>
      <c r="E915" s="12">
        <v>0.10032571428571428</v>
      </c>
      <c r="F915" s="12">
        <f>IF(D915="d",两日求解价格与决策!K386-两日求解价格与决策!N386,IF(D915="u",两日求解价格与决策!K386+两日求解价格与决策!M386,两日求解价格与决策!K386))</f>
        <v>0</v>
      </c>
      <c r="G915" s="12">
        <f t="shared" si="99"/>
        <v>0</v>
      </c>
      <c r="H915" s="12">
        <f t="shared" si="100"/>
        <v>0</v>
      </c>
      <c r="I915" s="12">
        <f t="shared" si="98"/>
        <v>31.739130434782751</v>
      </c>
      <c r="J915" s="12">
        <f>I915+E915*(G915*原始输入与口径!$B$5-H915/原始输入与口径!$B$5)</f>
        <v>31.739130434782751</v>
      </c>
      <c r="K915" s="12">
        <v>31.739130434782751</v>
      </c>
      <c r="L915" s="12">
        <v>31.739130434782751</v>
      </c>
      <c r="M915" s="19">
        <f t="shared" si="101"/>
        <v>0</v>
      </c>
      <c r="N915" s="12">
        <f>E915*(G915*原始输入与口径!$B$5+H915/原始输入与口径!$B$5)/原始输入与口径!$H$5</f>
        <v>0</v>
      </c>
      <c r="O915" s="12">
        <v>0</v>
      </c>
      <c r="P915" s="19">
        <f t="shared" si="102"/>
        <v>0</v>
      </c>
      <c r="Q915" s="12">
        <f t="shared" si="103"/>
        <v>0</v>
      </c>
      <c r="R915" s="12">
        <f t="shared" si="104"/>
        <v>0</v>
      </c>
      <c r="S915" s="1">
        <v>378</v>
      </c>
      <c r="T915" s="14">
        <v>46236</v>
      </c>
    </row>
    <row r="916" spans="1:20" ht="21" customHeight="1" x14ac:dyDescent="0.45">
      <c r="A916" s="31">
        <v>46237.93126357143</v>
      </c>
      <c r="B916" s="31">
        <v>46237.9375</v>
      </c>
      <c r="C916" s="31">
        <v>46237.927083333336</v>
      </c>
      <c r="D916" s="1" t="s">
        <v>102</v>
      </c>
      <c r="E916" s="12">
        <v>0.1496742857142857</v>
      </c>
      <c r="F916" s="12">
        <f>IF(D916="d",两日求解价格与决策!K386-两日求解价格与决策!N386,IF(D916="u",两日求解价格与决策!K386+两日求解价格与决策!M386,两日求解价格与决策!K386))</f>
        <v>0</v>
      </c>
      <c r="G916" s="12">
        <f t="shared" si="99"/>
        <v>0</v>
      </c>
      <c r="H916" s="12">
        <f t="shared" si="100"/>
        <v>0</v>
      </c>
      <c r="I916" s="12">
        <f t="shared" si="98"/>
        <v>31.739130434782751</v>
      </c>
      <c r="J916" s="12">
        <f>I916+E916*(G916*原始输入与口径!$B$5-H916/原始输入与口径!$B$5)</f>
        <v>31.739130434782751</v>
      </c>
      <c r="K916" s="12">
        <v>31.739130434782751</v>
      </c>
      <c r="L916" s="12">
        <v>31.739130434782751</v>
      </c>
      <c r="M916" s="19">
        <f t="shared" si="101"/>
        <v>0</v>
      </c>
      <c r="N916" s="12">
        <f>E916*(G916*原始输入与口径!$B$5+H916/原始输入与口径!$B$5)/原始输入与口径!$H$5</f>
        <v>0</v>
      </c>
      <c r="O916" s="12">
        <v>0</v>
      </c>
      <c r="P916" s="19">
        <f t="shared" si="102"/>
        <v>0</v>
      </c>
      <c r="Q916" s="12">
        <f t="shared" si="103"/>
        <v>0</v>
      </c>
      <c r="R916" s="12">
        <f t="shared" si="104"/>
        <v>0</v>
      </c>
      <c r="S916" s="1">
        <v>378</v>
      </c>
      <c r="T916" s="14">
        <v>46236</v>
      </c>
    </row>
    <row r="917" spans="1:20" ht="21" customHeight="1" x14ac:dyDescent="0.45">
      <c r="A917" s="31">
        <v>46237.9375</v>
      </c>
      <c r="B917" s="31">
        <v>46237.9401</v>
      </c>
      <c r="C917" s="31">
        <v>46237.9375</v>
      </c>
      <c r="D917" s="1" t="s">
        <v>101</v>
      </c>
      <c r="E917" s="12">
        <v>6.2399999999999997E-2</v>
      </c>
      <c r="F917" s="12">
        <f>IF(D917="d",两日求解价格与决策!K387-两日求解价格与决策!N387,IF(D917="u",两日求解价格与决策!K387+两日求解价格与决策!M387,两日求解价格与决策!K387))</f>
        <v>0</v>
      </c>
      <c r="G917" s="12">
        <f t="shared" si="99"/>
        <v>0</v>
      </c>
      <c r="H917" s="12">
        <f t="shared" si="100"/>
        <v>0</v>
      </c>
      <c r="I917" s="12">
        <f t="shared" si="98"/>
        <v>31.739130434782751</v>
      </c>
      <c r="J917" s="12">
        <f>I917+E917*(G917*原始输入与口径!$B$5-H917/原始输入与口径!$B$5)</f>
        <v>31.739130434782751</v>
      </c>
      <c r="K917" s="12">
        <v>31.739130434782751</v>
      </c>
      <c r="L917" s="12">
        <v>31.739130434782751</v>
      </c>
      <c r="M917" s="19">
        <f t="shared" si="101"/>
        <v>0</v>
      </c>
      <c r="N917" s="12">
        <f>E917*(G917*原始输入与口径!$B$5+H917/原始输入与口径!$B$5)/原始输入与口径!$H$5</f>
        <v>0</v>
      </c>
      <c r="O917" s="12">
        <v>0</v>
      </c>
      <c r="P917" s="19">
        <f t="shared" si="102"/>
        <v>0</v>
      </c>
      <c r="Q917" s="12">
        <f t="shared" si="103"/>
        <v>0</v>
      </c>
      <c r="R917" s="12">
        <f t="shared" si="104"/>
        <v>0</v>
      </c>
      <c r="S917" s="1">
        <v>379</v>
      </c>
      <c r="T917" s="14">
        <v>46236</v>
      </c>
    </row>
    <row r="918" spans="1:20" ht="21" customHeight="1" x14ac:dyDescent="0.45">
      <c r="A918" s="31">
        <v>46237.9401</v>
      </c>
      <c r="B918" s="31">
        <v>46237.947916666664</v>
      </c>
      <c r="C918" s="31">
        <v>46237.9375</v>
      </c>
      <c r="D918" s="1" t="s">
        <v>102</v>
      </c>
      <c r="E918" s="12">
        <v>0.18759999999999999</v>
      </c>
      <c r="F918" s="12">
        <f>IF(D918="d",两日求解价格与决策!K387-两日求解价格与决策!N387,IF(D918="u",两日求解价格与决策!K387+两日求解价格与决策!M387,两日求解价格与决策!K387))</f>
        <v>0</v>
      </c>
      <c r="G918" s="12">
        <f t="shared" si="99"/>
        <v>0</v>
      </c>
      <c r="H918" s="12">
        <f t="shared" si="100"/>
        <v>0</v>
      </c>
      <c r="I918" s="12">
        <f t="shared" si="98"/>
        <v>31.739130434782751</v>
      </c>
      <c r="J918" s="12">
        <f>I918+E918*(G918*原始输入与口径!$B$5-H918/原始输入与口径!$B$5)</f>
        <v>31.739130434782751</v>
      </c>
      <c r="K918" s="12">
        <v>31.739130434782751</v>
      </c>
      <c r="L918" s="12">
        <v>31.739130434782751</v>
      </c>
      <c r="M918" s="19">
        <f t="shared" si="101"/>
        <v>0</v>
      </c>
      <c r="N918" s="12">
        <f>E918*(G918*原始输入与口径!$B$5+H918/原始输入与口径!$B$5)/原始输入与口径!$H$5</f>
        <v>0</v>
      </c>
      <c r="O918" s="12">
        <v>0</v>
      </c>
      <c r="P918" s="19">
        <f t="shared" si="102"/>
        <v>0</v>
      </c>
      <c r="Q918" s="12">
        <f t="shared" si="103"/>
        <v>0</v>
      </c>
      <c r="R918" s="12">
        <f t="shared" si="104"/>
        <v>0</v>
      </c>
      <c r="S918" s="1">
        <v>379</v>
      </c>
      <c r="T918" s="14">
        <v>46236</v>
      </c>
    </row>
    <row r="919" spans="1:20" ht="21" customHeight="1" x14ac:dyDescent="0.45">
      <c r="A919" s="31">
        <v>46237.947916666664</v>
      </c>
      <c r="B919" s="31">
        <v>46237.949880952379</v>
      </c>
      <c r="C919" s="31">
        <v>46237.947916666664</v>
      </c>
      <c r="D919" s="1" t="s">
        <v>101</v>
      </c>
      <c r="E919" s="12">
        <v>4.7142857142857146E-2</v>
      </c>
      <c r="F919" s="12">
        <f>IF(D919="d",两日求解价格与决策!K388-两日求解价格与决策!N388,IF(D919="u",两日求解价格与决策!K388+两日求解价格与决策!M388,两日求解价格与决策!K388))</f>
        <v>0</v>
      </c>
      <c r="G919" s="12">
        <f t="shared" si="99"/>
        <v>0</v>
      </c>
      <c r="H919" s="12">
        <f t="shared" si="100"/>
        <v>0</v>
      </c>
      <c r="I919" s="12">
        <f t="shared" si="98"/>
        <v>31.739130434782751</v>
      </c>
      <c r="J919" s="12">
        <f>I919+E919*(G919*原始输入与口径!$B$5-H919/原始输入与口径!$B$5)</f>
        <v>31.739130434782751</v>
      </c>
      <c r="K919" s="12">
        <v>31.739130434782751</v>
      </c>
      <c r="L919" s="12">
        <v>31.739130434782751</v>
      </c>
      <c r="M919" s="19">
        <f t="shared" si="101"/>
        <v>0</v>
      </c>
      <c r="N919" s="12">
        <f>E919*(G919*原始输入与口径!$B$5+H919/原始输入与口径!$B$5)/原始输入与口径!$H$5</f>
        <v>0</v>
      </c>
      <c r="O919" s="12">
        <v>0</v>
      </c>
      <c r="P919" s="19">
        <f t="shared" si="102"/>
        <v>0</v>
      </c>
      <c r="Q919" s="12">
        <f t="shared" si="103"/>
        <v>0</v>
      </c>
      <c r="R919" s="12">
        <f t="shared" si="104"/>
        <v>0</v>
      </c>
      <c r="S919" s="1">
        <v>380</v>
      </c>
      <c r="T919" s="14">
        <v>46236</v>
      </c>
    </row>
    <row r="920" spans="1:20" ht="21" customHeight="1" x14ac:dyDescent="0.45">
      <c r="A920" s="31">
        <v>46237.949880952379</v>
      </c>
      <c r="B920" s="31">
        <v>46237.958333333328</v>
      </c>
      <c r="C920" s="31">
        <v>46237.947916666664</v>
      </c>
      <c r="D920" s="1" t="s">
        <v>102</v>
      </c>
      <c r="E920" s="12">
        <v>0.20285714285714285</v>
      </c>
      <c r="F920" s="12">
        <f>IF(D920="d",两日求解价格与决策!K388-两日求解价格与决策!N388,IF(D920="u",两日求解价格与决策!K388+两日求解价格与决策!M388,两日求解价格与决策!K388))</f>
        <v>0</v>
      </c>
      <c r="G920" s="12">
        <f t="shared" si="99"/>
        <v>0</v>
      </c>
      <c r="H920" s="12">
        <f t="shared" si="100"/>
        <v>0</v>
      </c>
      <c r="I920" s="12">
        <f t="shared" si="98"/>
        <v>31.739130434782751</v>
      </c>
      <c r="J920" s="12">
        <f>I920+E920*(G920*原始输入与口径!$B$5-H920/原始输入与口径!$B$5)</f>
        <v>31.739130434782751</v>
      </c>
      <c r="K920" s="12">
        <v>31.739130434782751</v>
      </c>
      <c r="L920" s="12">
        <v>31.739130434782751</v>
      </c>
      <c r="M920" s="19">
        <f t="shared" si="101"/>
        <v>0</v>
      </c>
      <c r="N920" s="12">
        <f>E920*(G920*原始输入与口径!$B$5+H920/原始输入与口径!$B$5)/原始输入与口径!$H$5</f>
        <v>0</v>
      </c>
      <c r="O920" s="12">
        <v>0</v>
      </c>
      <c r="P920" s="19">
        <f t="shared" si="102"/>
        <v>0</v>
      </c>
      <c r="Q920" s="12">
        <f t="shared" si="103"/>
        <v>0</v>
      </c>
      <c r="R920" s="12">
        <f t="shared" si="104"/>
        <v>0</v>
      </c>
      <c r="S920" s="1">
        <v>380</v>
      </c>
      <c r="T920" s="14">
        <v>46236</v>
      </c>
    </row>
    <row r="921" spans="1:20" ht="21" customHeight="1" x14ac:dyDescent="0.45">
      <c r="A921" s="31">
        <v>46237.958333333336</v>
      </c>
      <c r="B921" s="31">
        <v>46237.964114761904</v>
      </c>
      <c r="C921" s="31">
        <v>46237.958333333336</v>
      </c>
      <c r="D921" s="1" t="s">
        <v>101</v>
      </c>
      <c r="E921" s="12">
        <v>0.13875428571428572</v>
      </c>
      <c r="F921" s="12">
        <f>IF(D921="d",两日求解价格与决策!K389-两日求解价格与决策!N389,IF(D921="u",两日求解价格与决策!K389+两日求解价格与决策!M389,两日求解价格与决策!K389))</f>
        <v>0</v>
      </c>
      <c r="G921" s="12">
        <f t="shared" si="99"/>
        <v>0</v>
      </c>
      <c r="H921" s="12">
        <f t="shared" si="100"/>
        <v>0</v>
      </c>
      <c r="I921" s="12">
        <f t="shared" si="98"/>
        <v>31.739130434782751</v>
      </c>
      <c r="J921" s="12">
        <f>I921+E921*(G921*原始输入与口径!$B$5-H921/原始输入与口径!$B$5)</f>
        <v>31.739130434782751</v>
      </c>
      <c r="K921" s="12">
        <v>31.739130434782751</v>
      </c>
      <c r="L921" s="12">
        <v>31.739130434782751</v>
      </c>
      <c r="M921" s="19">
        <f t="shared" si="101"/>
        <v>0</v>
      </c>
      <c r="N921" s="12">
        <f>E921*(G921*原始输入与口径!$B$5+H921/原始输入与口径!$B$5)/原始输入与口径!$H$5</f>
        <v>0</v>
      </c>
      <c r="O921" s="12">
        <v>0</v>
      </c>
      <c r="P921" s="19">
        <f t="shared" si="102"/>
        <v>0</v>
      </c>
      <c r="Q921" s="12">
        <f t="shared" si="103"/>
        <v>0</v>
      </c>
      <c r="R921" s="12">
        <f t="shared" si="104"/>
        <v>0</v>
      </c>
      <c r="S921" s="1">
        <v>381</v>
      </c>
      <c r="T921" s="14">
        <v>46236</v>
      </c>
    </row>
    <row r="922" spans="1:20" ht="21" customHeight="1" x14ac:dyDescent="0.45">
      <c r="A922" s="31">
        <v>46237.964114761904</v>
      </c>
      <c r="B922" s="31">
        <v>46237.96875</v>
      </c>
      <c r="C922" s="31">
        <v>46237.958333333336</v>
      </c>
      <c r="D922" s="1" t="s">
        <v>102</v>
      </c>
      <c r="E922" s="12">
        <v>0.11124571428571428</v>
      </c>
      <c r="F922" s="12">
        <f>IF(D922="d",两日求解价格与决策!K389-两日求解价格与决策!N389,IF(D922="u",两日求解价格与决策!K389+两日求解价格与决策!M389,两日求解价格与决策!K389))</f>
        <v>-24</v>
      </c>
      <c r="G922" s="12">
        <f t="shared" si="99"/>
        <v>24</v>
      </c>
      <c r="H922" s="12">
        <f t="shared" si="100"/>
        <v>0</v>
      </c>
      <c r="I922" s="12">
        <f t="shared" si="98"/>
        <v>31.739130434782751</v>
      </c>
      <c r="J922" s="12">
        <f>I922+E922*(G922*原始输入与口径!$B$5-H922/原始输入与口径!$B$5)</f>
        <v>34.195435806211322</v>
      </c>
      <c r="K922" s="12">
        <v>31.739130434782751</v>
      </c>
      <c r="L922" s="12">
        <v>34.195435806211322</v>
      </c>
      <c r="M922" s="19">
        <f t="shared" si="101"/>
        <v>0</v>
      </c>
      <c r="N922" s="12">
        <f>E922*(G922*原始输入与口径!$B$5+H922/原始输入与口径!$B$5)/原始输入与口径!$H$5</f>
        <v>6.8230704761904765E-3</v>
      </c>
      <c r="O922" s="12">
        <v>6.8230704761904765E-3</v>
      </c>
      <c r="P922" s="19">
        <f t="shared" si="102"/>
        <v>0</v>
      </c>
      <c r="Q922" s="12">
        <f t="shared" si="103"/>
        <v>2.6698971428571427</v>
      </c>
      <c r="R922" s="12">
        <f t="shared" si="104"/>
        <v>0</v>
      </c>
      <c r="S922" s="1">
        <v>381</v>
      </c>
      <c r="T922" s="14">
        <v>46236</v>
      </c>
    </row>
    <row r="923" spans="1:20" ht="21" customHeight="1" x14ac:dyDescent="0.45">
      <c r="A923" s="31">
        <v>46237.96875</v>
      </c>
      <c r="B923" s="31">
        <v>46237.971453333332</v>
      </c>
      <c r="C923" s="31">
        <v>46237.96875</v>
      </c>
      <c r="D923" s="1" t="s">
        <v>101</v>
      </c>
      <c r="E923" s="12">
        <v>6.4879999999999993E-2</v>
      </c>
      <c r="F923" s="12">
        <f>IF(D923="d",两日求解价格与决策!K390-两日求解价格与决策!N390,IF(D923="u",两日求解价格与决策!K390+两日求解价格与决策!M390,两日求解价格与决策!K390))</f>
        <v>23.108330382170852</v>
      </c>
      <c r="G923" s="12">
        <f t="shared" si="99"/>
        <v>0</v>
      </c>
      <c r="H923" s="12">
        <f t="shared" si="100"/>
        <v>23.108330382170852</v>
      </c>
      <c r="I923" s="12">
        <f t="shared" si="98"/>
        <v>34.195435806211322</v>
      </c>
      <c r="J923" s="12">
        <f>I923+E923*(G923*原始输入与口径!$B$5-H923/原始输入与口径!$B$5)</f>
        <v>32.565796159259968</v>
      </c>
      <c r="K923" s="12">
        <v>34.195435806211322</v>
      </c>
      <c r="L923" s="12">
        <v>32.565796159259968</v>
      </c>
      <c r="M923" s="19">
        <f t="shared" si="101"/>
        <v>0</v>
      </c>
      <c r="N923" s="12">
        <f>E923*(G923*原始输入与口径!$B$5+H923/原始输入与口径!$B$5)/原始输入与口径!$H$5</f>
        <v>4.5267767970870914E-3</v>
      </c>
      <c r="O923" s="12">
        <v>4.5267767970870914E-3</v>
      </c>
      <c r="P923" s="19">
        <f t="shared" si="102"/>
        <v>0</v>
      </c>
      <c r="Q923" s="12">
        <f t="shared" si="103"/>
        <v>0</v>
      </c>
      <c r="R923" s="12">
        <f t="shared" si="104"/>
        <v>1.4992684751952448</v>
      </c>
      <c r="S923" s="1">
        <v>382</v>
      </c>
      <c r="T923" s="14">
        <v>46236</v>
      </c>
    </row>
    <row r="924" spans="1:20" ht="21" customHeight="1" x14ac:dyDescent="0.45">
      <c r="A924" s="31">
        <v>46237.971453333332</v>
      </c>
      <c r="B924" s="31">
        <v>46237.979166666664</v>
      </c>
      <c r="C924" s="31">
        <v>46237.96875</v>
      </c>
      <c r="D924" s="1" t="s">
        <v>102</v>
      </c>
      <c r="E924" s="12">
        <v>0.18512000000000001</v>
      </c>
      <c r="F924" s="12">
        <f>IF(D924="d",两日求解价格与决策!K390-两日求解价格与决策!N390,IF(D924="u",两日求解价格与决策!K390+两日求解价格与决策!M390,两日求解价格与决策!K390))</f>
        <v>-0.89166961782914911</v>
      </c>
      <c r="G924" s="12">
        <f t="shared" si="99"/>
        <v>0.89166961782914911</v>
      </c>
      <c r="H924" s="12">
        <f t="shared" si="100"/>
        <v>0</v>
      </c>
      <c r="I924" s="12">
        <f t="shared" si="98"/>
        <v>32.565796159259968</v>
      </c>
      <c r="J924" s="12">
        <f>I924+E924*(G924*原始输入与口径!$B$5-H924/原始输入与口径!$B$5)</f>
        <v>32.717656768540294</v>
      </c>
      <c r="K924" s="12">
        <v>32.565796159259968</v>
      </c>
      <c r="L924" s="12">
        <v>32.717656768540294</v>
      </c>
      <c r="M924" s="19">
        <f t="shared" si="101"/>
        <v>0</v>
      </c>
      <c r="N924" s="12">
        <f>E924*(G924*原始输入与口径!$B$5+H924/原始输入与口径!$B$5)/原始输入与口径!$H$5</f>
        <v>4.2183502577869316E-4</v>
      </c>
      <c r="O924" s="12">
        <v>4.2183502577869311E-4</v>
      </c>
      <c r="P924" s="19">
        <f t="shared" si="102"/>
        <v>0</v>
      </c>
      <c r="Q924" s="12">
        <f t="shared" si="103"/>
        <v>0.16506587965253208</v>
      </c>
      <c r="R924" s="12">
        <f t="shared" si="104"/>
        <v>0</v>
      </c>
      <c r="S924" s="1">
        <v>382</v>
      </c>
      <c r="T924" s="14">
        <v>46236</v>
      </c>
    </row>
    <row r="925" spans="1:20" ht="21" customHeight="1" x14ac:dyDescent="0.45">
      <c r="A925" s="31">
        <v>46237.979166666664</v>
      </c>
      <c r="B925" s="31">
        <v>46237.980859047617</v>
      </c>
      <c r="C925" s="31">
        <v>46237.979166666664</v>
      </c>
      <c r="D925" s="1" t="s">
        <v>101</v>
      </c>
      <c r="E925" s="12">
        <v>4.0617142857142859E-2</v>
      </c>
      <c r="F925" s="12">
        <f>IF(D925="d",两日求解价格与决策!K391-两日求解价格与决策!N391,IF(D925="u",两日求解价格与决策!K391+两日求解价格与决策!M391,两日求解价格与决策!K391))</f>
        <v>22.164144588487055</v>
      </c>
      <c r="G925" s="12">
        <f t="shared" si="99"/>
        <v>0</v>
      </c>
      <c r="H925" s="12">
        <f t="shared" si="100"/>
        <v>22.164144588487055</v>
      </c>
      <c r="I925" s="12">
        <f t="shared" si="98"/>
        <v>32.717656768540294</v>
      </c>
      <c r="J925" s="12">
        <f>I925+E925*(G925*原始输入与口径!$B$5-H925/原始输入与口径!$B$5)</f>
        <v>31.739130434782741</v>
      </c>
      <c r="K925" s="12">
        <v>32.717656768540294</v>
      </c>
      <c r="L925" s="12">
        <v>31.739130434782741</v>
      </c>
      <c r="M925" s="19">
        <f t="shared" si="101"/>
        <v>0</v>
      </c>
      <c r="N925" s="12">
        <f>E925*(G925*原始输入与口径!$B$5+H925/原始输入与口径!$B$5)/原始输入与口径!$H$5</f>
        <v>2.7181287048820908E-3</v>
      </c>
      <c r="O925" s="12">
        <v>2.7181287048820908E-3</v>
      </c>
      <c r="P925" s="19">
        <f t="shared" si="102"/>
        <v>0</v>
      </c>
      <c r="Q925" s="12">
        <f t="shared" si="103"/>
        <v>0</v>
      </c>
      <c r="R925" s="12">
        <f t="shared" si="104"/>
        <v>0.90024422705694851</v>
      </c>
      <c r="S925" s="1">
        <v>383</v>
      </c>
      <c r="T925" s="14">
        <v>46236</v>
      </c>
    </row>
    <row r="926" spans="1:20" ht="21" customHeight="1" x14ac:dyDescent="0.45">
      <c r="A926" s="31">
        <v>46237.980859047617</v>
      </c>
      <c r="B926" s="31">
        <v>46237.989583333328</v>
      </c>
      <c r="C926" s="31">
        <v>46237.979166666664</v>
      </c>
      <c r="D926" s="1" t="s">
        <v>102</v>
      </c>
      <c r="E926" s="12">
        <v>0.20938285714285715</v>
      </c>
      <c r="F926" s="12">
        <f>IF(D926="d",两日求解价格与决策!K391-两日求解价格与决策!N391,IF(D926="u",两日求解价格与决策!K391+两日求解价格与决策!M391,两日求解价格与决策!K391))</f>
        <v>-1.8358554115129444</v>
      </c>
      <c r="G926" s="12">
        <f t="shared" si="99"/>
        <v>1.8358554115129444</v>
      </c>
      <c r="H926" s="12">
        <f t="shared" si="100"/>
        <v>0</v>
      </c>
      <c r="I926" s="12">
        <f t="shared" si="98"/>
        <v>31.739130434782741</v>
      </c>
      <c r="J926" s="12">
        <f>I926+E926*(G926*原始输入与口径!$B$5-H926/原始输入与口径!$B$5)</f>
        <v>32.0927753540374</v>
      </c>
      <c r="K926" s="12">
        <v>31.739130434782741</v>
      </c>
      <c r="L926" s="12">
        <v>32.0927753540374</v>
      </c>
      <c r="M926" s="19">
        <f t="shared" si="101"/>
        <v>0</v>
      </c>
      <c r="N926" s="12">
        <f>E926*(G926*原始输入与口径!$B$5+H926/原始输入与口径!$B$5)/原始输入与口径!$H$5</f>
        <v>9.8234699792959881E-4</v>
      </c>
      <c r="O926" s="12">
        <v>9.8234699792959881E-4</v>
      </c>
      <c r="P926" s="19">
        <f t="shared" si="102"/>
        <v>0</v>
      </c>
      <c r="Q926" s="12">
        <f t="shared" si="103"/>
        <v>0.38439665136375606</v>
      </c>
      <c r="R926" s="12">
        <f t="shared" si="104"/>
        <v>0</v>
      </c>
      <c r="S926" s="1">
        <v>383</v>
      </c>
      <c r="T926" s="14">
        <v>46236</v>
      </c>
    </row>
    <row r="927" spans="1:20" ht="21" customHeight="1" x14ac:dyDescent="0.45">
      <c r="A927" s="31">
        <v>46237.989583333336</v>
      </c>
      <c r="B927" s="31">
        <v>46237.989822619049</v>
      </c>
      <c r="C927" s="31">
        <v>46237.989583333336</v>
      </c>
      <c r="D927" s="1" t="s">
        <v>103</v>
      </c>
      <c r="E927" s="12">
        <v>5.7428571428571424E-3</v>
      </c>
      <c r="F927" s="12">
        <f>IF(D927="d",两日求解价格与决策!K392-两日求解价格与决策!N392,IF(D927="u",两日求解价格与决策!K392+两日求解价格与决策!M392,两日求解价格与决策!K392))</f>
        <v>-24</v>
      </c>
      <c r="G927" s="12">
        <f t="shared" si="99"/>
        <v>24</v>
      </c>
      <c r="H927" s="12">
        <f t="shared" si="100"/>
        <v>0</v>
      </c>
      <c r="I927" s="12">
        <f t="shared" si="98"/>
        <v>32.0927753540374</v>
      </c>
      <c r="J927" s="12">
        <f>I927+E927*(G927*原始输入与口径!$B$5-H927/原始输入与口径!$B$5)</f>
        <v>32.219577639751684</v>
      </c>
      <c r="K927" s="12">
        <v>32.0927753540374</v>
      </c>
      <c r="L927" s="12">
        <v>32.219577639751684</v>
      </c>
      <c r="M927" s="19">
        <f t="shared" si="101"/>
        <v>0</v>
      </c>
      <c r="N927" s="12">
        <f>E927*(G927*原始输入与口径!$B$5+H927/原始输入与口径!$B$5)/原始输入与口径!$H$5</f>
        <v>3.5222857142857146E-4</v>
      </c>
      <c r="O927" s="12">
        <v>3.522285714285714E-4</v>
      </c>
      <c r="P927" s="19">
        <f t="shared" si="102"/>
        <v>0</v>
      </c>
      <c r="Q927" s="12">
        <f t="shared" si="103"/>
        <v>0.13782857142857141</v>
      </c>
      <c r="R927" s="12">
        <f t="shared" si="104"/>
        <v>0</v>
      </c>
      <c r="S927" s="1">
        <v>384</v>
      </c>
      <c r="T927" s="14">
        <v>46236</v>
      </c>
    </row>
    <row r="928" spans="1:20" ht="21" customHeight="1" x14ac:dyDescent="0.45">
      <c r="A928" s="31">
        <v>46237.989822619049</v>
      </c>
      <c r="B928" s="31">
        <v>46237.990590000001</v>
      </c>
      <c r="C928" s="31">
        <v>46237.989583333336</v>
      </c>
      <c r="D928" s="1" t="s">
        <v>101</v>
      </c>
      <c r="E928" s="12">
        <v>1.8417142857142858E-2</v>
      </c>
      <c r="F928" s="12">
        <f>IF(D928="d",两日求解价格与决策!K392-两日求解价格与决策!N392,IF(D928="u",两日求解价格与决策!K392+两日求解价格与决策!M392,两日求解价格与决策!K392))</f>
        <v>24</v>
      </c>
      <c r="G928" s="12">
        <f t="shared" si="99"/>
        <v>0</v>
      </c>
      <c r="H928" s="12">
        <f t="shared" si="100"/>
        <v>24</v>
      </c>
      <c r="I928" s="12">
        <f t="shared" si="98"/>
        <v>32.219577639751684</v>
      </c>
      <c r="J928" s="12">
        <f>I928+E928*(G928*原始输入与口径!$B$5-H928/原始输入与口径!$B$5)</f>
        <v>31.739130434782741</v>
      </c>
      <c r="K928" s="12">
        <v>32.219577639751684</v>
      </c>
      <c r="L928" s="12">
        <v>31.739130434782741</v>
      </c>
      <c r="M928" s="19">
        <f t="shared" si="101"/>
        <v>0</v>
      </c>
      <c r="N928" s="12">
        <f>E928*(G928*原始输入与口径!$B$5+H928/原始输入与口径!$B$5)/原始输入与口径!$H$5</f>
        <v>1.3345755693581782E-3</v>
      </c>
      <c r="O928" s="12">
        <v>1.3345755693581782E-3</v>
      </c>
      <c r="P928" s="19">
        <f t="shared" si="102"/>
        <v>0</v>
      </c>
      <c r="Q928" s="12">
        <f t="shared" si="103"/>
        <v>0</v>
      </c>
      <c r="R928" s="12">
        <f t="shared" si="104"/>
        <v>0.44201142857142861</v>
      </c>
      <c r="S928" s="1">
        <v>384</v>
      </c>
      <c r="T928" s="14">
        <v>46236</v>
      </c>
    </row>
    <row r="929" spans="1:20" ht="21" customHeight="1" x14ac:dyDescent="0.45">
      <c r="A929" s="31">
        <v>46237.990590000001</v>
      </c>
      <c r="B929" s="31">
        <v>46238</v>
      </c>
      <c r="C929" s="31">
        <v>46237.989583333336</v>
      </c>
      <c r="D929" s="1" t="s">
        <v>102</v>
      </c>
      <c r="E929" s="12">
        <v>0.22584000000000001</v>
      </c>
      <c r="F929" s="12">
        <f>IF(D929="d",两日求解价格与决策!K392-两日求解价格与决策!N392,IF(D929="u",两日求解价格与决策!K392+两日求解价格与决策!M392,两日求解价格与决策!K392))</f>
        <v>0</v>
      </c>
      <c r="G929" s="12">
        <f t="shared" si="99"/>
        <v>0</v>
      </c>
      <c r="H929" s="12">
        <f t="shared" si="100"/>
        <v>0</v>
      </c>
      <c r="I929" s="12">
        <f t="shared" si="98"/>
        <v>31.739130434782741</v>
      </c>
      <c r="J929" s="12">
        <f>I929+E929*(G929*原始输入与口径!$B$5-H929/原始输入与口径!$B$5)</f>
        <v>31.739130434782741</v>
      </c>
      <c r="K929" s="12">
        <v>31.739130434782741</v>
      </c>
      <c r="L929" s="12">
        <v>31.739130434782741</v>
      </c>
      <c r="M929" s="19">
        <f t="shared" si="101"/>
        <v>0</v>
      </c>
      <c r="N929" s="12">
        <f>E929*(G929*原始输入与口径!$B$5+H929/原始输入与口径!$B$5)/原始输入与口径!$H$5</f>
        <v>0</v>
      </c>
      <c r="O929" s="12">
        <v>0</v>
      </c>
      <c r="P929" s="19">
        <f t="shared" si="102"/>
        <v>0</v>
      </c>
      <c r="Q929" s="12">
        <f t="shared" si="103"/>
        <v>0</v>
      </c>
      <c r="R929" s="12">
        <f t="shared" si="104"/>
        <v>0</v>
      </c>
      <c r="S929" s="1">
        <v>384</v>
      </c>
      <c r="T929" s="14">
        <v>46236</v>
      </c>
    </row>
    <row r="930" spans="1:20" ht="21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21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21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21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</sheetData>
  <phoneticPr fontId="9" type="noConversion"/>
  <conditionalFormatting sqref="M9:M929">
    <cfRule type="expression" dxfId="10" priority="1">
      <formula>ABS(M9)&gt;0.000001</formula>
    </cfRule>
  </conditionalFormatting>
  <conditionalFormatting sqref="P9:P929">
    <cfRule type="expression" dxfId="9" priority="2">
      <formula>ABS(P9)&gt;0.0000001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88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4.25" x14ac:dyDescent="0.45"/>
  <cols>
    <col min="1" max="1" width="27" customWidth="1"/>
    <col min="2" max="2" width="19" customWidth="1"/>
    <col min="3" max="4" width="27" customWidth="1"/>
    <col min="5" max="10" width="19" customWidth="1"/>
    <col min="11" max="12" width="27" customWidth="1"/>
    <col min="13" max="15" width="19" customWidth="1"/>
    <col min="16" max="20" width="38" customWidth="1"/>
    <col min="21" max="21" width="19" customWidth="1"/>
  </cols>
  <sheetData>
    <row r="1" spans="1:21" ht="21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1" customHeight="1" x14ac:dyDescent="0.45">
      <c r="A2" s="2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1" customHeight="1" x14ac:dyDescent="0.45">
      <c r="A3" s="3" t="s">
        <v>106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1" customHeight="1" x14ac:dyDescent="0.45">
      <c r="A4" s="3" t="s">
        <v>107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55.05" customHeight="1" x14ac:dyDescent="0.45">
      <c r="A5" s="32" t="s">
        <v>100</v>
      </c>
      <c r="B5" s="6" t="s">
        <v>108</v>
      </c>
      <c r="C5" s="6" t="s">
        <v>109</v>
      </c>
      <c r="D5" s="6" t="s">
        <v>110</v>
      </c>
      <c r="E5" s="6" t="s">
        <v>111</v>
      </c>
      <c r="F5" s="6" t="s">
        <v>112</v>
      </c>
      <c r="G5" s="6" t="s">
        <v>113</v>
      </c>
      <c r="H5" s="6" t="s">
        <v>114</v>
      </c>
      <c r="I5" s="6" t="s">
        <v>115</v>
      </c>
      <c r="J5" s="6" t="s">
        <v>116</v>
      </c>
      <c r="K5" s="6" t="s">
        <v>117</v>
      </c>
      <c r="L5" s="6" t="s">
        <v>118</v>
      </c>
      <c r="M5" s="6" t="s">
        <v>119</v>
      </c>
      <c r="N5" s="6" t="s">
        <v>120</v>
      </c>
      <c r="O5" s="6" t="s">
        <v>121</v>
      </c>
      <c r="P5" s="6" t="s">
        <v>122</v>
      </c>
      <c r="Q5" s="1"/>
      <c r="R5" s="1"/>
      <c r="S5" s="1"/>
      <c r="T5" s="1"/>
      <c r="U5" s="1"/>
    </row>
    <row r="6" spans="1:21" ht="21" customHeight="1" x14ac:dyDescent="0.45">
      <c r="A6" s="14">
        <v>46235</v>
      </c>
      <c r="B6" s="1">
        <v>577</v>
      </c>
      <c r="C6" s="12">
        <v>31.73913043478267</v>
      </c>
      <c r="D6" s="12">
        <v>31.739130434782815</v>
      </c>
      <c r="E6" s="12">
        <v>31.739130434782549</v>
      </c>
      <c r="F6" s="12">
        <v>208618.55234530091</v>
      </c>
      <c r="G6" s="12">
        <v>2390.1374999999935</v>
      </c>
      <c r="H6" s="12">
        <f>F6+G6</f>
        <v>211008.68984530089</v>
      </c>
      <c r="I6" s="12">
        <v>211008.68984530109</v>
      </c>
      <c r="J6" s="19">
        <f>H6-I6</f>
        <v>0</v>
      </c>
      <c r="K6" s="1">
        <v>882</v>
      </c>
      <c r="L6" s="1">
        <v>72</v>
      </c>
      <c r="M6" s="1">
        <v>238</v>
      </c>
      <c r="N6" s="1">
        <v>1717</v>
      </c>
      <c r="O6" s="33">
        <v>0</v>
      </c>
      <c r="P6" s="1" t="s">
        <v>123</v>
      </c>
      <c r="Q6" s="1"/>
      <c r="R6" s="1"/>
      <c r="S6" s="1"/>
      <c r="T6" s="1"/>
      <c r="U6" s="1"/>
    </row>
    <row r="7" spans="1:21" ht="21" customHeight="1" x14ac:dyDescent="0.45">
      <c r="A7" s="14">
        <v>46236</v>
      </c>
      <c r="B7" s="1">
        <v>578</v>
      </c>
      <c r="C7" s="12">
        <v>31.739130434782815</v>
      </c>
      <c r="D7" s="12">
        <v>31.739130434782549</v>
      </c>
      <c r="E7" s="12">
        <v>31.739130434782741</v>
      </c>
      <c r="F7" s="12">
        <v>225814.36398366926</v>
      </c>
      <c r="G7" s="12">
        <v>3553.4750000000217</v>
      </c>
      <c r="H7" s="12">
        <f>F7+G7</f>
        <v>229367.83898366929</v>
      </c>
      <c r="I7" s="12">
        <v>229367.83898366956</v>
      </c>
      <c r="J7" s="19">
        <f>H7-I7</f>
        <v>-2.6193447411060333E-10</v>
      </c>
      <c r="K7" s="1">
        <v>812</v>
      </c>
      <c r="L7" s="1">
        <v>68</v>
      </c>
      <c r="M7" s="1">
        <v>216</v>
      </c>
      <c r="N7" s="1">
        <v>1583</v>
      </c>
      <c r="O7" s="33">
        <v>5.4169448201421263E-6</v>
      </c>
      <c r="P7" s="1" t="s">
        <v>123</v>
      </c>
      <c r="Q7" s="1"/>
      <c r="R7" s="1"/>
      <c r="S7" s="1"/>
      <c r="T7" s="1"/>
      <c r="U7" s="1"/>
    </row>
    <row r="8" spans="1:21" ht="21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21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21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21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55.05" customHeight="1" x14ac:dyDescent="0.45">
      <c r="A12" s="6" t="s">
        <v>100</v>
      </c>
      <c r="B12" s="6" t="s">
        <v>124</v>
      </c>
      <c r="C12" s="6" t="s">
        <v>125</v>
      </c>
      <c r="D12" s="6" t="s">
        <v>126</v>
      </c>
      <c r="E12" s="6" t="s">
        <v>127</v>
      </c>
      <c r="F12" s="6" t="s">
        <v>128</v>
      </c>
      <c r="G12" s="6" t="s">
        <v>129</v>
      </c>
      <c r="H12" s="6" t="s">
        <v>130</v>
      </c>
      <c r="I12" s="6" t="s">
        <v>131</v>
      </c>
      <c r="J12" s="6" t="s">
        <v>132</v>
      </c>
      <c r="K12" s="6" t="s">
        <v>133</v>
      </c>
      <c r="L12" s="6" t="s">
        <v>134</v>
      </c>
      <c r="M12" s="6" t="s">
        <v>135</v>
      </c>
      <c r="N12" s="6" t="s">
        <v>136</v>
      </c>
      <c r="O12" s="6" t="s">
        <v>137</v>
      </c>
      <c r="P12" s="6" t="s">
        <v>138</v>
      </c>
      <c r="Q12" s="6" t="s">
        <v>139</v>
      </c>
      <c r="R12" s="6" t="s">
        <v>140</v>
      </c>
      <c r="S12" s="6" t="s">
        <v>141</v>
      </c>
      <c r="T12" s="6" t="s">
        <v>142</v>
      </c>
      <c r="U12" s="1"/>
    </row>
    <row r="13" spans="1:21" ht="21" customHeight="1" x14ac:dyDescent="0.45">
      <c r="A13" s="14">
        <v>46235</v>
      </c>
      <c r="B13" s="1" t="s">
        <v>143</v>
      </c>
      <c r="C13" s="13">
        <v>46235</v>
      </c>
      <c r="D13" s="13">
        <v>46235.010416666664</v>
      </c>
      <c r="E13" s="1" t="s">
        <v>144</v>
      </c>
      <c r="F13" s="12">
        <v>-23.999999999999812</v>
      </c>
      <c r="G13" s="12">
        <v>100</v>
      </c>
      <c r="H13" s="18"/>
      <c r="I13" s="12"/>
      <c r="J13" s="12"/>
      <c r="K13" s="13">
        <v>46234.541666666664</v>
      </c>
      <c r="L13" s="13">
        <v>46234.583333333336</v>
      </c>
      <c r="M13" s="1" t="s">
        <v>145</v>
      </c>
      <c r="N13" s="1"/>
      <c r="O13" s="1"/>
      <c r="P13" s="1" t="s">
        <v>146</v>
      </c>
      <c r="Q13" s="1" t="s">
        <v>147</v>
      </c>
      <c r="R13" s="1">
        <v>46234.875</v>
      </c>
      <c r="S13" s="1"/>
      <c r="T13" s="1" t="s">
        <v>148</v>
      </c>
      <c r="U13" s="1"/>
    </row>
    <row r="14" spans="1:21" ht="21" customHeight="1" x14ac:dyDescent="0.45">
      <c r="A14" s="14">
        <v>46235</v>
      </c>
      <c r="B14" s="1" t="s">
        <v>149</v>
      </c>
      <c r="C14" s="13">
        <v>46235</v>
      </c>
      <c r="D14" s="13">
        <v>46235.041666666664</v>
      </c>
      <c r="E14" s="1" t="s">
        <v>144</v>
      </c>
      <c r="F14" s="12">
        <v>40</v>
      </c>
      <c r="G14" s="12">
        <v>40</v>
      </c>
      <c r="H14" s="18">
        <v>0.3125</v>
      </c>
      <c r="I14" s="12">
        <v>128</v>
      </c>
      <c r="J14" s="12">
        <v>40</v>
      </c>
      <c r="K14" s="13">
        <v>46234.375</v>
      </c>
      <c r="L14" s="13">
        <v>46234.416666666664</v>
      </c>
      <c r="M14" s="1" t="s">
        <v>145</v>
      </c>
      <c r="N14" s="1" t="s">
        <v>150</v>
      </c>
      <c r="O14" s="1" t="s">
        <v>151</v>
      </c>
      <c r="P14" s="1" t="s">
        <v>152</v>
      </c>
      <c r="Q14" s="1" t="s">
        <v>147</v>
      </c>
      <c r="R14" s="1">
        <v>46234.875</v>
      </c>
      <c r="S14" s="1" t="s">
        <v>153</v>
      </c>
      <c r="T14" s="1" t="s">
        <v>148</v>
      </c>
      <c r="U14" s="1"/>
    </row>
    <row r="15" spans="1:21" ht="21" customHeight="1" x14ac:dyDescent="0.45">
      <c r="A15" s="14">
        <v>46235</v>
      </c>
      <c r="B15" s="1" t="s">
        <v>103</v>
      </c>
      <c r="C15" s="13">
        <v>46235</v>
      </c>
      <c r="D15" s="13">
        <v>46235.041666666664</v>
      </c>
      <c r="E15" s="1" t="s">
        <v>144</v>
      </c>
      <c r="F15" s="12">
        <v>24</v>
      </c>
      <c r="G15" s="12">
        <v>24</v>
      </c>
      <c r="H15" s="18">
        <v>0.13714285714285715</v>
      </c>
      <c r="I15" s="12">
        <v>175</v>
      </c>
      <c r="J15" s="12">
        <v>24</v>
      </c>
      <c r="K15" s="13">
        <v>46234.375</v>
      </c>
      <c r="L15" s="13">
        <v>46234.416666666664</v>
      </c>
      <c r="M15" s="1" t="s">
        <v>145</v>
      </c>
      <c r="N15" s="1" t="s">
        <v>154</v>
      </c>
      <c r="O15" s="1" t="s">
        <v>151</v>
      </c>
      <c r="P15" s="1" t="s">
        <v>155</v>
      </c>
      <c r="Q15" s="1" t="s">
        <v>147</v>
      </c>
      <c r="R15" s="1">
        <v>46234.875</v>
      </c>
      <c r="S15" s="1"/>
      <c r="T15" s="1" t="s">
        <v>148</v>
      </c>
      <c r="U15" s="1"/>
    </row>
    <row r="16" spans="1:21" ht="21" customHeight="1" x14ac:dyDescent="0.45">
      <c r="A16" s="14">
        <v>46235</v>
      </c>
      <c r="B16" s="1" t="s">
        <v>101</v>
      </c>
      <c r="C16" s="13">
        <v>46235</v>
      </c>
      <c r="D16" s="13">
        <v>46235.041666666664</v>
      </c>
      <c r="E16" s="1" t="s">
        <v>144</v>
      </c>
      <c r="F16" s="12">
        <v>24</v>
      </c>
      <c r="G16" s="12">
        <v>24</v>
      </c>
      <c r="H16" s="18">
        <v>0.13714285714285715</v>
      </c>
      <c r="I16" s="12">
        <v>175</v>
      </c>
      <c r="J16" s="12">
        <v>24</v>
      </c>
      <c r="K16" s="13">
        <v>46234.375</v>
      </c>
      <c r="L16" s="13">
        <v>46234.416666666664</v>
      </c>
      <c r="M16" s="1" t="s">
        <v>145</v>
      </c>
      <c r="N16" s="1" t="s">
        <v>154</v>
      </c>
      <c r="O16" s="1" t="s">
        <v>151</v>
      </c>
      <c r="P16" s="1" t="s">
        <v>156</v>
      </c>
      <c r="Q16" s="1" t="s">
        <v>147</v>
      </c>
      <c r="R16" s="1">
        <v>46234.875</v>
      </c>
      <c r="S16" s="1"/>
      <c r="T16" s="1" t="s">
        <v>148</v>
      </c>
      <c r="U16" s="1"/>
    </row>
    <row r="17" spans="1:21" ht="21" customHeight="1" x14ac:dyDescent="0.45">
      <c r="A17" s="14">
        <v>46235</v>
      </c>
      <c r="B17" s="1" t="s">
        <v>143</v>
      </c>
      <c r="C17" s="13">
        <v>46235.010416666664</v>
      </c>
      <c r="D17" s="13">
        <v>46235.020833333336</v>
      </c>
      <c r="E17" s="1" t="s">
        <v>144</v>
      </c>
      <c r="F17" s="12">
        <v>0</v>
      </c>
      <c r="G17" s="12">
        <v>100</v>
      </c>
      <c r="H17" s="18"/>
      <c r="I17" s="12"/>
      <c r="J17" s="12"/>
      <c r="K17" s="13">
        <v>46234.541666666664</v>
      </c>
      <c r="L17" s="13">
        <v>46234.583333333336</v>
      </c>
      <c r="M17" s="1" t="s">
        <v>145</v>
      </c>
      <c r="N17" s="1"/>
      <c r="O17" s="1"/>
      <c r="P17" s="1" t="s">
        <v>157</v>
      </c>
      <c r="Q17" s="1" t="s">
        <v>147</v>
      </c>
      <c r="R17" s="1">
        <v>46234.885416666664</v>
      </c>
      <c r="S17" s="1"/>
      <c r="T17" s="1" t="s">
        <v>148</v>
      </c>
      <c r="U17" s="1"/>
    </row>
    <row r="18" spans="1:21" ht="21" customHeight="1" x14ac:dyDescent="0.45">
      <c r="A18" s="14">
        <v>46235</v>
      </c>
      <c r="B18" s="1" t="s">
        <v>143</v>
      </c>
      <c r="C18" s="13">
        <v>46235.020833333336</v>
      </c>
      <c r="D18" s="13">
        <v>46235.03125</v>
      </c>
      <c r="E18" s="1" t="s">
        <v>144</v>
      </c>
      <c r="F18" s="12">
        <v>-24</v>
      </c>
      <c r="G18" s="12">
        <v>100</v>
      </c>
      <c r="H18" s="18"/>
      <c r="I18" s="12"/>
      <c r="J18" s="12"/>
      <c r="K18" s="13">
        <v>46234.541666666664</v>
      </c>
      <c r="L18" s="13">
        <v>46234.583333333336</v>
      </c>
      <c r="M18" s="1" t="s">
        <v>145</v>
      </c>
      <c r="N18" s="1"/>
      <c r="O18" s="1"/>
      <c r="P18" s="1" t="s">
        <v>158</v>
      </c>
      <c r="Q18" s="1" t="s">
        <v>147</v>
      </c>
      <c r="R18" s="1">
        <v>46234.895833333336</v>
      </c>
      <c r="S18" s="1"/>
      <c r="T18" s="1" t="s">
        <v>148</v>
      </c>
      <c r="U18" s="1"/>
    </row>
    <row r="19" spans="1:21" ht="21" customHeight="1" x14ac:dyDescent="0.45">
      <c r="A19" s="14">
        <v>46235</v>
      </c>
      <c r="B19" s="1" t="s">
        <v>143</v>
      </c>
      <c r="C19" s="13">
        <v>46235.03125</v>
      </c>
      <c r="D19" s="13">
        <v>46235.041666666664</v>
      </c>
      <c r="E19" s="1" t="s">
        <v>144</v>
      </c>
      <c r="F19" s="12">
        <v>-24</v>
      </c>
      <c r="G19" s="12">
        <v>100</v>
      </c>
      <c r="H19" s="18"/>
      <c r="I19" s="12"/>
      <c r="J19" s="12"/>
      <c r="K19" s="13">
        <v>46234.541666666664</v>
      </c>
      <c r="L19" s="13">
        <v>46234.583333333336</v>
      </c>
      <c r="M19" s="1" t="s">
        <v>145</v>
      </c>
      <c r="N19" s="1"/>
      <c r="O19" s="1"/>
      <c r="P19" s="1" t="s">
        <v>159</v>
      </c>
      <c r="Q19" s="1" t="s">
        <v>147</v>
      </c>
      <c r="R19" s="1">
        <v>46234.90625</v>
      </c>
      <c r="S19" s="1"/>
      <c r="T19" s="1" t="s">
        <v>148</v>
      </c>
      <c r="U19" s="1"/>
    </row>
    <row r="20" spans="1:21" ht="21" customHeight="1" x14ac:dyDescent="0.45">
      <c r="A20" s="14">
        <v>46235</v>
      </c>
      <c r="B20" s="1" t="s">
        <v>143</v>
      </c>
      <c r="C20" s="13">
        <v>46235.041666666664</v>
      </c>
      <c r="D20" s="13">
        <v>46235.052083333336</v>
      </c>
      <c r="E20" s="1" t="s">
        <v>144</v>
      </c>
      <c r="F20" s="12">
        <v>20.338412182013151</v>
      </c>
      <c r="G20" s="12">
        <v>100</v>
      </c>
      <c r="H20" s="18"/>
      <c r="I20" s="12"/>
      <c r="J20" s="12"/>
      <c r="K20" s="13">
        <v>46234.541666666664</v>
      </c>
      <c r="L20" s="13">
        <v>46234.583333333336</v>
      </c>
      <c r="M20" s="1" t="s">
        <v>145</v>
      </c>
      <c r="N20" s="1"/>
      <c r="O20" s="1"/>
      <c r="P20" s="1" t="s">
        <v>160</v>
      </c>
      <c r="Q20" s="1" t="s">
        <v>147</v>
      </c>
      <c r="R20" s="1">
        <v>46234.916666666664</v>
      </c>
      <c r="S20" s="1"/>
      <c r="T20" s="1" t="s">
        <v>148</v>
      </c>
      <c r="U20" s="1"/>
    </row>
    <row r="21" spans="1:21" ht="21" customHeight="1" x14ac:dyDescent="0.45">
      <c r="A21" s="14">
        <v>46235</v>
      </c>
      <c r="B21" s="1" t="s">
        <v>149</v>
      </c>
      <c r="C21" s="13">
        <v>46235.041666666664</v>
      </c>
      <c r="D21" s="13">
        <v>46235.083333333336</v>
      </c>
      <c r="E21" s="1" t="s">
        <v>144</v>
      </c>
      <c r="F21" s="12">
        <v>40</v>
      </c>
      <c r="G21" s="12">
        <v>40</v>
      </c>
      <c r="H21" s="18">
        <v>0.3125</v>
      </c>
      <c r="I21" s="12">
        <v>128</v>
      </c>
      <c r="J21" s="12">
        <v>40</v>
      </c>
      <c r="K21" s="13">
        <v>46234.375</v>
      </c>
      <c r="L21" s="13">
        <v>46234.416666666664</v>
      </c>
      <c r="M21" s="1" t="s">
        <v>145</v>
      </c>
      <c r="N21" s="1" t="s">
        <v>150</v>
      </c>
      <c r="O21" s="1" t="s">
        <v>151</v>
      </c>
      <c r="P21" s="1" t="s">
        <v>161</v>
      </c>
      <c r="Q21" s="1" t="s">
        <v>147</v>
      </c>
      <c r="R21" s="1">
        <v>46234.916666666664</v>
      </c>
      <c r="S21" s="1" t="s">
        <v>153</v>
      </c>
      <c r="T21" s="1" t="s">
        <v>148</v>
      </c>
      <c r="U21" s="1"/>
    </row>
    <row r="22" spans="1:21" ht="21" customHeight="1" x14ac:dyDescent="0.45">
      <c r="A22" s="14">
        <v>46235</v>
      </c>
      <c r="B22" s="1" t="s">
        <v>103</v>
      </c>
      <c r="C22" s="13">
        <v>46235.041666666664</v>
      </c>
      <c r="D22" s="13">
        <v>46235.083333333336</v>
      </c>
      <c r="E22" s="1" t="s">
        <v>144</v>
      </c>
      <c r="F22" s="12">
        <v>24</v>
      </c>
      <c r="G22" s="12">
        <v>24</v>
      </c>
      <c r="H22" s="18">
        <v>0.13714285714285715</v>
      </c>
      <c r="I22" s="12">
        <v>175</v>
      </c>
      <c r="J22" s="12">
        <v>24</v>
      </c>
      <c r="K22" s="13">
        <v>46234.375</v>
      </c>
      <c r="L22" s="13">
        <v>46234.416666666664</v>
      </c>
      <c r="M22" s="1" t="s">
        <v>145</v>
      </c>
      <c r="N22" s="1" t="s">
        <v>154</v>
      </c>
      <c r="O22" s="1" t="s">
        <v>151</v>
      </c>
      <c r="P22" s="1" t="s">
        <v>162</v>
      </c>
      <c r="Q22" s="1" t="s">
        <v>147</v>
      </c>
      <c r="R22" s="1">
        <v>46234.916666666664</v>
      </c>
      <c r="S22" s="1"/>
      <c r="T22" s="1" t="s">
        <v>148</v>
      </c>
      <c r="U22" s="1"/>
    </row>
    <row r="23" spans="1:21" ht="21" customHeight="1" x14ac:dyDescent="0.45">
      <c r="A23" s="14">
        <v>46235</v>
      </c>
      <c r="B23" s="1" t="s">
        <v>101</v>
      </c>
      <c r="C23" s="13">
        <v>46235.041666666664</v>
      </c>
      <c r="D23" s="13">
        <v>46235.083333333336</v>
      </c>
      <c r="E23" s="1" t="s">
        <v>144</v>
      </c>
      <c r="F23" s="12">
        <v>24</v>
      </c>
      <c r="G23" s="12">
        <v>24</v>
      </c>
      <c r="H23" s="18">
        <v>0.13714285714285715</v>
      </c>
      <c r="I23" s="12">
        <v>175</v>
      </c>
      <c r="J23" s="12">
        <v>24</v>
      </c>
      <c r="K23" s="13">
        <v>46234.375</v>
      </c>
      <c r="L23" s="13">
        <v>46234.416666666664</v>
      </c>
      <c r="M23" s="1" t="s">
        <v>145</v>
      </c>
      <c r="N23" s="1" t="s">
        <v>154</v>
      </c>
      <c r="O23" s="1" t="s">
        <v>151</v>
      </c>
      <c r="P23" s="1" t="s">
        <v>163</v>
      </c>
      <c r="Q23" s="1" t="s">
        <v>147</v>
      </c>
      <c r="R23" s="1">
        <v>46234.916666666664</v>
      </c>
      <c r="S23" s="1"/>
      <c r="T23" s="1" t="s">
        <v>148</v>
      </c>
      <c r="U23" s="1"/>
    </row>
    <row r="24" spans="1:21" ht="21" customHeight="1" x14ac:dyDescent="0.45">
      <c r="A24" s="14">
        <v>46235</v>
      </c>
      <c r="B24" s="1" t="s">
        <v>143</v>
      </c>
      <c r="C24" s="13">
        <v>46235.052083333336</v>
      </c>
      <c r="D24" s="13">
        <v>46235.0625</v>
      </c>
      <c r="E24" s="1" t="s">
        <v>144</v>
      </c>
      <c r="F24" s="12">
        <v>0</v>
      </c>
      <c r="G24" s="12">
        <v>100</v>
      </c>
      <c r="H24" s="18"/>
      <c r="I24" s="12"/>
      <c r="J24" s="12"/>
      <c r="K24" s="13">
        <v>46234.541666666664</v>
      </c>
      <c r="L24" s="13">
        <v>46234.583333333336</v>
      </c>
      <c r="M24" s="1" t="s">
        <v>145</v>
      </c>
      <c r="N24" s="1"/>
      <c r="O24" s="1"/>
      <c r="P24" s="1" t="s">
        <v>164</v>
      </c>
      <c r="Q24" s="1" t="s">
        <v>147</v>
      </c>
      <c r="R24" s="1">
        <v>46234.927083333336</v>
      </c>
      <c r="S24" s="1"/>
      <c r="T24" s="1" t="s">
        <v>148</v>
      </c>
      <c r="U24" s="1"/>
    </row>
    <row r="25" spans="1:21" ht="21" customHeight="1" x14ac:dyDescent="0.45">
      <c r="A25" s="14">
        <v>46235</v>
      </c>
      <c r="B25" s="1" t="s">
        <v>143</v>
      </c>
      <c r="C25" s="13">
        <v>46235.0625</v>
      </c>
      <c r="D25" s="13">
        <v>46235.072916666664</v>
      </c>
      <c r="E25" s="1" t="s">
        <v>144</v>
      </c>
      <c r="F25" s="12">
        <v>0</v>
      </c>
      <c r="G25" s="12">
        <v>100</v>
      </c>
      <c r="H25" s="18"/>
      <c r="I25" s="12"/>
      <c r="J25" s="12"/>
      <c r="K25" s="13">
        <v>46234.541666666664</v>
      </c>
      <c r="L25" s="13">
        <v>46234.583333333336</v>
      </c>
      <c r="M25" s="1" t="s">
        <v>145</v>
      </c>
      <c r="N25" s="1"/>
      <c r="O25" s="1"/>
      <c r="P25" s="1" t="s">
        <v>165</v>
      </c>
      <c r="Q25" s="1" t="s">
        <v>147</v>
      </c>
      <c r="R25" s="1">
        <v>46234.9375</v>
      </c>
      <c r="S25" s="1"/>
      <c r="T25" s="1" t="s">
        <v>148</v>
      </c>
      <c r="U25" s="1"/>
    </row>
    <row r="26" spans="1:21" ht="21" customHeight="1" x14ac:dyDescent="0.45">
      <c r="A26" s="14">
        <v>46235</v>
      </c>
      <c r="B26" s="1" t="s">
        <v>143</v>
      </c>
      <c r="C26" s="13">
        <v>46235.072916666664</v>
      </c>
      <c r="D26" s="13">
        <v>46235.083333333336</v>
      </c>
      <c r="E26" s="1" t="s">
        <v>144</v>
      </c>
      <c r="F26" s="12">
        <v>-24</v>
      </c>
      <c r="G26" s="12">
        <v>100</v>
      </c>
      <c r="H26" s="18"/>
      <c r="I26" s="12"/>
      <c r="J26" s="12"/>
      <c r="K26" s="13">
        <v>46234.541666666664</v>
      </c>
      <c r="L26" s="13">
        <v>46234.583333333336</v>
      </c>
      <c r="M26" s="1" t="s">
        <v>145</v>
      </c>
      <c r="N26" s="1"/>
      <c r="O26" s="1"/>
      <c r="P26" s="1" t="s">
        <v>166</v>
      </c>
      <c r="Q26" s="1" t="s">
        <v>147</v>
      </c>
      <c r="R26" s="1">
        <v>46234.947916666664</v>
      </c>
      <c r="S26" s="1"/>
      <c r="T26" s="1" t="s">
        <v>148</v>
      </c>
      <c r="U26" s="1"/>
    </row>
    <row r="27" spans="1:21" ht="21" customHeight="1" x14ac:dyDescent="0.45">
      <c r="A27" s="14">
        <v>46235</v>
      </c>
      <c r="B27" s="1" t="s">
        <v>143</v>
      </c>
      <c r="C27" s="13">
        <v>46235.083333333336</v>
      </c>
      <c r="D27" s="13">
        <v>46235.09375</v>
      </c>
      <c r="E27" s="1" t="s">
        <v>144</v>
      </c>
      <c r="F27" s="12">
        <v>0</v>
      </c>
      <c r="G27" s="12">
        <v>100</v>
      </c>
      <c r="H27" s="18"/>
      <c r="I27" s="12"/>
      <c r="J27" s="12"/>
      <c r="K27" s="13">
        <v>46234.541666666664</v>
      </c>
      <c r="L27" s="13">
        <v>46234.583333333336</v>
      </c>
      <c r="M27" s="1" t="s">
        <v>145</v>
      </c>
      <c r="N27" s="1"/>
      <c r="O27" s="1"/>
      <c r="P27" s="1" t="s">
        <v>167</v>
      </c>
      <c r="Q27" s="1" t="s">
        <v>147</v>
      </c>
      <c r="R27" s="1">
        <v>46234.958333333336</v>
      </c>
      <c r="S27" s="1"/>
      <c r="T27" s="1" t="s">
        <v>148</v>
      </c>
      <c r="U27" s="1"/>
    </row>
    <row r="28" spans="1:21" ht="21" customHeight="1" x14ac:dyDescent="0.45">
      <c r="A28" s="14">
        <v>46235</v>
      </c>
      <c r="B28" s="1" t="s">
        <v>149</v>
      </c>
      <c r="C28" s="13">
        <v>46235.083333333336</v>
      </c>
      <c r="D28" s="13">
        <v>46235.125</v>
      </c>
      <c r="E28" s="1" t="s">
        <v>144</v>
      </c>
      <c r="F28" s="12">
        <v>40</v>
      </c>
      <c r="G28" s="12">
        <v>40</v>
      </c>
      <c r="H28" s="18">
        <v>0.3125</v>
      </c>
      <c r="I28" s="12">
        <v>128</v>
      </c>
      <c r="J28" s="12">
        <v>40</v>
      </c>
      <c r="K28" s="13">
        <v>46234.375</v>
      </c>
      <c r="L28" s="13">
        <v>46234.416666666664</v>
      </c>
      <c r="M28" s="1" t="s">
        <v>145</v>
      </c>
      <c r="N28" s="1" t="s">
        <v>150</v>
      </c>
      <c r="O28" s="1" t="s">
        <v>151</v>
      </c>
      <c r="P28" s="1" t="s">
        <v>168</v>
      </c>
      <c r="Q28" s="1" t="s">
        <v>147</v>
      </c>
      <c r="R28" s="1">
        <v>46234.958333333336</v>
      </c>
      <c r="S28" s="1" t="s">
        <v>153</v>
      </c>
      <c r="T28" s="1" t="s">
        <v>148</v>
      </c>
      <c r="U28" s="1"/>
    </row>
    <row r="29" spans="1:21" ht="21" customHeight="1" x14ac:dyDescent="0.45">
      <c r="A29" s="14">
        <v>46235</v>
      </c>
      <c r="B29" s="1" t="s">
        <v>103</v>
      </c>
      <c r="C29" s="13">
        <v>46235.083333333336</v>
      </c>
      <c r="D29" s="13">
        <v>46235.125</v>
      </c>
      <c r="E29" s="1" t="s">
        <v>144</v>
      </c>
      <c r="F29" s="12">
        <v>24</v>
      </c>
      <c r="G29" s="12">
        <v>24</v>
      </c>
      <c r="H29" s="18">
        <v>0.13714285714285715</v>
      </c>
      <c r="I29" s="12">
        <v>175</v>
      </c>
      <c r="J29" s="12">
        <v>24</v>
      </c>
      <c r="K29" s="13">
        <v>46234.375</v>
      </c>
      <c r="L29" s="13">
        <v>46234.416666666664</v>
      </c>
      <c r="M29" s="1" t="s">
        <v>145</v>
      </c>
      <c r="N29" s="1" t="s">
        <v>154</v>
      </c>
      <c r="O29" s="1" t="s">
        <v>151</v>
      </c>
      <c r="P29" s="1" t="s">
        <v>169</v>
      </c>
      <c r="Q29" s="1" t="s">
        <v>147</v>
      </c>
      <c r="R29" s="1">
        <v>46234.958333333336</v>
      </c>
      <c r="S29" s="1"/>
      <c r="T29" s="1" t="s">
        <v>148</v>
      </c>
      <c r="U29" s="1"/>
    </row>
    <row r="30" spans="1:21" ht="21" customHeight="1" x14ac:dyDescent="0.45">
      <c r="A30" s="14">
        <v>46235</v>
      </c>
      <c r="B30" s="1" t="s">
        <v>101</v>
      </c>
      <c r="C30" s="13">
        <v>46235.083333333336</v>
      </c>
      <c r="D30" s="13">
        <v>46235.125</v>
      </c>
      <c r="E30" s="1" t="s">
        <v>144</v>
      </c>
      <c r="F30" s="12">
        <v>24</v>
      </c>
      <c r="G30" s="12">
        <v>24</v>
      </c>
      <c r="H30" s="18">
        <v>0.13714285714285715</v>
      </c>
      <c r="I30" s="12">
        <v>175</v>
      </c>
      <c r="J30" s="12">
        <v>24</v>
      </c>
      <c r="K30" s="13">
        <v>46234.375</v>
      </c>
      <c r="L30" s="13">
        <v>46234.416666666664</v>
      </c>
      <c r="M30" s="1" t="s">
        <v>145</v>
      </c>
      <c r="N30" s="1" t="s">
        <v>154</v>
      </c>
      <c r="O30" s="1" t="s">
        <v>151</v>
      </c>
      <c r="P30" s="1" t="s">
        <v>170</v>
      </c>
      <c r="Q30" s="1" t="s">
        <v>147</v>
      </c>
      <c r="R30" s="1">
        <v>46234.958333333336</v>
      </c>
      <c r="S30" s="1"/>
      <c r="T30" s="1" t="s">
        <v>148</v>
      </c>
      <c r="U30" s="1"/>
    </row>
    <row r="31" spans="1:21" ht="21" customHeight="1" x14ac:dyDescent="0.45">
      <c r="A31" s="14">
        <v>46235</v>
      </c>
      <c r="B31" s="1" t="s">
        <v>143</v>
      </c>
      <c r="C31" s="13">
        <v>46235.09375</v>
      </c>
      <c r="D31" s="13">
        <v>46235.104166666664</v>
      </c>
      <c r="E31" s="1" t="s">
        <v>144</v>
      </c>
      <c r="F31" s="12">
        <v>0</v>
      </c>
      <c r="G31" s="12">
        <v>100</v>
      </c>
      <c r="H31" s="18"/>
      <c r="I31" s="12"/>
      <c r="J31" s="12"/>
      <c r="K31" s="13">
        <v>46234.541666666664</v>
      </c>
      <c r="L31" s="13">
        <v>46234.583333333336</v>
      </c>
      <c r="M31" s="1" t="s">
        <v>145</v>
      </c>
      <c r="N31" s="1"/>
      <c r="O31" s="1"/>
      <c r="P31" s="1" t="s">
        <v>171</v>
      </c>
      <c r="Q31" s="1" t="s">
        <v>147</v>
      </c>
      <c r="R31" s="1">
        <v>46234.96875</v>
      </c>
      <c r="S31" s="1"/>
      <c r="T31" s="1" t="s">
        <v>148</v>
      </c>
      <c r="U31" s="1"/>
    </row>
    <row r="32" spans="1:21" ht="21" customHeight="1" x14ac:dyDescent="0.45">
      <c r="A32" s="14">
        <v>46235</v>
      </c>
      <c r="B32" s="1" t="s">
        <v>143</v>
      </c>
      <c r="C32" s="13">
        <v>46235.104166666664</v>
      </c>
      <c r="D32" s="13">
        <v>46235.114583333336</v>
      </c>
      <c r="E32" s="1" t="s">
        <v>144</v>
      </c>
      <c r="F32" s="12">
        <v>-1.0887785489005744</v>
      </c>
      <c r="G32" s="12">
        <v>100</v>
      </c>
      <c r="H32" s="18"/>
      <c r="I32" s="12"/>
      <c r="J32" s="12"/>
      <c r="K32" s="13">
        <v>46234.541666666664</v>
      </c>
      <c r="L32" s="13">
        <v>46234.583333333336</v>
      </c>
      <c r="M32" s="1" t="s">
        <v>145</v>
      </c>
      <c r="N32" s="1"/>
      <c r="O32" s="1"/>
      <c r="P32" s="1" t="s">
        <v>172</v>
      </c>
      <c r="Q32" s="1" t="s">
        <v>147</v>
      </c>
      <c r="R32" s="1">
        <v>46234.979166666664</v>
      </c>
      <c r="S32" s="1"/>
      <c r="T32" s="1" t="s">
        <v>148</v>
      </c>
      <c r="U32" s="1"/>
    </row>
    <row r="33" spans="1:21" ht="21" customHeight="1" x14ac:dyDescent="0.45">
      <c r="A33" s="14">
        <v>46235</v>
      </c>
      <c r="B33" s="1" t="s">
        <v>143</v>
      </c>
      <c r="C33" s="13">
        <v>46235.114583333336</v>
      </c>
      <c r="D33" s="13">
        <v>46235.125</v>
      </c>
      <c r="E33" s="1" t="s">
        <v>144</v>
      </c>
      <c r="F33" s="12">
        <v>-4.2700643780118552</v>
      </c>
      <c r="G33" s="12">
        <v>100</v>
      </c>
      <c r="H33" s="18"/>
      <c r="I33" s="12"/>
      <c r="J33" s="12"/>
      <c r="K33" s="13">
        <v>46234.541666666664</v>
      </c>
      <c r="L33" s="13">
        <v>46234.583333333336</v>
      </c>
      <c r="M33" s="1" t="s">
        <v>145</v>
      </c>
      <c r="N33" s="1"/>
      <c r="O33" s="1"/>
      <c r="P33" s="1" t="s">
        <v>173</v>
      </c>
      <c r="Q33" s="1" t="s">
        <v>147</v>
      </c>
      <c r="R33" s="1">
        <v>46234.989583333336</v>
      </c>
      <c r="S33" s="1"/>
      <c r="T33" s="1" t="s">
        <v>148</v>
      </c>
      <c r="U33" s="1"/>
    </row>
    <row r="34" spans="1:21" ht="21" customHeight="1" x14ac:dyDescent="0.45">
      <c r="A34" s="14">
        <v>46235</v>
      </c>
      <c r="B34" s="1" t="s">
        <v>143</v>
      </c>
      <c r="C34" s="13">
        <v>46235.125</v>
      </c>
      <c r="D34" s="13">
        <v>46235.135416666664</v>
      </c>
      <c r="E34" s="1" t="s">
        <v>144</v>
      </c>
      <c r="F34" s="12">
        <v>-16.316391807587021</v>
      </c>
      <c r="G34" s="12">
        <v>100</v>
      </c>
      <c r="H34" s="18"/>
      <c r="I34" s="12"/>
      <c r="J34" s="12"/>
      <c r="K34" s="13">
        <v>46234.541666666664</v>
      </c>
      <c r="L34" s="13">
        <v>46234.583333333336</v>
      </c>
      <c r="M34" s="1" t="s">
        <v>145</v>
      </c>
      <c r="N34" s="1"/>
      <c r="O34" s="1"/>
      <c r="P34" s="1" t="s">
        <v>174</v>
      </c>
      <c r="Q34" s="1" t="s">
        <v>147</v>
      </c>
      <c r="R34" s="1">
        <v>46235</v>
      </c>
      <c r="S34" s="1"/>
      <c r="T34" s="1" t="s">
        <v>148</v>
      </c>
      <c r="U34" s="1"/>
    </row>
    <row r="35" spans="1:21" ht="21" customHeight="1" x14ac:dyDescent="0.45">
      <c r="A35" s="14">
        <v>46235</v>
      </c>
      <c r="B35" s="1" t="s">
        <v>149</v>
      </c>
      <c r="C35" s="13">
        <v>46235.125</v>
      </c>
      <c r="D35" s="13">
        <v>46235.166666666664</v>
      </c>
      <c r="E35" s="1" t="s">
        <v>144</v>
      </c>
      <c r="F35" s="12">
        <v>40</v>
      </c>
      <c r="G35" s="12">
        <v>40</v>
      </c>
      <c r="H35" s="18">
        <v>0.3125</v>
      </c>
      <c r="I35" s="12">
        <v>128</v>
      </c>
      <c r="J35" s="12">
        <v>40</v>
      </c>
      <c r="K35" s="13">
        <v>46234.375</v>
      </c>
      <c r="L35" s="13">
        <v>46234.416666666664</v>
      </c>
      <c r="M35" s="1" t="s">
        <v>145</v>
      </c>
      <c r="N35" s="1" t="s">
        <v>150</v>
      </c>
      <c r="O35" s="1" t="s">
        <v>151</v>
      </c>
      <c r="P35" s="1" t="s">
        <v>175</v>
      </c>
      <c r="Q35" s="1" t="s">
        <v>147</v>
      </c>
      <c r="R35" s="1">
        <v>46235</v>
      </c>
      <c r="S35" s="1" t="s">
        <v>153</v>
      </c>
      <c r="T35" s="1" t="s">
        <v>148</v>
      </c>
      <c r="U35" s="1"/>
    </row>
    <row r="36" spans="1:21" ht="21" customHeight="1" x14ac:dyDescent="0.45">
      <c r="A36" s="14">
        <v>46235</v>
      </c>
      <c r="B36" s="1" t="s">
        <v>103</v>
      </c>
      <c r="C36" s="13">
        <v>46235.125</v>
      </c>
      <c r="D36" s="13">
        <v>46235.166666666664</v>
      </c>
      <c r="E36" s="1" t="s">
        <v>144</v>
      </c>
      <c r="F36" s="12">
        <v>24</v>
      </c>
      <c r="G36" s="12">
        <v>24</v>
      </c>
      <c r="H36" s="18">
        <v>0.13714285714285715</v>
      </c>
      <c r="I36" s="12">
        <v>175</v>
      </c>
      <c r="J36" s="12">
        <v>24</v>
      </c>
      <c r="K36" s="13">
        <v>46234.375</v>
      </c>
      <c r="L36" s="13">
        <v>46234.416666666664</v>
      </c>
      <c r="M36" s="1" t="s">
        <v>145</v>
      </c>
      <c r="N36" s="1" t="s">
        <v>154</v>
      </c>
      <c r="O36" s="1" t="s">
        <v>151</v>
      </c>
      <c r="P36" s="1" t="s">
        <v>176</v>
      </c>
      <c r="Q36" s="1" t="s">
        <v>147</v>
      </c>
      <c r="R36" s="1">
        <v>46235</v>
      </c>
      <c r="S36" s="1"/>
      <c r="T36" s="1" t="s">
        <v>148</v>
      </c>
      <c r="U36" s="1"/>
    </row>
    <row r="37" spans="1:21" ht="21" customHeight="1" x14ac:dyDescent="0.45">
      <c r="A37" s="14">
        <v>46235</v>
      </c>
      <c r="B37" s="1" t="s">
        <v>101</v>
      </c>
      <c r="C37" s="13">
        <v>46235.125</v>
      </c>
      <c r="D37" s="13">
        <v>46235.166666666664</v>
      </c>
      <c r="E37" s="1" t="s">
        <v>144</v>
      </c>
      <c r="F37" s="12">
        <v>24</v>
      </c>
      <c r="G37" s="12">
        <v>24</v>
      </c>
      <c r="H37" s="18">
        <v>0.13714285714285715</v>
      </c>
      <c r="I37" s="12">
        <v>175</v>
      </c>
      <c r="J37" s="12">
        <v>24</v>
      </c>
      <c r="K37" s="13">
        <v>46234.375</v>
      </c>
      <c r="L37" s="13">
        <v>46234.416666666664</v>
      </c>
      <c r="M37" s="1" t="s">
        <v>145</v>
      </c>
      <c r="N37" s="1" t="s">
        <v>154</v>
      </c>
      <c r="O37" s="1" t="s">
        <v>151</v>
      </c>
      <c r="P37" s="1" t="s">
        <v>177</v>
      </c>
      <c r="Q37" s="1" t="s">
        <v>147</v>
      </c>
      <c r="R37" s="1">
        <v>46235</v>
      </c>
      <c r="S37" s="1"/>
      <c r="T37" s="1" t="s">
        <v>148</v>
      </c>
      <c r="U37" s="1"/>
    </row>
    <row r="38" spans="1:21" ht="21" customHeight="1" x14ac:dyDescent="0.45">
      <c r="A38" s="14">
        <v>46235</v>
      </c>
      <c r="B38" s="1" t="s">
        <v>143</v>
      </c>
      <c r="C38" s="13">
        <v>46235.135416666664</v>
      </c>
      <c r="D38" s="13">
        <v>46235.145833333336</v>
      </c>
      <c r="E38" s="1" t="s">
        <v>144</v>
      </c>
      <c r="F38" s="12">
        <v>-24</v>
      </c>
      <c r="G38" s="12">
        <v>100</v>
      </c>
      <c r="H38" s="18"/>
      <c r="I38" s="12"/>
      <c r="J38" s="12"/>
      <c r="K38" s="13">
        <v>46234.541666666664</v>
      </c>
      <c r="L38" s="13">
        <v>46234.583333333336</v>
      </c>
      <c r="M38" s="1" t="s">
        <v>145</v>
      </c>
      <c r="N38" s="1"/>
      <c r="O38" s="1"/>
      <c r="P38" s="1" t="s">
        <v>178</v>
      </c>
      <c r="Q38" s="1" t="s">
        <v>147</v>
      </c>
      <c r="R38" s="1">
        <v>46235.010416666664</v>
      </c>
      <c r="S38" s="1"/>
      <c r="T38" s="1" t="s">
        <v>148</v>
      </c>
      <c r="U38" s="1"/>
    </row>
    <row r="39" spans="1:21" ht="21" customHeight="1" x14ac:dyDescent="0.45">
      <c r="A39" s="14">
        <v>46235</v>
      </c>
      <c r="B39" s="1" t="s">
        <v>143</v>
      </c>
      <c r="C39" s="13">
        <v>46235.145833333336</v>
      </c>
      <c r="D39" s="13">
        <v>46235.15625</v>
      </c>
      <c r="E39" s="1" t="s">
        <v>144</v>
      </c>
      <c r="F39" s="12">
        <v>-24</v>
      </c>
      <c r="G39" s="12">
        <v>100</v>
      </c>
      <c r="H39" s="18"/>
      <c r="I39" s="12"/>
      <c r="J39" s="12"/>
      <c r="K39" s="13">
        <v>46234.541666666664</v>
      </c>
      <c r="L39" s="13">
        <v>46234.583333333336</v>
      </c>
      <c r="M39" s="1" t="s">
        <v>145</v>
      </c>
      <c r="N39" s="1"/>
      <c r="O39" s="1"/>
      <c r="P39" s="1" t="s">
        <v>179</v>
      </c>
      <c r="Q39" s="1" t="s">
        <v>147</v>
      </c>
      <c r="R39" s="1">
        <v>46235.020833333336</v>
      </c>
      <c r="S39" s="1"/>
      <c r="T39" s="1" t="s">
        <v>148</v>
      </c>
      <c r="U39" s="1"/>
    </row>
    <row r="40" spans="1:21" ht="21" customHeight="1" x14ac:dyDescent="0.45">
      <c r="A40" s="14">
        <v>46235</v>
      </c>
      <c r="B40" s="1" t="s">
        <v>143</v>
      </c>
      <c r="C40" s="13">
        <v>46235.15625</v>
      </c>
      <c r="D40" s="13">
        <v>46235.166666666664</v>
      </c>
      <c r="E40" s="1" t="s">
        <v>144</v>
      </c>
      <c r="F40" s="12">
        <v>-24</v>
      </c>
      <c r="G40" s="12">
        <v>100</v>
      </c>
      <c r="H40" s="18"/>
      <c r="I40" s="12"/>
      <c r="J40" s="12"/>
      <c r="K40" s="13">
        <v>46234.541666666664</v>
      </c>
      <c r="L40" s="13">
        <v>46234.583333333336</v>
      </c>
      <c r="M40" s="1" t="s">
        <v>145</v>
      </c>
      <c r="N40" s="1"/>
      <c r="O40" s="1"/>
      <c r="P40" s="1" t="s">
        <v>180</v>
      </c>
      <c r="Q40" s="1" t="s">
        <v>147</v>
      </c>
      <c r="R40" s="1">
        <v>46235.03125</v>
      </c>
      <c r="S40" s="1"/>
      <c r="T40" s="1" t="s">
        <v>148</v>
      </c>
      <c r="U40" s="1"/>
    </row>
    <row r="41" spans="1:21" ht="21" customHeight="1" x14ac:dyDescent="0.45">
      <c r="A41" s="14">
        <v>46235</v>
      </c>
      <c r="B41" s="1" t="s">
        <v>143</v>
      </c>
      <c r="C41" s="13">
        <v>46235.166666666664</v>
      </c>
      <c r="D41" s="13">
        <v>46235.177083333336</v>
      </c>
      <c r="E41" s="1" t="s">
        <v>144</v>
      </c>
      <c r="F41" s="12">
        <v>0</v>
      </c>
      <c r="G41" s="12">
        <v>100</v>
      </c>
      <c r="H41" s="18"/>
      <c r="I41" s="12"/>
      <c r="J41" s="12"/>
      <c r="K41" s="13">
        <v>46234.541666666664</v>
      </c>
      <c r="L41" s="13">
        <v>46234.583333333336</v>
      </c>
      <c r="M41" s="1" t="s">
        <v>145</v>
      </c>
      <c r="N41" s="1"/>
      <c r="O41" s="1"/>
      <c r="P41" s="1" t="s">
        <v>181</v>
      </c>
      <c r="Q41" s="1" t="s">
        <v>147</v>
      </c>
      <c r="R41" s="1">
        <v>46235.041666666664</v>
      </c>
      <c r="S41" s="1"/>
      <c r="T41" s="1" t="s">
        <v>148</v>
      </c>
      <c r="U41" s="1"/>
    </row>
    <row r="42" spans="1:21" ht="21" customHeight="1" x14ac:dyDescent="0.45">
      <c r="A42" s="14">
        <v>46235</v>
      </c>
      <c r="B42" s="1" t="s">
        <v>149</v>
      </c>
      <c r="C42" s="13">
        <v>46235.166666666664</v>
      </c>
      <c r="D42" s="13">
        <v>46235.208333333336</v>
      </c>
      <c r="E42" s="1" t="s">
        <v>144</v>
      </c>
      <c r="F42" s="12">
        <v>40</v>
      </c>
      <c r="G42" s="12">
        <v>40</v>
      </c>
      <c r="H42" s="18">
        <v>0.3125</v>
      </c>
      <c r="I42" s="12">
        <v>128</v>
      </c>
      <c r="J42" s="12">
        <v>40</v>
      </c>
      <c r="K42" s="13">
        <v>46234.375</v>
      </c>
      <c r="L42" s="13">
        <v>46234.416666666664</v>
      </c>
      <c r="M42" s="1" t="s">
        <v>145</v>
      </c>
      <c r="N42" s="1" t="s">
        <v>150</v>
      </c>
      <c r="O42" s="1" t="s">
        <v>151</v>
      </c>
      <c r="P42" s="1" t="s">
        <v>182</v>
      </c>
      <c r="Q42" s="1" t="s">
        <v>147</v>
      </c>
      <c r="R42" s="1">
        <v>46235.041666666664</v>
      </c>
      <c r="S42" s="1" t="s">
        <v>153</v>
      </c>
      <c r="T42" s="1" t="s">
        <v>148</v>
      </c>
      <c r="U42" s="1"/>
    </row>
    <row r="43" spans="1:21" ht="21" customHeight="1" x14ac:dyDescent="0.45">
      <c r="A43" s="14">
        <v>46235</v>
      </c>
      <c r="B43" s="1" t="s">
        <v>103</v>
      </c>
      <c r="C43" s="13">
        <v>46235.166666666664</v>
      </c>
      <c r="D43" s="13">
        <v>46235.208333333336</v>
      </c>
      <c r="E43" s="1" t="s">
        <v>144</v>
      </c>
      <c r="F43" s="12">
        <v>24</v>
      </c>
      <c r="G43" s="12">
        <v>24</v>
      </c>
      <c r="H43" s="18">
        <v>0.13714285714285715</v>
      </c>
      <c r="I43" s="12">
        <v>175</v>
      </c>
      <c r="J43" s="12">
        <v>24</v>
      </c>
      <c r="K43" s="13">
        <v>46234.375</v>
      </c>
      <c r="L43" s="13">
        <v>46234.416666666664</v>
      </c>
      <c r="M43" s="1" t="s">
        <v>145</v>
      </c>
      <c r="N43" s="1" t="s">
        <v>154</v>
      </c>
      <c r="O43" s="1" t="s">
        <v>151</v>
      </c>
      <c r="P43" s="1" t="s">
        <v>183</v>
      </c>
      <c r="Q43" s="1" t="s">
        <v>147</v>
      </c>
      <c r="R43" s="1">
        <v>46235.041666666664</v>
      </c>
      <c r="S43" s="1"/>
      <c r="T43" s="1" t="s">
        <v>148</v>
      </c>
      <c r="U43" s="1"/>
    </row>
    <row r="44" spans="1:21" ht="21" customHeight="1" x14ac:dyDescent="0.45">
      <c r="A44" s="14">
        <v>46235</v>
      </c>
      <c r="B44" s="1" t="s">
        <v>101</v>
      </c>
      <c r="C44" s="13">
        <v>46235.166666666664</v>
      </c>
      <c r="D44" s="13">
        <v>46235.208333333336</v>
      </c>
      <c r="E44" s="1" t="s">
        <v>144</v>
      </c>
      <c r="F44" s="12">
        <v>24</v>
      </c>
      <c r="G44" s="12">
        <v>24</v>
      </c>
      <c r="H44" s="18">
        <v>0.13714285714285715</v>
      </c>
      <c r="I44" s="12">
        <v>175</v>
      </c>
      <c r="J44" s="12">
        <v>24</v>
      </c>
      <c r="K44" s="13">
        <v>46234.375</v>
      </c>
      <c r="L44" s="13">
        <v>46234.416666666664</v>
      </c>
      <c r="M44" s="1" t="s">
        <v>145</v>
      </c>
      <c r="N44" s="1" t="s">
        <v>154</v>
      </c>
      <c r="O44" s="1" t="s">
        <v>151</v>
      </c>
      <c r="P44" s="1" t="s">
        <v>184</v>
      </c>
      <c r="Q44" s="1" t="s">
        <v>147</v>
      </c>
      <c r="R44" s="1">
        <v>46235.041666666664</v>
      </c>
      <c r="S44" s="1"/>
      <c r="T44" s="1" t="s">
        <v>148</v>
      </c>
      <c r="U44" s="1"/>
    </row>
    <row r="45" spans="1:21" ht="21" customHeight="1" x14ac:dyDescent="0.45">
      <c r="A45" s="14">
        <v>46235</v>
      </c>
      <c r="B45" s="1" t="s">
        <v>143</v>
      </c>
      <c r="C45" s="13">
        <v>46235.177083333336</v>
      </c>
      <c r="D45" s="13">
        <v>46235.1875</v>
      </c>
      <c r="E45" s="1" t="s">
        <v>144</v>
      </c>
      <c r="F45" s="12">
        <v>-24</v>
      </c>
      <c r="G45" s="12">
        <v>100</v>
      </c>
      <c r="H45" s="18"/>
      <c r="I45" s="12"/>
      <c r="J45" s="12"/>
      <c r="K45" s="13">
        <v>46234.541666666664</v>
      </c>
      <c r="L45" s="13">
        <v>46234.583333333336</v>
      </c>
      <c r="M45" s="1" t="s">
        <v>145</v>
      </c>
      <c r="N45" s="1"/>
      <c r="O45" s="1"/>
      <c r="P45" s="1" t="s">
        <v>185</v>
      </c>
      <c r="Q45" s="1" t="s">
        <v>147</v>
      </c>
      <c r="R45" s="1">
        <v>46235.052083333336</v>
      </c>
      <c r="S45" s="1"/>
      <c r="T45" s="1" t="s">
        <v>148</v>
      </c>
      <c r="U45" s="1"/>
    </row>
    <row r="46" spans="1:21" ht="21" customHeight="1" x14ac:dyDescent="0.45">
      <c r="A46" s="14">
        <v>46235</v>
      </c>
      <c r="B46" s="1" t="s">
        <v>143</v>
      </c>
      <c r="C46" s="13">
        <v>46235.1875</v>
      </c>
      <c r="D46" s="13">
        <v>46235.197916666664</v>
      </c>
      <c r="E46" s="1" t="s">
        <v>144</v>
      </c>
      <c r="F46" s="12">
        <v>0</v>
      </c>
      <c r="G46" s="12">
        <v>100</v>
      </c>
      <c r="H46" s="18"/>
      <c r="I46" s="12"/>
      <c r="J46" s="12"/>
      <c r="K46" s="13">
        <v>46234.541666666664</v>
      </c>
      <c r="L46" s="13">
        <v>46234.583333333336</v>
      </c>
      <c r="M46" s="1" t="s">
        <v>145</v>
      </c>
      <c r="N46" s="1"/>
      <c r="O46" s="1"/>
      <c r="P46" s="1" t="s">
        <v>186</v>
      </c>
      <c r="Q46" s="1" t="s">
        <v>147</v>
      </c>
      <c r="R46" s="1">
        <v>46235.0625</v>
      </c>
      <c r="S46" s="1"/>
      <c r="T46" s="1" t="s">
        <v>148</v>
      </c>
      <c r="U46" s="1"/>
    </row>
    <row r="47" spans="1:21" ht="21" customHeight="1" x14ac:dyDescent="0.45">
      <c r="A47" s="14">
        <v>46235</v>
      </c>
      <c r="B47" s="1" t="s">
        <v>143</v>
      </c>
      <c r="C47" s="13">
        <v>46235.197916666664</v>
      </c>
      <c r="D47" s="13">
        <v>46235.208333333336</v>
      </c>
      <c r="E47" s="1" t="s">
        <v>144</v>
      </c>
      <c r="F47" s="12">
        <v>0</v>
      </c>
      <c r="G47" s="12">
        <v>100</v>
      </c>
      <c r="H47" s="18"/>
      <c r="I47" s="12"/>
      <c r="J47" s="12"/>
      <c r="K47" s="13">
        <v>46234.541666666664</v>
      </c>
      <c r="L47" s="13">
        <v>46234.583333333336</v>
      </c>
      <c r="M47" s="1" t="s">
        <v>145</v>
      </c>
      <c r="N47" s="1"/>
      <c r="O47" s="1"/>
      <c r="P47" s="1" t="s">
        <v>187</v>
      </c>
      <c r="Q47" s="1" t="s">
        <v>147</v>
      </c>
      <c r="R47" s="1">
        <v>46235.072916666664</v>
      </c>
      <c r="S47" s="1"/>
      <c r="T47" s="1" t="s">
        <v>148</v>
      </c>
      <c r="U47" s="1"/>
    </row>
    <row r="48" spans="1:21" ht="21" customHeight="1" x14ac:dyDescent="0.45">
      <c r="A48" s="14">
        <v>46235</v>
      </c>
      <c r="B48" s="1" t="s">
        <v>143</v>
      </c>
      <c r="C48" s="13">
        <v>46235.208333333336</v>
      </c>
      <c r="D48" s="13">
        <v>46235.21875</v>
      </c>
      <c r="E48" s="1" t="s">
        <v>144</v>
      </c>
      <c r="F48" s="12">
        <v>0</v>
      </c>
      <c r="G48" s="12">
        <v>100</v>
      </c>
      <c r="H48" s="18"/>
      <c r="I48" s="12"/>
      <c r="J48" s="12"/>
      <c r="K48" s="13">
        <v>46234.541666666664</v>
      </c>
      <c r="L48" s="13">
        <v>46234.583333333336</v>
      </c>
      <c r="M48" s="1" t="s">
        <v>145</v>
      </c>
      <c r="N48" s="1"/>
      <c r="O48" s="1"/>
      <c r="P48" s="1" t="s">
        <v>188</v>
      </c>
      <c r="Q48" s="1" t="s">
        <v>147</v>
      </c>
      <c r="R48" s="1">
        <v>46235.083333333336</v>
      </c>
      <c r="S48" s="1"/>
      <c r="T48" s="1" t="s">
        <v>148</v>
      </c>
      <c r="U48" s="1"/>
    </row>
    <row r="49" spans="1:21" ht="21" customHeight="1" x14ac:dyDescent="0.45">
      <c r="A49" s="14">
        <v>46235</v>
      </c>
      <c r="B49" s="1" t="s">
        <v>149</v>
      </c>
      <c r="C49" s="13">
        <v>46235.208333333336</v>
      </c>
      <c r="D49" s="13">
        <v>46235.25</v>
      </c>
      <c r="E49" s="1" t="s">
        <v>144</v>
      </c>
      <c r="F49" s="12">
        <v>40</v>
      </c>
      <c r="G49" s="12">
        <v>40</v>
      </c>
      <c r="H49" s="18">
        <v>0.3125</v>
      </c>
      <c r="I49" s="12">
        <v>128</v>
      </c>
      <c r="J49" s="12">
        <v>40</v>
      </c>
      <c r="K49" s="13">
        <v>46234.375</v>
      </c>
      <c r="L49" s="13">
        <v>46234.416666666664</v>
      </c>
      <c r="M49" s="1" t="s">
        <v>145</v>
      </c>
      <c r="N49" s="1" t="s">
        <v>150</v>
      </c>
      <c r="O49" s="1" t="s">
        <v>151</v>
      </c>
      <c r="P49" s="1" t="s">
        <v>189</v>
      </c>
      <c r="Q49" s="1" t="s">
        <v>147</v>
      </c>
      <c r="R49" s="1">
        <v>46235.083333333336</v>
      </c>
      <c r="S49" s="1" t="s">
        <v>153</v>
      </c>
      <c r="T49" s="1" t="s">
        <v>148</v>
      </c>
      <c r="U49" s="1"/>
    </row>
    <row r="50" spans="1:21" ht="21" customHeight="1" x14ac:dyDescent="0.45">
      <c r="A50" s="14">
        <v>46235</v>
      </c>
      <c r="B50" s="1" t="s">
        <v>103</v>
      </c>
      <c r="C50" s="13">
        <v>46235.208333333336</v>
      </c>
      <c r="D50" s="13">
        <v>46235.25</v>
      </c>
      <c r="E50" s="1" t="s">
        <v>144</v>
      </c>
      <c r="F50" s="12">
        <v>24</v>
      </c>
      <c r="G50" s="12">
        <v>24</v>
      </c>
      <c r="H50" s="18">
        <v>0.13714285714285715</v>
      </c>
      <c r="I50" s="12">
        <v>175</v>
      </c>
      <c r="J50" s="12">
        <v>24</v>
      </c>
      <c r="K50" s="13">
        <v>46234.375</v>
      </c>
      <c r="L50" s="13">
        <v>46234.416666666664</v>
      </c>
      <c r="M50" s="1" t="s">
        <v>145</v>
      </c>
      <c r="N50" s="1" t="s">
        <v>154</v>
      </c>
      <c r="O50" s="1" t="s">
        <v>151</v>
      </c>
      <c r="P50" s="1" t="s">
        <v>190</v>
      </c>
      <c r="Q50" s="1" t="s">
        <v>147</v>
      </c>
      <c r="R50" s="1">
        <v>46235.083333333336</v>
      </c>
      <c r="S50" s="1"/>
      <c r="T50" s="1" t="s">
        <v>148</v>
      </c>
      <c r="U50" s="1"/>
    </row>
    <row r="51" spans="1:21" ht="21" customHeight="1" x14ac:dyDescent="0.45">
      <c r="A51" s="14">
        <v>46235</v>
      </c>
      <c r="B51" s="1" t="s">
        <v>101</v>
      </c>
      <c r="C51" s="13">
        <v>46235.208333333336</v>
      </c>
      <c r="D51" s="13">
        <v>46235.25</v>
      </c>
      <c r="E51" s="1" t="s">
        <v>144</v>
      </c>
      <c r="F51" s="12">
        <v>24</v>
      </c>
      <c r="G51" s="12">
        <v>24</v>
      </c>
      <c r="H51" s="18">
        <v>0.13714285714285715</v>
      </c>
      <c r="I51" s="12">
        <v>175</v>
      </c>
      <c r="J51" s="12">
        <v>24</v>
      </c>
      <c r="K51" s="13">
        <v>46234.375</v>
      </c>
      <c r="L51" s="13">
        <v>46234.416666666664</v>
      </c>
      <c r="M51" s="1" t="s">
        <v>145</v>
      </c>
      <c r="N51" s="1" t="s">
        <v>154</v>
      </c>
      <c r="O51" s="1" t="s">
        <v>151</v>
      </c>
      <c r="P51" s="1" t="s">
        <v>191</v>
      </c>
      <c r="Q51" s="1" t="s">
        <v>147</v>
      </c>
      <c r="R51" s="1">
        <v>46235.083333333336</v>
      </c>
      <c r="S51" s="1"/>
      <c r="T51" s="1" t="s">
        <v>148</v>
      </c>
      <c r="U51" s="1"/>
    </row>
    <row r="52" spans="1:21" ht="21" customHeight="1" x14ac:dyDescent="0.45">
      <c r="A52" s="14">
        <v>46235</v>
      </c>
      <c r="B52" s="1" t="s">
        <v>143</v>
      </c>
      <c r="C52" s="13">
        <v>46235.21875</v>
      </c>
      <c r="D52" s="13">
        <v>46235.229166666664</v>
      </c>
      <c r="E52" s="1" t="s">
        <v>144</v>
      </c>
      <c r="F52" s="12">
        <v>0</v>
      </c>
      <c r="G52" s="12">
        <v>100</v>
      </c>
      <c r="H52" s="18"/>
      <c r="I52" s="12"/>
      <c r="J52" s="12"/>
      <c r="K52" s="13">
        <v>46234.541666666664</v>
      </c>
      <c r="L52" s="13">
        <v>46234.583333333336</v>
      </c>
      <c r="M52" s="1" t="s">
        <v>145</v>
      </c>
      <c r="N52" s="1"/>
      <c r="O52" s="1"/>
      <c r="P52" s="1" t="s">
        <v>192</v>
      </c>
      <c r="Q52" s="1" t="s">
        <v>147</v>
      </c>
      <c r="R52" s="1">
        <v>46235.09375</v>
      </c>
      <c r="S52" s="1"/>
      <c r="T52" s="1" t="s">
        <v>148</v>
      </c>
      <c r="U52" s="1"/>
    </row>
    <row r="53" spans="1:21" ht="21" customHeight="1" x14ac:dyDescent="0.45">
      <c r="A53" s="14">
        <v>46235</v>
      </c>
      <c r="B53" s="1" t="s">
        <v>143</v>
      </c>
      <c r="C53" s="13">
        <v>46235.229166666664</v>
      </c>
      <c r="D53" s="13">
        <v>46235.239583333336</v>
      </c>
      <c r="E53" s="1" t="s">
        <v>144</v>
      </c>
      <c r="F53" s="12">
        <v>-24</v>
      </c>
      <c r="G53" s="12">
        <v>100</v>
      </c>
      <c r="H53" s="18"/>
      <c r="I53" s="12"/>
      <c r="J53" s="12"/>
      <c r="K53" s="13">
        <v>46234.541666666664</v>
      </c>
      <c r="L53" s="13">
        <v>46234.583333333336</v>
      </c>
      <c r="M53" s="1" t="s">
        <v>145</v>
      </c>
      <c r="N53" s="1"/>
      <c r="O53" s="1"/>
      <c r="P53" s="1" t="s">
        <v>193</v>
      </c>
      <c r="Q53" s="1" t="s">
        <v>147</v>
      </c>
      <c r="R53" s="1">
        <v>46235.104166666664</v>
      </c>
      <c r="S53" s="1"/>
      <c r="T53" s="1" t="s">
        <v>148</v>
      </c>
      <c r="U53" s="1"/>
    </row>
    <row r="54" spans="1:21" ht="21" customHeight="1" x14ac:dyDescent="0.45">
      <c r="A54" s="14">
        <v>46235</v>
      </c>
      <c r="B54" s="1" t="s">
        <v>143</v>
      </c>
      <c r="C54" s="13">
        <v>46235.239583333336</v>
      </c>
      <c r="D54" s="13">
        <v>46235.25</v>
      </c>
      <c r="E54" s="1" t="s">
        <v>144</v>
      </c>
      <c r="F54" s="12">
        <v>-24</v>
      </c>
      <c r="G54" s="12">
        <v>100</v>
      </c>
      <c r="H54" s="18"/>
      <c r="I54" s="12"/>
      <c r="J54" s="12"/>
      <c r="K54" s="13">
        <v>46234.541666666664</v>
      </c>
      <c r="L54" s="13">
        <v>46234.583333333336</v>
      </c>
      <c r="M54" s="1" t="s">
        <v>145</v>
      </c>
      <c r="N54" s="1"/>
      <c r="O54" s="1"/>
      <c r="P54" s="1" t="s">
        <v>194</v>
      </c>
      <c r="Q54" s="1" t="s">
        <v>147</v>
      </c>
      <c r="R54" s="1">
        <v>46235.114583333336</v>
      </c>
      <c r="S54" s="1"/>
      <c r="T54" s="1" t="s">
        <v>148</v>
      </c>
      <c r="U54" s="1"/>
    </row>
    <row r="55" spans="1:21" ht="21" customHeight="1" x14ac:dyDescent="0.45">
      <c r="A55" s="14">
        <v>46235</v>
      </c>
      <c r="B55" s="1" t="s">
        <v>143</v>
      </c>
      <c r="C55" s="13">
        <v>46235.25</v>
      </c>
      <c r="D55" s="13">
        <v>46235.260416666664</v>
      </c>
      <c r="E55" s="1" t="s">
        <v>144</v>
      </c>
      <c r="F55" s="12">
        <v>-24</v>
      </c>
      <c r="G55" s="12">
        <v>100</v>
      </c>
      <c r="H55" s="18"/>
      <c r="I55" s="12"/>
      <c r="J55" s="12"/>
      <c r="K55" s="13">
        <v>46234.541666666664</v>
      </c>
      <c r="L55" s="13">
        <v>46234.583333333336</v>
      </c>
      <c r="M55" s="1" t="s">
        <v>145</v>
      </c>
      <c r="N55" s="1"/>
      <c r="O55" s="1"/>
      <c r="P55" s="1" t="s">
        <v>195</v>
      </c>
      <c r="Q55" s="1" t="s">
        <v>147</v>
      </c>
      <c r="R55" s="1">
        <v>46235.125</v>
      </c>
      <c r="S55" s="1"/>
      <c r="T55" s="1" t="s">
        <v>148</v>
      </c>
      <c r="U55" s="1"/>
    </row>
    <row r="56" spans="1:21" ht="21" customHeight="1" x14ac:dyDescent="0.45">
      <c r="A56" s="14">
        <v>46235</v>
      </c>
      <c r="B56" s="1" t="s">
        <v>149</v>
      </c>
      <c r="C56" s="13">
        <v>46235.25</v>
      </c>
      <c r="D56" s="13">
        <v>46235.291666666664</v>
      </c>
      <c r="E56" s="1" t="s">
        <v>144</v>
      </c>
      <c r="F56" s="12">
        <v>40</v>
      </c>
      <c r="G56" s="12">
        <v>40</v>
      </c>
      <c r="H56" s="18">
        <v>0.3125</v>
      </c>
      <c r="I56" s="12">
        <v>128</v>
      </c>
      <c r="J56" s="12">
        <v>40</v>
      </c>
      <c r="K56" s="13">
        <v>46234.375</v>
      </c>
      <c r="L56" s="13">
        <v>46234.416666666664</v>
      </c>
      <c r="M56" s="1" t="s">
        <v>145</v>
      </c>
      <c r="N56" s="1" t="s">
        <v>150</v>
      </c>
      <c r="O56" s="1" t="s">
        <v>151</v>
      </c>
      <c r="P56" s="1" t="s">
        <v>196</v>
      </c>
      <c r="Q56" s="1" t="s">
        <v>147</v>
      </c>
      <c r="R56" s="1">
        <v>46235.125</v>
      </c>
      <c r="S56" s="1" t="s">
        <v>153</v>
      </c>
      <c r="T56" s="1" t="s">
        <v>148</v>
      </c>
      <c r="U56" s="1"/>
    </row>
    <row r="57" spans="1:21" ht="21" customHeight="1" x14ac:dyDescent="0.45">
      <c r="A57" s="14">
        <v>46235</v>
      </c>
      <c r="B57" s="1" t="s">
        <v>103</v>
      </c>
      <c r="C57" s="13">
        <v>46235.25</v>
      </c>
      <c r="D57" s="13">
        <v>46235.291666666664</v>
      </c>
      <c r="E57" s="1" t="s">
        <v>144</v>
      </c>
      <c r="F57" s="12">
        <v>24</v>
      </c>
      <c r="G57" s="12">
        <v>24</v>
      </c>
      <c r="H57" s="18">
        <v>0.13714285714285715</v>
      </c>
      <c r="I57" s="12">
        <v>175</v>
      </c>
      <c r="J57" s="12">
        <v>24</v>
      </c>
      <c r="K57" s="13">
        <v>46234.375</v>
      </c>
      <c r="L57" s="13">
        <v>46234.416666666664</v>
      </c>
      <c r="M57" s="1" t="s">
        <v>145</v>
      </c>
      <c r="N57" s="1" t="s">
        <v>154</v>
      </c>
      <c r="O57" s="1" t="s">
        <v>151</v>
      </c>
      <c r="P57" s="1" t="s">
        <v>197</v>
      </c>
      <c r="Q57" s="1" t="s">
        <v>147</v>
      </c>
      <c r="R57" s="1">
        <v>46235.125</v>
      </c>
      <c r="S57" s="1"/>
      <c r="T57" s="1" t="s">
        <v>148</v>
      </c>
      <c r="U57" s="1"/>
    </row>
    <row r="58" spans="1:21" ht="21" customHeight="1" x14ac:dyDescent="0.45">
      <c r="A58" s="14">
        <v>46235</v>
      </c>
      <c r="B58" s="1" t="s">
        <v>101</v>
      </c>
      <c r="C58" s="13">
        <v>46235.25</v>
      </c>
      <c r="D58" s="13">
        <v>46235.291666666664</v>
      </c>
      <c r="E58" s="1" t="s">
        <v>144</v>
      </c>
      <c r="F58" s="12">
        <v>24</v>
      </c>
      <c r="G58" s="12">
        <v>24</v>
      </c>
      <c r="H58" s="18">
        <v>0.13714285714285715</v>
      </c>
      <c r="I58" s="12">
        <v>175</v>
      </c>
      <c r="J58" s="12">
        <v>24</v>
      </c>
      <c r="K58" s="13">
        <v>46234.375</v>
      </c>
      <c r="L58" s="13">
        <v>46234.416666666664</v>
      </c>
      <c r="M58" s="1" t="s">
        <v>145</v>
      </c>
      <c r="N58" s="1" t="s">
        <v>154</v>
      </c>
      <c r="O58" s="1" t="s">
        <v>151</v>
      </c>
      <c r="P58" s="1" t="s">
        <v>198</v>
      </c>
      <c r="Q58" s="1" t="s">
        <v>147</v>
      </c>
      <c r="R58" s="1">
        <v>46235.125</v>
      </c>
      <c r="S58" s="1"/>
      <c r="T58" s="1" t="s">
        <v>148</v>
      </c>
      <c r="U58" s="1"/>
    </row>
    <row r="59" spans="1:21" ht="21" customHeight="1" x14ac:dyDescent="0.45">
      <c r="A59" s="14">
        <v>46235</v>
      </c>
      <c r="B59" s="1" t="s">
        <v>143</v>
      </c>
      <c r="C59" s="13">
        <v>46235.260416666664</v>
      </c>
      <c r="D59" s="13">
        <v>46235.270833333336</v>
      </c>
      <c r="E59" s="1" t="s">
        <v>144</v>
      </c>
      <c r="F59" s="12">
        <v>0</v>
      </c>
      <c r="G59" s="12">
        <v>100</v>
      </c>
      <c r="H59" s="18"/>
      <c r="I59" s="12"/>
      <c r="J59" s="12"/>
      <c r="K59" s="13">
        <v>46234.541666666664</v>
      </c>
      <c r="L59" s="13">
        <v>46234.583333333336</v>
      </c>
      <c r="M59" s="1" t="s">
        <v>145</v>
      </c>
      <c r="N59" s="1"/>
      <c r="O59" s="1"/>
      <c r="P59" s="1" t="s">
        <v>199</v>
      </c>
      <c r="Q59" s="1" t="s">
        <v>147</v>
      </c>
      <c r="R59" s="1">
        <v>46235.135416666664</v>
      </c>
      <c r="S59" s="1"/>
      <c r="T59" s="1" t="s">
        <v>148</v>
      </c>
      <c r="U59" s="1"/>
    </row>
    <row r="60" spans="1:21" ht="21" customHeight="1" x14ac:dyDescent="0.45">
      <c r="A60" s="14">
        <v>46235</v>
      </c>
      <c r="B60" s="1" t="s">
        <v>143</v>
      </c>
      <c r="C60" s="13">
        <v>46235.270833333336</v>
      </c>
      <c r="D60" s="13">
        <v>46235.28125</v>
      </c>
      <c r="E60" s="1" t="s">
        <v>144</v>
      </c>
      <c r="F60" s="12">
        <v>0</v>
      </c>
      <c r="G60" s="12">
        <v>100</v>
      </c>
      <c r="H60" s="18"/>
      <c r="I60" s="12"/>
      <c r="J60" s="12"/>
      <c r="K60" s="13">
        <v>46234.541666666664</v>
      </c>
      <c r="L60" s="13">
        <v>46234.583333333336</v>
      </c>
      <c r="M60" s="1" t="s">
        <v>145</v>
      </c>
      <c r="N60" s="1"/>
      <c r="O60" s="1"/>
      <c r="P60" s="1" t="s">
        <v>200</v>
      </c>
      <c r="Q60" s="1" t="s">
        <v>147</v>
      </c>
      <c r="R60" s="1">
        <v>46235.145833333336</v>
      </c>
      <c r="S60" s="1"/>
      <c r="T60" s="1" t="s">
        <v>148</v>
      </c>
      <c r="U60" s="1"/>
    </row>
    <row r="61" spans="1:21" ht="21" customHeight="1" x14ac:dyDescent="0.45">
      <c r="A61" s="14">
        <v>46235</v>
      </c>
      <c r="B61" s="1" t="s">
        <v>143</v>
      </c>
      <c r="C61" s="13">
        <v>46235.28125</v>
      </c>
      <c r="D61" s="13">
        <v>46235.291666666664</v>
      </c>
      <c r="E61" s="1" t="s">
        <v>144</v>
      </c>
      <c r="F61" s="12">
        <v>0</v>
      </c>
      <c r="G61" s="12">
        <v>100</v>
      </c>
      <c r="H61" s="18"/>
      <c r="I61" s="12"/>
      <c r="J61" s="12"/>
      <c r="K61" s="13">
        <v>46234.541666666664</v>
      </c>
      <c r="L61" s="13">
        <v>46234.583333333336</v>
      </c>
      <c r="M61" s="1" t="s">
        <v>145</v>
      </c>
      <c r="N61" s="1"/>
      <c r="O61" s="1"/>
      <c r="P61" s="1" t="s">
        <v>201</v>
      </c>
      <c r="Q61" s="1" t="s">
        <v>147</v>
      </c>
      <c r="R61" s="1">
        <v>46235.15625</v>
      </c>
      <c r="S61" s="1"/>
      <c r="T61" s="1" t="s">
        <v>148</v>
      </c>
      <c r="U61" s="1"/>
    </row>
    <row r="62" spans="1:21" ht="21" customHeight="1" x14ac:dyDescent="0.45">
      <c r="A62" s="14">
        <v>46235</v>
      </c>
      <c r="B62" s="1" t="s">
        <v>143</v>
      </c>
      <c r="C62" s="13">
        <v>46235.291666666664</v>
      </c>
      <c r="D62" s="13">
        <v>46235.302083333336</v>
      </c>
      <c r="E62" s="1" t="s">
        <v>144</v>
      </c>
      <c r="F62" s="12">
        <v>0</v>
      </c>
      <c r="G62" s="12">
        <v>100</v>
      </c>
      <c r="H62" s="18"/>
      <c r="I62" s="12"/>
      <c r="J62" s="12"/>
      <c r="K62" s="13">
        <v>46234.541666666664</v>
      </c>
      <c r="L62" s="13">
        <v>46234.583333333336</v>
      </c>
      <c r="M62" s="1" t="s">
        <v>145</v>
      </c>
      <c r="N62" s="1"/>
      <c r="O62" s="1"/>
      <c r="P62" s="1" t="s">
        <v>202</v>
      </c>
      <c r="Q62" s="1" t="s">
        <v>147</v>
      </c>
      <c r="R62" s="1">
        <v>46235.166666666664</v>
      </c>
      <c r="S62" s="1"/>
      <c r="T62" s="1" t="s">
        <v>148</v>
      </c>
      <c r="U62" s="1"/>
    </row>
    <row r="63" spans="1:21" ht="21" customHeight="1" x14ac:dyDescent="0.45">
      <c r="A63" s="14">
        <v>46235</v>
      </c>
      <c r="B63" s="1" t="s">
        <v>149</v>
      </c>
      <c r="C63" s="13">
        <v>46235.291666666664</v>
      </c>
      <c r="D63" s="13">
        <v>46235.333333333336</v>
      </c>
      <c r="E63" s="1" t="s">
        <v>144</v>
      </c>
      <c r="F63" s="12">
        <v>40</v>
      </c>
      <c r="G63" s="12">
        <v>40</v>
      </c>
      <c r="H63" s="18">
        <v>0.3125</v>
      </c>
      <c r="I63" s="12">
        <v>128</v>
      </c>
      <c r="J63" s="12">
        <v>40</v>
      </c>
      <c r="K63" s="13">
        <v>46234.375</v>
      </c>
      <c r="L63" s="13">
        <v>46234.416666666664</v>
      </c>
      <c r="M63" s="1" t="s">
        <v>145</v>
      </c>
      <c r="N63" s="1" t="s">
        <v>150</v>
      </c>
      <c r="O63" s="1" t="s">
        <v>151</v>
      </c>
      <c r="P63" s="1" t="s">
        <v>203</v>
      </c>
      <c r="Q63" s="1" t="s">
        <v>147</v>
      </c>
      <c r="R63" s="1">
        <v>46235.166666666664</v>
      </c>
      <c r="S63" s="1" t="s">
        <v>153</v>
      </c>
      <c r="T63" s="1" t="s">
        <v>148</v>
      </c>
      <c r="U63" s="1"/>
    </row>
    <row r="64" spans="1:21" ht="21" customHeight="1" x14ac:dyDescent="0.45">
      <c r="A64" s="14">
        <v>46235</v>
      </c>
      <c r="B64" s="1" t="s">
        <v>103</v>
      </c>
      <c r="C64" s="13">
        <v>46235.291666666664</v>
      </c>
      <c r="D64" s="13">
        <v>46235.333333333336</v>
      </c>
      <c r="E64" s="1" t="s">
        <v>144</v>
      </c>
      <c r="F64" s="12">
        <v>24</v>
      </c>
      <c r="G64" s="12">
        <v>24</v>
      </c>
      <c r="H64" s="18">
        <v>0.13714285714285715</v>
      </c>
      <c r="I64" s="12">
        <v>175</v>
      </c>
      <c r="J64" s="12">
        <v>24</v>
      </c>
      <c r="K64" s="13">
        <v>46234.375</v>
      </c>
      <c r="L64" s="13">
        <v>46234.416666666664</v>
      </c>
      <c r="M64" s="1" t="s">
        <v>145</v>
      </c>
      <c r="N64" s="1" t="s">
        <v>154</v>
      </c>
      <c r="O64" s="1" t="s">
        <v>151</v>
      </c>
      <c r="P64" s="1" t="s">
        <v>204</v>
      </c>
      <c r="Q64" s="1" t="s">
        <v>147</v>
      </c>
      <c r="R64" s="1">
        <v>46235.166666666664</v>
      </c>
      <c r="S64" s="1"/>
      <c r="T64" s="1" t="s">
        <v>148</v>
      </c>
      <c r="U64" s="1"/>
    </row>
    <row r="65" spans="1:21" ht="21" customHeight="1" x14ac:dyDescent="0.45">
      <c r="A65" s="14">
        <v>46235</v>
      </c>
      <c r="B65" s="1" t="s">
        <v>101</v>
      </c>
      <c r="C65" s="13">
        <v>46235.291666666664</v>
      </c>
      <c r="D65" s="13">
        <v>46235.333333333336</v>
      </c>
      <c r="E65" s="1" t="s">
        <v>144</v>
      </c>
      <c r="F65" s="12">
        <v>24</v>
      </c>
      <c r="G65" s="12">
        <v>24</v>
      </c>
      <c r="H65" s="18">
        <v>0.13714285714285715</v>
      </c>
      <c r="I65" s="12">
        <v>175</v>
      </c>
      <c r="J65" s="12">
        <v>24</v>
      </c>
      <c r="K65" s="13">
        <v>46234.375</v>
      </c>
      <c r="L65" s="13">
        <v>46234.416666666664</v>
      </c>
      <c r="M65" s="1" t="s">
        <v>145</v>
      </c>
      <c r="N65" s="1" t="s">
        <v>154</v>
      </c>
      <c r="O65" s="1" t="s">
        <v>151</v>
      </c>
      <c r="P65" s="1" t="s">
        <v>205</v>
      </c>
      <c r="Q65" s="1" t="s">
        <v>147</v>
      </c>
      <c r="R65" s="1">
        <v>46235.166666666664</v>
      </c>
      <c r="S65" s="1"/>
      <c r="T65" s="1" t="s">
        <v>148</v>
      </c>
      <c r="U65" s="1"/>
    </row>
    <row r="66" spans="1:21" ht="21" customHeight="1" x14ac:dyDescent="0.45">
      <c r="A66" s="14">
        <v>46235</v>
      </c>
      <c r="B66" s="1" t="s">
        <v>143</v>
      </c>
      <c r="C66" s="13">
        <v>46235.302083333336</v>
      </c>
      <c r="D66" s="13">
        <v>46235.3125</v>
      </c>
      <c r="E66" s="1" t="s">
        <v>144</v>
      </c>
      <c r="F66" s="12">
        <v>0</v>
      </c>
      <c r="G66" s="12">
        <v>100</v>
      </c>
      <c r="H66" s="18"/>
      <c r="I66" s="12"/>
      <c r="J66" s="12"/>
      <c r="K66" s="13">
        <v>46234.541666666664</v>
      </c>
      <c r="L66" s="13">
        <v>46234.583333333336</v>
      </c>
      <c r="M66" s="1" t="s">
        <v>145</v>
      </c>
      <c r="N66" s="1"/>
      <c r="O66" s="1"/>
      <c r="P66" s="1" t="s">
        <v>206</v>
      </c>
      <c r="Q66" s="1" t="s">
        <v>147</v>
      </c>
      <c r="R66" s="1">
        <v>46235.177083333336</v>
      </c>
      <c r="S66" s="1"/>
      <c r="T66" s="1" t="s">
        <v>148</v>
      </c>
      <c r="U66" s="1"/>
    </row>
    <row r="67" spans="1:21" ht="21" customHeight="1" x14ac:dyDescent="0.45">
      <c r="A67" s="14">
        <v>46235</v>
      </c>
      <c r="B67" s="1" t="s">
        <v>143</v>
      </c>
      <c r="C67" s="13">
        <v>46235.3125</v>
      </c>
      <c r="D67" s="13">
        <v>46235.322916666664</v>
      </c>
      <c r="E67" s="1" t="s">
        <v>144</v>
      </c>
      <c r="F67" s="12">
        <v>0</v>
      </c>
      <c r="G67" s="12">
        <v>100</v>
      </c>
      <c r="H67" s="18"/>
      <c r="I67" s="12"/>
      <c r="J67" s="12"/>
      <c r="K67" s="13">
        <v>46234.541666666664</v>
      </c>
      <c r="L67" s="13">
        <v>46234.583333333336</v>
      </c>
      <c r="M67" s="1" t="s">
        <v>145</v>
      </c>
      <c r="N67" s="1"/>
      <c r="O67" s="1"/>
      <c r="P67" s="1" t="s">
        <v>207</v>
      </c>
      <c r="Q67" s="1" t="s">
        <v>147</v>
      </c>
      <c r="R67" s="1">
        <v>46235.1875</v>
      </c>
      <c r="S67" s="1"/>
      <c r="T67" s="1" t="s">
        <v>148</v>
      </c>
      <c r="U67" s="1"/>
    </row>
    <row r="68" spans="1:21" ht="21" customHeight="1" x14ac:dyDescent="0.45">
      <c r="A68" s="14">
        <v>46235</v>
      </c>
      <c r="B68" s="1" t="s">
        <v>143</v>
      </c>
      <c r="C68" s="13">
        <v>46235.322916666664</v>
      </c>
      <c r="D68" s="13">
        <v>46235.333333333336</v>
      </c>
      <c r="E68" s="1" t="s">
        <v>144</v>
      </c>
      <c r="F68" s="12">
        <v>0</v>
      </c>
      <c r="G68" s="12">
        <v>100</v>
      </c>
      <c r="H68" s="18"/>
      <c r="I68" s="12"/>
      <c r="J68" s="12"/>
      <c r="K68" s="13">
        <v>46234.541666666664</v>
      </c>
      <c r="L68" s="13">
        <v>46234.583333333336</v>
      </c>
      <c r="M68" s="1" t="s">
        <v>145</v>
      </c>
      <c r="N68" s="1"/>
      <c r="O68" s="1"/>
      <c r="P68" s="1" t="s">
        <v>208</v>
      </c>
      <c r="Q68" s="1" t="s">
        <v>147</v>
      </c>
      <c r="R68" s="1">
        <v>46235.197916666664</v>
      </c>
      <c r="S68" s="1"/>
      <c r="T68" s="1" t="s">
        <v>148</v>
      </c>
      <c r="U68" s="1"/>
    </row>
    <row r="69" spans="1:21" ht="21" customHeight="1" x14ac:dyDescent="0.45">
      <c r="A69" s="14">
        <v>46235</v>
      </c>
      <c r="B69" s="1" t="s">
        <v>143</v>
      </c>
      <c r="C69" s="13">
        <v>46235.333333333336</v>
      </c>
      <c r="D69" s="13">
        <v>46235.34375</v>
      </c>
      <c r="E69" s="1" t="s">
        <v>144</v>
      </c>
      <c r="F69" s="12">
        <v>0</v>
      </c>
      <c r="G69" s="12">
        <v>100</v>
      </c>
      <c r="H69" s="18"/>
      <c r="I69" s="12"/>
      <c r="J69" s="12"/>
      <c r="K69" s="13">
        <v>46234.541666666664</v>
      </c>
      <c r="L69" s="13">
        <v>46234.583333333336</v>
      </c>
      <c r="M69" s="1" t="s">
        <v>145</v>
      </c>
      <c r="N69" s="1"/>
      <c r="O69" s="1"/>
      <c r="P69" s="1" t="s">
        <v>209</v>
      </c>
      <c r="Q69" s="1" t="s">
        <v>147</v>
      </c>
      <c r="R69" s="1">
        <v>46235.208333333336</v>
      </c>
      <c r="S69" s="1"/>
      <c r="T69" s="1" t="s">
        <v>148</v>
      </c>
      <c r="U69" s="1"/>
    </row>
    <row r="70" spans="1:21" ht="21" customHeight="1" x14ac:dyDescent="0.45">
      <c r="A70" s="14">
        <v>46235</v>
      </c>
      <c r="B70" s="1" t="s">
        <v>149</v>
      </c>
      <c r="C70" s="13">
        <v>46235.333333333336</v>
      </c>
      <c r="D70" s="13">
        <v>46235.375</v>
      </c>
      <c r="E70" s="1" t="s">
        <v>144</v>
      </c>
      <c r="F70" s="12">
        <v>40</v>
      </c>
      <c r="G70" s="12">
        <v>40</v>
      </c>
      <c r="H70" s="18">
        <v>0.3125</v>
      </c>
      <c r="I70" s="12">
        <v>128</v>
      </c>
      <c r="J70" s="12">
        <v>40</v>
      </c>
      <c r="K70" s="13">
        <v>46234.375</v>
      </c>
      <c r="L70" s="13">
        <v>46234.416666666664</v>
      </c>
      <c r="M70" s="1" t="s">
        <v>145</v>
      </c>
      <c r="N70" s="1" t="s">
        <v>150</v>
      </c>
      <c r="O70" s="1" t="s">
        <v>151</v>
      </c>
      <c r="P70" s="1" t="s">
        <v>210</v>
      </c>
      <c r="Q70" s="1" t="s">
        <v>147</v>
      </c>
      <c r="R70" s="1">
        <v>46235.208333333336</v>
      </c>
      <c r="S70" s="1" t="s">
        <v>153</v>
      </c>
      <c r="T70" s="1" t="s">
        <v>148</v>
      </c>
      <c r="U70" s="1"/>
    </row>
    <row r="71" spans="1:21" ht="21" customHeight="1" x14ac:dyDescent="0.45">
      <c r="A71" s="14">
        <v>46235</v>
      </c>
      <c r="B71" s="1" t="s">
        <v>103</v>
      </c>
      <c r="C71" s="13">
        <v>46235.333333333336</v>
      </c>
      <c r="D71" s="13">
        <v>46235.375</v>
      </c>
      <c r="E71" s="1" t="s">
        <v>144</v>
      </c>
      <c r="F71" s="12">
        <v>24</v>
      </c>
      <c r="G71" s="12">
        <v>24</v>
      </c>
      <c r="H71" s="18">
        <v>0.13714285714285715</v>
      </c>
      <c r="I71" s="12">
        <v>175</v>
      </c>
      <c r="J71" s="12">
        <v>24</v>
      </c>
      <c r="K71" s="13">
        <v>46234.375</v>
      </c>
      <c r="L71" s="13">
        <v>46234.416666666664</v>
      </c>
      <c r="M71" s="1" t="s">
        <v>145</v>
      </c>
      <c r="N71" s="1" t="s">
        <v>154</v>
      </c>
      <c r="O71" s="1" t="s">
        <v>151</v>
      </c>
      <c r="P71" s="1" t="s">
        <v>211</v>
      </c>
      <c r="Q71" s="1" t="s">
        <v>147</v>
      </c>
      <c r="R71" s="1">
        <v>46235.208333333336</v>
      </c>
      <c r="S71" s="1"/>
      <c r="T71" s="1" t="s">
        <v>148</v>
      </c>
      <c r="U71" s="1"/>
    </row>
    <row r="72" spans="1:21" ht="21" customHeight="1" x14ac:dyDescent="0.45">
      <c r="A72" s="14">
        <v>46235</v>
      </c>
      <c r="B72" s="1" t="s">
        <v>101</v>
      </c>
      <c r="C72" s="13">
        <v>46235.333333333336</v>
      </c>
      <c r="D72" s="13">
        <v>46235.375</v>
      </c>
      <c r="E72" s="1" t="s">
        <v>144</v>
      </c>
      <c r="F72" s="12">
        <v>24</v>
      </c>
      <c r="G72" s="12">
        <v>24</v>
      </c>
      <c r="H72" s="18">
        <v>0.13714285714285715</v>
      </c>
      <c r="I72" s="12">
        <v>175</v>
      </c>
      <c r="J72" s="12">
        <v>24</v>
      </c>
      <c r="K72" s="13">
        <v>46234.375</v>
      </c>
      <c r="L72" s="13">
        <v>46234.416666666664</v>
      </c>
      <c r="M72" s="1" t="s">
        <v>145</v>
      </c>
      <c r="N72" s="1" t="s">
        <v>154</v>
      </c>
      <c r="O72" s="1" t="s">
        <v>151</v>
      </c>
      <c r="P72" s="1" t="s">
        <v>212</v>
      </c>
      <c r="Q72" s="1" t="s">
        <v>147</v>
      </c>
      <c r="R72" s="1">
        <v>46235.208333333336</v>
      </c>
      <c r="S72" s="1"/>
      <c r="T72" s="1" t="s">
        <v>148</v>
      </c>
      <c r="U72" s="1"/>
    </row>
    <row r="73" spans="1:21" ht="21" customHeight="1" x14ac:dyDescent="0.45">
      <c r="A73" s="14">
        <v>46235</v>
      </c>
      <c r="B73" s="1" t="s">
        <v>143</v>
      </c>
      <c r="C73" s="13">
        <v>46235.34375</v>
      </c>
      <c r="D73" s="13">
        <v>46235.354166666664</v>
      </c>
      <c r="E73" s="1" t="s">
        <v>144</v>
      </c>
      <c r="F73" s="12">
        <v>-1.1947283675268299</v>
      </c>
      <c r="G73" s="12">
        <v>100</v>
      </c>
      <c r="H73" s="18"/>
      <c r="I73" s="12"/>
      <c r="J73" s="12"/>
      <c r="K73" s="13">
        <v>46234.541666666664</v>
      </c>
      <c r="L73" s="13">
        <v>46234.583333333336</v>
      </c>
      <c r="M73" s="1" t="s">
        <v>145</v>
      </c>
      <c r="N73" s="1"/>
      <c r="O73" s="1"/>
      <c r="P73" s="1" t="s">
        <v>213</v>
      </c>
      <c r="Q73" s="1" t="s">
        <v>147</v>
      </c>
      <c r="R73" s="1">
        <v>46235.21875</v>
      </c>
      <c r="S73" s="1"/>
      <c r="T73" s="1" t="s">
        <v>148</v>
      </c>
      <c r="U73" s="1"/>
    </row>
    <row r="74" spans="1:21" ht="21" customHeight="1" x14ac:dyDescent="0.45">
      <c r="A74" s="14">
        <v>46235</v>
      </c>
      <c r="B74" s="1" t="s">
        <v>143</v>
      </c>
      <c r="C74" s="13">
        <v>46235.354166666664</v>
      </c>
      <c r="D74" s="13">
        <v>46235.364583333336</v>
      </c>
      <c r="E74" s="1" t="s">
        <v>144</v>
      </c>
      <c r="F74" s="12">
        <v>0</v>
      </c>
      <c r="G74" s="12">
        <v>100</v>
      </c>
      <c r="H74" s="18"/>
      <c r="I74" s="12"/>
      <c r="J74" s="12"/>
      <c r="K74" s="13">
        <v>46234.541666666664</v>
      </c>
      <c r="L74" s="13">
        <v>46234.583333333336</v>
      </c>
      <c r="M74" s="1" t="s">
        <v>145</v>
      </c>
      <c r="N74" s="1"/>
      <c r="O74" s="1"/>
      <c r="P74" s="1" t="s">
        <v>214</v>
      </c>
      <c r="Q74" s="1" t="s">
        <v>147</v>
      </c>
      <c r="R74" s="1">
        <v>46235.229166666664</v>
      </c>
      <c r="S74" s="1"/>
      <c r="T74" s="1" t="s">
        <v>148</v>
      </c>
      <c r="U74" s="1"/>
    </row>
    <row r="75" spans="1:21" ht="21" customHeight="1" x14ac:dyDescent="0.45">
      <c r="A75" s="14">
        <v>46235</v>
      </c>
      <c r="B75" s="1" t="s">
        <v>143</v>
      </c>
      <c r="C75" s="13">
        <v>46235.364583333336</v>
      </c>
      <c r="D75" s="13">
        <v>46235.375</v>
      </c>
      <c r="E75" s="1" t="s">
        <v>144</v>
      </c>
      <c r="F75" s="12">
        <v>-36</v>
      </c>
      <c r="G75" s="12">
        <v>100</v>
      </c>
      <c r="H75" s="18"/>
      <c r="I75" s="12"/>
      <c r="J75" s="12"/>
      <c r="K75" s="13">
        <v>46234.541666666664</v>
      </c>
      <c r="L75" s="13">
        <v>46234.583333333336</v>
      </c>
      <c r="M75" s="1" t="s">
        <v>145</v>
      </c>
      <c r="N75" s="1"/>
      <c r="O75" s="1"/>
      <c r="P75" s="1" t="s">
        <v>215</v>
      </c>
      <c r="Q75" s="1" t="s">
        <v>147</v>
      </c>
      <c r="R75" s="1">
        <v>46235.239583333336</v>
      </c>
      <c r="S75" s="1"/>
      <c r="T75" s="1" t="s">
        <v>148</v>
      </c>
      <c r="U75" s="1"/>
    </row>
    <row r="76" spans="1:21" ht="21" customHeight="1" x14ac:dyDescent="0.45">
      <c r="A76" s="14">
        <v>46235</v>
      </c>
      <c r="B76" s="1" t="s">
        <v>143</v>
      </c>
      <c r="C76" s="13">
        <v>46235.375</v>
      </c>
      <c r="D76" s="13">
        <v>46235.385416666664</v>
      </c>
      <c r="E76" s="1" t="s">
        <v>144</v>
      </c>
      <c r="F76" s="12">
        <v>29.164950966857145</v>
      </c>
      <c r="G76" s="12">
        <v>100</v>
      </c>
      <c r="H76" s="18"/>
      <c r="I76" s="12"/>
      <c r="J76" s="12"/>
      <c r="K76" s="13">
        <v>46234.541666666664</v>
      </c>
      <c r="L76" s="13">
        <v>46234.583333333336</v>
      </c>
      <c r="M76" s="1" t="s">
        <v>145</v>
      </c>
      <c r="N76" s="1"/>
      <c r="O76" s="1"/>
      <c r="P76" s="1" t="s">
        <v>216</v>
      </c>
      <c r="Q76" s="1" t="s">
        <v>147</v>
      </c>
      <c r="R76" s="1">
        <v>46235.25</v>
      </c>
      <c r="S76" s="1"/>
      <c r="T76" s="1" t="s">
        <v>148</v>
      </c>
      <c r="U76" s="1"/>
    </row>
    <row r="77" spans="1:21" ht="21" customHeight="1" x14ac:dyDescent="0.45">
      <c r="A77" s="14">
        <v>46235</v>
      </c>
      <c r="B77" s="1" t="s">
        <v>149</v>
      </c>
      <c r="C77" s="13">
        <v>46235.375</v>
      </c>
      <c r="D77" s="13">
        <v>46235.416666666664</v>
      </c>
      <c r="E77" s="1" t="s">
        <v>144</v>
      </c>
      <c r="F77" s="12">
        <v>40</v>
      </c>
      <c r="G77" s="12">
        <v>40</v>
      </c>
      <c r="H77" s="18">
        <v>0.3125</v>
      </c>
      <c r="I77" s="12">
        <v>128</v>
      </c>
      <c r="J77" s="12">
        <v>40</v>
      </c>
      <c r="K77" s="13">
        <v>46234.375</v>
      </c>
      <c r="L77" s="13">
        <v>46234.416666666664</v>
      </c>
      <c r="M77" s="1" t="s">
        <v>145</v>
      </c>
      <c r="N77" s="1" t="s">
        <v>150</v>
      </c>
      <c r="O77" s="1" t="s">
        <v>151</v>
      </c>
      <c r="P77" s="1" t="s">
        <v>217</v>
      </c>
      <c r="Q77" s="1" t="s">
        <v>147</v>
      </c>
      <c r="R77" s="1">
        <v>46235.25</v>
      </c>
      <c r="S77" s="1" t="s">
        <v>153</v>
      </c>
      <c r="T77" s="1" t="s">
        <v>148</v>
      </c>
      <c r="U77" s="1"/>
    </row>
    <row r="78" spans="1:21" ht="21" customHeight="1" x14ac:dyDescent="0.45">
      <c r="A78" s="14">
        <v>46235</v>
      </c>
      <c r="B78" s="1" t="s">
        <v>103</v>
      </c>
      <c r="C78" s="13">
        <v>46235.375</v>
      </c>
      <c r="D78" s="13">
        <v>46235.416666666664</v>
      </c>
      <c r="E78" s="1" t="s">
        <v>144</v>
      </c>
      <c r="F78" s="12">
        <v>0</v>
      </c>
      <c r="G78" s="12">
        <v>24</v>
      </c>
      <c r="H78" s="18">
        <v>0.13714285714285715</v>
      </c>
      <c r="I78" s="12">
        <v>175</v>
      </c>
      <c r="J78" s="12">
        <v>24</v>
      </c>
      <c r="K78" s="13">
        <v>46234.375</v>
      </c>
      <c r="L78" s="13">
        <v>46234.416666666664</v>
      </c>
      <c r="M78" s="1" t="s">
        <v>145</v>
      </c>
      <c r="N78" s="1" t="s">
        <v>154</v>
      </c>
      <c r="O78" s="1" t="s">
        <v>151</v>
      </c>
      <c r="P78" s="1" t="s">
        <v>218</v>
      </c>
      <c r="Q78" s="1" t="s">
        <v>147</v>
      </c>
      <c r="R78" s="1">
        <v>46235.25</v>
      </c>
      <c r="S78" s="1"/>
      <c r="T78" s="1" t="s">
        <v>148</v>
      </c>
      <c r="U78" s="1"/>
    </row>
    <row r="79" spans="1:21" ht="21" customHeight="1" x14ac:dyDescent="0.45">
      <c r="A79" s="14">
        <v>46235</v>
      </c>
      <c r="B79" s="1" t="s">
        <v>101</v>
      </c>
      <c r="C79" s="13">
        <v>46235.375</v>
      </c>
      <c r="D79" s="13">
        <v>46235.416666666664</v>
      </c>
      <c r="E79" s="1" t="s">
        <v>144</v>
      </c>
      <c r="F79" s="12">
        <v>24</v>
      </c>
      <c r="G79" s="12">
        <v>24</v>
      </c>
      <c r="H79" s="18">
        <v>0.13714285714285715</v>
      </c>
      <c r="I79" s="12">
        <v>175</v>
      </c>
      <c r="J79" s="12">
        <v>24</v>
      </c>
      <c r="K79" s="13">
        <v>46234.375</v>
      </c>
      <c r="L79" s="13">
        <v>46234.416666666664</v>
      </c>
      <c r="M79" s="1" t="s">
        <v>145</v>
      </c>
      <c r="N79" s="1" t="s">
        <v>154</v>
      </c>
      <c r="O79" s="1" t="s">
        <v>151</v>
      </c>
      <c r="P79" s="1" t="s">
        <v>219</v>
      </c>
      <c r="Q79" s="1" t="s">
        <v>147</v>
      </c>
      <c r="R79" s="1">
        <v>46235.25</v>
      </c>
      <c r="S79" s="1"/>
      <c r="T79" s="1" t="s">
        <v>148</v>
      </c>
      <c r="U79" s="1"/>
    </row>
    <row r="80" spans="1:21" ht="21" customHeight="1" x14ac:dyDescent="0.45">
      <c r="A80" s="14">
        <v>46235</v>
      </c>
      <c r="B80" s="1" t="s">
        <v>143</v>
      </c>
      <c r="C80" s="13">
        <v>46235.385416666664</v>
      </c>
      <c r="D80" s="13">
        <v>46235.395833333336</v>
      </c>
      <c r="E80" s="1" t="s">
        <v>144</v>
      </c>
      <c r="F80" s="12">
        <v>0</v>
      </c>
      <c r="G80" s="12">
        <v>100</v>
      </c>
      <c r="H80" s="18"/>
      <c r="I80" s="12"/>
      <c r="J80" s="12"/>
      <c r="K80" s="13">
        <v>46234.541666666664</v>
      </c>
      <c r="L80" s="13">
        <v>46234.583333333336</v>
      </c>
      <c r="M80" s="1" t="s">
        <v>145</v>
      </c>
      <c r="N80" s="1"/>
      <c r="O80" s="1"/>
      <c r="P80" s="1" t="s">
        <v>220</v>
      </c>
      <c r="Q80" s="1" t="s">
        <v>147</v>
      </c>
      <c r="R80" s="1">
        <v>46235.260416666664</v>
      </c>
      <c r="S80" s="1"/>
      <c r="T80" s="1" t="s">
        <v>148</v>
      </c>
      <c r="U80" s="1"/>
    </row>
    <row r="81" spans="1:21" ht="21" customHeight="1" x14ac:dyDescent="0.45">
      <c r="A81" s="14">
        <v>46235</v>
      </c>
      <c r="B81" s="1" t="s">
        <v>143</v>
      </c>
      <c r="C81" s="13">
        <v>46235.395833333336</v>
      </c>
      <c r="D81" s="13">
        <v>46235.40625</v>
      </c>
      <c r="E81" s="1" t="s">
        <v>144</v>
      </c>
      <c r="F81" s="12">
        <v>0</v>
      </c>
      <c r="G81" s="12">
        <v>100</v>
      </c>
      <c r="H81" s="18"/>
      <c r="I81" s="12"/>
      <c r="J81" s="12"/>
      <c r="K81" s="13">
        <v>46234.541666666664</v>
      </c>
      <c r="L81" s="13">
        <v>46234.583333333336</v>
      </c>
      <c r="M81" s="1" t="s">
        <v>145</v>
      </c>
      <c r="N81" s="1"/>
      <c r="O81" s="1"/>
      <c r="P81" s="1" t="s">
        <v>221</v>
      </c>
      <c r="Q81" s="1" t="s">
        <v>147</v>
      </c>
      <c r="R81" s="1">
        <v>46235.270833333336</v>
      </c>
      <c r="S81" s="1"/>
      <c r="T81" s="1" t="s">
        <v>148</v>
      </c>
      <c r="U81" s="1"/>
    </row>
    <row r="82" spans="1:21" ht="21" customHeight="1" x14ac:dyDescent="0.45">
      <c r="A82" s="14">
        <v>46235</v>
      </c>
      <c r="B82" s="1" t="s">
        <v>143</v>
      </c>
      <c r="C82" s="13">
        <v>46235.40625</v>
      </c>
      <c r="D82" s="13">
        <v>46235.416666666664</v>
      </c>
      <c r="E82" s="1" t="s">
        <v>144</v>
      </c>
      <c r="F82" s="12">
        <v>-60</v>
      </c>
      <c r="G82" s="12">
        <v>100</v>
      </c>
      <c r="H82" s="18"/>
      <c r="I82" s="12"/>
      <c r="J82" s="12"/>
      <c r="K82" s="13">
        <v>46234.541666666664</v>
      </c>
      <c r="L82" s="13">
        <v>46234.583333333336</v>
      </c>
      <c r="M82" s="1" t="s">
        <v>145</v>
      </c>
      <c r="N82" s="1"/>
      <c r="O82" s="1"/>
      <c r="P82" s="1" t="s">
        <v>222</v>
      </c>
      <c r="Q82" s="1" t="s">
        <v>147</v>
      </c>
      <c r="R82" s="1">
        <v>46235.28125</v>
      </c>
      <c r="S82" s="1"/>
      <c r="T82" s="1" t="s">
        <v>148</v>
      </c>
      <c r="U82" s="1"/>
    </row>
    <row r="83" spans="1:21" ht="21" customHeight="1" x14ac:dyDescent="0.45">
      <c r="A83" s="14">
        <v>46235</v>
      </c>
      <c r="B83" s="1" t="s">
        <v>143</v>
      </c>
      <c r="C83" s="13">
        <v>46235.416666666664</v>
      </c>
      <c r="D83" s="13">
        <v>46235.427083333336</v>
      </c>
      <c r="E83" s="1" t="s">
        <v>144</v>
      </c>
      <c r="F83" s="12">
        <v>46</v>
      </c>
      <c r="G83" s="12">
        <v>100</v>
      </c>
      <c r="H83" s="18"/>
      <c r="I83" s="12"/>
      <c r="J83" s="12"/>
      <c r="K83" s="13">
        <v>46234.541666666664</v>
      </c>
      <c r="L83" s="13">
        <v>46234.583333333336</v>
      </c>
      <c r="M83" s="1" t="s">
        <v>145</v>
      </c>
      <c r="N83" s="1"/>
      <c r="O83" s="1"/>
      <c r="P83" s="1" t="s">
        <v>223</v>
      </c>
      <c r="Q83" s="1" t="s">
        <v>147</v>
      </c>
      <c r="R83" s="1">
        <v>46235.291666666664</v>
      </c>
      <c r="S83" s="1"/>
      <c r="T83" s="1" t="s">
        <v>148</v>
      </c>
      <c r="U83" s="1"/>
    </row>
    <row r="84" spans="1:21" ht="21" customHeight="1" x14ac:dyDescent="0.45">
      <c r="A84" s="14">
        <v>46235</v>
      </c>
      <c r="B84" s="1" t="s">
        <v>149</v>
      </c>
      <c r="C84" s="13">
        <v>46235.416666666664</v>
      </c>
      <c r="D84" s="13">
        <v>46235.458333333336</v>
      </c>
      <c r="E84" s="1" t="s">
        <v>144</v>
      </c>
      <c r="F84" s="12">
        <v>40</v>
      </c>
      <c r="G84" s="12">
        <v>40</v>
      </c>
      <c r="H84" s="18">
        <v>0.3125</v>
      </c>
      <c r="I84" s="12">
        <v>128</v>
      </c>
      <c r="J84" s="12">
        <v>40</v>
      </c>
      <c r="K84" s="13">
        <v>46234.375</v>
      </c>
      <c r="L84" s="13">
        <v>46234.416666666664</v>
      </c>
      <c r="M84" s="1" t="s">
        <v>145</v>
      </c>
      <c r="N84" s="1" t="s">
        <v>150</v>
      </c>
      <c r="O84" s="1" t="s">
        <v>151</v>
      </c>
      <c r="P84" s="1" t="s">
        <v>224</v>
      </c>
      <c r="Q84" s="1" t="s">
        <v>147</v>
      </c>
      <c r="R84" s="1">
        <v>46235.291666666664</v>
      </c>
      <c r="S84" s="1" t="s">
        <v>153</v>
      </c>
      <c r="T84" s="1" t="s">
        <v>148</v>
      </c>
      <c r="U84" s="1"/>
    </row>
    <row r="85" spans="1:21" ht="21" customHeight="1" x14ac:dyDescent="0.45">
      <c r="A85" s="14">
        <v>46235</v>
      </c>
      <c r="B85" s="1" t="s">
        <v>103</v>
      </c>
      <c r="C85" s="13">
        <v>46235.416666666664</v>
      </c>
      <c r="D85" s="13">
        <v>46235.458333333336</v>
      </c>
      <c r="E85" s="1" t="s">
        <v>144</v>
      </c>
      <c r="F85" s="12">
        <v>0</v>
      </c>
      <c r="G85" s="12">
        <v>24</v>
      </c>
      <c r="H85" s="18">
        <v>0.13714285714285715</v>
      </c>
      <c r="I85" s="12">
        <v>175</v>
      </c>
      <c r="J85" s="12">
        <v>24</v>
      </c>
      <c r="K85" s="13">
        <v>46234.375</v>
      </c>
      <c r="L85" s="13">
        <v>46234.416666666664</v>
      </c>
      <c r="M85" s="1" t="s">
        <v>145</v>
      </c>
      <c r="N85" s="1" t="s">
        <v>154</v>
      </c>
      <c r="O85" s="1" t="s">
        <v>151</v>
      </c>
      <c r="P85" s="1" t="s">
        <v>225</v>
      </c>
      <c r="Q85" s="1" t="s">
        <v>147</v>
      </c>
      <c r="R85" s="1">
        <v>46235.291666666664</v>
      </c>
      <c r="S85" s="1"/>
      <c r="T85" s="1" t="s">
        <v>148</v>
      </c>
      <c r="U85" s="1"/>
    </row>
    <row r="86" spans="1:21" ht="21" customHeight="1" x14ac:dyDescent="0.45">
      <c r="A86" s="14">
        <v>46235</v>
      </c>
      <c r="B86" s="1" t="s">
        <v>101</v>
      </c>
      <c r="C86" s="13">
        <v>46235.416666666664</v>
      </c>
      <c r="D86" s="13">
        <v>46235.458333333336</v>
      </c>
      <c r="E86" s="1" t="s">
        <v>144</v>
      </c>
      <c r="F86" s="12">
        <v>14</v>
      </c>
      <c r="G86" s="12">
        <v>24</v>
      </c>
      <c r="H86" s="18">
        <v>0.13714285714285715</v>
      </c>
      <c r="I86" s="12">
        <v>175</v>
      </c>
      <c r="J86" s="12">
        <v>24</v>
      </c>
      <c r="K86" s="13">
        <v>46234.375</v>
      </c>
      <c r="L86" s="13">
        <v>46234.416666666664</v>
      </c>
      <c r="M86" s="1" t="s">
        <v>145</v>
      </c>
      <c r="N86" s="1" t="s">
        <v>154</v>
      </c>
      <c r="O86" s="1" t="s">
        <v>151</v>
      </c>
      <c r="P86" s="1" t="s">
        <v>226</v>
      </c>
      <c r="Q86" s="1" t="s">
        <v>147</v>
      </c>
      <c r="R86" s="1">
        <v>46235.291666666664</v>
      </c>
      <c r="S86" s="1"/>
      <c r="T86" s="1" t="s">
        <v>148</v>
      </c>
      <c r="U86" s="1"/>
    </row>
    <row r="87" spans="1:21" ht="21" customHeight="1" x14ac:dyDescent="0.45">
      <c r="A87" s="14">
        <v>46235</v>
      </c>
      <c r="B87" s="1" t="s">
        <v>143</v>
      </c>
      <c r="C87" s="13">
        <v>46235.427083333336</v>
      </c>
      <c r="D87" s="13">
        <v>46235.4375</v>
      </c>
      <c r="E87" s="1" t="s">
        <v>144</v>
      </c>
      <c r="F87" s="12">
        <v>-2.7359899018512621</v>
      </c>
      <c r="G87" s="12">
        <v>100</v>
      </c>
      <c r="H87" s="18"/>
      <c r="I87" s="12"/>
      <c r="J87" s="12"/>
      <c r="K87" s="13">
        <v>46234.541666666664</v>
      </c>
      <c r="L87" s="13">
        <v>46234.583333333336</v>
      </c>
      <c r="M87" s="1" t="s">
        <v>145</v>
      </c>
      <c r="N87" s="1"/>
      <c r="O87" s="1"/>
      <c r="P87" s="1" t="s">
        <v>227</v>
      </c>
      <c r="Q87" s="1" t="s">
        <v>147</v>
      </c>
      <c r="R87" s="1">
        <v>46235.302083333336</v>
      </c>
      <c r="S87" s="1"/>
      <c r="T87" s="1" t="s">
        <v>148</v>
      </c>
      <c r="U87" s="1"/>
    </row>
    <row r="88" spans="1:21" ht="21" customHeight="1" x14ac:dyDescent="0.45">
      <c r="A88" s="14">
        <v>46235</v>
      </c>
      <c r="B88" s="1" t="s">
        <v>143</v>
      </c>
      <c r="C88" s="13">
        <v>46235.4375</v>
      </c>
      <c r="D88" s="13">
        <v>46235.447916666664</v>
      </c>
      <c r="E88" s="1" t="s">
        <v>144</v>
      </c>
      <c r="F88" s="12">
        <v>-60</v>
      </c>
      <c r="G88" s="12">
        <v>100</v>
      </c>
      <c r="H88" s="18"/>
      <c r="I88" s="12"/>
      <c r="J88" s="12"/>
      <c r="K88" s="13">
        <v>46234.541666666664</v>
      </c>
      <c r="L88" s="13">
        <v>46234.583333333336</v>
      </c>
      <c r="M88" s="1" t="s">
        <v>145</v>
      </c>
      <c r="N88" s="1"/>
      <c r="O88" s="1"/>
      <c r="P88" s="1" t="s">
        <v>228</v>
      </c>
      <c r="Q88" s="1" t="s">
        <v>147</v>
      </c>
      <c r="R88" s="1">
        <v>46235.3125</v>
      </c>
      <c r="S88" s="1"/>
      <c r="T88" s="1" t="s">
        <v>148</v>
      </c>
      <c r="U88" s="1"/>
    </row>
    <row r="89" spans="1:21" ht="21" customHeight="1" x14ac:dyDescent="0.45">
      <c r="A89" s="14">
        <v>46235</v>
      </c>
      <c r="B89" s="1" t="s">
        <v>143</v>
      </c>
      <c r="C89" s="13">
        <v>46235.447916666664</v>
      </c>
      <c r="D89" s="13">
        <v>46235.458333333336</v>
      </c>
      <c r="E89" s="1" t="s">
        <v>144</v>
      </c>
      <c r="F89" s="12">
        <v>-60</v>
      </c>
      <c r="G89" s="12">
        <v>100</v>
      </c>
      <c r="H89" s="18"/>
      <c r="I89" s="12"/>
      <c r="J89" s="12"/>
      <c r="K89" s="13">
        <v>46234.541666666664</v>
      </c>
      <c r="L89" s="13">
        <v>46234.583333333336</v>
      </c>
      <c r="M89" s="1" t="s">
        <v>145</v>
      </c>
      <c r="N89" s="1"/>
      <c r="O89" s="1"/>
      <c r="P89" s="1" t="s">
        <v>229</v>
      </c>
      <c r="Q89" s="1" t="s">
        <v>147</v>
      </c>
      <c r="R89" s="1">
        <v>46235.322916666664</v>
      </c>
      <c r="S89" s="1"/>
      <c r="T89" s="1" t="s">
        <v>148</v>
      </c>
      <c r="U89" s="1"/>
    </row>
    <row r="90" spans="1:21" ht="21" customHeight="1" x14ac:dyDescent="0.45">
      <c r="A90" s="14">
        <v>46235</v>
      </c>
      <c r="B90" s="1" t="s">
        <v>143</v>
      </c>
      <c r="C90" s="13">
        <v>46235.458333333336</v>
      </c>
      <c r="D90" s="13">
        <v>46235.46875</v>
      </c>
      <c r="E90" s="1" t="s">
        <v>144</v>
      </c>
      <c r="F90" s="12">
        <v>60</v>
      </c>
      <c r="G90" s="12">
        <v>100</v>
      </c>
      <c r="H90" s="18"/>
      <c r="I90" s="12"/>
      <c r="J90" s="12"/>
      <c r="K90" s="13">
        <v>46234.541666666664</v>
      </c>
      <c r="L90" s="13">
        <v>46234.583333333336</v>
      </c>
      <c r="M90" s="1" t="s">
        <v>145</v>
      </c>
      <c r="N90" s="1"/>
      <c r="O90" s="1"/>
      <c r="P90" s="1" t="s">
        <v>230</v>
      </c>
      <c r="Q90" s="1" t="s">
        <v>147</v>
      </c>
      <c r="R90" s="1">
        <v>46235.333333333336</v>
      </c>
      <c r="S90" s="1"/>
      <c r="T90" s="1" t="s">
        <v>148</v>
      </c>
      <c r="U90" s="1"/>
    </row>
    <row r="91" spans="1:21" ht="21" customHeight="1" x14ac:dyDescent="0.45">
      <c r="A91" s="14">
        <v>46235</v>
      </c>
      <c r="B91" s="1" t="s">
        <v>149</v>
      </c>
      <c r="C91" s="13">
        <v>46235.458333333336</v>
      </c>
      <c r="D91" s="13">
        <v>46235.5</v>
      </c>
      <c r="E91" s="1" t="s">
        <v>144</v>
      </c>
      <c r="F91" s="12">
        <v>40</v>
      </c>
      <c r="G91" s="12">
        <v>40</v>
      </c>
      <c r="H91" s="18">
        <v>0.3125</v>
      </c>
      <c r="I91" s="12">
        <v>128</v>
      </c>
      <c r="J91" s="12">
        <v>40</v>
      </c>
      <c r="K91" s="13">
        <v>46234.375</v>
      </c>
      <c r="L91" s="13">
        <v>46234.416666666664</v>
      </c>
      <c r="M91" s="1" t="s">
        <v>145</v>
      </c>
      <c r="N91" s="1" t="s">
        <v>150</v>
      </c>
      <c r="O91" s="1" t="s">
        <v>151</v>
      </c>
      <c r="P91" s="1" t="s">
        <v>231</v>
      </c>
      <c r="Q91" s="1" t="s">
        <v>147</v>
      </c>
      <c r="R91" s="1">
        <v>46235.333333333336</v>
      </c>
      <c r="S91" s="1" t="s">
        <v>153</v>
      </c>
      <c r="T91" s="1" t="s">
        <v>148</v>
      </c>
      <c r="U91" s="1"/>
    </row>
    <row r="92" spans="1:21" ht="21" customHeight="1" x14ac:dyDescent="0.45">
      <c r="A92" s="14">
        <v>46235</v>
      </c>
      <c r="B92" s="1" t="s">
        <v>103</v>
      </c>
      <c r="C92" s="13">
        <v>46235.458333333336</v>
      </c>
      <c r="D92" s="13">
        <v>46235.5</v>
      </c>
      <c r="E92" s="1" t="s">
        <v>144</v>
      </c>
      <c r="F92" s="12">
        <v>24</v>
      </c>
      <c r="G92" s="12">
        <v>24</v>
      </c>
      <c r="H92" s="18">
        <v>0.13714285714285715</v>
      </c>
      <c r="I92" s="12">
        <v>175</v>
      </c>
      <c r="J92" s="12">
        <v>24</v>
      </c>
      <c r="K92" s="13">
        <v>46234.375</v>
      </c>
      <c r="L92" s="13">
        <v>46234.416666666664</v>
      </c>
      <c r="M92" s="1" t="s">
        <v>145</v>
      </c>
      <c r="N92" s="1" t="s">
        <v>154</v>
      </c>
      <c r="O92" s="1" t="s">
        <v>151</v>
      </c>
      <c r="P92" s="1" t="s">
        <v>232</v>
      </c>
      <c r="Q92" s="1" t="s">
        <v>147</v>
      </c>
      <c r="R92" s="1">
        <v>46235.333333333336</v>
      </c>
      <c r="S92" s="1"/>
      <c r="T92" s="1" t="s">
        <v>148</v>
      </c>
      <c r="U92" s="1"/>
    </row>
    <row r="93" spans="1:21" ht="21" customHeight="1" x14ac:dyDescent="0.45">
      <c r="A93" s="14">
        <v>46235</v>
      </c>
      <c r="B93" s="1" t="s">
        <v>101</v>
      </c>
      <c r="C93" s="13">
        <v>46235.458333333336</v>
      </c>
      <c r="D93" s="13">
        <v>46235.5</v>
      </c>
      <c r="E93" s="1" t="s">
        <v>144</v>
      </c>
      <c r="F93" s="12">
        <v>0</v>
      </c>
      <c r="G93" s="12">
        <v>24</v>
      </c>
      <c r="H93" s="18">
        <v>0.13714285714285715</v>
      </c>
      <c r="I93" s="12">
        <v>175</v>
      </c>
      <c r="J93" s="12">
        <v>24</v>
      </c>
      <c r="K93" s="13">
        <v>46234.375</v>
      </c>
      <c r="L93" s="13">
        <v>46234.416666666664</v>
      </c>
      <c r="M93" s="1" t="s">
        <v>145</v>
      </c>
      <c r="N93" s="1" t="s">
        <v>154</v>
      </c>
      <c r="O93" s="1" t="s">
        <v>151</v>
      </c>
      <c r="P93" s="1" t="s">
        <v>233</v>
      </c>
      <c r="Q93" s="1" t="s">
        <v>147</v>
      </c>
      <c r="R93" s="1">
        <v>46235.333333333336</v>
      </c>
      <c r="S93" s="1"/>
      <c r="T93" s="1" t="s">
        <v>148</v>
      </c>
      <c r="U93" s="1"/>
    </row>
    <row r="94" spans="1:21" ht="21" customHeight="1" x14ac:dyDescent="0.45">
      <c r="A94" s="14">
        <v>46235</v>
      </c>
      <c r="B94" s="1" t="s">
        <v>143</v>
      </c>
      <c r="C94" s="13">
        <v>46235.46875</v>
      </c>
      <c r="D94" s="13">
        <v>46235.479166666664</v>
      </c>
      <c r="E94" s="1" t="s">
        <v>144</v>
      </c>
      <c r="F94" s="12">
        <v>0</v>
      </c>
      <c r="G94" s="12">
        <v>100</v>
      </c>
      <c r="H94" s="18"/>
      <c r="I94" s="12"/>
      <c r="J94" s="12"/>
      <c r="K94" s="13">
        <v>46234.541666666664</v>
      </c>
      <c r="L94" s="13">
        <v>46234.583333333336</v>
      </c>
      <c r="M94" s="1" t="s">
        <v>145</v>
      </c>
      <c r="N94" s="1"/>
      <c r="O94" s="1"/>
      <c r="P94" s="1" t="s">
        <v>234</v>
      </c>
      <c r="Q94" s="1" t="s">
        <v>147</v>
      </c>
      <c r="R94" s="1">
        <v>46235.34375</v>
      </c>
      <c r="S94" s="1"/>
      <c r="T94" s="1" t="s">
        <v>148</v>
      </c>
      <c r="U94" s="1"/>
    </row>
    <row r="95" spans="1:21" ht="21" customHeight="1" x14ac:dyDescent="0.45">
      <c r="A95" s="14">
        <v>46235</v>
      </c>
      <c r="B95" s="1" t="s">
        <v>143</v>
      </c>
      <c r="C95" s="13">
        <v>46235.479166666664</v>
      </c>
      <c r="D95" s="13">
        <v>46235.489583333336</v>
      </c>
      <c r="E95" s="1" t="s">
        <v>144</v>
      </c>
      <c r="F95" s="12">
        <v>-36</v>
      </c>
      <c r="G95" s="12">
        <v>100</v>
      </c>
      <c r="H95" s="18"/>
      <c r="I95" s="12"/>
      <c r="J95" s="12"/>
      <c r="K95" s="13">
        <v>46234.541666666664</v>
      </c>
      <c r="L95" s="13">
        <v>46234.583333333336</v>
      </c>
      <c r="M95" s="1" t="s">
        <v>145</v>
      </c>
      <c r="N95" s="1"/>
      <c r="O95" s="1"/>
      <c r="P95" s="1" t="s">
        <v>235</v>
      </c>
      <c r="Q95" s="1" t="s">
        <v>147</v>
      </c>
      <c r="R95" s="1">
        <v>46235.354166666664</v>
      </c>
      <c r="S95" s="1"/>
      <c r="T95" s="1" t="s">
        <v>148</v>
      </c>
      <c r="U95" s="1"/>
    </row>
    <row r="96" spans="1:21" ht="21" customHeight="1" x14ac:dyDescent="0.45">
      <c r="A96" s="14">
        <v>46235</v>
      </c>
      <c r="B96" s="1" t="s">
        <v>143</v>
      </c>
      <c r="C96" s="13">
        <v>46235.489583333336</v>
      </c>
      <c r="D96" s="13">
        <v>46235.5</v>
      </c>
      <c r="E96" s="1" t="s">
        <v>144</v>
      </c>
      <c r="F96" s="12">
        <v>0</v>
      </c>
      <c r="G96" s="12">
        <v>100</v>
      </c>
      <c r="H96" s="18"/>
      <c r="I96" s="12"/>
      <c r="J96" s="12"/>
      <c r="K96" s="13">
        <v>46234.541666666664</v>
      </c>
      <c r="L96" s="13">
        <v>46234.583333333336</v>
      </c>
      <c r="M96" s="1" t="s">
        <v>145</v>
      </c>
      <c r="N96" s="1"/>
      <c r="O96" s="1"/>
      <c r="P96" s="1" t="s">
        <v>236</v>
      </c>
      <c r="Q96" s="1" t="s">
        <v>147</v>
      </c>
      <c r="R96" s="1">
        <v>46235.364583333336</v>
      </c>
      <c r="S96" s="1"/>
      <c r="T96" s="1" t="s">
        <v>148</v>
      </c>
      <c r="U96" s="1"/>
    </row>
    <row r="97" spans="1:21" ht="21" customHeight="1" x14ac:dyDescent="0.45">
      <c r="A97" s="14">
        <v>46235</v>
      </c>
      <c r="B97" s="1" t="s">
        <v>143</v>
      </c>
      <c r="C97" s="13">
        <v>46235.5</v>
      </c>
      <c r="D97" s="13">
        <v>46235.510416666664</v>
      </c>
      <c r="E97" s="1" t="s">
        <v>144</v>
      </c>
      <c r="F97" s="12">
        <v>43</v>
      </c>
      <c r="G97" s="12">
        <v>100</v>
      </c>
      <c r="H97" s="18"/>
      <c r="I97" s="12"/>
      <c r="J97" s="12"/>
      <c r="K97" s="13">
        <v>46234.541666666664</v>
      </c>
      <c r="L97" s="13">
        <v>46234.583333333336</v>
      </c>
      <c r="M97" s="1" t="s">
        <v>145</v>
      </c>
      <c r="N97" s="1"/>
      <c r="O97" s="1"/>
      <c r="P97" s="1" t="s">
        <v>237</v>
      </c>
      <c r="Q97" s="1" t="s">
        <v>147</v>
      </c>
      <c r="R97" s="1">
        <v>46235.375</v>
      </c>
      <c r="S97" s="1"/>
      <c r="T97" s="1" t="s">
        <v>148</v>
      </c>
      <c r="U97" s="1"/>
    </row>
    <row r="98" spans="1:21" ht="21" customHeight="1" x14ac:dyDescent="0.45">
      <c r="A98" s="14">
        <v>46235</v>
      </c>
      <c r="B98" s="1" t="s">
        <v>149</v>
      </c>
      <c r="C98" s="13">
        <v>46235.5</v>
      </c>
      <c r="D98" s="13">
        <v>46235.541666666664</v>
      </c>
      <c r="E98" s="1" t="s">
        <v>144</v>
      </c>
      <c r="F98" s="12">
        <v>40</v>
      </c>
      <c r="G98" s="12">
        <v>40</v>
      </c>
      <c r="H98" s="18">
        <v>0.3125</v>
      </c>
      <c r="I98" s="12">
        <v>128</v>
      </c>
      <c r="J98" s="12">
        <v>40</v>
      </c>
      <c r="K98" s="13">
        <v>46234.375</v>
      </c>
      <c r="L98" s="13">
        <v>46234.416666666664</v>
      </c>
      <c r="M98" s="1" t="s">
        <v>145</v>
      </c>
      <c r="N98" s="1" t="s">
        <v>150</v>
      </c>
      <c r="O98" s="1" t="s">
        <v>151</v>
      </c>
      <c r="P98" s="1" t="s">
        <v>238</v>
      </c>
      <c r="Q98" s="1" t="s">
        <v>147</v>
      </c>
      <c r="R98" s="1">
        <v>46235.375</v>
      </c>
      <c r="S98" s="1" t="s">
        <v>153</v>
      </c>
      <c r="T98" s="1" t="s">
        <v>148</v>
      </c>
      <c r="U98" s="1"/>
    </row>
    <row r="99" spans="1:21" ht="21" customHeight="1" x14ac:dyDescent="0.45">
      <c r="A99" s="14">
        <v>46235</v>
      </c>
      <c r="B99" s="1" t="s">
        <v>103</v>
      </c>
      <c r="C99" s="13">
        <v>46235.5</v>
      </c>
      <c r="D99" s="13">
        <v>46235.541666666664</v>
      </c>
      <c r="E99" s="1" t="s">
        <v>144</v>
      </c>
      <c r="F99" s="12">
        <v>24</v>
      </c>
      <c r="G99" s="12">
        <v>24</v>
      </c>
      <c r="H99" s="18">
        <v>0.13714285714285715</v>
      </c>
      <c r="I99" s="12">
        <v>175</v>
      </c>
      <c r="J99" s="12">
        <v>24</v>
      </c>
      <c r="K99" s="13">
        <v>46234.375</v>
      </c>
      <c r="L99" s="13">
        <v>46234.416666666664</v>
      </c>
      <c r="M99" s="1" t="s">
        <v>145</v>
      </c>
      <c r="N99" s="1" t="s">
        <v>154</v>
      </c>
      <c r="O99" s="1" t="s">
        <v>151</v>
      </c>
      <c r="P99" s="1" t="s">
        <v>239</v>
      </c>
      <c r="Q99" s="1" t="s">
        <v>147</v>
      </c>
      <c r="R99" s="1">
        <v>46235.375</v>
      </c>
      <c r="S99" s="1"/>
      <c r="T99" s="1" t="s">
        <v>148</v>
      </c>
      <c r="U99" s="1"/>
    </row>
    <row r="100" spans="1:21" ht="21" customHeight="1" x14ac:dyDescent="0.45">
      <c r="A100" s="14">
        <v>46235</v>
      </c>
      <c r="B100" s="1" t="s">
        <v>101</v>
      </c>
      <c r="C100" s="13">
        <v>46235.5</v>
      </c>
      <c r="D100" s="13">
        <v>46235.541666666664</v>
      </c>
      <c r="E100" s="1" t="s">
        <v>144</v>
      </c>
      <c r="F100" s="12">
        <v>17</v>
      </c>
      <c r="G100" s="12">
        <v>24</v>
      </c>
      <c r="H100" s="18">
        <v>0.13714285714285715</v>
      </c>
      <c r="I100" s="12">
        <v>175</v>
      </c>
      <c r="J100" s="12">
        <v>24</v>
      </c>
      <c r="K100" s="13">
        <v>46234.375</v>
      </c>
      <c r="L100" s="13">
        <v>46234.416666666664</v>
      </c>
      <c r="M100" s="1" t="s">
        <v>145</v>
      </c>
      <c r="N100" s="1" t="s">
        <v>154</v>
      </c>
      <c r="O100" s="1" t="s">
        <v>151</v>
      </c>
      <c r="P100" s="1" t="s">
        <v>240</v>
      </c>
      <c r="Q100" s="1" t="s">
        <v>147</v>
      </c>
      <c r="R100" s="1">
        <v>46235.375</v>
      </c>
      <c r="S100" s="1"/>
      <c r="T100" s="1" t="s">
        <v>148</v>
      </c>
      <c r="U100" s="1"/>
    </row>
    <row r="101" spans="1:21" ht="21" customHeight="1" x14ac:dyDescent="0.45">
      <c r="A101" s="14">
        <v>46235</v>
      </c>
      <c r="B101" s="1" t="s">
        <v>143</v>
      </c>
      <c r="C101" s="13">
        <v>46235.510416666664</v>
      </c>
      <c r="D101" s="13">
        <v>46235.520833333336</v>
      </c>
      <c r="E101" s="1" t="s">
        <v>144</v>
      </c>
      <c r="F101" s="12">
        <v>43</v>
      </c>
      <c r="G101" s="12">
        <v>100</v>
      </c>
      <c r="H101" s="18"/>
      <c r="I101" s="12"/>
      <c r="J101" s="12"/>
      <c r="K101" s="13">
        <v>46234.541666666664</v>
      </c>
      <c r="L101" s="13">
        <v>46234.583333333336</v>
      </c>
      <c r="M101" s="1" t="s">
        <v>145</v>
      </c>
      <c r="N101" s="1"/>
      <c r="O101" s="1"/>
      <c r="P101" s="1" t="s">
        <v>241</v>
      </c>
      <c r="Q101" s="1" t="s">
        <v>147</v>
      </c>
      <c r="R101" s="1">
        <v>46235.385416666664</v>
      </c>
      <c r="S101" s="1"/>
      <c r="T101" s="1" t="s">
        <v>148</v>
      </c>
      <c r="U101" s="1"/>
    </row>
    <row r="102" spans="1:21" ht="21" customHeight="1" x14ac:dyDescent="0.45">
      <c r="A102" s="14">
        <v>46235</v>
      </c>
      <c r="B102" s="1" t="s">
        <v>143</v>
      </c>
      <c r="C102" s="13">
        <v>46235.520833333336</v>
      </c>
      <c r="D102" s="13">
        <v>46235.53125</v>
      </c>
      <c r="E102" s="1" t="s">
        <v>144</v>
      </c>
      <c r="F102" s="12">
        <v>10.608940694005863</v>
      </c>
      <c r="G102" s="12">
        <v>100</v>
      </c>
      <c r="H102" s="18"/>
      <c r="I102" s="12"/>
      <c r="J102" s="12"/>
      <c r="K102" s="13">
        <v>46234.541666666664</v>
      </c>
      <c r="L102" s="13">
        <v>46234.583333333336</v>
      </c>
      <c r="M102" s="1" t="s">
        <v>145</v>
      </c>
      <c r="N102" s="1"/>
      <c r="O102" s="1"/>
      <c r="P102" s="1" t="s">
        <v>242</v>
      </c>
      <c r="Q102" s="1" t="s">
        <v>147</v>
      </c>
      <c r="R102" s="1">
        <v>46235.395833333336</v>
      </c>
      <c r="S102" s="1"/>
      <c r="T102" s="1" t="s">
        <v>148</v>
      </c>
      <c r="U102" s="1"/>
    </row>
    <row r="103" spans="1:21" ht="21" customHeight="1" x14ac:dyDescent="0.45">
      <c r="A103" s="14">
        <v>46235</v>
      </c>
      <c r="B103" s="1" t="s">
        <v>143</v>
      </c>
      <c r="C103" s="13">
        <v>46235.53125</v>
      </c>
      <c r="D103" s="13">
        <v>46235.541666666664</v>
      </c>
      <c r="E103" s="1" t="s">
        <v>144</v>
      </c>
      <c r="F103" s="12">
        <v>-11.084241404266832</v>
      </c>
      <c r="G103" s="12">
        <v>100</v>
      </c>
      <c r="H103" s="18"/>
      <c r="I103" s="12"/>
      <c r="J103" s="12"/>
      <c r="K103" s="13">
        <v>46234.541666666664</v>
      </c>
      <c r="L103" s="13">
        <v>46234.583333333336</v>
      </c>
      <c r="M103" s="1" t="s">
        <v>145</v>
      </c>
      <c r="N103" s="1"/>
      <c r="O103" s="1"/>
      <c r="P103" s="1" t="s">
        <v>243</v>
      </c>
      <c r="Q103" s="1" t="s">
        <v>147</v>
      </c>
      <c r="R103" s="1">
        <v>46235.40625</v>
      </c>
      <c r="S103" s="1"/>
      <c r="T103" s="1" t="s">
        <v>148</v>
      </c>
      <c r="U103" s="1"/>
    </row>
    <row r="104" spans="1:21" ht="21" customHeight="1" x14ac:dyDescent="0.45">
      <c r="A104" s="14">
        <v>46235</v>
      </c>
      <c r="B104" s="1" t="s">
        <v>143</v>
      </c>
      <c r="C104" s="13">
        <v>46235.541666666664</v>
      </c>
      <c r="D104" s="13">
        <v>46235.552083333336</v>
      </c>
      <c r="E104" s="1" t="s">
        <v>144</v>
      </c>
      <c r="F104" s="12">
        <v>36</v>
      </c>
      <c r="G104" s="12">
        <v>100</v>
      </c>
      <c r="H104" s="18"/>
      <c r="I104" s="12"/>
      <c r="J104" s="12"/>
      <c r="K104" s="13">
        <v>46234.541666666664</v>
      </c>
      <c r="L104" s="13">
        <v>46234.583333333336</v>
      </c>
      <c r="M104" s="1" t="s">
        <v>145</v>
      </c>
      <c r="N104" s="1"/>
      <c r="O104" s="1"/>
      <c r="P104" s="1" t="s">
        <v>244</v>
      </c>
      <c r="Q104" s="1" t="s">
        <v>147</v>
      </c>
      <c r="R104" s="1">
        <v>46235.416666666664</v>
      </c>
      <c r="S104" s="1"/>
      <c r="T104" s="1" t="s">
        <v>148</v>
      </c>
      <c r="U104" s="1"/>
    </row>
    <row r="105" spans="1:21" ht="21" customHeight="1" x14ac:dyDescent="0.45">
      <c r="A105" s="14">
        <v>46235</v>
      </c>
      <c r="B105" s="1" t="s">
        <v>149</v>
      </c>
      <c r="C105" s="13">
        <v>46235.541666666664</v>
      </c>
      <c r="D105" s="13">
        <v>46235.583333333336</v>
      </c>
      <c r="E105" s="1" t="s">
        <v>144</v>
      </c>
      <c r="F105" s="12">
        <v>40</v>
      </c>
      <c r="G105" s="12">
        <v>40</v>
      </c>
      <c r="H105" s="18">
        <v>0.3125</v>
      </c>
      <c r="I105" s="12">
        <v>128</v>
      </c>
      <c r="J105" s="12">
        <v>40</v>
      </c>
      <c r="K105" s="13">
        <v>46234.375</v>
      </c>
      <c r="L105" s="13">
        <v>46234.416666666664</v>
      </c>
      <c r="M105" s="1" t="s">
        <v>145</v>
      </c>
      <c r="N105" s="1" t="s">
        <v>150</v>
      </c>
      <c r="O105" s="1" t="s">
        <v>151</v>
      </c>
      <c r="P105" s="1" t="s">
        <v>245</v>
      </c>
      <c r="Q105" s="1" t="s">
        <v>147</v>
      </c>
      <c r="R105" s="1">
        <v>46235.416666666664</v>
      </c>
      <c r="S105" s="1" t="s">
        <v>153</v>
      </c>
      <c r="T105" s="1" t="s">
        <v>148</v>
      </c>
      <c r="U105" s="1"/>
    </row>
    <row r="106" spans="1:21" ht="21" customHeight="1" x14ac:dyDescent="0.45">
      <c r="A106" s="14">
        <v>46235</v>
      </c>
      <c r="B106" s="1" t="s">
        <v>103</v>
      </c>
      <c r="C106" s="13">
        <v>46235.541666666664</v>
      </c>
      <c r="D106" s="13">
        <v>46235.583333333336</v>
      </c>
      <c r="E106" s="1" t="s">
        <v>144</v>
      </c>
      <c r="F106" s="12">
        <v>24</v>
      </c>
      <c r="G106" s="12">
        <v>24</v>
      </c>
      <c r="H106" s="18">
        <v>0.13714285714285715</v>
      </c>
      <c r="I106" s="12">
        <v>175</v>
      </c>
      <c r="J106" s="12">
        <v>24</v>
      </c>
      <c r="K106" s="13">
        <v>46234.375</v>
      </c>
      <c r="L106" s="13">
        <v>46234.416666666664</v>
      </c>
      <c r="M106" s="1" t="s">
        <v>145</v>
      </c>
      <c r="N106" s="1" t="s">
        <v>154</v>
      </c>
      <c r="O106" s="1" t="s">
        <v>151</v>
      </c>
      <c r="P106" s="1" t="s">
        <v>246</v>
      </c>
      <c r="Q106" s="1" t="s">
        <v>147</v>
      </c>
      <c r="R106" s="1">
        <v>46235.416666666664</v>
      </c>
      <c r="S106" s="1"/>
      <c r="T106" s="1" t="s">
        <v>148</v>
      </c>
      <c r="U106" s="1"/>
    </row>
    <row r="107" spans="1:21" ht="21" customHeight="1" x14ac:dyDescent="0.45">
      <c r="A107" s="14">
        <v>46235</v>
      </c>
      <c r="B107" s="1" t="s">
        <v>101</v>
      </c>
      <c r="C107" s="13">
        <v>46235.541666666664</v>
      </c>
      <c r="D107" s="13">
        <v>46235.583333333336</v>
      </c>
      <c r="E107" s="1" t="s">
        <v>144</v>
      </c>
      <c r="F107" s="12">
        <v>24</v>
      </c>
      <c r="G107" s="12">
        <v>24</v>
      </c>
      <c r="H107" s="18">
        <v>0.13714285714285715</v>
      </c>
      <c r="I107" s="12">
        <v>175</v>
      </c>
      <c r="J107" s="12">
        <v>24</v>
      </c>
      <c r="K107" s="13">
        <v>46234.375</v>
      </c>
      <c r="L107" s="13">
        <v>46234.416666666664</v>
      </c>
      <c r="M107" s="1" t="s">
        <v>145</v>
      </c>
      <c r="N107" s="1" t="s">
        <v>154</v>
      </c>
      <c r="O107" s="1" t="s">
        <v>151</v>
      </c>
      <c r="P107" s="1" t="s">
        <v>247</v>
      </c>
      <c r="Q107" s="1" t="s">
        <v>147</v>
      </c>
      <c r="R107" s="1">
        <v>46235.416666666664</v>
      </c>
      <c r="S107" s="1"/>
      <c r="T107" s="1" t="s">
        <v>148</v>
      </c>
      <c r="U107" s="1"/>
    </row>
    <row r="108" spans="1:21" ht="21" customHeight="1" x14ac:dyDescent="0.45">
      <c r="A108" s="14">
        <v>46235</v>
      </c>
      <c r="B108" s="1" t="s">
        <v>143</v>
      </c>
      <c r="C108" s="13">
        <v>46235.552083333336</v>
      </c>
      <c r="D108" s="13">
        <v>46235.5625</v>
      </c>
      <c r="E108" s="1" t="s">
        <v>144</v>
      </c>
      <c r="F108" s="12">
        <v>-36</v>
      </c>
      <c r="G108" s="12">
        <v>100</v>
      </c>
      <c r="H108" s="18"/>
      <c r="I108" s="12"/>
      <c r="J108" s="12"/>
      <c r="K108" s="13">
        <v>46234.541666666664</v>
      </c>
      <c r="L108" s="13">
        <v>46234.583333333336</v>
      </c>
      <c r="M108" s="1" t="s">
        <v>145</v>
      </c>
      <c r="N108" s="1"/>
      <c r="O108" s="1"/>
      <c r="P108" s="1" t="s">
        <v>248</v>
      </c>
      <c r="Q108" s="1" t="s">
        <v>147</v>
      </c>
      <c r="R108" s="1">
        <v>46235.427083333336</v>
      </c>
      <c r="S108" s="1"/>
      <c r="T108" s="1" t="s">
        <v>148</v>
      </c>
      <c r="U108" s="1"/>
    </row>
    <row r="109" spans="1:21" ht="21" customHeight="1" x14ac:dyDescent="0.45">
      <c r="A109" s="14">
        <v>46235</v>
      </c>
      <c r="B109" s="1" t="s">
        <v>143</v>
      </c>
      <c r="C109" s="13">
        <v>46235.5625</v>
      </c>
      <c r="D109" s="13">
        <v>46235.572916666664</v>
      </c>
      <c r="E109" s="1" t="s">
        <v>144</v>
      </c>
      <c r="F109" s="12">
        <v>-36</v>
      </c>
      <c r="G109" s="12">
        <v>100</v>
      </c>
      <c r="H109" s="18"/>
      <c r="I109" s="12"/>
      <c r="J109" s="12"/>
      <c r="K109" s="13">
        <v>46234.541666666664</v>
      </c>
      <c r="L109" s="13">
        <v>46234.583333333336</v>
      </c>
      <c r="M109" s="1" t="s">
        <v>145</v>
      </c>
      <c r="N109" s="1"/>
      <c r="O109" s="1"/>
      <c r="P109" s="1" t="s">
        <v>249</v>
      </c>
      <c r="Q109" s="1" t="s">
        <v>147</v>
      </c>
      <c r="R109" s="1">
        <v>46235.4375</v>
      </c>
      <c r="S109" s="1"/>
      <c r="T109" s="1" t="s">
        <v>148</v>
      </c>
      <c r="U109" s="1"/>
    </row>
    <row r="110" spans="1:21" ht="21" customHeight="1" x14ac:dyDescent="0.45">
      <c r="A110" s="14">
        <v>46235</v>
      </c>
      <c r="B110" s="1" t="s">
        <v>143</v>
      </c>
      <c r="C110" s="13">
        <v>46235.572916666664</v>
      </c>
      <c r="D110" s="13">
        <v>46235.583333333336</v>
      </c>
      <c r="E110" s="1" t="s">
        <v>144</v>
      </c>
      <c r="F110" s="12">
        <v>-36</v>
      </c>
      <c r="G110" s="12">
        <v>100</v>
      </c>
      <c r="H110" s="18"/>
      <c r="I110" s="12"/>
      <c r="J110" s="12"/>
      <c r="K110" s="13">
        <v>46234.541666666664</v>
      </c>
      <c r="L110" s="13">
        <v>46234.583333333336</v>
      </c>
      <c r="M110" s="1" t="s">
        <v>145</v>
      </c>
      <c r="N110" s="1"/>
      <c r="O110" s="1"/>
      <c r="P110" s="1" t="s">
        <v>250</v>
      </c>
      <c r="Q110" s="1" t="s">
        <v>147</v>
      </c>
      <c r="R110" s="1">
        <v>46235.447916666664</v>
      </c>
      <c r="S110" s="1"/>
      <c r="T110" s="1" t="s">
        <v>148</v>
      </c>
      <c r="U110" s="1"/>
    </row>
    <row r="111" spans="1:21" ht="21" customHeight="1" x14ac:dyDescent="0.45">
      <c r="A111" s="14">
        <v>46235</v>
      </c>
      <c r="B111" s="1" t="s">
        <v>143</v>
      </c>
      <c r="C111" s="13">
        <v>46235.583333333336</v>
      </c>
      <c r="D111" s="13">
        <v>46235.59375</v>
      </c>
      <c r="E111" s="1" t="s">
        <v>144</v>
      </c>
      <c r="F111" s="12">
        <v>-36</v>
      </c>
      <c r="G111" s="12">
        <v>100</v>
      </c>
      <c r="H111" s="18"/>
      <c r="I111" s="12"/>
      <c r="J111" s="12"/>
      <c r="K111" s="13">
        <v>46234.541666666664</v>
      </c>
      <c r="L111" s="13">
        <v>46234.583333333336</v>
      </c>
      <c r="M111" s="1" t="s">
        <v>145</v>
      </c>
      <c r="N111" s="1"/>
      <c r="O111" s="1"/>
      <c r="P111" s="1" t="s">
        <v>251</v>
      </c>
      <c r="Q111" s="1" t="s">
        <v>147</v>
      </c>
      <c r="R111" s="1">
        <v>46235.458333333336</v>
      </c>
      <c r="S111" s="1"/>
      <c r="T111" s="1" t="s">
        <v>148</v>
      </c>
      <c r="U111" s="1"/>
    </row>
    <row r="112" spans="1:21" ht="21" customHeight="1" x14ac:dyDescent="0.45">
      <c r="A112" s="14">
        <v>46235</v>
      </c>
      <c r="B112" s="1" t="s">
        <v>149</v>
      </c>
      <c r="C112" s="13">
        <v>46235.583333333336</v>
      </c>
      <c r="D112" s="13">
        <v>46235.625</v>
      </c>
      <c r="E112" s="1" t="s">
        <v>144</v>
      </c>
      <c r="F112" s="12">
        <v>40</v>
      </c>
      <c r="G112" s="12">
        <v>40</v>
      </c>
      <c r="H112" s="18">
        <v>0.3125</v>
      </c>
      <c r="I112" s="12">
        <v>128</v>
      </c>
      <c r="J112" s="12">
        <v>40</v>
      </c>
      <c r="K112" s="13">
        <v>46234.375</v>
      </c>
      <c r="L112" s="13">
        <v>46234.416666666664</v>
      </c>
      <c r="M112" s="1" t="s">
        <v>145</v>
      </c>
      <c r="N112" s="1" t="s">
        <v>150</v>
      </c>
      <c r="O112" s="1" t="s">
        <v>151</v>
      </c>
      <c r="P112" s="1" t="s">
        <v>252</v>
      </c>
      <c r="Q112" s="1" t="s">
        <v>147</v>
      </c>
      <c r="R112" s="1">
        <v>46235.458333333336</v>
      </c>
      <c r="S112" s="1" t="s">
        <v>153</v>
      </c>
      <c r="T112" s="1" t="s">
        <v>148</v>
      </c>
      <c r="U112" s="1"/>
    </row>
    <row r="113" spans="1:21" ht="21" customHeight="1" x14ac:dyDescent="0.45">
      <c r="A113" s="14">
        <v>46235</v>
      </c>
      <c r="B113" s="1" t="s">
        <v>103</v>
      </c>
      <c r="C113" s="13">
        <v>46235.583333333336</v>
      </c>
      <c r="D113" s="13">
        <v>46235.625</v>
      </c>
      <c r="E113" s="1" t="s">
        <v>144</v>
      </c>
      <c r="F113" s="12">
        <v>24</v>
      </c>
      <c r="G113" s="12">
        <v>24</v>
      </c>
      <c r="H113" s="18">
        <v>0.13714285714285715</v>
      </c>
      <c r="I113" s="12">
        <v>175</v>
      </c>
      <c r="J113" s="12">
        <v>24</v>
      </c>
      <c r="K113" s="13">
        <v>46234.375</v>
      </c>
      <c r="L113" s="13">
        <v>46234.416666666664</v>
      </c>
      <c r="M113" s="1" t="s">
        <v>145</v>
      </c>
      <c r="N113" s="1" t="s">
        <v>154</v>
      </c>
      <c r="O113" s="1" t="s">
        <v>151</v>
      </c>
      <c r="P113" s="1" t="s">
        <v>253</v>
      </c>
      <c r="Q113" s="1" t="s">
        <v>147</v>
      </c>
      <c r="R113" s="1">
        <v>46235.458333333336</v>
      </c>
      <c r="S113" s="1"/>
      <c r="T113" s="1" t="s">
        <v>148</v>
      </c>
      <c r="U113" s="1"/>
    </row>
    <row r="114" spans="1:21" ht="21" customHeight="1" x14ac:dyDescent="0.45">
      <c r="A114" s="14">
        <v>46235</v>
      </c>
      <c r="B114" s="1" t="s">
        <v>101</v>
      </c>
      <c r="C114" s="13">
        <v>46235.583333333336</v>
      </c>
      <c r="D114" s="13">
        <v>46235.625</v>
      </c>
      <c r="E114" s="1" t="s">
        <v>144</v>
      </c>
      <c r="F114" s="12">
        <v>24</v>
      </c>
      <c r="G114" s="12">
        <v>24</v>
      </c>
      <c r="H114" s="18">
        <v>0.13714285714285715</v>
      </c>
      <c r="I114" s="12">
        <v>175</v>
      </c>
      <c r="J114" s="12">
        <v>24</v>
      </c>
      <c r="K114" s="13">
        <v>46234.375</v>
      </c>
      <c r="L114" s="13">
        <v>46234.416666666664</v>
      </c>
      <c r="M114" s="1" t="s">
        <v>145</v>
      </c>
      <c r="N114" s="1" t="s">
        <v>154</v>
      </c>
      <c r="O114" s="1" t="s">
        <v>151</v>
      </c>
      <c r="P114" s="1" t="s">
        <v>254</v>
      </c>
      <c r="Q114" s="1" t="s">
        <v>147</v>
      </c>
      <c r="R114" s="1">
        <v>46235.458333333336</v>
      </c>
      <c r="S114" s="1"/>
      <c r="T114" s="1" t="s">
        <v>148</v>
      </c>
      <c r="U114" s="1"/>
    </row>
    <row r="115" spans="1:21" ht="21" customHeight="1" x14ac:dyDescent="0.45">
      <c r="A115" s="14">
        <v>46235</v>
      </c>
      <c r="B115" s="1" t="s">
        <v>143</v>
      </c>
      <c r="C115" s="13">
        <v>46235.59375</v>
      </c>
      <c r="D115" s="13">
        <v>46235.604166666664</v>
      </c>
      <c r="E115" s="1" t="s">
        <v>144</v>
      </c>
      <c r="F115" s="12">
        <v>-36</v>
      </c>
      <c r="G115" s="12">
        <v>100</v>
      </c>
      <c r="H115" s="18"/>
      <c r="I115" s="12"/>
      <c r="J115" s="12"/>
      <c r="K115" s="13">
        <v>46234.541666666664</v>
      </c>
      <c r="L115" s="13">
        <v>46234.583333333336</v>
      </c>
      <c r="M115" s="1" t="s">
        <v>145</v>
      </c>
      <c r="N115" s="1"/>
      <c r="O115" s="1"/>
      <c r="P115" s="1" t="s">
        <v>255</v>
      </c>
      <c r="Q115" s="1" t="s">
        <v>147</v>
      </c>
      <c r="R115" s="1">
        <v>46235.46875</v>
      </c>
      <c r="S115" s="1"/>
      <c r="T115" s="1" t="s">
        <v>148</v>
      </c>
      <c r="U115" s="1"/>
    </row>
    <row r="116" spans="1:21" ht="21" customHeight="1" x14ac:dyDescent="0.45">
      <c r="A116" s="14">
        <v>46235</v>
      </c>
      <c r="B116" s="1" t="s">
        <v>143</v>
      </c>
      <c r="C116" s="13">
        <v>46235.604166666664</v>
      </c>
      <c r="D116" s="13">
        <v>46235.614583333336</v>
      </c>
      <c r="E116" s="1" t="s">
        <v>144</v>
      </c>
      <c r="F116" s="12">
        <v>-36</v>
      </c>
      <c r="G116" s="12">
        <v>100</v>
      </c>
      <c r="H116" s="18"/>
      <c r="I116" s="12"/>
      <c r="J116" s="12"/>
      <c r="K116" s="13">
        <v>46234.541666666664</v>
      </c>
      <c r="L116" s="13">
        <v>46234.583333333336</v>
      </c>
      <c r="M116" s="1" t="s">
        <v>145</v>
      </c>
      <c r="N116" s="1"/>
      <c r="O116" s="1"/>
      <c r="P116" s="1" t="s">
        <v>256</v>
      </c>
      <c r="Q116" s="1" t="s">
        <v>147</v>
      </c>
      <c r="R116" s="1">
        <v>46235.479166666664</v>
      </c>
      <c r="S116" s="1"/>
      <c r="T116" s="1" t="s">
        <v>148</v>
      </c>
      <c r="U116" s="1"/>
    </row>
    <row r="117" spans="1:21" ht="21" customHeight="1" x14ac:dyDescent="0.45">
      <c r="A117" s="14">
        <v>46235</v>
      </c>
      <c r="B117" s="1" t="s">
        <v>143</v>
      </c>
      <c r="C117" s="13">
        <v>46235.614583333336</v>
      </c>
      <c r="D117" s="13">
        <v>46235.625</v>
      </c>
      <c r="E117" s="1" t="s">
        <v>144</v>
      </c>
      <c r="F117" s="12">
        <v>-36</v>
      </c>
      <c r="G117" s="12">
        <v>100</v>
      </c>
      <c r="H117" s="18"/>
      <c r="I117" s="12"/>
      <c r="J117" s="12"/>
      <c r="K117" s="13">
        <v>46234.541666666664</v>
      </c>
      <c r="L117" s="13">
        <v>46234.583333333336</v>
      </c>
      <c r="M117" s="1" t="s">
        <v>145</v>
      </c>
      <c r="N117" s="1"/>
      <c r="O117" s="1"/>
      <c r="P117" s="1" t="s">
        <v>257</v>
      </c>
      <c r="Q117" s="1" t="s">
        <v>147</v>
      </c>
      <c r="R117" s="1">
        <v>46235.489583333336</v>
      </c>
      <c r="S117" s="1"/>
      <c r="T117" s="1" t="s">
        <v>148</v>
      </c>
      <c r="U117" s="1"/>
    </row>
    <row r="118" spans="1:21" ht="21" customHeight="1" x14ac:dyDescent="0.45">
      <c r="A118" s="14">
        <v>46235</v>
      </c>
      <c r="B118" s="1" t="s">
        <v>143</v>
      </c>
      <c r="C118" s="13">
        <v>46235.625</v>
      </c>
      <c r="D118" s="13">
        <v>46235.635416666664</v>
      </c>
      <c r="E118" s="1" t="s">
        <v>144</v>
      </c>
      <c r="F118" s="12">
        <v>-37</v>
      </c>
      <c r="G118" s="12">
        <v>100</v>
      </c>
      <c r="H118" s="18"/>
      <c r="I118" s="12"/>
      <c r="J118" s="12"/>
      <c r="K118" s="13">
        <v>46234.541666666664</v>
      </c>
      <c r="L118" s="13">
        <v>46234.583333333336</v>
      </c>
      <c r="M118" s="1" t="s">
        <v>145</v>
      </c>
      <c r="N118" s="1"/>
      <c r="O118" s="1"/>
      <c r="P118" s="1" t="s">
        <v>258</v>
      </c>
      <c r="Q118" s="1" t="s">
        <v>147</v>
      </c>
      <c r="R118" s="1">
        <v>46235.5</v>
      </c>
      <c r="S118" s="1"/>
      <c r="T118" s="1" t="s">
        <v>148</v>
      </c>
      <c r="U118" s="1"/>
    </row>
    <row r="119" spans="1:21" ht="21" customHeight="1" x14ac:dyDescent="0.45">
      <c r="A119" s="14">
        <v>46235</v>
      </c>
      <c r="B119" s="1" t="s">
        <v>149</v>
      </c>
      <c r="C119" s="13">
        <v>46235.625</v>
      </c>
      <c r="D119" s="13">
        <v>46235.666666666664</v>
      </c>
      <c r="E119" s="1" t="s">
        <v>144</v>
      </c>
      <c r="F119" s="12">
        <v>40</v>
      </c>
      <c r="G119" s="12">
        <v>40</v>
      </c>
      <c r="H119" s="18">
        <v>0.3125</v>
      </c>
      <c r="I119" s="12">
        <v>128</v>
      </c>
      <c r="J119" s="12">
        <v>40</v>
      </c>
      <c r="K119" s="13">
        <v>46234.375</v>
      </c>
      <c r="L119" s="13">
        <v>46234.416666666664</v>
      </c>
      <c r="M119" s="1" t="s">
        <v>145</v>
      </c>
      <c r="N119" s="1" t="s">
        <v>150</v>
      </c>
      <c r="O119" s="1" t="s">
        <v>151</v>
      </c>
      <c r="P119" s="1" t="s">
        <v>259</v>
      </c>
      <c r="Q119" s="1" t="s">
        <v>147</v>
      </c>
      <c r="R119" s="1">
        <v>46235.5</v>
      </c>
      <c r="S119" s="1" t="s">
        <v>153</v>
      </c>
      <c r="T119" s="1" t="s">
        <v>148</v>
      </c>
      <c r="U119" s="1"/>
    </row>
    <row r="120" spans="1:21" ht="21" customHeight="1" x14ac:dyDescent="0.45">
      <c r="A120" s="14">
        <v>46235</v>
      </c>
      <c r="B120" s="1" t="s">
        <v>103</v>
      </c>
      <c r="C120" s="13">
        <v>46235.625</v>
      </c>
      <c r="D120" s="13">
        <v>46235.666666666664</v>
      </c>
      <c r="E120" s="1" t="s">
        <v>144</v>
      </c>
      <c r="F120" s="12">
        <v>23</v>
      </c>
      <c r="G120" s="12">
        <v>24</v>
      </c>
      <c r="H120" s="18">
        <v>0.13714285714285715</v>
      </c>
      <c r="I120" s="12">
        <v>175</v>
      </c>
      <c r="J120" s="12">
        <v>24</v>
      </c>
      <c r="K120" s="13">
        <v>46234.375</v>
      </c>
      <c r="L120" s="13">
        <v>46234.416666666664</v>
      </c>
      <c r="M120" s="1" t="s">
        <v>145</v>
      </c>
      <c r="N120" s="1" t="s">
        <v>154</v>
      </c>
      <c r="O120" s="1" t="s">
        <v>151</v>
      </c>
      <c r="P120" s="1" t="s">
        <v>260</v>
      </c>
      <c r="Q120" s="1" t="s">
        <v>147</v>
      </c>
      <c r="R120" s="1">
        <v>46235.5</v>
      </c>
      <c r="S120" s="1"/>
      <c r="T120" s="1" t="s">
        <v>148</v>
      </c>
      <c r="U120" s="1"/>
    </row>
    <row r="121" spans="1:21" ht="21" customHeight="1" x14ac:dyDescent="0.45">
      <c r="A121" s="14">
        <v>46235</v>
      </c>
      <c r="B121" s="1" t="s">
        <v>101</v>
      </c>
      <c r="C121" s="13">
        <v>46235.625</v>
      </c>
      <c r="D121" s="13">
        <v>46235.666666666664</v>
      </c>
      <c r="E121" s="1" t="s">
        <v>144</v>
      </c>
      <c r="F121" s="12">
        <v>24</v>
      </c>
      <c r="G121" s="12">
        <v>24</v>
      </c>
      <c r="H121" s="18">
        <v>0.13714285714285715</v>
      </c>
      <c r="I121" s="12">
        <v>175</v>
      </c>
      <c r="J121" s="12">
        <v>24</v>
      </c>
      <c r="K121" s="13">
        <v>46234.375</v>
      </c>
      <c r="L121" s="13">
        <v>46234.416666666664</v>
      </c>
      <c r="M121" s="1" t="s">
        <v>145</v>
      </c>
      <c r="N121" s="1" t="s">
        <v>154</v>
      </c>
      <c r="O121" s="1" t="s">
        <v>151</v>
      </c>
      <c r="P121" s="1" t="s">
        <v>261</v>
      </c>
      <c r="Q121" s="1" t="s">
        <v>147</v>
      </c>
      <c r="R121" s="1">
        <v>46235.5</v>
      </c>
      <c r="S121" s="1"/>
      <c r="T121" s="1" t="s">
        <v>148</v>
      </c>
      <c r="U121" s="1"/>
    </row>
    <row r="122" spans="1:21" ht="21" customHeight="1" x14ac:dyDescent="0.45">
      <c r="A122" s="14">
        <v>46235</v>
      </c>
      <c r="B122" s="1" t="s">
        <v>143</v>
      </c>
      <c r="C122" s="13">
        <v>46235.635416666664</v>
      </c>
      <c r="D122" s="13">
        <v>46235.645833333336</v>
      </c>
      <c r="E122" s="1" t="s">
        <v>144</v>
      </c>
      <c r="F122" s="12">
        <v>-37</v>
      </c>
      <c r="G122" s="12">
        <v>100</v>
      </c>
      <c r="H122" s="18"/>
      <c r="I122" s="12"/>
      <c r="J122" s="12"/>
      <c r="K122" s="13">
        <v>46234.541666666664</v>
      </c>
      <c r="L122" s="13">
        <v>46234.583333333336</v>
      </c>
      <c r="M122" s="1" t="s">
        <v>145</v>
      </c>
      <c r="N122" s="1"/>
      <c r="O122" s="1"/>
      <c r="P122" s="1" t="s">
        <v>262</v>
      </c>
      <c r="Q122" s="1" t="s">
        <v>147</v>
      </c>
      <c r="R122" s="1">
        <v>46235.510416666664</v>
      </c>
      <c r="S122" s="1"/>
      <c r="T122" s="1" t="s">
        <v>148</v>
      </c>
      <c r="U122" s="1"/>
    </row>
    <row r="123" spans="1:21" ht="21" customHeight="1" x14ac:dyDescent="0.45">
      <c r="A123" s="14">
        <v>46235</v>
      </c>
      <c r="B123" s="1" t="s">
        <v>143</v>
      </c>
      <c r="C123" s="13">
        <v>46235.645833333336</v>
      </c>
      <c r="D123" s="13">
        <v>46235.65625</v>
      </c>
      <c r="E123" s="1" t="s">
        <v>144</v>
      </c>
      <c r="F123" s="12">
        <v>-37</v>
      </c>
      <c r="G123" s="12">
        <v>100</v>
      </c>
      <c r="H123" s="18"/>
      <c r="I123" s="12"/>
      <c r="J123" s="12"/>
      <c r="K123" s="13">
        <v>46234.541666666664</v>
      </c>
      <c r="L123" s="13">
        <v>46234.583333333336</v>
      </c>
      <c r="M123" s="1" t="s">
        <v>145</v>
      </c>
      <c r="N123" s="1"/>
      <c r="O123" s="1"/>
      <c r="P123" s="1" t="s">
        <v>263</v>
      </c>
      <c r="Q123" s="1" t="s">
        <v>147</v>
      </c>
      <c r="R123" s="1">
        <v>46235.520833333336</v>
      </c>
      <c r="S123" s="1"/>
      <c r="T123" s="1" t="s">
        <v>148</v>
      </c>
      <c r="U123" s="1"/>
    </row>
    <row r="124" spans="1:21" ht="21" customHeight="1" x14ac:dyDescent="0.45">
      <c r="A124" s="14">
        <v>46235</v>
      </c>
      <c r="B124" s="1" t="s">
        <v>143</v>
      </c>
      <c r="C124" s="13">
        <v>46235.65625</v>
      </c>
      <c r="D124" s="13">
        <v>46235.666666666664</v>
      </c>
      <c r="E124" s="1" t="s">
        <v>144</v>
      </c>
      <c r="F124" s="12">
        <v>0</v>
      </c>
      <c r="G124" s="12">
        <v>100</v>
      </c>
      <c r="H124" s="18"/>
      <c r="I124" s="12"/>
      <c r="J124" s="12"/>
      <c r="K124" s="13">
        <v>46234.541666666664</v>
      </c>
      <c r="L124" s="13">
        <v>46234.583333333336</v>
      </c>
      <c r="M124" s="1" t="s">
        <v>145</v>
      </c>
      <c r="N124" s="1"/>
      <c r="O124" s="1"/>
      <c r="P124" s="1" t="s">
        <v>264</v>
      </c>
      <c r="Q124" s="1" t="s">
        <v>147</v>
      </c>
      <c r="R124" s="1">
        <v>46235.53125</v>
      </c>
      <c r="S124" s="1"/>
      <c r="T124" s="1" t="s">
        <v>148</v>
      </c>
      <c r="U124" s="1"/>
    </row>
    <row r="125" spans="1:21" ht="21" customHeight="1" x14ac:dyDescent="0.45">
      <c r="A125" s="14">
        <v>46235</v>
      </c>
      <c r="B125" s="1" t="s">
        <v>143</v>
      </c>
      <c r="C125" s="13">
        <v>46235.666666666664</v>
      </c>
      <c r="D125" s="13">
        <v>46235.677083333336</v>
      </c>
      <c r="E125" s="1" t="s">
        <v>144</v>
      </c>
      <c r="F125" s="12">
        <v>-60</v>
      </c>
      <c r="G125" s="12">
        <v>100</v>
      </c>
      <c r="H125" s="18"/>
      <c r="I125" s="12"/>
      <c r="J125" s="12"/>
      <c r="K125" s="13">
        <v>46234.541666666664</v>
      </c>
      <c r="L125" s="13">
        <v>46234.583333333336</v>
      </c>
      <c r="M125" s="1" t="s">
        <v>145</v>
      </c>
      <c r="N125" s="1"/>
      <c r="O125" s="1"/>
      <c r="P125" s="1" t="s">
        <v>265</v>
      </c>
      <c r="Q125" s="1" t="s">
        <v>147</v>
      </c>
      <c r="R125" s="1">
        <v>46235.541666666664</v>
      </c>
      <c r="S125" s="1"/>
      <c r="T125" s="1" t="s">
        <v>148</v>
      </c>
      <c r="U125" s="1"/>
    </row>
    <row r="126" spans="1:21" ht="21" customHeight="1" x14ac:dyDescent="0.45">
      <c r="A126" s="14">
        <v>46235</v>
      </c>
      <c r="B126" s="1" t="s">
        <v>149</v>
      </c>
      <c r="C126" s="13">
        <v>46235.666666666664</v>
      </c>
      <c r="D126" s="13">
        <v>46235.708333333336</v>
      </c>
      <c r="E126" s="1" t="s">
        <v>144</v>
      </c>
      <c r="F126" s="12">
        <v>40</v>
      </c>
      <c r="G126" s="12">
        <v>40</v>
      </c>
      <c r="H126" s="18">
        <v>0.3125</v>
      </c>
      <c r="I126" s="12">
        <v>128</v>
      </c>
      <c r="J126" s="12">
        <v>40</v>
      </c>
      <c r="K126" s="13">
        <v>46234.375</v>
      </c>
      <c r="L126" s="13">
        <v>46234.416666666664</v>
      </c>
      <c r="M126" s="1" t="s">
        <v>145</v>
      </c>
      <c r="N126" s="1" t="s">
        <v>150</v>
      </c>
      <c r="O126" s="1" t="s">
        <v>151</v>
      </c>
      <c r="P126" s="1" t="s">
        <v>266</v>
      </c>
      <c r="Q126" s="1" t="s">
        <v>147</v>
      </c>
      <c r="R126" s="1">
        <v>46235.541666666664</v>
      </c>
      <c r="S126" s="1" t="s">
        <v>153</v>
      </c>
      <c r="T126" s="1" t="s">
        <v>148</v>
      </c>
      <c r="U126" s="1"/>
    </row>
    <row r="127" spans="1:21" ht="21" customHeight="1" x14ac:dyDescent="0.45">
      <c r="A127" s="14">
        <v>46235</v>
      </c>
      <c r="B127" s="1" t="s">
        <v>103</v>
      </c>
      <c r="C127" s="13">
        <v>46235.666666666664</v>
      </c>
      <c r="D127" s="13">
        <v>46235.708333333336</v>
      </c>
      <c r="E127" s="1" t="s">
        <v>144</v>
      </c>
      <c r="F127" s="12">
        <v>0</v>
      </c>
      <c r="G127" s="12">
        <v>24</v>
      </c>
      <c r="H127" s="18">
        <v>0.13714285714285715</v>
      </c>
      <c r="I127" s="12">
        <v>175</v>
      </c>
      <c r="J127" s="12">
        <v>24</v>
      </c>
      <c r="K127" s="13">
        <v>46234.375</v>
      </c>
      <c r="L127" s="13">
        <v>46234.416666666664</v>
      </c>
      <c r="M127" s="1" t="s">
        <v>145</v>
      </c>
      <c r="N127" s="1" t="s">
        <v>154</v>
      </c>
      <c r="O127" s="1" t="s">
        <v>151</v>
      </c>
      <c r="P127" s="1" t="s">
        <v>267</v>
      </c>
      <c r="Q127" s="1" t="s">
        <v>147</v>
      </c>
      <c r="R127" s="1">
        <v>46235.541666666664</v>
      </c>
      <c r="S127" s="1"/>
      <c r="T127" s="1" t="s">
        <v>148</v>
      </c>
      <c r="U127" s="1"/>
    </row>
    <row r="128" spans="1:21" ht="21" customHeight="1" x14ac:dyDescent="0.45">
      <c r="A128" s="14">
        <v>46235</v>
      </c>
      <c r="B128" s="1" t="s">
        <v>101</v>
      </c>
      <c r="C128" s="13">
        <v>46235.666666666664</v>
      </c>
      <c r="D128" s="13">
        <v>46235.708333333336</v>
      </c>
      <c r="E128" s="1" t="s">
        <v>144</v>
      </c>
      <c r="F128" s="12">
        <v>24</v>
      </c>
      <c r="G128" s="12">
        <v>24</v>
      </c>
      <c r="H128" s="18">
        <v>0.13714285714285715</v>
      </c>
      <c r="I128" s="12">
        <v>175</v>
      </c>
      <c r="J128" s="12">
        <v>24</v>
      </c>
      <c r="K128" s="13">
        <v>46234.375</v>
      </c>
      <c r="L128" s="13">
        <v>46234.416666666664</v>
      </c>
      <c r="M128" s="1" t="s">
        <v>145</v>
      </c>
      <c r="N128" s="1" t="s">
        <v>154</v>
      </c>
      <c r="O128" s="1" t="s">
        <v>151</v>
      </c>
      <c r="P128" s="1" t="s">
        <v>268</v>
      </c>
      <c r="Q128" s="1" t="s">
        <v>147</v>
      </c>
      <c r="R128" s="1">
        <v>46235.541666666664</v>
      </c>
      <c r="S128" s="1"/>
      <c r="T128" s="1" t="s">
        <v>148</v>
      </c>
      <c r="U128" s="1"/>
    </row>
    <row r="129" spans="1:21" ht="21" customHeight="1" x14ac:dyDescent="0.45">
      <c r="A129" s="14">
        <v>46235</v>
      </c>
      <c r="B129" s="1" t="s">
        <v>143</v>
      </c>
      <c r="C129" s="13">
        <v>46235.677083333336</v>
      </c>
      <c r="D129" s="13">
        <v>46235.6875</v>
      </c>
      <c r="E129" s="1" t="s">
        <v>144</v>
      </c>
      <c r="F129" s="12">
        <v>-60</v>
      </c>
      <c r="G129" s="12">
        <v>100</v>
      </c>
      <c r="H129" s="18"/>
      <c r="I129" s="12"/>
      <c r="J129" s="12"/>
      <c r="K129" s="13">
        <v>46234.541666666664</v>
      </c>
      <c r="L129" s="13">
        <v>46234.583333333336</v>
      </c>
      <c r="M129" s="1" t="s">
        <v>145</v>
      </c>
      <c r="N129" s="1"/>
      <c r="O129" s="1"/>
      <c r="P129" s="1" t="s">
        <v>269</v>
      </c>
      <c r="Q129" s="1" t="s">
        <v>147</v>
      </c>
      <c r="R129" s="1">
        <v>46235.552083333336</v>
      </c>
      <c r="S129" s="1"/>
      <c r="T129" s="1" t="s">
        <v>148</v>
      </c>
      <c r="U129" s="1"/>
    </row>
    <row r="130" spans="1:21" ht="21" customHeight="1" x14ac:dyDescent="0.45">
      <c r="A130" s="14">
        <v>46235</v>
      </c>
      <c r="B130" s="1" t="s">
        <v>143</v>
      </c>
      <c r="C130" s="13">
        <v>46235.6875</v>
      </c>
      <c r="D130" s="13">
        <v>46235.697916666664</v>
      </c>
      <c r="E130" s="1" t="s">
        <v>144</v>
      </c>
      <c r="F130" s="12">
        <v>-59.794896721576919</v>
      </c>
      <c r="G130" s="12">
        <v>100</v>
      </c>
      <c r="H130" s="18"/>
      <c r="I130" s="12"/>
      <c r="J130" s="12"/>
      <c r="K130" s="13">
        <v>46234.541666666664</v>
      </c>
      <c r="L130" s="13">
        <v>46234.583333333336</v>
      </c>
      <c r="M130" s="1" t="s">
        <v>145</v>
      </c>
      <c r="N130" s="1"/>
      <c r="O130" s="1"/>
      <c r="P130" s="1" t="s">
        <v>270</v>
      </c>
      <c r="Q130" s="1" t="s">
        <v>147</v>
      </c>
      <c r="R130" s="1">
        <v>46235.5625</v>
      </c>
      <c r="S130" s="1"/>
      <c r="T130" s="1" t="s">
        <v>148</v>
      </c>
      <c r="U130" s="1"/>
    </row>
    <row r="131" spans="1:21" ht="21" customHeight="1" x14ac:dyDescent="0.45">
      <c r="A131" s="14">
        <v>46235</v>
      </c>
      <c r="B131" s="1" t="s">
        <v>143</v>
      </c>
      <c r="C131" s="13">
        <v>46235.697916666664</v>
      </c>
      <c r="D131" s="13">
        <v>46235.708333333336</v>
      </c>
      <c r="E131" s="1" t="s">
        <v>144</v>
      </c>
      <c r="F131" s="12">
        <v>35.598427268261688</v>
      </c>
      <c r="G131" s="12">
        <v>100</v>
      </c>
      <c r="H131" s="18"/>
      <c r="I131" s="12"/>
      <c r="J131" s="12"/>
      <c r="K131" s="13">
        <v>46234.541666666664</v>
      </c>
      <c r="L131" s="13">
        <v>46234.583333333336</v>
      </c>
      <c r="M131" s="1" t="s">
        <v>145</v>
      </c>
      <c r="N131" s="1"/>
      <c r="O131" s="1"/>
      <c r="P131" s="1" t="s">
        <v>271</v>
      </c>
      <c r="Q131" s="1" t="s">
        <v>147</v>
      </c>
      <c r="R131" s="1">
        <v>46235.572916666664</v>
      </c>
      <c r="S131" s="1"/>
      <c r="T131" s="1" t="s">
        <v>148</v>
      </c>
      <c r="U131" s="1"/>
    </row>
    <row r="132" spans="1:21" ht="21" customHeight="1" x14ac:dyDescent="0.45">
      <c r="A132" s="14">
        <v>46235</v>
      </c>
      <c r="B132" s="1" t="s">
        <v>143</v>
      </c>
      <c r="C132" s="13">
        <v>46235.708333333336</v>
      </c>
      <c r="D132" s="13">
        <v>46235.71875</v>
      </c>
      <c r="E132" s="1" t="s">
        <v>144</v>
      </c>
      <c r="F132" s="12">
        <v>-38.999999999999979</v>
      </c>
      <c r="G132" s="12">
        <v>100</v>
      </c>
      <c r="H132" s="18"/>
      <c r="I132" s="12"/>
      <c r="J132" s="12"/>
      <c r="K132" s="13">
        <v>46234.541666666664</v>
      </c>
      <c r="L132" s="13">
        <v>46234.583333333336</v>
      </c>
      <c r="M132" s="1" t="s">
        <v>145</v>
      </c>
      <c r="N132" s="1"/>
      <c r="O132" s="1"/>
      <c r="P132" s="1" t="s">
        <v>272</v>
      </c>
      <c r="Q132" s="1" t="s">
        <v>147</v>
      </c>
      <c r="R132" s="1">
        <v>46235.583333333336</v>
      </c>
      <c r="S132" s="1"/>
      <c r="T132" s="1" t="s">
        <v>148</v>
      </c>
      <c r="U132" s="1"/>
    </row>
    <row r="133" spans="1:21" ht="21" customHeight="1" x14ac:dyDescent="0.45">
      <c r="A133" s="14">
        <v>46235</v>
      </c>
      <c r="B133" s="1" t="s">
        <v>149</v>
      </c>
      <c r="C133" s="13">
        <v>46235.708333333336</v>
      </c>
      <c r="D133" s="13">
        <v>46235.75</v>
      </c>
      <c r="E133" s="1" t="s">
        <v>144</v>
      </c>
      <c r="F133" s="12">
        <v>40</v>
      </c>
      <c r="G133" s="12">
        <v>40</v>
      </c>
      <c r="H133" s="18">
        <v>0.3125</v>
      </c>
      <c r="I133" s="12">
        <v>128</v>
      </c>
      <c r="J133" s="12">
        <v>40</v>
      </c>
      <c r="K133" s="13">
        <v>46234.375</v>
      </c>
      <c r="L133" s="13">
        <v>46234.416666666664</v>
      </c>
      <c r="M133" s="1" t="s">
        <v>145</v>
      </c>
      <c r="N133" s="1" t="s">
        <v>150</v>
      </c>
      <c r="O133" s="1" t="s">
        <v>151</v>
      </c>
      <c r="P133" s="1" t="s">
        <v>273</v>
      </c>
      <c r="Q133" s="1" t="s">
        <v>147</v>
      </c>
      <c r="R133" s="1">
        <v>46235.583333333336</v>
      </c>
      <c r="S133" s="1" t="s">
        <v>153</v>
      </c>
      <c r="T133" s="1" t="s">
        <v>148</v>
      </c>
      <c r="U133" s="1"/>
    </row>
    <row r="134" spans="1:21" ht="21" customHeight="1" x14ac:dyDescent="0.45">
      <c r="A134" s="14">
        <v>46235</v>
      </c>
      <c r="B134" s="1" t="s">
        <v>103</v>
      </c>
      <c r="C134" s="13">
        <v>46235.708333333336</v>
      </c>
      <c r="D134" s="13">
        <v>46235.75</v>
      </c>
      <c r="E134" s="1" t="s">
        <v>144</v>
      </c>
      <c r="F134" s="12">
        <v>21</v>
      </c>
      <c r="G134" s="12">
        <v>24</v>
      </c>
      <c r="H134" s="18">
        <v>0.13714285714285715</v>
      </c>
      <c r="I134" s="12">
        <v>175</v>
      </c>
      <c r="J134" s="12">
        <v>24</v>
      </c>
      <c r="K134" s="13">
        <v>46234.375</v>
      </c>
      <c r="L134" s="13">
        <v>46234.416666666664</v>
      </c>
      <c r="M134" s="1" t="s">
        <v>145</v>
      </c>
      <c r="N134" s="1" t="s">
        <v>154</v>
      </c>
      <c r="O134" s="1" t="s">
        <v>151</v>
      </c>
      <c r="P134" s="1" t="s">
        <v>274</v>
      </c>
      <c r="Q134" s="1" t="s">
        <v>147</v>
      </c>
      <c r="R134" s="1">
        <v>46235.583333333336</v>
      </c>
      <c r="S134" s="1"/>
      <c r="T134" s="1" t="s">
        <v>148</v>
      </c>
      <c r="U134" s="1"/>
    </row>
    <row r="135" spans="1:21" ht="21" customHeight="1" x14ac:dyDescent="0.45">
      <c r="A135" s="14">
        <v>46235</v>
      </c>
      <c r="B135" s="1" t="s">
        <v>101</v>
      </c>
      <c r="C135" s="13">
        <v>46235.708333333336</v>
      </c>
      <c r="D135" s="13">
        <v>46235.75</v>
      </c>
      <c r="E135" s="1" t="s">
        <v>144</v>
      </c>
      <c r="F135" s="12">
        <v>24</v>
      </c>
      <c r="G135" s="12">
        <v>24</v>
      </c>
      <c r="H135" s="18">
        <v>0.13714285714285715</v>
      </c>
      <c r="I135" s="12">
        <v>175</v>
      </c>
      <c r="J135" s="12">
        <v>24</v>
      </c>
      <c r="K135" s="13">
        <v>46234.375</v>
      </c>
      <c r="L135" s="13">
        <v>46234.416666666664</v>
      </c>
      <c r="M135" s="1" t="s">
        <v>145</v>
      </c>
      <c r="N135" s="1" t="s">
        <v>154</v>
      </c>
      <c r="O135" s="1" t="s">
        <v>151</v>
      </c>
      <c r="P135" s="1" t="s">
        <v>275</v>
      </c>
      <c r="Q135" s="1" t="s">
        <v>147</v>
      </c>
      <c r="R135" s="1">
        <v>46235.583333333336</v>
      </c>
      <c r="S135" s="1"/>
      <c r="T135" s="1" t="s">
        <v>148</v>
      </c>
      <c r="U135" s="1"/>
    </row>
    <row r="136" spans="1:21" ht="21" customHeight="1" x14ac:dyDescent="0.45">
      <c r="A136" s="14">
        <v>46235</v>
      </c>
      <c r="B136" s="1" t="s">
        <v>143</v>
      </c>
      <c r="C136" s="13">
        <v>46235.71875</v>
      </c>
      <c r="D136" s="13">
        <v>46235.729166666664</v>
      </c>
      <c r="E136" s="1" t="s">
        <v>144</v>
      </c>
      <c r="F136" s="12">
        <v>-1.2399362073522855</v>
      </c>
      <c r="G136" s="12">
        <v>100</v>
      </c>
      <c r="H136" s="18"/>
      <c r="I136" s="12"/>
      <c r="J136" s="12"/>
      <c r="K136" s="13">
        <v>46234.541666666664</v>
      </c>
      <c r="L136" s="13">
        <v>46234.583333333336</v>
      </c>
      <c r="M136" s="1" t="s">
        <v>145</v>
      </c>
      <c r="N136" s="1"/>
      <c r="O136" s="1"/>
      <c r="P136" s="1" t="s">
        <v>276</v>
      </c>
      <c r="Q136" s="1" t="s">
        <v>147</v>
      </c>
      <c r="R136" s="1">
        <v>46235.59375</v>
      </c>
      <c r="S136" s="1"/>
      <c r="T136" s="1" t="s">
        <v>148</v>
      </c>
      <c r="U136" s="1"/>
    </row>
    <row r="137" spans="1:21" ht="21" customHeight="1" x14ac:dyDescent="0.45">
      <c r="A137" s="14">
        <v>46235</v>
      </c>
      <c r="B137" s="1" t="s">
        <v>143</v>
      </c>
      <c r="C137" s="13">
        <v>46235.729166666664</v>
      </c>
      <c r="D137" s="13">
        <v>46235.739583333336</v>
      </c>
      <c r="E137" s="1" t="s">
        <v>144</v>
      </c>
      <c r="F137" s="12">
        <v>-4.441515449637027</v>
      </c>
      <c r="G137" s="12">
        <v>100</v>
      </c>
      <c r="H137" s="18"/>
      <c r="I137" s="12"/>
      <c r="J137" s="12"/>
      <c r="K137" s="13">
        <v>46234.541666666664</v>
      </c>
      <c r="L137" s="13">
        <v>46234.583333333336</v>
      </c>
      <c r="M137" s="1" t="s">
        <v>145</v>
      </c>
      <c r="N137" s="1"/>
      <c r="O137" s="1"/>
      <c r="P137" s="1" t="s">
        <v>277</v>
      </c>
      <c r="Q137" s="1" t="s">
        <v>147</v>
      </c>
      <c r="R137" s="1">
        <v>46235.604166666664</v>
      </c>
      <c r="S137" s="1"/>
      <c r="T137" s="1" t="s">
        <v>148</v>
      </c>
      <c r="U137" s="1"/>
    </row>
    <row r="138" spans="1:21" ht="21" customHeight="1" x14ac:dyDescent="0.45">
      <c r="A138" s="14">
        <v>46235</v>
      </c>
      <c r="B138" s="1" t="s">
        <v>143</v>
      </c>
      <c r="C138" s="13">
        <v>46235.739583333336</v>
      </c>
      <c r="D138" s="13">
        <v>46235.75</v>
      </c>
      <c r="E138" s="1" t="s">
        <v>144</v>
      </c>
      <c r="F138" s="12">
        <v>36</v>
      </c>
      <c r="G138" s="12">
        <v>100</v>
      </c>
      <c r="H138" s="18"/>
      <c r="I138" s="12"/>
      <c r="J138" s="12"/>
      <c r="K138" s="13">
        <v>46234.541666666664</v>
      </c>
      <c r="L138" s="13">
        <v>46234.583333333336</v>
      </c>
      <c r="M138" s="1" t="s">
        <v>145</v>
      </c>
      <c r="N138" s="1"/>
      <c r="O138" s="1"/>
      <c r="P138" s="1" t="s">
        <v>278</v>
      </c>
      <c r="Q138" s="1" t="s">
        <v>147</v>
      </c>
      <c r="R138" s="1">
        <v>46235.614583333336</v>
      </c>
      <c r="S138" s="1"/>
      <c r="T138" s="1" t="s">
        <v>148</v>
      </c>
      <c r="U138" s="1"/>
    </row>
    <row r="139" spans="1:21" ht="21" customHeight="1" x14ac:dyDescent="0.45">
      <c r="A139" s="14">
        <v>46235</v>
      </c>
      <c r="B139" s="1" t="s">
        <v>143</v>
      </c>
      <c r="C139" s="13">
        <v>46235.75</v>
      </c>
      <c r="D139" s="13">
        <v>46235.760416666664</v>
      </c>
      <c r="E139" s="1" t="s">
        <v>144</v>
      </c>
      <c r="F139" s="12">
        <v>-36</v>
      </c>
      <c r="G139" s="12">
        <v>100</v>
      </c>
      <c r="H139" s="18"/>
      <c r="I139" s="12"/>
      <c r="J139" s="12"/>
      <c r="K139" s="13">
        <v>46234.541666666664</v>
      </c>
      <c r="L139" s="13">
        <v>46234.583333333336</v>
      </c>
      <c r="M139" s="1" t="s">
        <v>145</v>
      </c>
      <c r="N139" s="1"/>
      <c r="O139" s="1"/>
      <c r="P139" s="1" t="s">
        <v>279</v>
      </c>
      <c r="Q139" s="1" t="s">
        <v>147</v>
      </c>
      <c r="R139" s="1">
        <v>46235.625</v>
      </c>
      <c r="S139" s="1"/>
      <c r="T139" s="1" t="s">
        <v>148</v>
      </c>
      <c r="U139" s="1"/>
    </row>
    <row r="140" spans="1:21" ht="21" customHeight="1" x14ac:dyDescent="0.45">
      <c r="A140" s="14">
        <v>46235</v>
      </c>
      <c r="B140" s="1" t="s">
        <v>149</v>
      </c>
      <c r="C140" s="13">
        <v>46235.75</v>
      </c>
      <c r="D140" s="13">
        <v>46235.791666666664</v>
      </c>
      <c r="E140" s="1" t="s">
        <v>144</v>
      </c>
      <c r="F140" s="12">
        <v>40</v>
      </c>
      <c r="G140" s="12">
        <v>40</v>
      </c>
      <c r="H140" s="18">
        <v>0.3125</v>
      </c>
      <c r="I140" s="12">
        <v>128</v>
      </c>
      <c r="J140" s="12">
        <v>40</v>
      </c>
      <c r="K140" s="13">
        <v>46234.375</v>
      </c>
      <c r="L140" s="13">
        <v>46234.416666666664</v>
      </c>
      <c r="M140" s="1" t="s">
        <v>145</v>
      </c>
      <c r="N140" s="1" t="s">
        <v>150</v>
      </c>
      <c r="O140" s="1" t="s">
        <v>151</v>
      </c>
      <c r="P140" s="1" t="s">
        <v>280</v>
      </c>
      <c r="Q140" s="1" t="s">
        <v>147</v>
      </c>
      <c r="R140" s="1">
        <v>46235.625</v>
      </c>
      <c r="S140" s="1" t="s">
        <v>153</v>
      </c>
      <c r="T140" s="1" t="s">
        <v>148</v>
      </c>
      <c r="U140" s="1"/>
    </row>
    <row r="141" spans="1:21" ht="21" customHeight="1" x14ac:dyDescent="0.45">
      <c r="A141" s="14">
        <v>46235</v>
      </c>
      <c r="B141" s="1" t="s">
        <v>103</v>
      </c>
      <c r="C141" s="13">
        <v>46235.75</v>
      </c>
      <c r="D141" s="13">
        <v>46235.791666666664</v>
      </c>
      <c r="E141" s="1" t="s">
        <v>144</v>
      </c>
      <c r="F141" s="12">
        <v>24</v>
      </c>
      <c r="G141" s="12">
        <v>24</v>
      </c>
      <c r="H141" s="18">
        <v>0.13714285714285715</v>
      </c>
      <c r="I141" s="12">
        <v>175</v>
      </c>
      <c r="J141" s="12">
        <v>24</v>
      </c>
      <c r="K141" s="13">
        <v>46234.375</v>
      </c>
      <c r="L141" s="13">
        <v>46234.416666666664</v>
      </c>
      <c r="M141" s="1" t="s">
        <v>145</v>
      </c>
      <c r="N141" s="1" t="s">
        <v>154</v>
      </c>
      <c r="O141" s="1" t="s">
        <v>151</v>
      </c>
      <c r="P141" s="1" t="s">
        <v>281</v>
      </c>
      <c r="Q141" s="1" t="s">
        <v>147</v>
      </c>
      <c r="R141" s="1">
        <v>46235.625</v>
      </c>
      <c r="S141" s="1"/>
      <c r="T141" s="1" t="s">
        <v>148</v>
      </c>
      <c r="U141" s="1"/>
    </row>
    <row r="142" spans="1:21" ht="21" customHeight="1" x14ac:dyDescent="0.45">
      <c r="A142" s="14">
        <v>46235</v>
      </c>
      <c r="B142" s="1" t="s">
        <v>101</v>
      </c>
      <c r="C142" s="13">
        <v>46235.75</v>
      </c>
      <c r="D142" s="13">
        <v>46235.791666666664</v>
      </c>
      <c r="E142" s="1" t="s">
        <v>144</v>
      </c>
      <c r="F142" s="12">
        <v>24</v>
      </c>
      <c r="G142" s="12">
        <v>24</v>
      </c>
      <c r="H142" s="18">
        <v>0.13714285714285715</v>
      </c>
      <c r="I142" s="12">
        <v>175</v>
      </c>
      <c r="J142" s="12">
        <v>24</v>
      </c>
      <c r="K142" s="13">
        <v>46234.375</v>
      </c>
      <c r="L142" s="13">
        <v>46234.416666666664</v>
      </c>
      <c r="M142" s="1" t="s">
        <v>145</v>
      </c>
      <c r="N142" s="1" t="s">
        <v>154</v>
      </c>
      <c r="O142" s="1" t="s">
        <v>151</v>
      </c>
      <c r="P142" s="1" t="s">
        <v>282</v>
      </c>
      <c r="Q142" s="1" t="s">
        <v>147</v>
      </c>
      <c r="R142" s="1">
        <v>46235.625</v>
      </c>
      <c r="S142" s="1"/>
      <c r="T142" s="1" t="s">
        <v>148</v>
      </c>
      <c r="U142" s="1"/>
    </row>
    <row r="143" spans="1:21" ht="21" customHeight="1" x14ac:dyDescent="0.45">
      <c r="A143" s="14">
        <v>46235</v>
      </c>
      <c r="B143" s="1" t="s">
        <v>143</v>
      </c>
      <c r="C143" s="13">
        <v>46235.760416666664</v>
      </c>
      <c r="D143" s="13">
        <v>46235.770833333336</v>
      </c>
      <c r="E143" s="1" t="s">
        <v>144</v>
      </c>
      <c r="F143" s="12">
        <v>0</v>
      </c>
      <c r="G143" s="12">
        <v>100</v>
      </c>
      <c r="H143" s="18"/>
      <c r="I143" s="12"/>
      <c r="J143" s="12"/>
      <c r="K143" s="13">
        <v>46234.541666666664</v>
      </c>
      <c r="L143" s="13">
        <v>46234.583333333336</v>
      </c>
      <c r="M143" s="1" t="s">
        <v>145</v>
      </c>
      <c r="N143" s="1"/>
      <c r="O143" s="1"/>
      <c r="P143" s="1" t="s">
        <v>283</v>
      </c>
      <c r="Q143" s="1" t="s">
        <v>147</v>
      </c>
      <c r="R143" s="1">
        <v>46235.635416666664</v>
      </c>
      <c r="S143" s="1"/>
      <c r="T143" s="1" t="s">
        <v>148</v>
      </c>
      <c r="U143" s="1"/>
    </row>
    <row r="144" spans="1:21" ht="21" customHeight="1" x14ac:dyDescent="0.45">
      <c r="A144" s="14">
        <v>46235</v>
      </c>
      <c r="B144" s="1" t="s">
        <v>143</v>
      </c>
      <c r="C144" s="13">
        <v>46235.770833333336</v>
      </c>
      <c r="D144" s="13">
        <v>46235.78125</v>
      </c>
      <c r="E144" s="1" t="s">
        <v>144</v>
      </c>
      <c r="F144" s="12">
        <v>0.4143377753602967</v>
      </c>
      <c r="G144" s="12">
        <v>100</v>
      </c>
      <c r="H144" s="18"/>
      <c r="I144" s="12"/>
      <c r="J144" s="12"/>
      <c r="K144" s="13">
        <v>46234.541666666664</v>
      </c>
      <c r="L144" s="13">
        <v>46234.583333333336</v>
      </c>
      <c r="M144" s="1" t="s">
        <v>145</v>
      </c>
      <c r="N144" s="1"/>
      <c r="O144" s="1"/>
      <c r="P144" s="1" t="s">
        <v>284</v>
      </c>
      <c r="Q144" s="1" t="s">
        <v>147</v>
      </c>
      <c r="R144" s="1">
        <v>46235.645833333336</v>
      </c>
      <c r="S144" s="1"/>
      <c r="T144" s="1" t="s">
        <v>148</v>
      </c>
      <c r="U144" s="1"/>
    </row>
    <row r="145" spans="1:21" ht="21" customHeight="1" x14ac:dyDescent="0.45">
      <c r="A145" s="14">
        <v>46235</v>
      </c>
      <c r="B145" s="1" t="s">
        <v>143</v>
      </c>
      <c r="C145" s="13">
        <v>46235.78125</v>
      </c>
      <c r="D145" s="13">
        <v>46235.791666666664</v>
      </c>
      <c r="E145" s="1" t="s">
        <v>144</v>
      </c>
      <c r="F145" s="12">
        <v>0</v>
      </c>
      <c r="G145" s="12">
        <v>100</v>
      </c>
      <c r="H145" s="18"/>
      <c r="I145" s="12"/>
      <c r="J145" s="12"/>
      <c r="K145" s="13">
        <v>46234.541666666664</v>
      </c>
      <c r="L145" s="13">
        <v>46234.583333333336</v>
      </c>
      <c r="M145" s="1" t="s">
        <v>145</v>
      </c>
      <c r="N145" s="1"/>
      <c r="O145" s="1"/>
      <c r="P145" s="1" t="s">
        <v>285</v>
      </c>
      <c r="Q145" s="1" t="s">
        <v>147</v>
      </c>
      <c r="R145" s="1">
        <v>46235.65625</v>
      </c>
      <c r="S145" s="1"/>
      <c r="T145" s="1" t="s">
        <v>148</v>
      </c>
      <c r="U145" s="1"/>
    </row>
    <row r="146" spans="1:21" ht="21" customHeight="1" x14ac:dyDescent="0.45">
      <c r="A146" s="14">
        <v>46235</v>
      </c>
      <c r="B146" s="1" t="s">
        <v>143</v>
      </c>
      <c r="C146" s="13">
        <v>46235.791666666664</v>
      </c>
      <c r="D146" s="13">
        <v>46235.802083333336</v>
      </c>
      <c r="E146" s="1" t="s">
        <v>144</v>
      </c>
      <c r="F146" s="12">
        <v>24</v>
      </c>
      <c r="G146" s="12">
        <v>100</v>
      </c>
      <c r="H146" s="18"/>
      <c r="I146" s="12"/>
      <c r="J146" s="12"/>
      <c r="K146" s="13">
        <v>46234.541666666664</v>
      </c>
      <c r="L146" s="13">
        <v>46234.583333333336</v>
      </c>
      <c r="M146" s="1" t="s">
        <v>145</v>
      </c>
      <c r="N146" s="1"/>
      <c r="O146" s="1"/>
      <c r="P146" s="1" t="s">
        <v>286</v>
      </c>
      <c r="Q146" s="1" t="s">
        <v>147</v>
      </c>
      <c r="R146" s="1">
        <v>46236</v>
      </c>
      <c r="S146" s="1"/>
      <c r="T146" s="1" t="s">
        <v>148</v>
      </c>
      <c r="U146" s="1"/>
    </row>
    <row r="147" spans="1:21" ht="21" customHeight="1" x14ac:dyDescent="0.45">
      <c r="A147" s="14">
        <v>46235</v>
      </c>
      <c r="B147" s="1" t="s">
        <v>149</v>
      </c>
      <c r="C147" s="13">
        <v>46235.791666666664</v>
      </c>
      <c r="D147" s="13">
        <v>46235.833333333336</v>
      </c>
      <c r="E147" s="1" t="s">
        <v>144</v>
      </c>
      <c r="F147" s="12">
        <v>40</v>
      </c>
      <c r="G147" s="12">
        <v>40</v>
      </c>
      <c r="H147" s="18">
        <v>0.3125</v>
      </c>
      <c r="I147" s="12">
        <v>128</v>
      </c>
      <c r="J147" s="12">
        <v>40</v>
      </c>
      <c r="K147" s="13">
        <v>46234.375</v>
      </c>
      <c r="L147" s="13">
        <v>46234.416666666664</v>
      </c>
      <c r="M147" s="1" t="s">
        <v>145</v>
      </c>
      <c r="N147" s="1" t="s">
        <v>150</v>
      </c>
      <c r="O147" s="1" t="s">
        <v>151</v>
      </c>
      <c r="P147" s="1" t="s">
        <v>287</v>
      </c>
      <c r="Q147" s="1" t="s">
        <v>147</v>
      </c>
      <c r="R147" s="1">
        <v>46236</v>
      </c>
      <c r="S147" s="1" t="s">
        <v>153</v>
      </c>
      <c r="T147" s="1" t="s">
        <v>148</v>
      </c>
      <c r="U147" s="1"/>
    </row>
    <row r="148" spans="1:21" ht="21" customHeight="1" x14ac:dyDescent="0.45">
      <c r="A148" s="14">
        <v>46235</v>
      </c>
      <c r="B148" s="1" t="s">
        <v>103</v>
      </c>
      <c r="C148" s="13">
        <v>46235.791666666664</v>
      </c>
      <c r="D148" s="13">
        <v>46235.833333333336</v>
      </c>
      <c r="E148" s="1" t="s">
        <v>144</v>
      </c>
      <c r="F148" s="12">
        <v>24</v>
      </c>
      <c r="G148" s="12">
        <v>24</v>
      </c>
      <c r="H148" s="18">
        <v>0.13714285714285715</v>
      </c>
      <c r="I148" s="12">
        <v>175</v>
      </c>
      <c r="J148" s="12">
        <v>24</v>
      </c>
      <c r="K148" s="13">
        <v>46234.375</v>
      </c>
      <c r="L148" s="13">
        <v>46234.416666666664</v>
      </c>
      <c r="M148" s="1" t="s">
        <v>145</v>
      </c>
      <c r="N148" s="1" t="s">
        <v>154</v>
      </c>
      <c r="O148" s="1" t="s">
        <v>151</v>
      </c>
      <c r="P148" s="1" t="s">
        <v>288</v>
      </c>
      <c r="Q148" s="1" t="s">
        <v>147</v>
      </c>
      <c r="R148" s="1">
        <v>46236</v>
      </c>
      <c r="S148" s="1"/>
      <c r="T148" s="1" t="s">
        <v>148</v>
      </c>
      <c r="U148" s="1"/>
    </row>
    <row r="149" spans="1:21" ht="21" customHeight="1" x14ac:dyDescent="0.45">
      <c r="A149" s="14">
        <v>46235</v>
      </c>
      <c r="B149" s="1" t="s">
        <v>101</v>
      </c>
      <c r="C149" s="13">
        <v>46235.791666666664</v>
      </c>
      <c r="D149" s="13">
        <v>46235.833333333336</v>
      </c>
      <c r="E149" s="1" t="s">
        <v>144</v>
      </c>
      <c r="F149" s="12">
        <v>0</v>
      </c>
      <c r="G149" s="12">
        <v>24</v>
      </c>
      <c r="H149" s="18">
        <v>0.13714285714285715</v>
      </c>
      <c r="I149" s="12">
        <v>175</v>
      </c>
      <c r="J149" s="12">
        <v>24</v>
      </c>
      <c r="K149" s="13">
        <v>46234.375</v>
      </c>
      <c r="L149" s="13">
        <v>46234.416666666664</v>
      </c>
      <c r="M149" s="1" t="s">
        <v>145</v>
      </c>
      <c r="N149" s="1" t="s">
        <v>154</v>
      </c>
      <c r="O149" s="1" t="s">
        <v>151</v>
      </c>
      <c r="P149" s="1" t="s">
        <v>289</v>
      </c>
      <c r="Q149" s="1" t="s">
        <v>147</v>
      </c>
      <c r="R149" s="1">
        <v>46236</v>
      </c>
      <c r="S149" s="1"/>
      <c r="T149" s="1" t="s">
        <v>148</v>
      </c>
      <c r="U149" s="1"/>
    </row>
    <row r="150" spans="1:21" ht="21" customHeight="1" x14ac:dyDescent="0.45">
      <c r="A150" s="14">
        <v>46235</v>
      </c>
      <c r="B150" s="1" t="s">
        <v>143</v>
      </c>
      <c r="C150" s="13">
        <v>46235.802083333336</v>
      </c>
      <c r="D150" s="13">
        <v>46235.8125</v>
      </c>
      <c r="E150" s="1" t="s">
        <v>144</v>
      </c>
      <c r="F150" s="12">
        <v>59.999999999999837</v>
      </c>
      <c r="G150" s="12">
        <v>100</v>
      </c>
      <c r="H150" s="18"/>
      <c r="I150" s="12"/>
      <c r="J150" s="12"/>
      <c r="K150" s="13">
        <v>46234.541666666664</v>
      </c>
      <c r="L150" s="13">
        <v>46234.583333333336</v>
      </c>
      <c r="M150" s="1" t="s">
        <v>145</v>
      </c>
      <c r="N150" s="1"/>
      <c r="O150" s="1"/>
      <c r="P150" s="1" t="s">
        <v>290</v>
      </c>
      <c r="Q150" s="1" t="s">
        <v>147</v>
      </c>
      <c r="R150" s="1">
        <v>46235.677083333336</v>
      </c>
      <c r="S150" s="1"/>
      <c r="T150" s="1" t="s">
        <v>148</v>
      </c>
      <c r="U150" s="1"/>
    </row>
    <row r="151" spans="1:21" ht="21" customHeight="1" x14ac:dyDescent="0.45">
      <c r="A151" s="14">
        <v>46235</v>
      </c>
      <c r="B151" s="1" t="s">
        <v>143</v>
      </c>
      <c r="C151" s="13">
        <v>46235.8125</v>
      </c>
      <c r="D151" s="13">
        <v>46235.822916666664</v>
      </c>
      <c r="E151" s="1" t="s">
        <v>144</v>
      </c>
      <c r="F151" s="12">
        <v>0</v>
      </c>
      <c r="G151" s="12">
        <v>100</v>
      </c>
      <c r="H151" s="18"/>
      <c r="I151" s="12"/>
      <c r="J151" s="12"/>
      <c r="K151" s="13">
        <v>46234.541666666664</v>
      </c>
      <c r="L151" s="13">
        <v>46234.583333333336</v>
      </c>
      <c r="M151" s="1" t="s">
        <v>145</v>
      </c>
      <c r="N151" s="1"/>
      <c r="O151" s="1"/>
      <c r="P151" s="1" t="s">
        <v>291</v>
      </c>
      <c r="Q151" s="1" t="s">
        <v>147</v>
      </c>
      <c r="R151" s="1">
        <v>46235.6875</v>
      </c>
      <c r="S151" s="1"/>
      <c r="T151" s="1" t="s">
        <v>148</v>
      </c>
      <c r="U151" s="1"/>
    </row>
    <row r="152" spans="1:21" ht="21" customHeight="1" x14ac:dyDescent="0.45">
      <c r="A152" s="14">
        <v>46235</v>
      </c>
      <c r="B152" s="1" t="s">
        <v>143</v>
      </c>
      <c r="C152" s="13">
        <v>46235.822916666664</v>
      </c>
      <c r="D152" s="13">
        <v>46235.833333333336</v>
      </c>
      <c r="E152" s="1" t="s">
        <v>144</v>
      </c>
      <c r="F152" s="12">
        <v>60</v>
      </c>
      <c r="G152" s="12">
        <v>100</v>
      </c>
      <c r="H152" s="18"/>
      <c r="I152" s="12"/>
      <c r="J152" s="12"/>
      <c r="K152" s="13">
        <v>46234.541666666664</v>
      </c>
      <c r="L152" s="13">
        <v>46234.583333333336</v>
      </c>
      <c r="M152" s="1" t="s">
        <v>145</v>
      </c>
      <c r="N152" s="1"/>
      <c r="O152" s="1"/>
      <c r="P152" s="1" t="s">
        <v>292</v>
      </c>
      <c r="Q152" s="1" t="s">
        <v>147</v>
      </c>
      <c r="R152" s="1">
        <v>46235.697916666664</v>
      </c>
      <c r="S152" s="1"/>
      <c r="T152" s="1" t="s">
        <v>148</v>
      </c>
      <c r="U152" s="1"/>
    </row>
    <row r="153" spans="1:21" ht="21" customHeight="1" x14ac:dyDescent="0.45">
      <c r="A153" s="14">
        <v>46235</v>
      </c>
      <c r="B153" s="1" t="s">
        <v>143</v>
      </c>
      <c r="C153" s="13">
        <v>46235.833333333336</v>
      </c>
      <c r="D153" s="13">
        <v>46235.84375</v>
      </c>
      <c r="E153" s="1" t="s">
        <v>144</v>
      </c>
      <c r="F153" s="12">
        <v>0</v>
      </c>
      <c r="G153" s="12">
        <v>100</v>
      </c>
      <c r="H153" s="18"/>
      <c r="I153" s="12"/>
      <c r="J153" s="12"/>
      <c r="K153" s="13">
        <v>46234.541666666664</v>
      </c>
      <c r="L153" s="13">
        <v>46234.583333333336</v>
      </c>
      <c r="M153" s="1" t="s">
        <v>145</v>
      </c>
      <c r="N153" s="1"/>
      <c r="O153" s="1"/>
      <c r="P153" s="1" t="s">
        <v>293</v>
      </c>
      <c r="Q153" s="1" t="s">
        <v>147</v>
      </c>
      <c r="R153" s="1">
        <v>46235.708333333336</v>
      </c>
      <c r="S153" s="1"/>
      <c r="T153" s="1" t="s">
        <v>148</v>
      </c>
      <c r="U153" s="1"/>
    </row>
    <row r="154" spans="1:21" ht="21" customHeight="1" x14ac:dyDescent="0.45">
      <c r="A154" s="14">
        <v>46235</v>
      </c>
      <c r="B154" s="1" t="s">
        <v>149</v>
      </c>
      <c r="C154" s="13">
        <v>46235.833333333336</v>
      </c>
      <c r="D154" s="13">
        <v>46235.875</v>
      </c>
      <c r="E154" s="1" t="s">
        <v>144</v>
      </c>
      <c r="F154" s="12">
        <v>40</v>
      </c>
      <c r="G154" s="12">
        <v>40</v>
      </c>
      <c r="H154" s="18">
        <v>0.3125</v>
      </c>
      <c r="I154" s="12">
        <v>128</v>
      </c>
      <c r="J154" s="12">
        <v>40</v>
      </c>
      <c r="K154" s="13">
        <v>46234.375</v>
      </c>
      <c r="L154" s="13">
        <v>46234.416666666664</v>
      </c>
      <c r="M154" s="1" t="s">
        <v>145</v>
      </c>
      <c r="N154" s="1" t="s">
        <v>150</v>
      </c>
      <c r="O154" s="1" t="s">
        <v>151</v>
      </c>
      <c r="P154" s="1" t="s">
        <v>294</v>
      </c>
      <c r="Q154" s="1" t="s">
        <v>147</v>
      </c>
      <c r="R154" s="1">
        <v>46235.708333333336</v>
      </c>
      <c r="S154" s="1" t="s">
        <v>153</v>
      </c>
      <c r="T154" s="1" t="s">
        <v>148</v>
      </c>
      <c r="U154" s="1"/>
    </row>
    <row r="155" spans="1:21" ht="21" customHeight="1" x14ac:dyDescent="0.45">
      <c r="A155" s="14">
        <v>46235</v>
      </c>
      <c r="B155" s="1" t="s">
        <v>103</v>
      </c>
      <c r="C155" s="13">
        <v>46235.833333333336</v>
      </c>
      <c r="D155" s="13">
        <v>46235.875</v>
      </c>
      <c r="E155" s="1" t="s">
        <v>144</v>
      </c>
      <c r="F155" s="12">
        <v>24</v>
      </c>
      <c r="G155" s="12">
        <v>24</v>
      </c>
      <c r="H155" s="18">
        <v>0.13714285714285715</v>
      </c>
      <c r="I155" s="12">
        <v>175</v>
      </c>
      <c r="J155" s="12">
        <v>24</v>
      </c>
      <c r="K155" s="13">
        <v>46234.375</v>
      </c>
      <c r="L155" s="13">
        <v>46234.416666666664</v>
      </c>
      <c r="M155" s="1" t="s">
        <v>145</v>
      </c>
      <c r="N155" s="1" t="s">
        <v>154</v>
      </c>
      <c r="O155" s="1" t="s">
        <v>151</v>
      </c>
      <c r="P155" s="1" t="s">
        <v>295</v>
      </c>
      <c r="Q155" s="1" t="s">
        <v>147</v>
      </c>
      <c r="R155" s="1">
        <v>46235.708333333336</v>
      </c>
      <c r="S155" s="1"/>
      <c r="T155" s="1" t="s">
        <v>148</v>
      </c>
      <c r="U155" s="1"/>
    </row>
    <row r="156" spans="1:21" ht="21" customHeight="1" x14ac:dyDescent="0.45">
      <c r="A156" s="14">
        <v>46235</v>
      </c>
      <c r="B156" s="1" t="s">
        <v>101</v>
      </c>
      <c r="C156" s="13">
        <v>46235.833333333336</v>
      </c>
      <c r="D156" s="13">
        <v>46235.875</v>
      </c>
      <c r="E156" s="1" t="s">
        <v>144</v>
      </c>
      <c r="F156" s="12">
        <v>0</v>
      </c>
      <c r="G156" s="12">
        <v>24</v>
      </c>
      <c r="H156" s="18">
        <v>0.13714285714285715</v>
      </c>
      <c r="I156" s="12">
        <v>175</v>
      </c>
      <c r="J156" s="12">
        <v>24</v>
      </c>
      <c r="K156" s="13">
        <v>46234.375</v>
      </c>
      <c r="L156" s="13">
        <v>46234.416666666664</v>
      </c>
      <c r="M156" s="1" t="s">
        <v>145</v>
      </c>
      <c r="N156" s="1" t="s">
        <v>154</v>
      </c>
      <c r="O156" s="1" t="s">
        <v>151</v>
      </c>
      <c r="P156" s="1" t="s">
        <v>296</v>
      </c>
      <c r="Q156" s="1" t="s">
        <v>147</v>
      </c>
      <c r="R156" s="1">
        <v>46235.708333333336</v>
      </c>
      <c r="S156" s="1"/>
      <c r="T156" s="1" t="s">
        <v>148</v>
      </c>
      <c r="U156" s="1"/>
    </row>
    <row r="157" spans="1:21" ht="21" customHeight="1" x14ac:dyDescent="0.45">
      <c r="A157" s="14">
        <v>46235</v>
      </c>
      <c r="B157" s="1" t="s">
        <v>143</v>
      </c>
      <c r="C157" s="13">
        <v>46235.84375</v>
      </c>
      <c r="D157" s="13">
        <v>46235.854166666664</v>
      </c>
      <c r="E157" s="1" t="s">
        <v>144</v>
      </c>
      <c r="F157" s="12">
        <v>0</v>
      </c>
      <c r="G157" s="12">
        <v>100</v>
      </c>
      <c r="H157" s="18"/>
      <c r="I157" s="12"/>
      <c r="J157" s="12"/>
      <c r="K157" s="13">
        <v>46234.541666666664</v>
      </c>
      <c r="L157" s="13">
        <v>46234.583333333336</v>
      </c>
      <c r="M157" s="1" t="s">
        <v>145</v>
      </c>
      <c r="N157" s="1"/>
      <c r="O157" s="1"/>
      <c r="P157" s="1" t="s">
        <v>297</v>
      </c>
      <c r="Q157" s="1" t="s">
        <v>147</v>
      </c>
      <c r="R157" s="1">
        <v>46235.71875</v>
      </c>
      <c r="S157" s="1"/>
      <c r="T157" s="1" t="s">
        <v>148</v>
      </c>
      <c r="U157" s="1"/>
    </row>
    <row r="158" spans="1:21" ht="21" customHeight="1" x14ac:dyDescent="0.45">
      <c r="A158" s="14">
        <v>46235</v>
      </c>
      <c r="B158" s="1" t="s">
        <v>143</v>
      </c>
      <c r="C158" s="13">
        <v>46235.854166666664</v>
      </c>
      <c r="D158" s="13">
        <v>46235.864583333336</v>
      </c>
      <c r="E158" s="1" t="s">
        <v>144</v>
      </c>
      <c r="F158" s="12">
        <v>60</v>
      </c>
      <c r="G158" s="12">
        <v>100</v>
      </c>
      <c r="H158" s="18"/>
      <c r="I158" s="12"/>
      <c r="J158" s="12"/>
      <c r="K158" s="13">
        <v>46234.541666666664</v>
      </c>
      <c r="L158" s="13">
        <v>46234.583333333336</v>
      </c>
      <c r="M158" s="1" t="s">
        <v>145</v>
      </c>
      <c r="N158" s="1"/>
      <c r="O158" s="1"/>
      <c r="P158" s="1" t="s">
        <v>298</v>
      </c>
      <c r="Q158" s="1" t="s">
        <v>147</v>
      </c>
      <c r="R158" s="1">
        <v>46235.729166666664</v>
      </c>
      <c r="S158" s="1"/>
      <c r="T158" s="1" t="s">
        <v>148</v>
      </c>
      <c r="U158" s="1"/>
    </row>
    <row r="159" spans="1:21" ht="21" customHeight="1" x14ac:dyDescent="0.45">
      <c r="A159" s="14">
        <v>46235</v>
      </c>
      <c r="B159" s="1" t="s">
        <v>143</v>
      </c>
      <c r="C159" s="13">
        <v>46235.864583333336</v>
      </c>
      <c r="D159" s="13">
        <v>46235.875</v>
      </c>
      <c r="E159" s="1" t="s">
        <v>144</v>
      </c>
      <c r="F159" s="12">
        <v>60</v>
      </c>
      <c r="G159" s="12">
        <v>100</v>
      </c>
      <c r="H159" s="18"/>
      <c r="I159" s="12"/>
      <c r="J159" s="12"/>
      <c r="K159" s="13">
        <v>46234.541666666664</v>
      </c>
      <c r="L159" s="13">
        <v>46234.583333333336</v>
      </c>
      <c r="M159" s="1" t="s">
        <v>145</v>
      </c>
      <c r="N159" s="1"/>
      <c r="O159" s="1"/>
      <c r="P159" s="1" t="s">
        <v>299</v>
      </c>
      <c r="Q159" s="1" t="s">
        <v>147</v>
      </c>
      <c r="R159" s="1">
        <v>46235.739583333336</v>
      </c>
      <c r="S159" s="1"/>
      <c r="T159" s="1" t="s">
        <v>148</v>
      </c>
      <c r="U159" s="1"/>
    </row>
    <row r="160" spans="1:21" ht="21" customHeight="1" x14ac:dyDescent="0.45">
      <c r="A160" s="14">
        <v>46235</v>
      </c>
      <c r="B160" s="1" t="s">
        <v>143</v>
      </c>
      <c r="C160" s="13">
        <v>46235.875</v>
      </c>
      <c r="D160" s="13">
        <v>46235.885416666664</v>
      </c>
      <c r="E160" s="1" t="s">
        <v>144</v>
      </c>
      <c r="F160" s="12">
        <v>22.254840100571528</v>
      </c>
      <c r="G160" s="12">
        <v>100</v>
      </c>
      <c r="H160" s="18"/>
      <c r="I160" s="12"/>
      <c r="J160" s="12"/>
      <c r="K160" s="13">
        <v>46234.541666666664</v>
      </c>
      <c r="L160" s="13">
        <v>46234.583333333336</v>
      </c>
      <c r="M160" s="1" t="s">
        <v>145</v>
      </c>
      <c r="N160" s="1"/>
      <c r="O160" s="1"/>
      <c r="P160" s="1" t="s">
        <v>300</v>
      </c>
      <c r="Q160" s="1" t="s">
        <v>147</v>
      </c>
      <c r="R160" s="1">
        <v>46235.75</v>
      </c>
      <c r="S160" s="1"/>
      <c r="T160" s="1" t="s">
        <v>148</v>
      </c>
      <c r="U160" s="1"/>
    </row>
    <row r="161" spans="1:21" ht="21" customHeight="1" x14ac:dyDescent="0.45">
      <c r="A161" s="14">
        <v>46235</v>
      </c>
      <c r="B161" s="1" t="s">
        <v>149</v>
      </c>
      <c r="C161" s="13">
        <v>46235.875</v>
      </c>
      <c r="D161" s="13">
        <v>46235.916666666664</v>
      </c>
      <c r="E161" s="1" t="s">
        <v>144</v>
      </c>
      <c r="F161" s="12">
        <v>40</v>
      </c>
      <c r="G161" s="12">
        <v>40</v>
      </c>
      <c r="H161" s="18">
        <v>0.3125</v>
      </c>
      <c r="I161" s="12">
        <v>128</v>
      </c>
      <c r="J161" s="12">
        <v>40</v>
      </c>
      <c r="K161" s="13">
        <v>46234.375</v>
      </c>
      <c r="L161" s="13">
        <v>46234.416666666664</v>
      </c>
      <c r="M161" s="1" t="s">
        <v>145</v>
      </c>
      <c r="N161" s="1" t="s">
        <v>150</v>
      </c>
      <c r="O161" s="1" t="s">
        <v>151</v>
      </c>
      <c r="P161" s="1" t="s">
        <v>301</v>
      </c>
      <c r="Q161" s="1" t="s">
        <v>147</v>
      </c>
      <c r="R161" s="1">
        <v>46235.75</v>
      </c>
      <c r="S161" s="1" t="s">
        <v>153</v>
      </c>
      <c r="T161" s="1" t="s">
        <v>148</v>
      </c>
      <c r="U161" s="1"/>
    </row>
    <row r="162" spans="1:21" ht="21" customHeight="1" x14ac:dyDescent="0.45">
      <c r="A162" s="14">
        <v>46235</v>
      </c>
      <c r="B162" s="1" t="s">
        <v>103</v>
      </c>
      <c r="C162" s="13">
        <v>46235.875</v>
      </c>
      <c r="D162" s="13">
        <v>46235.916666666664</v>
      </c>
      <c r="E162" s="1" t="s">
        <v>144</v>
      </c>
      <c r="F162" s="12">
        <v>24</v>
      </c>
      <c r="G162" s="12">
        <v>24</v>
      </c>
      <c r="H162" s="18">
        <v>0.13714285714285715</v>
      </c>
      <c r="I162" s="12">
        <v>175</v>
      </c>
      <c r="J162" s="12">
        <v>24</v>
      </c>
      <c r="K162" s="13">
        <v>46234.375</v>
      </c>
      <c r="L162" s="13">
        <v>46234.416666666664</v>
      </c>
      <c r="M162" s="1" t="s">
        <v>145</v>
      </c>
      <c r="N162" s="1" t="s">
        <v>154</v>
      </c>
      <c r="O162" s="1" t="s">
        <v>151</v>
      </c>
      <c r="P162" s="1" t="s">
        <v>302</v>
      </c>
      <c r="Q162" s="1" t="s">
        <v>147</v>
      </c>
      <c r="R162" s="1">
        <v>46235.75</v>
      </c>
      <c r="S162" s="1"/>
      <c r="T162" s="1" t="s">
        <v>148</v>
      </c>
      <c r="U162" s="1"/>
    </row>
    <row r="163" spans="1:21" ht="21" customHeight="1" x14ac:dyDescent="0.45">
      <c r="A163" s="14">
        <v>46235</v>
      </c>
      <c r="B163" s="1" t="s">
        <v>101</v>
      </c>
      <c r="C163" s="13">
        <v>46235.875</v>
      </c>
      <c r="D163" s="13">
        <v>46235.916666666664</v>
      </c>
      <c r="E163" s="1" t="s">
        <v>144</v>
      </c>
      <c r="F163" s="12">
        <v>24</v>
      </c>
      <c r="G163" s="12">
        <v>24</v>
      </c>
      <c r="H163" s="18">
        <v>0.13714285714285715</v>
      </c>
      <c r="I163" s="12">
        <v>175</v>
      </c>
      <c r="J163" s="12">
        <v>24</v>
      </c>
      <c r="K163" s="13">
        <v>46234.375</v>
      </c>
      <c r="L163" s="13">
        <v>46234.416666666664</v>
      </c>
      <c r="M163" s="1" t="s">
        <v>145</v>
      </c>
      <c r="N163" s="1" t="s">
        <v>154</v>
      </c>
      <c r="O163" s="1" t="s">
        <v>151</v>
      </c>
      <c r="P163" s="1" t="s">
        <v>303</v>
      </c>
      <c r="Q163" s="1" t="s">
        <v>147</v>
      </c>
      <c r="R163" s="1">
        <v>46235.75</v>
      </c>
      <c r="S163" s="1"/>
      <c r="T163" s="1" t="s">
        <v>148</v>
      </c>
      <c r="U163" s="1"/>
    </row>
    <row r="164" spans="1:21" ht="21" customHeight="1" x14ac:dyDescent="0.45">
      <c r="A164" s="14">
        <v>46235</v>
      </c>
      <c r="B164" s="1" t="s">
        <v>143</v>
      </c>
      <c r="C164" s="13">
        <v>46235.885416666664</v>
      </c>
      <c r="D164" s="13">
        <v>46235.895833333336</v>
      </c>
      <c r="E164" s="1" t="s">
        <v>144</v>
      </c>
      <c r="F164" s="12">
        <v>36</v>
      </c>
      <c r="G164" s="12">
        <v>100</v>
      </c>
      <c r="H164" s="18"/>
      <c r="I164" s="12"/>
      <c r="J164" s="12"/>
      <c r="K164" s="13">
        <v>46234.541666666664</v>
      </c>
      <c r="L164" s="13">
        <v>46234.583333333336</v>
      </c>
      <c r="M164" s="1" t="s">
        <v>145</v>
      </c>
      <c r="N164" s="1"/>
      <c r="O164" s="1"/>
      <c r="P164" s="1" t="s">
        <v>304</v>
      </c>
      <c r="Q164" s="1" t="s">
        <v>147</v>
      </c>
      <c r="R164" s="1">
        <v>46235.760416666664</v>
      </c>
      <c r="S164" s="1"/>
      <c r="T164" s="1" t="s">
        <v>148</v>
      </c>
      <c r="U164" s="1"/>
    </row>
    <row r="165" spans="1:21" ht="21" customHeight="1" x14ac:dyDescent="0.45">
      <c r="A165" s="14">
        <v>46235</v>
      </c>
      <c r="B165" s="1" t="s">
        <v>143</v>
      </c>
      <c r="C165" s="13">
        <v>46235.895833333336</v>
      </c>
      <c r="D165" s="13">
        <v>46235.90625</v>
      </c>
      <c r="E165" s="1" t="s">
        <v>144</v>
      </c>
      <c r="F165" s="12">
        <v>36.000000000000028</v>
      </c>
      <c r="G165" s="12">
        <v>100</v>
      </c>
      <c r="H165" s="18"/>
      <c r="I165" s="12"/>
      <c r="J165" s="12"/>
      <c r="K165" s="13">
        <v>46234.541666666664</v>
      </c>
      <c r="L165" s="13">
        <v>46234.583333333336</v>
      </c>
      <c r="M165" s="1" t="s">
        <v>145</v>
      </c>
      <c r="N165" s="1"/>
      <c r="O165" s="1"/>
      <c r="P165" s="1" t="s">
        <v>305</v>
      </c>
      <c r="Q165" s="1" t="s">
        <v>147</v>
      </c>
      <c r="R165" s="1">
        <v>46235.770833333336</v>
      </c>
      <c r="S165" s="1"/>
      <c r="T165" s="1" t="s">
        <v>148</v>
      </c>
      <c r="U165" s="1"/>
    </row>
    <row r="166" spans="1:21" ht="21" customHeight="1" x14ac:dyDescent="0.45">
      <c r="A166" s="14">
        <v>46235</v>
      </c>
      <c r="B166" s="1" t="s">
        <v>143</v>
      </c>
      <c r="C166" s="13">
        <v>46235.90625</v>
      </c>
      <c r="D166" s="13">
        <v>46235.916666666664</v>
      </c>
      <c r="E166" s="1" t="s">
        <v>144</v>
      </c>
      <c r="F166" s="12">
        <v>36</v>
      </c>
      <c r="G166" s="12">
        <v>100</v>
      </c>
      <c r="H166" s="18"/>
      <c r="I166" s="12"/>
      <c r="J166" s="12"/>
      <c r="K166" s="13">
        <v>46234.541666666664</v>
      </c>
      <c r="L166" s="13">
        <v>46234.583333333336</v>
      </c>
      <c r="M166" s="1" t="s">
        <v>145</v>
      </c>
      <c r="N166" s="1"/>
      <c r="O166" s="1"/>
      <c r="P166" s="1" t="s">
        <v>306</v>
      </c>
      <c r="Q166" s="1" t="s">
        <v>147</v>
      </c>
      <c r="R166" s="1">
        <v>46235.78125</v>
      </c>
      <c r="S166" s="1"/>
      <c r="T166" s="1" t="s">
        <v>148</v>
      </c>
      <c r="U166" s="1"/>
    </row>
    <row r="167" spans="1:21" ht="21" customHeight="1" x14ac:dyDescent="0.45">
      <c r="A167" s="14">
        <v>46235</v>
      </c>
      <c r="B167" s="1" t="s">
        <v>143</v>
      </c>
      <c r="C167" s="13">
        <v>46235.916666666664</v>
      </c>
      <c r="D167" s="13">
        <v>46235.927083333336</v>
      </c>
      <c r="E167" s="1" t="s">
        <v>144</v>
      </c>
      <c r="F167" s="12">
        <v>60</v>
      </c>
      <c r="G167" s="12">
        <v>100</v>
      </c>
      <c r="H167" s="18"/>
      <c r="I167" s="12"/>
      <c r="J167" s="12"/>
      <c r="K167" s="13">
        <v>46234.541666666664</v>
      </c>
      <c r="L167" s="13">
        <v>46234.583333333336</v>
      </c>
      <c r="M167" s="1" t="s">
        <v>145</v>
      </c>
      <c r="N167" s="1"/>
      <c r="O167" s="1"/>
      <c r="P167" s="1" t="s">
        <v>307</v>
      </c>
      <c r="Q167" s="1" t="s">
        <v>147</v>
      </c>
      <c r="R167" s="1">
        <v>46235.791666666664</v>
      </c>
      <c r="S167" s="1"/>
      <c r="T167" s="1" t="s">
        <v>148</v>
      </c>
      <c r="U167" s="1"/>
    </row>
    <row r="168" spans="1:21" ht="21" customHeight="1" x14ac:dyDescent="0.45">
      <c r="A168" s="14">
        <v>46235</v>
      </c>
      <c r="B168" s="1" t="s">
        <v>149</v>
      </c>
      <c r="C168" s="13">
        <v>46235.916666666664</v>
      </c>
      <c r="D168" s="13">
        <v>46235.958333333336</v>
      </c>
      <c r="E168" s="1" t="s">
        <v>144</v>
      </c>
      <c r="F168" s="12">
        <v>40</v>
      </c>
      <c r="G168" s="12">
        <v>40</v>
      </c>
      <c r="H168" s="18">
        <v>0.3125</v>
      </c>
      <c r="I168" s="12">
        <v>128</v>
      </c>
      <c r="J168" s="12">
        <v>40</v>
      </c>
      <c r="K168" s="13">
        <v>46234.375</v>
      </c>
      <c r="L168" s="13">
        <v>46234.416666666664</v>
      </c>
      <c r="M168" s="1" t="s">
        <v>145</v>
      </c>
      <c r="N168" s="1" t="s">
        <v>150</v>
      </c>
      <c r="O168" s="1" t="s">
        <v>151</v>
      </c>
      <c r="P168" s="1" t="s">
        <v>308</v>
      </c>
      <c r="Q168" s="1" t="s">
        <v>147</v>
      </c>
      <c r="R168" s="1">
        <v>46235.791666666664</v>
      </c>
      <c r="S168" s="1" t="s">
        <v>153</v>
      </c>
      <c r="T168" s="1" t="s">
        <v>148</v>
      </c>
      <c r="U168" s="1"/>
    </row>
    <row r="169" spans="1:21" ht="21" customHeight="1" x14ac:dyDescent="0.45">
      <c r="A169" s="14">
        <v>46235</v>
      </c>
      <c r="B169" s="1" t="s">
        <v>103</v>
      </c>
      <c r="C169" s="13">
        <v>46235.916666666664</v>
      </c>
      <c r="D169" s="13">
        <v>46235.958333333336</v>
      </c>
      <c r="E169" s="1" t="s">
        <v>144</v>
      </c>
      <c r="F169" s="12">
        <v>24</v>
      </c>
      <c r="G169" s="12">
        <v>24</v>
      </c>
      <c r="H169" s="18">
        <v>0.13714285714285715</v>
      </c>
      <c r="I169" s="12">
        <v>175</v>
      </c>
      <c r="J169" s="12">
        <v>24</v>
      </c>
      <c r="K169" s="13">
        <v>46234.375</v>
      </c>
      <c r="L169" s="13">
        <v>46234.416666666664</v>
      </c>
      <c r="M169" s="1" t="s">
        <v>145</v>
      </c>
      <c r="N169" s="1" t="s">
        <v>154</v>
      </c>
      <c r="O169" s="1" t="s">
        <v>151</v>
      </c>
      <c r="P169" s="1" t="s">
        <v>309</v>
      </c>
      <c r="Q169" s="1" t="s">
        <v>147</v>
      </c>
      <c r="R169" s="1">
        <v>46235.791666666664</v>
      </c>
      <c r="S169" s="1"/>
      <c r="T169" s="1" t="s">
        <v>148</v>
      </c>
      <c r="U169" s="1"/>
    </row>
    <row r="170" spans="1:21" ht="21" customHeight="1" x14ac:dyDescent="0.45">
      <c r="A170" s="14">
        <v>46235</v>
      </c>
      <c r="B170" s="1" t="s">
        <v>101</v>
      </c>
      <c r="C170" s="13">
        <v>46235.916666666664</v>
      </c>
      <c r="D170" s="13">
        <v>46235.958333333336</v>
      </c>
      <c r="E170" s="1" t="s">
        <v>144</v>
      </c>
      <c r="F170" s="12">
        <v>0</v>
      </c>
      <c r="G170" s="12">
        <v>24</v>
      </c>
      <c r="H170" s="18">
        <v>0.13714285714285715</v>
      </c>
      <c r="I170" s="12">
        <v>175</v>
      </c>
      <c r="J170" s="12">
        <v>24</v>
      </c>
      <c r="K170" s="13">
        <v>46234.375</v>
      </c>
      <c r="L170" s="13">
        <v>46234.416666666664</v>
      </c>
      <c r="M170" s="1" t="s">
        <v>145</v>
      </c>
      <c r="N170" s="1" t="s">
        <v>154</v>
      </c>
      <c r="O170" s="1" t="s">
        <v>151</v>
      </c>
      <c r="P170" s="1" t="s">
        <v>310</v>
      </c>
      <c r="Q170" s="1" t="s">
        <v>147</v>
      </c>
      <c r="R170" s="1">
        <v>46235.791666666664</v>
      </c>
      <c r="S170" s="1"/>
      <c r="T170" s="1" t="s">
        <v>148</v>
      </c>
      <c r="U170" s="1"/>
    </row>
    <row r="171" spans="1:21" ht="21" customHeight="1" x14ac:dyDescent="0.45">
      <c r="A171" s="14">
        <v>46235</v>
      </c>
      <c r="B171" s="1" t="s">
        <v>143</v>
      </c>
      <c r="C171" s="13">
        <v>46235.927083333336</v>
      </c>
      <c r="D171" s="13">
        <v>46235.9375</v>
      </c>
      <c r="E171" s="1" t="s">
        <v>144</v>
      </c>
      <c r="F171" s="12">
        <v>60</v>
      </c>
      <c r="G171" s="12">
        <v>100</v>
      </c>
      <c r="H171" s="18"/>
      <c r="I171" s="12"/>
      <c r="J171" s="12"/>
      <c r="K171" s="13">
        <v>46234.541666666664</v>
      </c>
      <c r="L171" s="13">
        <v>46234.583333333336</v>
      </c>
      <c r="M171" s="1" t="s">
        <v>145</v>
      </c>
      <c r="N171" s="1"/>
      <c r="O171" s="1"/>
      <c r="P171" s="1" t="s">
        <v>311</v>
      </c>
      <c r="Q171" s="1" t="s">
        <v>147</v>
      </c>
      <c r="R171" s="1">
        <v>46235.802083333336</v>
      </c>
      <c r="S171" s="1"/>
      <c r="T171" s="1" t="s">
        <v>148</v>
      </c>
      <c r="U171" s="1"/>
    </row>
    <row r="172" spans="1:21" ht="21" customHeight="1" x14ac:dyDescent="0.45">
      <c r="A172" s="14">
        <v>46235</v>
      </c>
      <c r="B172" s="1" t="s">
        <v>143</v>
      </c>
      <c r="C172" s="13">
        <v>46235.9375</v>
      </c>
      <c r="D172" s="13">
        <v>46235.947916666664</v>
      </c>
      <c r="E172" s="1" t="s">
        <v>144</v>
      </c>
      <c r="F172" s="12">
        <v>0</v>
      </c>
      <c r="G172" s="12">
        <v>100</v>
      </c>
      <c r="H172" s="18"/>
      <c r="I172" s="12"/>
      <c r="J172" s="12"/>
      <c r="K172" s="13">
        <v>46234.541666666664</v>
      </c>
      <c r="L172" s="13">
        <v>46234.583333333336</v>
      </c>
      <c r="M172" s="1" t="s">
        <v>145</v>
      </c>
      <c r="N172" s="1"/>
      <c r="O172" s="1"/>
      <c r="P172" s="1" t="s">
        <v>312</v>
      </c>
      <c r="Q172" s="1" t="s">
        <v>147</v>
      </c>
      <c r="R172" s="1">
        <v>46235.8125</v>
      </c>
      <c r="S172" s="1"/>
      <c r="T172" s="1" t="s">
        <v>148</v>
      </c>
      <c r="U172" s="1"/>
    </row>
    <row r="173" spans="1:21" ht="21" customHeight="1" x14ac:dyDescent="0.45">
      <c r="A173" s="14">
        <v>46235</v>
      </c>
      <c r="B173" s="1" t="s">
        <v>143</v>
      </c>
      <c r="C173" s="13">
        <v>46235.947916666664</v>
      </c>
      <c r="D173" s="13">
        <v>46235.958333333336</v>
      </c>
      <c r="E173" s="1" t="s">
        <v>144</v>
      </c>
      <c r="F173" s="12">
        <v>0</v>
      </c>
      <c r="G173" s="12">
        <v>100</v>
      </c>
      <c r="H173" s="18"/>
      <c r="I173" s="12"/>
      <c r="J173" s="12"/>
      <c r="K173" s="13">
        <v>46234.541666666664</v>
      </c>
      <c r="L173" s="13">
        <v>46234.583333333336</v>
      </c>
      <c r="M173" s="1" t="s">
        <v>145</v>
      </c>
      <c r="N173" s="1"/>
      <c r="O173" s="1"/>
      <c r="P173" s="1" t="s">
        <v>313</v>
      </c>
      <c r="Q173" s="1" t="s">
        <v>147</v>
      </c>
      <c r="R173" s="1">
        <v>46235.822916666664</v>
      </c>
      <c r="S173" s="1"/>
      <c r="T173" s="1" t="s">
        <v>148</v>
      </c>
      <c r="U173" s="1"/>
    </row>
    <row r="174" spans="1:21" ht="21" customHeight="1" x14ac:dyDescent="0.45">
      <c r="A174" s="14">
        <v>46235</v>
      </c>
      <c r="B174" s="1" t="s">
        <v>143</v>
      </c>
      <c r="C174" s="13">
        <v>46235.958333333336</v>
      </c>
      <c r="D174" s="13">
        <v>46235.96875</v>
      </c>
      <c r="E174" s="1" t="s">
        <v>144</v>
      </c>
      <c r="F174" s="12">
        <v>0</v>
      </c>
      <c r="G174" s="12">
        <v>100</v>
      </c>
      <c r="H174" s="18"/>
      <c r="I174" s="12"/>
      <c r="J174" s="12"/>
      <c r="K174" s="13">
        <v>46234.541666666664</v>
      </c>
      <c r="L174" s="13">
        <v>46234.583333333336</v>
      </c>
      <c r="M174" s="1" t="s">
        <v>145</v>
      </c>
      <c r="N174" s="1"/>
      <c r="O174" s="1"/>
      <c r="P174" s="1" t="s">
        <v>314</v>
      </c>
      <c r="Q174" s="1" t="s">
        <v>147</v>
      </c>
      <c r="R174" s="1">
        <v>46235.833333333336</v>
      </c>
      <c r="S174" s="1"/>
      <c r="T174" s="1" t="s">
        <v>148</v>
      </c>
      <c r="U174" s="1"/>
    </row>
    <row r="175" spans="1:21" ht="21" customHeight="1" x14ac:dyDescent="0.45">
      <c r="A175" s="14">
        <v>46235</v>
      </c>
      <c r="B175" s="1" t="s">
        <v>149</v>
      </c>
      <c r="C175" s="13">
        <v>46235.958333333336</v>
      </c>
      <c r="D175" s="13">
        <v>46236</v>
      </c>
      <c r="E175" s="1" t="s">
        <v>144</v>
      </c>
      <c r="F175" s="12">
        <v>40</v>
      </c>
      <c r="G175" s="12">
        <v>40</v>
      </c>
      <c r="H175" s="18">
        <v>0.3125</v>
      </c>
      <c r="I175" s="12">
        <v>128</v>
      </c>
      <c r="J175" s="12">
        <v>40</v>
      </c>
      <c r="K175" s="13">
        <v>46234.375</v>
      </c>
      <c r="L175" s="13">
        <v>46234.416666666664</v>
      </c>
      <c r="M175" s="1" t="s">
        <v>145</v>
      </c>
      <c r="N175" s="1" t="s">
        <v>150</v>
      </c>
      <c r="O175" s="1" t="s">
        <v>151</v>
      </c>
      <c r="P175" s="1" t="s">
        <v>315</v>
      </c>
      <c r="Q175" s="1" t="s">
        <v>147</v>
      </c>
      <c r="R175" s="1">
        <v>46235.833333333336</v>
      </c>
      <c r="S175" s="1" t="s">
        <v>153</v>
      </c>
      <c r="T175" s="1" t="s">
        <v>148</v>
      </c>
      <c r="U175" s="1"/>
    </row>
    <row r="176" spans="1:21" ht="21" customHeight="1" x14ac:dyDescent="0.45">
      <c r="A176" s="14">
        <v>46235</v>
      </c>
      <c r="B176" s="1" t="s">
        <v>103</v>
      </c>
      <c r="C176" s="13">
        <v>46235.958333333336</v>
      </c>
      <c r="D176" s="13">
        <v>46236</v>
      </c>
      <c r="E176" s="1" t="s">
        <v>144</v>
      </c>
      <c r="F176" s="12">
        <v>24</v>
      </c>
      <c r="G176" s="12">
        <v>24</v>
      </c>
      <c r="H176" s="18">
        <v>0.13714285714285715</v>
      </c>
      <c r="I176" s="12">
        <v>175</v>
      </c>
      <c r="J176" s="12">
        <v>24</v>
      </c>
      <c r="K176" s="13">
        <v>46234.375</v>
      </c>
      <c r="L176" s="13">
        <v>46234.416666666664</v>
      </c>
      <c r="M176" s="1" t="s">
        <v>145</v>
      </c>
      <c r="N176" s="1" t="s">
        <v>154</v>
      </c>
      <c r="O176" s="1" t="s">
        <v>151</v>
      </c>
      <c r="P176" s="1" t="s">
        <v>316</v>
      </c>
      <c r="Q176" s="1" t="s">
        <v>147</v>
      </c>
      <c r="R176" s="1">
        <v>46235.833333333336</v>
      </c>
      <c r="S176" s="1"/>
      <c r="T176" s="1" t="s">
        <v>148</v>
      </c>
      <c r="U176" s="1"/>
    </row>
    <row r="177" spans="1:21" ht="21" customHeight="1" x14ac:dyDescent="0.45">
      <c r="A177" s="14">
        <v>46235</v>
      </c>
      <c r="B177" s="1" t="s">
        <v>101</v>
      </c>
      <c r="C177" s="13">
        <v>46235.958333333336</v>
      </c>
      <c r="D177" s="13">
        <v>46236</v>
      </c>
      <c r="E177" s="1" t="s">
        <v>144</v>
      </c>
      <c r="F177" s="12">
        <v>24</v>
      </c>
      <c r="G177" s="12">
        <v>24</v>
      </c>
      <c r="H177" s="18">
        <v>0.13714285714285715</v>
      </c>
      <c r="I177" s="12">
        <v>175</v>
      </c>
      <c r="J177" s="12">
        <v>24</v>
      </c>
      <c r="K177" s="13">
        <v>46234.375</v>
      </c>
      <c r="L177" s="13">
        <v>46234.416666666664</v>
      </c>
      <c r="M177" s="1" t="s">
        <v>145</v>
      </c>
      <c r="N177" s="1" t="s">
        <v>154</v>
      </c>
      <c r="O177" s="1" t="s">
        <v>151</v>
      </c>
      <c r="P177" s="1" t="s">
        <v>317</v>
      </c>
      <c r="Q177" s="1" t="s">
        <v>147</v>
      </c>
      <c r="R177" s="1">
        <v>46235.833333333336</v>
      </c>
      <c r="S177" s="1"/>
      <c r="T177" s="1" t="s">
        <v>148</v>
      </c>
      <c r="U177" s="1"/>
    </row>
    <row r="178" spans="1:21" ht="21" customHeight="1" x14ac:dyDescent="0.45">
      <c r="A178" s="14">
        <v>46235</v>
      </c>
      <c r="B178" s="1" t="s">
        <v>143</v>
      </c>
      <c r="C178" s="13">
        <v>46235.96875</v>
      </c>
      <c r="D178" s="13">
        <v>46235.979166666664</v>
      </c>
      <c r="E178" s="1" t="s">
        <v>144</v>
      </c>
      <c r="F178" s="12">
        <v>0</v>
      </c>
      <c r="G178" s="12">
        <v>100</v>
      </c>
      <c r="H178" s="18"/>
      <c r="I178" s="12"/>
      <c r="J178" s="12"/>
      <c r="K178" s="13">
        <v>46234.541666666664</v>
      </c>
      <c r="L178" s="13">
        <v>46234.583333333336</v>
      </c>
      <c r="M178" s="1" t="s">
        <v>145</v>
      </c>
      <c r="N178" s="1"/>
      <c r="O178" s="1"/>
      <c r="P178" s="1" t="s">
        <v>318</v>
      </c>
      <c r="Q178" s="1" t="s">
        <v>147</v>
      </c>
      <c r="R178" s="1">
        <v>46235.84375</v>
      </c>
      <c r="S178" s="1"/>
      <c r="T178" s="1" t="s">
        <v>148</v>
      </c>
      <c r="U178" s="1"/>
    </row>
    <row r="179" spans="1:21" ht="21" customHeight="1" x14ac:dyDescent="0.45">
      <c r="A179" s="14">
        <v>46235</v>
      </c>
      <c r="B179" s="1" t="s">
        <v>143</v>
      </c>
      <c r="C179" s="13">
        <v>46235.979166666664</v>
      </c>
      <c r="D179" s="13">
        <v>46235.989583333336</v>
      </c>
      <c r="E179" s="1" t="s">
        <v>144</v>
      </c>
      <c r="F179" s="12">
        <v>0</v>
      </c>
      <c r="G179" s="12">
        <v>100</v>
      </c>
      <c r="H179" s="18"/>
      <c r="I179" s="12"/>
      <c r="J179" s="12"/>
      <c r="K179" s="13">
        <v>46234.541666666664</v>
      </c>
      <c r="L179" s="13">
        <v>46234.583333333336</v>
      </c>
      <c r="M179" s="1" t="s">
        <v>145</v>
      </c>
      <c r="N179" s="1"/>
      <c r="O179" s="1"/>
      <c r="P179" s="1" t="s">
        <v>319</v>
      </c>
      <c r="Q179" s="1" t="s">
        <v>147</v>
      </c>
      <c r="R179" s="1">
        <v>46235.854166666664</v>
      </c>
      <c r="S179" s="1"/>
      <c r="T179" s="1" t="s">
        <v>148</v>
      </c>
      <c r="U179" s="1"/>
    </row>
    <row r="180" spans="1:21" ht="21" customHeight="1" x14ac:dyDescent="0.45">
      <c r="A180" s="14">
        <v>46235</v>
      </c>
      <c r="B180" s="1" t="s">
        <v>143</v>
      </c>
      <c r="C180" s="13">
        <v>46235.989583333336</v>
      </c>
      <c r="D180" s="13">
        <v>46236</v>
      </c>
      <c r="E180" s="1" t="s">
        <v>144</v>
      </c>
      <c r="F180" s="12">
        <v>0</v>
      </c>
      <c r="G180" s="12">
        <v>100</v>
      </c>
      <c r="H180" s="18"/>
      <c r="I180" s="12"/>
      <c r="J180" s="12"/>
      <c r="K180" s="13">
        <v>46234.541666666664</v>
      </c>
      <c r="L180" s="13">
        <v>46234.583333333336</v>
      </c>
      <c r="M180" s="1" t="s">
        <v>145</v>
      </c>
      <c r="N180" s="1"/>
      <c r="O180" s="1"/>
      <c r="P180" s="1" t="s">
        <v>320</v>
      </c>
      <c r="Q180" s="1" t="s">
        <v>147</v>
      </c>
      <c r="R180" s="1">
        <v>46235.864583333336</v>
      </c>
      <c r="S180" s="1"/>
      <c r="T180" s="1" t="s">
        <v>148</v>
      </c>
      <c r="U180" s="1"/>
    </row>
    <row r="181" spans="1:21" ht="21" customHeight="1" x14ac:dyDescent="0.45">
      <c r="A181" s="14">
        <v>46235</v>
      </c>
      <c r="B181" s="1" t="s">
        <v>143</v>
      </c>
      <c r="C181" s="13">
        <v>46236</v>
      </c>
      <c r="D181" s="13">
        <v>46236.010416666664</v>
      </c>
      <c r="E181" s="1" t="s">
        <v>321</v>
      </c>
      <c r="F181" s="12">
        <v>-18.458027330911214</v>
      </c>
      <c r="G181" s="12">
        <v>100</v>
      </c>
      <c r="H181" s="18"/>
      <c r="I181" s="12"/>
      <c r="J181" s="12"/>
      <c r="K181" s="13">
        <v>46235.541666666664</v>
      </c>
      <c r="L181" s="13">
        <v>46235.583333333336</v>
      </c>
      <c r="M181" s="1" t="s">
        <v>145</v>
      </c>
      <c r="N181" s="1"/>
      <c r="O181" s="1"/>
      <c r="P181" s="1" t="s">
        <v>322</v>
      </c>
      <c r="Q181" s="1" t="s">
        <v>147</v>
      </c>
      <c r="R181" s="1">
        <v>46235.875</v>
      </c>
      <c r="S181" s="1"/>
      <c r="T181" s="1" t="s">
        <v>148</v>
      </c>
      <c r="U181" s="1"/>
    </row>
    <row r="182" spans="1:21" ht="21" customHeight="1" x14ac:dyDescent="0.45">
      <c r="A182" s="14">
        <v>46235</v>
      </c>
      <c r="B182" s="1" t="s">
        <v>149</v>
      </c>
      <c r="C182" s="13">
        <v>46236</v>
      </c>
      <c r="D182" s="13">
        <v>46236.041666666664</v>
      </c>
      <c r="E182" s="1" t="s">
        <v>321</v>
      </c>
      <c r="F182" s="12">
        <v>40</v>
      </c>
      <c r="G182" s="12">
        <v>40</v>
      </c>
      <c r="H182" s="18">
        <v>0.3125</v>
      </c>
      <c r="I182" s="12">
        <v>128</v>
      </c>
      <c r="J182" s="12">
        <v>40</v>
      </c>
      <c r="K182" s="13">
        <v>46235.375</v>
      </c>
      <c r="L182" s="13">
        <v>46235.416666666664</v>
      </c>
      <c r="M182" s="1" t="s">
        <v>145</v>
      </c>
      <c r="N182" s="1" t="s">
        <v>150</v>
      </c>
      <c r="O182" s="1" t="s">
        <v>151</v>
      </c>
      <c r="P182" s="1" t="s">
        <v>323</v>
      </c>
      <c r="Q182" s="1" t="s">
        <v>147</v>
      </c>
      <c r="R182" s="1">
        <v>46235.875</v>
      </c>
      <c r="S182" s="1" t="s">
        <v>153</v>
      </c>
      <c r="T182" s="1" t="s">
        <v>148</v>
      </c>
      <c r="U182" s="1"/>
    </row>
    <row r="183" spans="1:21" ht="21" customHeight="1" x14ac:dyDescent="0.45">
      <c r="A183" s="14">
        <v>46235</v>
      </c>
      <c r="B183" s="1" t="s">
        <v>103</v>
      </c>
      <c r="C183" s="13">
        <v>46236</v>
      </c>
      <c r="D183" s="13">
        <v>46236.041666666664</v>
      </c>
      <c r="E183" s="1" t="s">
        <v>321</v>
      </c>
      <c r="F183" s="12">
        <v>24</v>
      </c>
      <c r="G183" s="12">
        <v>24</v>
      </c>
      <c r="H183" s="18">
        <v>0.13714285714285715</v>
      </c>
      <c r="I183" s="12">
        <v>175</v>
      </c>
      <c r="J183" s="12">
        <v>24</v>
      </c>
      <c r="K183" s="13">
        <v>46235.375</v>
      </c>
      <c r="L183" s="13">
        <v>46235.416666666664</v>
      </c>
      <c r="M183" s="1" t="s">
        <v>145</v>
      </c>
      <c r="N183" s="1" t="s">
        <v>154</v>
      </c>
      <c r="O183" s="1" t="s">
        <v>151</v>
      </c>
      <c r="P183" s="1" t="s">
        <v>324</v>
      </c>
      <c r="Q183" s="1" t="s">
        <v>147</v>
      </c>
      <c r="R183" s="1">
        <v>46235.875</v>
      </c>
      <c r="S183" s="1"/>
      <c r="T183" s="1" t="s">
        <v>148</v>
      </c>
      <c r="U183" s="1"/>
    </row>
    <row r="184" spans="1:21" ht="21" customHeight="1" x14ac:dyDescent="0.45">
      <c r="A184" s="14">
        <v>46235</v>
      </c>
      <c r="B184" s="1" t="s">
        <v>101</v>
      </c>
      <c r="C184" s="13">
        <v>46236</v>
      </c>
      <c r="D184" s="13">
        <v>46236.041666666664</v>
      </c>
      <c r="E184" s="1" t="s">
        <v>321</v>
      </c>
      <c r="F184" s="12">
        <v>24</v>
      </c>
      <c r="G184" s="12">
        <v>24</v>
      </c>
      <c r="H184" s="18">
        <v>0.13714285714285715</v>
      </c>
      <c r="I184" s="12">
        <v>175</v>
      </c>
      <c r="J184" s="12">
        <v>24</v>
      </c>
      <c r="K184" s="13">
        <v>46235.375</v>
      </c>
      <c r="L184" s="13">
        <v>46235.416666666664</v>
      </c>
      <c r="M184" s="1" t="s">
        <v>145</v>
      </c>
      <c r="N184" s="1" t="s">
        <v>154</v>
      </c>
      <c r="O184" s="1" t="s">
        <v>151</v>
      </c>
      <c r="P184" s="1" t="s">
        <v>325</v>
      </c>
      <c r="Q184" s="1" t="s">
        <v>147</v>
      </c>
      <c r="R184" s="1">
        <v>46235.875</v>
      </c>
      <c r="S184" s="1"/>
      <c r="T184" s="1" t="s">
        <v>148</v>
      </c>
      <c r="U184" s="1"/>
    </row>
    <row r="185" spans="1:21" ht="21" customHeight="1" x14ac:dyDescent="0.45">
      <c r="A185" s="14">
        <v>46235</v>
      </c>
      <c r="B185" s="1" t="s">
        <v>143</v>
      </c>
      <c r="C185" s="13">
        <v>46236.010416666664</v>
      </c>
      <c r="D185" s="13">
        <v>46236.020833333336</v>
      </c>
      <c r="E185" s="1" t="s">
        <v>321</v>
      </c>
      <c r="F185" s="12">
        <v>0</v>
      </c>
      <c r="G185" s="12">
        <v>100</v>
      </c>
      <c r="H185" s="18"/>
      <c r="I185" s="12"/>
      <c r="J185" s="12"/>
      <c r="K185" s="13">
        <v>46235.541666666664</v>
      </c>
      <c r="L185" s="13">
        <v>46235.583333333336</v>
      </c>
      <c r="M185" s="1" t="s">
        <v>145</v>
      </c>
      <c r="N185" s="1"/>
      <c r="O185" s="1"/>
      <c r="P185" s="1" t="s">
        <v>326</v>
      </c>
      <c r="Q185" s="1" t="s">
        <v>147</v>
      </c>
      <c r="R185" s="1">
        <v>46235.885416666664</v>
      </c>
      <c r="S185" s="1"/>
      <c r="T185" s="1" t="s">
        <v>148</v>
      </c>
      <c r="U185" s="1"/>
    </row>
    <row r="186" spans="1:21" ht="21" customHeight="1" x14ac:dyDescent="0.45">
      <c r="A186" s="14">
        <v>46235</v>
      </c>
      <c r="B186" s="1" t="s">
        <v>143</v>
      </c>
      <c r="C186" s="13">
        <v>46236.020833333336</v>
      </c>
      <c r="D186" s="13">
        <v>46236.03125</v>
      </c>
      <c r="E186" s="1" t="s">
        <v>321</v>
      </c>
      <c r="F186" s="12">
        <v>0</v>
      </c>
      <c r="G186" s="12">
        <v>100</v>
      </c>
      <c r="H186" s="18"/>
      <c r="I186" s="12"/>
      <c r="J186" s="12"/>
      <c r="K186" s="13">
        <v>46235.541666666664</v>
      </c>
      <c r="L186" s="13">
        <v>46235.583333333336</v>
      </c>
      <c r="M186" s="1" t="s">
        <v>145</v>
      </c>
      <c r="N186" s="1"/>
      <c r="O186" s="1"/>
      <c r="P186" s="1" t="s">
        <v>327</v>
      </c>
      <c r="Q186" s="1" t="s">
        <v>147</v>
      </c>
      <c r="R186" s="1">
        <v>46235.895833333336</v>
      </c>
      <c r="S186" s="1"/>
      <c r="T186" s="1" t="s">
        <v>148</v>
      </c>
      <c r="U186" s="1"/>
    </row>
    <row r="187" spans="1:21" ht="21" customHeight="1" x14ac:dyDescent="0.45">
      <c r="A187" s="14">
        <v>46235</v>
      </c>
      <c r="B187" s="1" t="s">
        <v>143</v>
      </c>
      <c r="C187" s="13">
        <v>46236.03125</v>
      </c>
      <c r="D187" s="13">
        <v>46236.041666666664</v>
      </c>
      <c r="E187" s="1" t="s">
        <v>321</v>
      </c>
      <c r="F187" s="12">
        <v>0</v>
      </c>
      <c r="G187" s="12">
        <v>100</v>
      </c>
      <c r="H187" s="18"/>
      <c r="I187" s="12"/>
      <c r="J187" s="12"/>
      <c r="K187" s="13">
        <v>46235.541666666664</v>
      </c>
      <c r="L187" s="13">
        <v>46235.583333333336</v>
      </c>
      <c r="M187" s="1" t="s">
        <v>145</v>
      </c>
      <c r="N187" s="1"/>
      <c r="O187" s="1"/>
      <c r="P187" s="1" t="s">
        <v>328</v>
      </c>
      <c r="Q187" s="1" t="s">
        <v>147</v>
      </c>
      <c r="R187" s="1">
        <v>46235.90625</v>
      </c>
      <c r="S187" s="1"/>
      <c r="T187" s="1" t="s">
        <v>148</v>
      </c>
      <c r="U187" s="1"/>
    </row>
    <row r="188" spans="1:21" ht="21" customHeight="1" x14ac:dyDescent="0.45">
      <c r="A188" s="14">
        <v>46235</v>
      </c>
      <c r="B188" s="1" t="s">
        <v>143</v>
      </c>
      <c r="C188" s="13">
        <v>46236.041666666664</v>
      </c>
      <c r="D188" s="13">
        <v>46236.052083333336</v>
      </c>
      <c r="E188" s="1" t="s">
        <v>321</v>
      </c>
      <c r="F188" s="12">
        <v>21.150137638703697</v>
      </c>
      <c r="G188" s="12">
        <v>100</v>
      </c>
      <c r="H188" s="18"/>
      <c r="I188" s="12"/>
      <c r="J188" s="12"/>
      <c r="K188" s="13">
        <v>46235.541666666664</v>
      </c>
      <c r="L188" s="13">
        <v>46235.583333333336</v>
      </c>
      <c r="M188" s="1" t="s">
        <v>145</v>
      </c>
      <c r="N188" s="1"/>
      <c r="O188" s="1"/>
      <c r="P188" s="1" t="s">
        <v>329</v>
      </c>
      <c r="Q188" s="1" t="s">
        <v>147</v>
      </c>
      <c r="R188" s="1">
        <v>46235.916666666664</v>
      </c>
      <c r="S188" s="1"/>
      <c r="T188" s="1" t="s">
        <v>148</v>
      </c>
      <c r="U188" s="1"/>
    </row>
    <row r="189" spans="1:21" ht="21" customHeight="1" x14ac:dyDescent="0.45">
      <c r="A189" s="14">
        <v>46235</v>
      </c>
      <c r="B189" s="1" t="s">
        <v>149</v>
      </c>
      <c r="C189" s="13">
        <v>46236.041666666664</v>
      </c>
      <c r="D189" s="13">
        <v>46236.083333333336</v>
      </c>
      <c r="E189" s="1" t="s">
        <v>321</v>
      </c>
      <c r="F189" s="12">
        <v>40</v>
      </c>
      <c r="G189" s="12">
        <v>40</v>
      </c>
      <c r="H189" s="18">
        <v>0.3125</v>
      </c>
      <c r="I189" s="12">
        <v>128</v>
      </c>
      <c r="J189" s="12">
        <v>40</v>
      </c>
      <c r="K189" s="13">
        <v>46235.375</v>
      </c>
      <c r="L189" s="13">
        <v>46235.416666666664</v>
      </c>
      <c r="M189" s="1" t="s">
        <v>145</v>
      </c>
      <c r="N189" s="1" t="s">
        <v>150</v>
      </c>
      <c r="O189" s="1" t="s">
        <v>151</v>
      </c>
      <c r="P189" s="1" t="s">
        <v>330</v>
      </c>
      <c r="Q189" s="1" t="s">
        <v>147</v>
      </c>
      <c r="R189" s="1">
        <v>46235.916666666664</v>
      </c>
      <c r="S189" s="1" t="s">
        <v>153</v>
      </c>
      <c r="T189" s="1" t="s">
        <v>148</v>
      </c>
      <c r="U189" s="1"/>
    </row>
    <row r="190" spans="1:21" ht="21" customHeight="1" x14ac:dyDescent="0.45">
      <c r="A190" s="14">
        <v>46235</v>
      </c>
      <c r="B190" s="1" t="s">
        <v>103</v>
      </c>
      <c r="C190" s="13">
        <v>46236.041666666664</v>
      </c>
      <c r="D190" s="13">
        <v>46236.083333333336</v>
      </c>
      <c r="E190" s="1" t="s">
        <v>321</v>
      </c>
      <c r="F190" s="12">
        <v>24</v>
      </c>
      <c r="G190" s="12">
        <v>24</v>
      </c>
      <c r="H190" s="18">
        <v>0.13714285714285715</v>
      </c>
      <c r="I190" s="12">
        <v>175</v>
      </c>
      <c r="J190" s="12">
        <v>24</v>
      </c>
      <c r="K190" s="13">
        <v>46235.375</v>
      </c>
      <c r="L190" s="13">
        <v>46235.416666666664</v>
      </c>
      <c r="M190" s="1" t="s">
        <v>145</v>
      </c>
      <c r="N190" s="1" t="s">
        <v>154</v>
      </c>
      <c r="O190" s="1" t="s">
        <v>151</v>
      </c>
      <c r="P190" s="1" t="s">
        <v>331</v>
      </c>
      <c r="Q190" s="1" t="s">
        <v>147</v>
      </c>
      <c r="R190" s="1">
        <v>46235.916666666664</v>
      </c>
      <c r="S190" s="1"/>
      <c r="T190" s="1" t="s">
        <v>148</v>
      </c>
      <c r="U190" s="1"/>
    </row>
    <row r="191" spans="1:21" ht="21" customHeight="1" x14ac:dyDescent="0.45">
      <c r="A191" s="14">
        <v>46235</v>
      </c>
      <c r="B191" s="1" t="s">
        <v>101</v>
      </c>
      <c r="C191" s="13">
        <v>46236.041666666664</v>
      </c>
      <c r="D191" s="13">
        <v>46236.083333333336</v>
      </c>
      <c r="E191" s="1" t="s">
        <v>321</v>
      </c>
      <c r="F191" s="12">
        <v>24</v>
      </c>
      <c r="G191" s="12">
        <v>24</v>
      </c>
      <c r="H191" s="18">
        <v>0.13714285714285715</v>
      </c>
      <c r="I191" s="12">
        <v>175</v>
      </c>
      <c r="J191" s="12">
        <v>24</v>
      </c>
      <c r="K191" s="13">
        <v>46235.375</v>
      </c>
      <c r="L191" s="13">
        <v>46235.416666666664</v>
      </c>
      <c r="M191" s="1" t="s">
        <v>145</v>
      </c>
      <c r="N191" s="1" t="s">
        <v>154</v>
      </c>
      <c r="O191" s="1" t="s">
        <v>151</v>
      </c>
      <c r="P191" s="1" t="s">
        <v>332</v>
      </c>
      <c r="Q191" s="1" t="s">
        <v>147</v>
      </c>
      <c r="R191" s="1">
        <v>46235.916666666664</v>
      </c>
      <c r="S191" s="1"/>
      <c r="T191" s="1" t="s">
        <v>148</v>
      </c>
      <c r="U191" s="1"/>
    </row>
    <row r="192" spans="1:21" ht="21" customHeight="1" x14ac:dyDescent="0.45">
      <c r="A192" s="14">
        <v>46235</v>
      </c>
      <c r="B192" s="1" t="s">
        <v>143</v>
      </c>
      <c r="C192" s="13">
        <v>46236.052083333336</v>
      </c>
      <c r="D192" s="13">
        <v>46236.0625</v>
      </c>
      <c r="E192" s="1" t="s">
        <v>321</v>
      </c>
      <c r="F192" s="12">
        <v>0</v>
      </c>
      <c r="G192" s="12">
        <v>100</v>
      </c>
      <c r="H192" s="18"/>
      <c r="I192" s="12"/>
      <c r="J192" s="12"/>
      <c r="K192" s="13">
        <v>46235.541666666664</v>
      </c>
      <c r="L192" s="13">
        <v>46235.583333333336</v>
      </c>
      <c r="M192" s="1" t="s">
        <v>145</v>
      </c>
      <c r="N192" s="1"/>
      <c r="O192" s="1"/>
      <c r="P192" s="1" t="s">
        <v>333</v>
      </c>
      <c r="Q192" s="1" t="s">
        <v>147</v>
      </c>
      <c r="R192" s="1">
        <v>46235.927083333336</v>
      </c>
      <c r="S192" s="1"/>
      <c r="T192" s="1" t="s">
        <v>148</v>
      </c>
      <c r="U192" s="1"/>
    </row>
    <row r="193" spans="1:21" ht="21" customHeight="1" x14ac:dyDescent="0.45">
      <c r="A193" s="14">
        <v>46235</v>
      </c>
      <c r="B193" s="1" t="s">
        <v>143</v>
      </c>
      <c r="C193" s="13">
        <v>46236.0625</v>
      </c>
      <c r="D193" s="13">
        <v>46236.072916666664</v>
      </c>
      <c r="E193" s="1" t="s">
        <v>321</v>
      </c>
      <c r="F193" s="12">
        <v>0</v>
      </c>
      <c r="G193" s="12">
        <v>100</v>
      </c>
      <c r="H193" s="18"/>
      <c r="I193" s="12"/>
      <c r="J193" s="12"/>
      <c r="K193" s="13">
        <v>46235.541666666664</v>
      </c>
      <c r="L193" s="13">
        <v>46235.583333333336</v>
      </c>
      <c r="M193" s="1" t="s">
        <v>145</v>
      </c>
      <c r="N193" s="1"/>
      <c r="O193" s="1"/>
      <c r="P193" s="1" t="s">
        <v>334</v>
      </c>
      <c r="Q193" s="1" t="s">
        <v>147</v>
      </c>
      <c r="R193" s="1">
        <v>46235.9375</v>
      </c>
      <c r="S193" s="1"/>
      <c r="T193" s="1" t="s">
        <v>148</v>
      </c>
      <c r="U193" s="1"/>
    </row>
    <row r="194" spans="1:21" ht="21" customHeight="1" x14ac:dyDescent="0.45">
      <c r="A194" s="14">
        <v>46235</v>
      </c>
      <c r="B194" s="1" t="s">
        <v>143</v>
      </c>
      <c r="C194" s="13">
        <v>46236.072916666664</v>
      </c>
      <c r="D194" s="13">
        <v>46236.083333333336</v>
      </c>
      <c r="E194" s="1" t="s">
        <v>321</v>
      </c>
      <c r="F194" s="12">
        <v>0</v>
      </c>
      <c r="G194" s="12">
        <v>100</v>
      </c>
      <c r="H194" s="18"/>
      <c r="I194" s="12"/>
      <c r="J194" s="12"/>
      <c r="K194" s="13">
        <v>46235.541666666664</v>
      </c>
      <c r="L194" s="13">
        <v>46235.583333333336</v>
      </c>
      <c r="M194" s="1" t="s">
        <v>145</v>
      </c>
      <c r="N194" s="1"/>
      <c r="O194" s="1"/>
      <c r="P194" s="1" t="s">
        <v>335</v>
      </c>
      <c r="Q194" s="1" t="s">
        <v>147</v>
      </c>
      <c r="R194" s="1">
        <v>46235.947916666664</v>
      </c>
      <c r="S194" s="1"/>
      <c r="T194" s="1" t="s">
        <v>148</v>
      </c>
      <c r="U194" s="1"/>
    </row>
    <row r="195" spans="1:21" ht="21" customHeight="1" x14ac:dyDescent="0.45">
      <c r="A195" s="14">
        <v>46235</v>
      </c>
      <c r="B195" s="1" t="s">
        <v>143</v>
      </c>
      <c r="C195" s="13">
        <v>46236.083333333336</v>
      </c>
      <c r="D195" s="13">
        <v>46236.09375</v>
      </c>
      <c r="E195" s="1" t="s">
        <v>321</v>
      </c>
      <c r="F195" s="12">
        <v>-0.18024801592258491</v>
      </c>
      <c r="G195" s="12">
        <v>100</v>
      </c>
      <c r="H195" s="18"/>
      <c r="I195" s="12"/>
      <c r="J195" s="12"/>
      <c r="K195" s="13">
        <v>46235.541666666664</v>
      </c>
      <c r="L195" s="13">
        <v>46235.583333333336</v>
      </c>
      <c r="M195" s="1" t="s">
        <v>145</v>
      </c>
      <c r="N195" s="1"/>
      <c r="O195" s="1"/>
      <c r="P195" s="1" t="s">
        <v>336</v>
      </c>
      <c r="Q195" s="1" t="s">
        <v>147</v>
      </c>
      <c r="R195" s="1">
        <v>46235.958333333336</v>
      </c>
      <c r="S195" s="1"/>
      <c r="T195" s="1" t="s">
        <v>148</v>
      </c>
      <c r="U195" s="1"/>
    </row>
    <row r="196" spans="1:21" ht="21" customHeight="1" x14ac:dyDescent="0.45">
      <c r="A196" s="14">
        <v>46235</v>
      </c>
      <c r="B196" s="1" t="s">
        <v>149</v>
      </c>
      <c r="C196" s="13">
        <v>46236.083333333336</v>
      </c>
      <c r="D196" s="13">
        <v>46236.125</v>
      </c>
      <c r="E196" s="1" t="s">
        <v>321</v>
      </c>
      <c r="F196" s="12">
        <v>40</v>
      </c>
      <c r="G196" s="12">
        <v>40</v>
      </c>
      <c r="H196" s="18">
        <v>0.3125</v>
      </c>
      <c r="I196" s="12">
        <v>128</v>
      </c>
      <c r="J196" s="12">
        <v>40</v>
      </c>
      <c r="K196" s="13">
        <v>46235.375</v>
      </c>
      <c r="L196" s="13">
        <v>46235.416666666664</v>
      </c>
      <c r="M196" s="1" t="s">
        <v>145</v>
      </c>
      <c r="N196" s="1" t="s">
        <v>150</v>
      </c>
      <c r="O196" s="1" t="s">
        <v>151</v>
      </c>
      <c r="P196" s="1" t="s">
        <v>337</v>
      </c>
      <c r="Q196" s="1" t="s">
        <v>147</v>
      </c>
      <c r="R196" s="1">
        <v>46235.958333333336</v>
      </c>
      <c r="S196" s="1" t="s">
        <v>153</v>
      </c>
      <c r="T196" s="1" t="s">
        <v>148</v>
      </c>
      <c r="U196" s="1"/>
    </row>
    <row r="197" spans="1:21" ht="21" customHeight="1" x14ac:dyDescent="0.45">
      <c r="A197" s="14">
        <v>46235</v>
      </c>
      <c r="B197" s="1" t="s">
        <v>103</v>
      </c>
      <c r="C197" s="13">
        <v>46236.083333333336</v>
      </c>
      <c r="D197" s="13">
        <v>46236.125</v>
      </c>
      <c r="E197" s="1" t="s">
        <v>321</v>
      </c>
      <c r="F197" s="12">
        <v>24</v>
      </c>
      <c r="G197" s="12">
        <v>24</v>
      </c>
      <c r="H197" s="18">
        <v>0.13714285714285715</v>
      </c>
      <c r="I197" s="12">
        <v>175</v>
      </c>
      <c r="J197" s="12">
        <v>24</v>
      </c>
      <c r="K197" s="13">
        <v>46235.375</v>
      </c>
      <c r="L197" s="13">
        <v>46235.416666666664</v>
      </c>
      <c r="M197" s="1" t="s">
        <v>145</v>
      </c>
      <c r="N197" s="1" t="s">
        <v>154</v>
      </c>
      <c r="O197" s="1" t="s">
        <v>151</v>
      </c>
      <c r="P197" s="1" t="s">
        <v>338</v>
      </c>
      <c r="Q197" s="1" t="s">
        <v>147</v>
      </c>
      <c r="R197" s="1">
        <v>46235.958333333336</v>
      </c>
      <c r="S197" s="1"/>
      <c r="T197" s="1" t="s">
        <v>148</v>
      </c>
      <c r="U197" s="1"/>
    </row>
    <row r="198" spans="1:21" ht="21" customHeight="1" x14ac:dyDescent="0.45">
      <c r="A198" s="14">
        <v>46235</v>
      </c>
      <c r="B198" s="1" t="s">
        <v>101</v>
      </c>
      <c r="C198" s="13">
        <v>46236.083333333336</v>
      </c>
      <c r="D198" s="13">
        <v>46236.125</v>
      </c>
      <c r="E198" s="1" t="s">
        <v>321</v>
      </c>
      <c r="F198" s="12">
        <v>24</v>
      </c>
      <c r="G198" s="12">
        <v>24</v>
      </c>
      <c r="H198" s="18">
        <v>0.13714285714285715</v>
      </c>
      <c r="I198" s="12">
        <v>175</v>
      </c>
      <c r="J198" s="12">
        <v>24</v>
      </c>
      <c r="K198" s="13">
        <v>46235.375</v>
      </c>
      <c r="L198" s="13">
        <v>46235.416666666664</v>
      </c>
      <c r="M198" s="1" t="s">
        <v>145</v>
      </c>
      <c r="N198" s="1" t="s">
        <v>154</v>
      </c>
      <c r="O198" s="1" t="s">
        <v>151</v>
      </c>
      <c r="P198" s="1" t="s">
        <v>339</v>
      </c>
      <c r="Q198" s="1" t="s">
        <v>147</v>
      </c>
      <c r="R198" s="1">
        <v>46235.958333333336</v>
      </c>
      <c r="S198" s="1"/>
      <c r="T198" s="1" t="s">
        <v>148</v>
      </c>
      <c r="U198" s="1"/>
    </row>
    <row r="199" spans="1:21" ht="21" customHeight="1" x14ac:dyDescent="0.45">
      <c r="A199" s="14">
        <v>46235</v>
      </c>
      <c r="B199" s="1" t="s">
        <v>143</v>
      </c>
      <c r="C199" s="13">
        <v>46236.09375</v>
      </c>
      <c r="D199" s="13">
        <v>46236.104166666664</v>
      </c>
      <c r="E199" s="1" t="s">
        <v>321</v>
      </c>
      <c r="F199" s="12">
        <v>-7.370332307693503</v>
      </c>
      <c r="G199" s="12">
        <v>100</v>
      </c>
      <c r="H199" s="18"/>
      <c r="I199" s="12"/>
      <c r="J199" s="12"/>
      <c r="K199" s="13">
        <v>46235.541666666664</v>
      </c>
      <c r="L199" s="13">
        <v>46235.583333333336</v>
      </c>
      <c r="M199" s="1" t="s">
        <v>145</v>
      </c>
      <c r="N199" s="1"/>
      <c r="O199" s="1"/>
      <c r="P199" s="1" t="s">
        <v>340</v>
      </c>
      <c r="Q199" s="1" t="s">
        <v>147</v>
      </c>
      <c r="R199" s="1">
        <v>46235.96875</v>
      </c>
      <c r="S199" s="1"/>
      <c r="T199" s="1" t="s">
        <v>148</v>
      </c>
      <c r="U199" s="1"/>
    </row>
    <row r="200" spans="1:21" ht="21" customHeight="1" x14ac:dyDescent="0.45">
      <c r="A200" s="14">
        <v>46235</v>
      </c>
      <c r="B200" s="1" t="s">
        <v>143</v>
      </c>
      <c r="C200" s="13">
        <v>46236.104166666664</v>
      </c>
      <c r="D200" s="13">
        <v>46236.114583333336</v>
      </c>
      <c r="E200" s="1" t="s">
        <v>321</v>
      </c>
      <c r="F200" s="12">
        <v>0</v>
      </c>
      <c r="G200" s="12">
        <v>100</v>
      </c>
      <c r="H200" s="18"/>
      <c r="I200" s="12"/>
      <c r="J200" s="12"/>
      <c r="K200" s="13">
        <v>46235.541666666664</v>
      </c>
      <c r="L200" s="13">
        <v>46235.583333333336</v>
      </c>
      <c r="M200" s="1" t="s">
        <v>145</v>
      </c>
      <c r="N200" s="1"/>
      <c r="O200" s="1"/>
      <c r="P200" s="1" t="s">
        <v>341</v>
      </c>
      <c r="Q200" s="1" t="s">
        <v>147</v>
      </c>
      <c r="R200" s="1">
        <v>46235.979166666664</v>
      </c>
      <c r="S200" s="1"/>
      <c r="T200" s="1" t="s">
        <v>148</v>
      </c>
      <c r="U200" s="1"/>
    </row>
    <row r="201" spans="1:21" ht="21" customHeight="1" x14ac:dyDescent="0.45">
      <c r="A201" s="14">
        <v>46235</v>
      </c>
      <c r="B201" s="1" t="s">
        <v>143</v>
      </c>
      <c r="C201" s="13">
        <v>46236.114583333336</v>
      </c>
      <c r="D201" s="13">
        <v>46236.125</v>
      </c>
      <c r="E201" s="1" t="s">
        <v>321</v>
      </c>
      <c r="F201" s="12">
        <v>0</v>
      </c>
      <c r="G201" s="12">
        <v>100</v>
      </c>
      <c r="H201" s="18"/>
      <c r="I201" s="12"/>
      <c r="J201" s="12"/>
      <c r="K201" s="13">
        <v>46235.541666666664</v>
      </c>
      <c r="L201" s="13">
        <v>46235.583333333336</v>
      </c>
      <c r="M201" s="1" t="s">
        <v>145</v>
      </c>
      <c r="N201" s="1"/>
      <c r="O201" s="1"/>
      <c r="P201" s="1" t="s">
        <v>342</v>
      </c>
      <c r="Q201" s="1" t="s">
        <v>147</v>
      </c>
      <c r="R201" s="1">
        <v>46235.989583333336</v>
      </c>
      <c r="S201" s="1"/>
      <c r="T201" s="1" t="s">
        <v>148</v>
      </c>
      <c r="U201" s="1"/>
    </row>
    <row r="202" spans="1:21" ht="21" customHeight="1" x14ac:dyDescent="0.45">
      <c r="A202" s="14">
        <v>46235</v>
      </c>
      <c r="B202" s="1" t="s">
        <v>143</v>
      </c>
      <c r="C202" s="13">
        <v>46236.125</v>
      </c>
      <c r="D202" s="13">
        <v>46236.135416666664</v>
      </c>
      <c r="E202" s="1" t="s">
        <v>321</v>
      </c>
      <c r="F202" s="12">
        <v>0</v>
      </c>
      <c r="G202" s="12">
        <v>100</v>
      </c>
      <c r="H202" s="18"/>
      <c r="I202" s="12"/>
      <c r="J202" s="12"/>
      <c r="K202" s="13">
        <v>46235.541666666664</v>
      </c>
      <c r="L202" s="13">
        <v>46235.583333333336</v>
      </c>
      <c r="M202" s="1" t="s">
        <v>145</v>
      </c>
      <c r="N202" s="1"/>
      <c r="O202" s="1"/>
      <c r="P202" s="1" t="s">
        <v>343</v>
      </c>
      <c r="Q202" s="1" t="s">
        <v>147</v>
      </c>
      <c r="R202" s="1">
        <v>46236</v>
      </c>
      <c r="S202" s="1"/>
      <c r="T202" s="1" t="s">
        <v>148</v>
      </c>
      <c r="U202" s="1"/>
    </row>
    <row r="203" spans="1:21" ht="21" customHeight="1" x14ac:dyDescent="0.45">
      <c r="A203" s="14">
        <v>46235</v>
      </c>
      <c r="B203" s="1" t="s">
        <v>149</v>
      </c>
      <c r="C203" s="13">
        <v>46236.125</v>
      </c>
      <c r="D203" s="13">
        <v>46236.166666666664</v>
      </c>
      <c r="E203" s="1" t="s">
        <v>321</v>
      </c>
      <c r="F203" s="12">
        <v>40</v>
      </c>
      <c r="G203" s="12">
        <v>40</v>
      </c>
      <c r="H203" s="18">
        <v>0.3125</v>
      </c>
      <c r="I203" s="12">
        <v>128</v>
      </c>
      <c r="J203" s="12">
        <v>40</v>
      </c>
      <c r="K203" s="13">
        <v>46235.375</v>
      </c>
      <c r="L203" s="13">
        <v>46235.416666666664</v>
      </c>
      <c r="M203" s="1" t="s">
        <v>145</v>
      </c>
      <c r="N203" s="1" t="s">
        <v>150</v>
      </c>
      <c r="O203" s="1" t="s">
        <v>151</v>
      </c>
      <c r="P203" s="1" t="s">
        <v>344</v>
      </c>
      <c r="Q203" s="1" t="s">
        <v>147</v>
      </c>
      <c r="R203" s="1">
        <v>46236</v>
      </c>
      <c r="S203" s="1" t="s">
        <v>153</v>
      </c>
      <c r="T203" s="1" t="s">
        <v>148</v>
      </c>
      <c r="U203" s="1"/>
    </row>
    <row r="204" spans="1:21" ht="21" customHeight="1" x14ac:dyDescent="0.45">
      <c r="A204" s="14">
        <v>46235</v>
      </c>
      <c r="B204" s="1" t="s">
        <v>103</v>
      </c>
      <c r="C204" s="13">
        <v>46236.125</v>
      </c>
      <c r="D204" s="13">
        <v>46236.166666666664</v>
      </c>
      <c r="E204" s="1" t="s">
        <v>321</v>
      </c>
      <c r="F204" s="12">
        <v>24</v>
      </c>
      <c r="G204" s="12">
        <v>24</v>
      </c>
      <c r="H204" s="18">
        <v>0.13714285714285715</v>
      </c>
      <c r="I204" s="12">
        <v>175</v>
      </c>
      <c r="J204" s="12">
        <v>24</v>
      </c>
      <c r="K204" s="13">
        <v>46235.375</v>
      </c>
      <c r="L204" s="13">
        <v>46235.416666666664</v>
      </c>
      <c r="M204" s="1" t="s">
        <v>145</v>
      </c>
      <c r="N204" s="1" t="s">
        <v>154</v>
      </c>
      <c r="O204" s="1" t="s">
        <v>151</v>
      </c>
      <c r="P204" s="1" t="s">
        <v>345</v>
      </c>
      <c r="Q204" s="1" t="s">
        <v>147</v>
      </c>
      <c r="R204" s="1">
        <v>46236</v>
      </c>
      <c r="S204" s="1"/>
      <c r="T204" s="1" t="s">
        <v>148</v>
      </c>
      <c r="U204" s="1"/>
    </row>
    <row r="205" spans="1:21" ht="21" customHeight="1" x14ac:dyDescent="0.45">
      <c r="A205" s="14">
        <v>46235</v>
      </c>
      <c r="B205" s="1" t="s">
        <v>101</v>
      </c>
      <c r="C205" s="13">
        <v>46236.125</v>
      </c>
      <c r="D205" s="13">
        <v>46236.166666666664</v>
      </c>
      <c r="E205" s="1" t="s">
        <v>321</v>
      </c>
      <c r="F205" s="12">
        <v>24</v>
      </c>
      <c r="G205" s="12">
        <v>24</v>
      </c>
      <c r="H205" s="18">
        <v>0.13714285714285715</v>
      </c>
      <c r="I205" s="12">
        <v>175</v>
      </c>
      <c r="J205" s="12">
        <v>24</v>
      </c>
      <c r="K205" s="13">
        <v>46235.375</v>
      </c>
      <c r="L205" s="13">
        <v>46235.416666666664</v>
      </c>
      <c r="M205" s="1" t="s">
        <v>145</v>
      </c>
      <c r="N205" s="1" t="s">
        <v>154</v>
      </c>
      <c r="O205" s="1" t="s">
        <v>151</v>
      </c>
      <c r="P205" s="1" t="s">
        <v>346</v>
      </c>
      <c r="Q205" s="1" t="s">
        <v>147</v>
      </c>
      <c r="R205" s="1">
        <v>46236</v>
      </c>
      <c r="S205" s="1"/>
      <c r="T205" s="1" t="s">
        <v>148</v>
      </c>
      <c r="U205" s="1"/>
    </row>
    <row r="206" spans="1:21" ht="21" customHeight="1" x14ac:dyDescent="0.45">
      <c r="A206" s="14">
        <v>46235</v>
      </c>
      <c r="B206" s="1" t="s">
        <v>143</v>
      </c>
      <c r="C206" s="13">
        <v>46236.135416666664</v>
      </c>
      <c r="D206" s="13">
        <v>46236.145833333336</v>
      </c>
      <c r="E206" s="1" t="s">
        <v>321</v>
      </c>
      <c r="F206" s="12">
        <v>-4.5587853311510811</v>
      </c>
      <c r="G206" s="12">
        <v>100</v>
      </c>
      <c r="H206" s="18"/>
      <c r="I206" s="12"/>
      <c r="J206" s="12"/>
      <c r="K206" s="13">
        <v>46235.541666666664</v>
      </c>
      <c r="L206" s="13">
        <v>46235.583333333336</v>
      </c>
      <c r="M206" s="1" t="s">
        <v>145</v>
      </c>
      <c r="N206" s="1"/>
      <c r="O206" s="1"/>
      <c r="P206" s="1" t="s">
        <v>347</v>
      </c>
      <c r="Q206" s="1" t="s">
        <v>147</v>
      </c>
      <c r="R206" s="1">
        <v>46236.010416666664</v>
      </c>
      <c r="S206" s="1"/>
      <c r="T206" s="1" t="s">
        <v>148</v>
      </c>
      <c r="U206" s="1"/>
    </row>
    <row r="207" spans="1:21" ht="21" customHeight="1" x14ac:dyDescent="0.45">
      <c r="A207" s="14">
        <v>46235</v>
      </c>
      <c r="B207" s="1" t="s">
        <v>143</v>
      </c>
      <c r="C207" s="13">
        <v>46236.145833333336</v>
      </c>
      <c r="D207" s="13">
        <v>46236.15625</v>
      </c>
      <c r="E207" s="1" t="s">
        <v>321</v>
      </c>
      <c r="F207" s="12">
        <v>-3.5010837156643779</v>
      </c>
      <c r="G207" s="12">
        <v>100</v>
      </c>
      <c r="H207" s="18"/>
      <c r="I207" s="12"/>
      <c r="J207" s="12"/>
      <c r="K207" s="13">
        <v>46235.541666666664</v>
      </c>
      <c r="L207" s="13">
        <v>46235.583333333336</v>
      </c>
      <c r="M207" s="1" t="s">
        <v>145</v>
      </c>
      <c r="N207" s="1"/>
      <c r="O207" s="1"/>
      <c r="P207" s="1" t="s">
        <v>348</v>
      </c>
      <c r="Q207" s="1" t="s">
        <v>147</v>
      </c>
      <c r="R207" s="1">
        <v>46236.020833333336</v>
      </c>
      <c r="S207" s="1"/>
      <c r="T207" s="1" t="s">
        <v>148</v>
      </c>
      <c r="U207" s="1"/>
    </row>
    <row r="208" spans="1:21" ht="21" customHeight="1" x14ac:dyDescent="0.45">
      <c r="A208" s="14">
        <v>46235</v>
      </c>
      <c r="B208" s="1" t="s">
        <v>143</v>
      </c>
      <c r="C208" s="13">
        <v>46236.15625</v>
      </c>
      <c r="D208" s="13">
        <v>46236.166666666664</v>
      </c>
      <c r="E208" s="1" t="s">
        <v>321</v>
      </c>
      <c r="F208" s="12">
        <v>-13.978311196078922</v>
      </c>
      <c r="G208" s="12">
        <v>100</v>
      </c>
      <c r="H208" s="18"/>
      <c r="I208" s="12"/>
      <c r="J208" s="12"/>
      <c r="K208" s="13">
        <v>46235.541666666664</v>
      </c>
      <c r="L208" s="13">
        <v>46235.583333333336</v>
      </c>
      <c r="M208" s="1" t="s">
        <v>145</v>
      </c>
      <c r="N208" s="1"/>
      <c r="O208" s="1"/>
      <c r="P208" s="1" t="s">
        <v>349</v>
      </c>
      <c r="Q208" s="1" t="s">
        <v>147</v>
      </c>
      <c r="R208" s="1">
        <v>46236.03125</v>
      </c>
      <c r="S208" s="1"/>
      <c r="T208" s="1" t="s">
        <v>148</v>
      </c>
      <c r="U208" s="1"/>
    </row>
    <row r="209" spans="1:21" ht="21" customHeight="1" x14ac:dyDescent="0.45">
      <c r="A209" s="14">
        <v>46235</v>
      </c>
      <c r="B209" s="1" t="s">
        <v>143</v>
      </c>
      <c r="C209" s="13">
        <v>46236.166666666664</v>
      </c>
      <c r="D209" s="13">
        <v>46236.177083333336</v>
      </c>
      <c r="E209" s="1" t="s">
        <v>321</v>
      </c>
      <c r="F209" s="12">
        <v>0</v>
      </c>
      <c r="G209" s="12">
        <v>100</v>
      </c>
      <c r="H209" s="18"/>
      <c r="I209" s="12"/>
      <c r="J209" s="12"/>
      <c r="K209" s="13">
        <v>46235.541666666664</v>
      </c>
      <c r="L209" s="13">
        <v>46235.583333333336</v>
      </c>
      <c r="M209" s="1" t="s">
        <v>145</v>
      </c>
      <c r="N209" s="1"/>
      <c r="O209" s="1"/>
      <c r="P209" s="1" t="s">
        <v>350</v>
      </c>
      <c r="Q209" s="1" t="s">
        <v>147</v>
      </c>
      <c r="R209" s="1">
        <v>46236.041666666664</v>
      </c>
      <c r="S209" s="1"/>
      <c r="T209" s="1" t="s">
        <v>148</v>
      </c>
      <c r="U209" s="1"/>
    </row>
    <row r="210" spans="1:21" ht="21" customHeight="1" x14ac:dyDescent="0.45">
      <c r="A210" s="14">
        <v>46235</v>
      </c>
      <c r="B210" s="1" t="s">
        <v>149</v>
      </c>
      <c r="C210" s="13">
        <v>46236.166666666664</v>
      </c>
      <c r="D210" s="13">
        <v>46236.208333333336</v>
      </c>
      <c r="E210" s="1" t="s">
        <v>321</v>
      </c>
      <c r="F210" s="12">
        <v>40</v>
      </c>
      <c r="G210" s="12">
        <v>40</v>
      </c>
      <c r="H210" s="18">
        <v>0.3125</v>
      </c>
      <c r="I210" s="12">
        <v>128</v>
      </c>
      <c r="J210" s="12">
        <v>40</v>
      </c>
      <c r="K210" s="13">
        <v>46235.375</v>
      </c>
      <c r="L210" s="13">
        <v>46235.416666666664</v>
      </c>
      <c r="M210" s="1" t="s">
        <v>145</v>
      </c>
      <c r="N210" s="1" t="s">
        <v>150</v>
      </c>
      <c r="O210" s="1" t="s">
        <v>151</v>
      </c>
      <c r="P210" s="1" t="s">
        <v>351</v>
      </c>
      <c r="Q210" s="1" t="s">
        <v>147</v>
      </c>
      <c r="R210" s="1">
        <v>46236.041666666664</v>
      </c>
      <c r="S210" s="1" t="s">
        <v>153</v>
      </c>
      <c r="T210" s="1" t="s">
        <v>148</v>
      </c>
      <c r="U210" s="1"/>
    </row>
    <row r="211" spans="1:21" ht="21" customHeight="1" x14ac:dyDescent="0.45">
      <c r="A211" s="14">
        <v>46235</v>
      </c>
      <c r="B211" s="1" t="s">
        <v>103</v>
      </c>
      <c r="C211" s="13">
        <v>46236.166666666664</v>
      </c>
      <c r="D211" s="13">
        <v>46236.208333333336</v>
      </c>
      <c r="E211" s="1" t="s">
        <v>321</v>
      </c>
      <c r="F211" s="12">
        <v>24</v>
      </c>
      <c r="G211" s="12">
        <v>24</v>
      </c>
      <c r="H211" s="18">
        <v>0.13714285714285715</v>
      </c>
      <c r="I211" s="12">
        <v>175</v>
      </c>
      <c r="J211" s="12">
        <v>24</v>
      </c>
      <c r="K211" s="13">
        <v>46235.375</v>
      </c>
      <c r="L211" s="13">
        <v>46235.416666666664</v>
      </c>
      <c r="M211" s="1" t="s">
        <v>145</v>
      </c>
      <c r="N211" s="1" t="s">
        <v>154</v>
      </c>
      <c r="O211" s="1" t="s">
        <v>151</v>
      </c>
      <c r="P211" s="1" t="s">
        <v>352</v>
      </c>
      <c r="Q211" s="1" t="s">
        <v>147</v>
      </c>
      <c r="R211" s="1">
        <v>46236.041666666664</v>
      </c>
      <c r="S211" s="1"/>
      <c r="T211" s="1" t="s">
        <v>148</v>
      </c>
      <c r="U211" s="1"/>
    </row>
    <row r="212" spans="1:21" ht="21" customHeight="1" x14ac:dyDescent="0.45">
      <c r="A212" s="14">
        <v>46235</v>
      </c>
      <c r="B212" s="1" t="s">
        <v>101</v>
      </c>
      <c r="C212" s="13">
        <v>46236.166666666664</v>
      </c>
      <c r="D212" s="13">
        <v>46236.208333333336</v>
      </c>
      <c r="E212" s="1" t="s">
        <v>321</v>
      </c>
      <c r="F212" s="12">
        <v>24</v>
      </c>
      <c r="G212" s="12">
        <v>24</v>
      </c>
      <c r="H212" s="18">
        <v>0.13714285714285715</v>
      </c>
      <c r="I212" s="12">
        <v>175</v>
      </c>
      <c r="J212" s="12">
        <v>24</v>
      </c>
      <c r="K212" s="13">
        <v>46235.375</v>
      </c>
      <c r="L212" s="13">
        <v>46235.416666666664</v>
      </c>
      <c r="M212" s="1" t="s">
        <v>145</v>
      </c>
      <c r="N212" s="1" t="s">
        <v>154</v>
      </c>
      <c r="O212" s="1" t="s">
        <v>151</v>
      </c>
      <c r="P212" s="1" t="s">
        <v>353</v>
      </c>
      <c r="Q212" s="1" t="s">
        <v>147</v>
      </c>
      <c r="R212" s="1">
        <v>46236.041666666664</v>
      </c>
      <c r="S212" s="1"/>
      <c r="T212" s="1" t="s">
        <v>148</v>
      </c>
      <c r="U212" s="1"/>
    </row>
    <row r="213" spans="1:21" ht="21" customHeight="1" x14ac:dyDescent="0.45">
      <c r="A213" s="14">
        <v>46235</v>
      </c>
      <c r="B213" s="1" t="s">
        <v>143</v>
      </c>
      <c r="C213" s="13">
        <v>46236.177083333336</v>
      </c>
      <c r="D213" s="13">
        <v>46236.1875</v>
      </c>
      <c r="E213" s="1" t="s">
        <v>321</v>
      </c>
      <c r="F213" s="12">
        <v>-24</v>
      </c>
      <c r="G213" s="12">
        <v>100</v>
      </c>
      <c r="H213" s="18"/>
      <c r="I213" s="12"/>
      <c r="J213" s="12"/>
      <c r="K213" s="13">
        <v>46235.541666666664</v>
      </c>
      <c r="L213" s="13">
        <v>46235.583333333336</v>
      </c>
      <c r="M213" s="1" t="s">
        <v>145</v>
      </c>
      <c r="N213" s="1"/>
      <c r="O213" s="1"/>
      <c r="P213" s="1" t="s">
        <v>354</v>
      </c>
      <c r="Q213" s="1" t="s">
        <v>147</v>
      </c>
      <c r="R213" s="1">
        <v>46236.052083333336</v>
      </c>
      <c r="S213" s="1"/>
      <c r="T213" s="1" t="s">
        <v>148</v>
      </c>
      <c r="U213" s="1"/>
    </row>
    <row r="214" spans="1:21" ht="21" customHeight="1" x14ac:dyDescent="0.45">
      <c r="A214" s="14">
        <v>46235</v>
      </c>
      <c r="B214" s="1" t="s">
        <v>143</v>
      </c>
      <c r="C214" s="13">
        <v>46236.1875</v>
      </c>
      <c r="D214" s="13">
        <v>46236.197916666664</v>
      </c>
      <c r="E214" s="1" t="s">
        <v>321</v>
      </c>
      <c r="F214" s="12">
        <v>-22.87377133671642</v>
      </c>
      <c r="G214" s="12">
        <v>100</v>
      </c>
      <c r="H214" s="18"/>
      <c r="I214" s="12"/>
      <c r="J214" s="12"/>
      <c r="K214" s="13">
        <v>46235.541666666664</v>
      </c>
      <c r="L214" s="13">
        <v>46235.583333333336</v>
      </c>
      <c r="M214" s="1" t="s">
        <v>145</v>
      </c>
      <c r="N214" s="1"/>
      <c r="O214" s="1"/>
      <c r="P214" s="1" t="s">
        <v>355</v>
      </c>
      <c r="Q214" s="1" t="s">
        <v>147</v>
      </c>
      <c r="R214" s="1">
        <v>46236.0625</v>
      </c>
      <c r="S214" s="1"/>
      <c r="T214" s="1" t="s">
        <v>148</v>
      </c>
      <c r="U214" s="1"/>
    </row>
    <row r="215" spans="1:21" ht="21" customHeight="1" x14ac:dyDescent="0.45">
      <c r="A215" s="14">
        <v>46235</v>
      </c>
      <c r="B215" s="1" t="s">
        <v>143</v>
      </c>
      <c r="C215" s="13">
        <v>46236.197916666664</v>
      </c>
      <c r="D215" s="13">
        <v>46236.208333333336</v>
      </c>
      <c r="E215" s="1" t="s">
        <v>321</v>
      </c>
      <c r="F215" s="12">
        <v>0</v>
      </c>
      <c r="G215" s="12">
        <v>100</v>
      </c>
      <c r="H215" s="18"/>
      <c r="I215" s="12"/>
      <c r="J215" s="12"/>
      <c r="K215" s="13">
        <v>46235.541666666664</v>
      </c>
      <c r="L215" s="13">
        <v>46235.583333333336</v>
      </c>
      <c r="M215" s="1" t="s">
        <v>145</v>
      </c>
      <c r="N215" s="1"/>
      <c r="O215" s="1"/>
      <c r="P215" s="1" t="s">
        <v>356</v>
      </c>
      <c r="Q215" s="1" t="s">
        <v>147</v>
      </c>
      <c r="R215" s="1">
        <v>46236.072916666664</v>
      </c>
      <c r="S215" s="1"/>
      <c r="T215" s="1" t="s">
        <v>148</v>
      </c>
      <c r="U215" s="1"/>
    </row>
    <row r="216" spans="1:21" ht="21" customHeight="1" x14ac:dyDescent="0.45">
      <c r="A216" s="14">
        <v>46235</v>
      </c>
      <c r="B216" s="1" t="s">
        <v>143</v>
      </c>
      <c r="C216" s="13">
        <v>46236.208333333336</v>
      </c>
      <c r="D216" s="13">
        <v>46236.21875</v>
      </c>
      <c r="E216" s="1" t="s">
        <v>321</v>
      </c>
      <c r="F216" s="12">
        <v>0</v>
      </c>
      <c r="G216" s="12">
        <v>100</v>
      </c>
      <c r="H216" s="18"/>
      <c r="I216" s="12"/>
      <c r="J216" s="12"/>
      <c r="K216" s="13">
        <v>46235.541666666664</v>
      </c>
      <c r="L216" s="13">
        <v>46235.583333333336</v>
      </c>
      <c r="M216" s="1" t="s">
        <v>145</v>
      </c>
      <c r="N216" s="1"/>
      <c r="O216" s="1"/>
      <c r="P216" s="1" t="s">
        <v>357</v>
      </c>
      <c r="Q216" s="1" t="s">
        <v>147</v>
      </c>
      <c r="R216" s="1">
        <v>46236.083333333336</v>
      </c>
      <c r="S216" s="1"/>
      <c r="T216" s="1" t="s">
        <v>148</v>
      </c>
      <c r="U216" s="1"/>
    </row>
    <row r="217" spans="1:21" ht="21" customHeight="1" x14ac:dyDescent="0.45">
      <c r="A217" s="14">
        <v>46235</v>
      </c>
      <c r="B217" s="1" t="s">
        <v>149</v>
      </c>
      <c r="C217" s="13">
        <v>46236.208333333336</v>
      </c>
      <c r="D217" s="13">
        <v>46236.25</v>
      </c>
      <c r="E217" s="1" t="s">
        <v>321</v>
      </c>
      <c r="F217" s="12">
        <v>40</v>
      </c>
      <c r="G217" s="12">
        <v>40</v>
      </c>
      <c r="H217" s="18">
        <v>0.3125</v>
      </c>
      <c r="I217" s="12">
        <v>128</v>
      </c>
      <c r="J217" s="12">
        <v>40</v>
      </c>
      <c r="K217" s="13">
        <v>46235.375</v>
      </c>
      <c r="L217" s="13">
        <v>46235.416666666664</v>
      </c>
      <c r="M217" s="1" t="s">
        <v>145</v>
      </c>
      <c r="N217" s="1" t="s">
        <v>150</v>
      </c>
      <c r="O217" s="1" t="s">
        <v>151</v>
      </c>
      <c r="P217" s="1" t="s">
        <v>358</v>
      </c>
      <c r="Q217" s="1" t="s">
        <v>147</v>
      </c>
      <c r="R217" s="1">
        <v>46236.083333333336</v>
      </c>
      <c r="S217" s="1" t="s">
        <v>153</v>
      </c>
      <c r="T217" s="1" t="s">
        <v>148</v>
      </c>
      <c r="U217" s="1"/>
    </row>
    <row r="218" spans="1:21" ht="21" customHeight="1" x14ac:dyDescent="0.45">
      <c r="A218" s="14">
        <v>46235</v>
      </c>
      <c r="B218" s="1" t="s">
        <v>103</v>
      </c>
      <c r="C218" s="13">
        <v>46236.208333333336</v>
      </c>
      <c r="D218" s="13">
        <v>46236.25</v>
      </c>
      <c r="E218" s="1" t="s">
        <v>321</v>
      </c>
      <c r="F218" s="12">
        <v>24</v>
      </c>
      <c r="G218" s="12">
        <v>24</v>
      </c>
      <c r="H218" s="18">
        <v>0.13714285714285715</v>
      </c>
      <c r="I218" s="12">
        <v>175</v>
      </c>
      <c r="J218" s="12">
        <v>24</v>
      </c>
      <c r="K218" s="13">
        <v>46235.375</v>
      </c>
      <c r="L218" s="13">
        <v>46235.416666666664</v>
      </c>
      <c r="M218" s="1" t="s">
        <v>145</v>
      </c>
      <c r="N218" s="1" t="s">
        <v>154</v>
      </c>
      <c r="O218" s="1" t="s">
        <v>151</v>
      </c>
      <c r="P218" s="1" t="s">
        <v>359</v>
      </c>
      <c r="Q218" s="1" t="s">
        <v>147</v>
      </c>
      <c r="R218" s="1">
        <v>46236.083333333336</v>
      </c>
      <c r="S218" s="1"/>
      <c r="T218" s="1" t="s">
        <v>148</v>
      </c>
      <c r="U218" s="1"/>
    </row>
    <row r="219" spans="1:21" ht="21" customHeight="1" x14ac:dyDescent="0.45">
      <c r="A219" s="14">
        <v>46235</v>
      </c>
      <c r="B219" s="1" t="s">
        <v>101</v>
      </c>
      <c r="C219" s="13">
        <v>46236.208333333336</v>
      </c>
      <c r="D219" s="13">
        <v>46236.25</v>
      </c>
      <c r="E219" s="1" t="s">
        <v>321</v>
      </c>
      <c r="F219" s="12">
        <v>24</v>
      </c>
      <c r="G219" s="12">
        <v>24</v>
      </c>
      <c r="H219" s="18">
        <v>0.13714285714285715</v>
      </c>
      <c r="I219" s="12">
        <v>175</v>
      </c>
      <c r="J219" s="12">
        <v>24</v>
      </c>
      <c r="K219" s="13">
        <v>46235.375</v>
      </c>
      <c r="L219" s="13">
        <v>46235.416666666664</v>
      </c>
      <c r="M219" s="1" t="s">
        <v>145</v>
      </c>
      <c r="N219" s="1" t="s">
        <v>154</v>
      </c>
      <c r="O219" s="1" t="s">
        <v>151</v>
      </c>
      <c r="P219" s="1" t="s">
        <v>360</v>
      </c>
      <c r="Q219" s="1" t="s">
        <v>147</v>
      </c>
      <c r="R219" s="1">
        <v>46236.083333333336</v>
      </c>
      <c r="S219" s="1"/>
      <c r="T219" s="1" t="s">
        <v>148</v>
      </c>
      <c r="U219" s="1"/>
    </row>
    <row r="220" spans="1:21" ht="21" customHeight="1" x14ac:dyDescent="0.45">
      <c r="A220" s="14">
        <v>46235</v>
      </c>
      <c r="B220" s="1" t="s">
        <v>143</v>
      </c>
      <c r="C220" s="13">
        <v>46236.21875</v>
      </c>
      <c r="D220" s="13">
        <v>46236.229166666664</v>
      </c>
      <c r="E220" s="1" t="s">
        <v>321</v>
      </c>
      <c r="F220" s="12">
        <v>0</v>
      </c>
      <c r="G220" s="12">
        <v>100</v>
      </c>
      <c r="H220" s="18"/>
      <c r="I220" s="12"/>
      <c r="J220" s="12"/>
      <c r="K220" s="13">
        <v>46235.541666666664</v>
      </c>
      <c r="L220" s="13">
        <v>46235.583333333336</v>
      </c>
      <c r="M220" s="1" t="s">
        <v>145</v>
      </c>
      <c r="N220" s="1"/>
      <c r="O220" s="1"/>
      <c r="P220" s="1" t="s">
        <v>361</v>
      </c>
      <c r="Q220" s="1" t="s">
        <v>147</v>
      </c>
      <c r="R220" s="1">
        <v>46236.09375</v>
      </c>
      <c r="S220" s="1"/>
      <c r="T220" s="1" t="s">
        <v>148</v>
      </c>
      <c r="U220" s="1"/>
    </row>
    <row r="221" spans="1:21" ht="21" customHeight="1" x14ac:dyDescent="0.45">
      <c r="A221" s="14">
        <v>46235</v>
      </c>
      <c r="B221" s="1" t="s">
        <v>143</v>
      </c>
      <c r="C221" s="13">
        <v>46236.229166666664</v>
      </c>
      <c r="D221" s="13">
        <v>46236.239583333336</v>
      </c>
      <c r="E221" s="1" t="s">
        <v>321</v>
      </c>
      <c r="F221" s="12">
        <v>0</v>
      </c>
      <c r="G221" s="12">
        <v>100</v>
      </c>
      <c r="H221" s="18"/>
      <c r="I221" s="12"/>
      <c r="J221" s="12"/>
      <c r="K221" s="13">
        <v>46235.541666666664</v>
      </c>
      <c r="L221" s="13">
        <v>46235.583333333336</v>
      </c>
      <c r="M221" s="1" t="s">
        <v>145</v>
      </c>
      <c r="N221" s="1"/>
      <c r="O221" s="1"/>
      <c r="P221" s="1" t="s">
        <v>362</v>
      </c>
      <c r="Q221" s="1" t="s">
        <v>147</v>
      </c>
      <c r="R221" s="1">
        <v>46236.104166666664</v>
      </c>
      <c r="S221" s="1"/>
      <c r="T221" s="1" t="s">
        <v>148</v>
      </c>
      <c r="U221" s="1"/>
    </row>
    <row r="222" spans="1:21" ht="21" customHeight="1" x14ac:dyDescent="0.45">
      <c r="A222" s="14">
        <v>46235</v>
      </c>
      <c r="B222" s="1" t="s">
        <v>143</v>
      </c>
      <c r="C222" s="13">
        <v>46236.239583333336</v>
      </c>
      <c r="D222" s="13">
        <v>46236.25</v>
      </c>
      <c r="E222" s="1" t="s">
        <v>321</v>
      </c>
      <c r="F222" s="12">
        <v>0</v>
      </c>
      <c r="G222" s="12">
        <v>100</v>
      </c>
      <c r="H222" s="18"/>
      <c r="I222" s="12"/>
      <c r="J222" s="12"/>
      <c r="K222" s="13">
        <v>46235.541666666664</v>
      </c>
      <c r="L222" s="13">
        <v>46235.583333333336</v>
      </c>
      <c r="M222" s="1" t="s">
        <v>145</v>
      </c>
      <c r="N222" s="1"/>
      <c r="O222" s="1"/>
      <c r="P222" s="1" t="s">
        <v>363</v>
      </c>
      <c r="Q222" s="1" t="s">
        <v>147</v>
      </c>
      <c r="R222" s="1">
        <v>46236.114583333336</v>
      </c>
      <c r="S222" s="1"/>
      <c r="T222" s="1" t="s">
        <v>148</v>
      </c>
      <c r="U222" s="1"/>
    </row>
    <row r="223" spans="1:21" ht="21" customHeight="1" x14ac:dyDescent="0.45">
      <c r="A223" s="14">
        <v>46235</v>
      </c>
      <c r="B223" s="1" t="s">
        <v>143</v>
      </c>
      <c r="C223" s="13">
        <v>46236.25</v>
      </c>
      <c r="D223" s="13">
        <v>46236.260416666664</v>
      </c>
      <c r="E223" s="1" t="s">
        <v>321</v>
      </c>
      <c r="F223" s="12">
        <v>0</v>
      </c>
      <c r="G223" s="12">
        <v>100</v>
      </c>
      <c r="H223" s="18"/>
      <c r="I223" s="12"/>
      <c r="J223" s="12"/>
      <c r="K223" s="13">
        <v>46235.541666666664</v>
      </c>
      <c r="L223" s="13">
        <v>46235.583333333336</v>
      </c>
      <c r="M223" s="1" t="s">
        <v>145</v>
      </c>
      <c r="N223" s="1"/>
      <c r="O223" s="1"/>
      <c r="P223" s="1" t="s">
        <v>364</v>
      </c>
      <c r="Q223" s="1" t="s">
        <v>147</v>
      </c>
      <c r="R223" s="1">
        <v>46236.125</v>
      </c>
      <c r="S223" s="1"/>
      <c r="T223" s="1" t="s">
        <v>148</v>
      </c>
      <c r="U223" s="1"/>
    </row>
    <row r="224" spans="1:21" ht="21" customHeight="1" x14ac:dyDescent="0.45">
      <c r="A224" s="14">
        <v>46235</v>
      </c>
      <c r="B224" s="1" t="s">
        <v>149</v>
      </c>
      <c r="C224" s="13">
        <v>46236.25</v>
      </c>
      <c r="D224" s="13">
        <v>46236.291666666664</v>
      </c>
      <c r="E224" s="1" t="s">
        <v>321</v>
      </c>
      <c r="F224" s="12">
        <v>40</v>
      </c>
      <c r="G224" s="12">
        <v>40</v>
      </c>
      <c r="H224" s="18">
        <v>0.3125</v>
      </c>
      <c r="I224" s="12">
        <v>128</v>
      </c>
      <c r="J224" s="12">
        <v>40</v>
      </c>
      <c r="K224" s="13">
        <v>46235.375</v>
      </c>
      <c r="L224" s="13">
        <v>46235.416666666664</v>
      </c>
      <c r="M224" s="1" t="s">
        <v>145</v>
      </c>
      <c r="N224" s="1" t="s">
        <v>150</v>
      </c>
      <c r="O224" s="1" t="s">
        <v>151</v>
      </c>
      <c r="P224" s="1" t="s">
        <v>365</v>
      </c>
      <c r="Q224" s="1" t="s">
        <v>147</v>
      </c>
      <c r="R224" s="1">
        <v>46236.125</v>
      </c>
      <c r="S224" s="1" t="s">
        <v>153</v>
      </c>
      <c r="T224" s="1" t="s">
        <v>148</v>
      </c>
      <c r="U224" s="1"/>
    </row>
    <row r="225" spans="1:21" ht="21" customHeight="1" x14ac:dyDescent="0.45">
      <c r="A225" s="14">
        <v>46235</v>
      </c>
      <c r="B225" s="1" t="s">
        <v>103</v>
      </c>
      <c r="C225" s="13">
        <v>46236.25</v>
      </c>
      <c r="D225" s="13">
        <v>46236.291666666664</v>
      </c>
      <c r="E225" s="1" t="s">
        <v>321</v>
      </c>
      <c r="F225" s="12">
        <v>24</v>
      </c>
      <c r="G225" s="12">
        <v>24</v>
      </c>
      <c r="H225" s="18">
        <v>0.13714285714285715</v>
      </c>
      <c r="I225" s="12">
        <v>175</v>
      </c>
      <c r="J225" s="12">
        <v>24</v>
      </c>
      <c r="K225" s="13">
        <v>46235.375</v>
      </c>
      <c r="L225" s="13">
        <v>46235.416666666664</v>
      </c>
      <c r="M225" s="1" t="s">
        <v>145</v>
      </c>
      <c r="N225" s="1" t="s">
        <v>154</v>
      </c>
      <c r="O225" s="1" t="s">
        <v>151</v>
      </c>
      <c r="P225" s="1" t="s">
        <v>366</v>
      </c>
      <c r="Q225" s="1" t="s">
        <v>147</v>
      </c>
      <c r="R225" s="1">
        <v>46236.125</v>
      </c>
      <c r="S225" s="1"/>
      <c r="T225" s="1" t="s">
        <v>148</v>
      </c>
      <c r="U225" s="1"/>
    </row>
    <row r="226" spans="1:21" ht="21" customHeight="1" x14ac:dyDescent="0.45">
      <c r="A226" s="14">
        <v>46235</v>
      </c>
      <c r="B226" s="1" t="s">
        <v>101</v>
      </c>
      <c r="C226" s="13">
        <v>46236.25</v>
      </c>
      <c r="D226" s="13">
        <v>46236.291666666664</v>
      </c>
      <c r="E226" s="1" t="s">
        <v>321</v>
      </c>
      <c r="F226" s="12">
        <v>24</v>
      </c>
      <c r="G226" s="12">
        <v>24</v>
      </c>
      <c r="H226" s="18">
        <v>0.13714285714285715</v>
      </c>
      <c r="I226" s="12">
        <v>175</v>
      </c>
      <c r="J226" s="12">
        <v>24</v>
      </c>
      <c r="K226" s="13">
        <v>46235.375</v>
      </c>
      <c r="L226" s="13">
        <v>46235.416666666664</v>
      </c>
      <c r="M226" s="1" t="s">
        <v>145</v>
      </c>
      <c r="N226" s="1" t="s">
        <v>154</v>
      </c>
      <c r="O226" s="1" t="s">
        <v>151</v>
      </c>
      <c r="P226" s="1" t="s">
        <v>367</v>
      </c>
      <c r="Q226" s="1" t="s">
        <v>147</v>
      </c>
      <c r="R226" s="1">
        <v>46236.125</v>
      </c>
      <c r="S226" s="1"/>
      <c r="T226" s="1" t="s">
        <v>148</v>
      </c>
      <c r="U226" s="1"/>
    </row>
    <row r="227" spans="1:21" ht="21" customHeight="1" x14ac:dyDescent="0.45">
      <c r="A227" s="14">
        <v>46235</v>
      </c>
      <c r="B227" s="1" t="s">
        <v>143</v>
      </c>
      <c r="C227" s="13">
        <v>46236.260416666664</v>
      </c>
      <c r="D227" s="13">
        <v>46236.270833333336</v>
      </c>
      <c r="E227" s="1" t="s">
        <v>321</v>
      </c>
      <c r="F227" s="12">
        <v>0</v>
      </c>
      <c r="G227" s="12">
        <v>100</v>
      </c>
      <c r="H227" s="18"/>
      <c r="I227" s="12"/>
      <c r="J227" s="12"/>
      <c r="K227" s="13">
        <v>46235.541666666664</v>
      </c>
      <c r="L227" s="13">
        <v>46235.583333333336</v>
      </c>
      <c r="M227" s="1" t="s">
        <v>145</v>
      </c>
      <c r="N227" s="1"/>
      <c r="O227" s="1"/>
      <c r="P227" s="1" t="s">
        <v>368</v>
      </c>
      <c r="Q227" s="1" t="s">
        <v>147</v>
      </c>
      <c r="R227" s="1">
        <v>46236.135416666664</v>
      </c>
      <c r="S227" s="1"/>
      <c r="T227" s="1" t="s">
        <v>148</v>
      </c>
      <c r="U227" s="1"/>
    </row>
    <row r="228" spans="1:21" ht="21" customHeight="1" x14ac:dyDescent="0.45">
      <c r="A228" s="14">
        <v>46235</v>
      </c>
      <c r="B228" s="1" t="s">
        <v>143</v>
      </c>
      <c r="C228" s="13">
        <v>46236.270833333336</v>
      </c>
      <c r="D228" s="13">
        <v>46236.28125</v>
      </c>
      <c r="E228" s="1" t="s">
        <v>321</v>
      </c>
      <c r="F228" s="12">
        <v>0</v>
      </c>
      <c r="G228" s="12">
        <v>100</v>
      </c>
      <c r="H228" s="18"/>
      <c r="I228" s="12"/>
      <c r="J228" s="12"/>
      <c r="K228" s="13">
        <v>46235.541666666664</v>
      </c>
      <c r="L228" s="13">
        <v>46235.583333333336</v>
      </c>
      <c r="M228" s="1" t="s">
        <v>145</v>
      </c>
      <c r="N228" s="1"/>
      <c r="O228" s="1"/>
      <c r="P228" s="1" t="s">
        <v>369</v>
      </c>
      <c r="Q228" s="1" t="s">
        <v>147</v>
      </c>
      <c r="R228" s="1">
        <v>46236.145833333336</v>
      </c>
      <c r="S228" s="1"/>
      <c r="T228" s="1" t="s">
        <v>148</v>
      </c>
      <c r="U228" s="1"/>
    </row>
    <row r="229" spans="1:21" ht="21" customHeight="1" x14ac:dyDescent="0.45">
      <c r="A229" s="14">
        <v>46235</v>
      </c>
      <c r="B229" s="1" t="s">
        <v>143</v>
      </c>
      <c r="C229" s="13">
        <v>46236.28125</v>
      </c>
      <c r="D229" s="13">
        <v>46236.291666666664</v>
      </c>
      <c r="E229" s="1" t="s">
        <v>321</v>
      </c>
      <c r="F229" s="12">
        <v>0</v>
      </c>
      <c r="G229" s="12">
        <v>100</v>
      </c>
      <c r="H229" s="18"/>
      <c r="I229" s="12"/>
      <c r="J229" s="12"/>
      <c r="K229" s="13">
        <v>46235.541666666664</v>
      </c>
      <c r="L229" s="13">
        <v>46235.583333333336</v>
      </c>
      <c r="M229" s="1" t="s">
        <v>145</v>
      </c>
      <c r="N229" s="1"/>
      <c r="O229" s="1"/>
      <c r="P229" s="1" t="s">
        <v>370</v>
      </c>
      <c r="Q229" s="1" t="s">
        <v>147</v>
      </c>
      <c r="R229" s="1">
        <v>46236.15625</v>
      </c>
      <c r="S229" s="1"/>
      <c r="T229" s="1" t="s">
        <v>148</v>
      </c>
      <c r="U229" s="1"/>
    </row>
    <row r="230" spans="1:21" ht="21" customHeight="1" x14ac:dyDescent="0.45">
      <c r="A230" s="14">
        <v>46235</v>
      </c>
      <c r="B230" s="1" t="s">
        <v>143</v>
      </c>
      <c r="C230" s="13">
        <v>46236.291666666664</v>
      </c>
      <c r="D230" s="13">
        <v>46236.302083333336</v>
      </c>
      <c r="E230" s="1" t="s">
        <v>321</v>
      </c>
      <c r="F230" s="12">
        <v>3.5945352952788281</v>
      </c>
      <c r="G230" s="12">
        <v>100</v>
      </c>
      <c r="H230" s="18"/>
      <c r="I230" s="12"/>
      <c r="J230" s="12"/>
      <c r="K230" s="13">
        <v>46235.541666666664</v>
      </c>
      <c r="L230" s="13">
        <v>46235.583333333336</v>
      </c>
      <c r="M230" s="1" t="s">
        <v>145</v>
      </c>
      <c r="N230" s="1"/>
      <c r="O230" s="1"/>
      <c r="P230" s="1" t="s">
        <v>371</v>
      </c>
      <c r="Q230" s="1" t="s">
        <v>147</v>
      </c>
      <c r="R230" s="1">
        <v>46236.166666666664</v>
      </c>
      <c r="S230" s="1"/>
      <c r="T230" s="1" t="s">
        <v>148</v>
      </c>
      <c r="U230" s="1"/>
    </row>
    <row r="231" spans="1:21" ht="21" customHeight="1" x14ac:dyDescent="0.45">
      <c r="A231" s="14">
        <v>46235</v>
      </c>
      <c r="B231" s="1" t="s">
        <v>149</v>
      </c>
      <c r="C231" s="13">
        <v>46236.291666666664</v>
      </c>
      <c r="D231" s="13">
        <v>46236.333333333336</v>
      </c>
      <c r="E231" s="1" t="s">
        <v>321</v>
      </c>
      <c r="F231" s="12">
        <v>40</v>
      </c>
      <c r="G231" s="12">
        <v>40</v>
      </c>
      <c r="H231" s="18">
        <v>0.3125</v>
      </c>
      <c r="I231" s="12">
        <v>128</v>
      </c>
      <c r="J231" s="12">
        <v>40</v>
      </c>
      <c r="K231" s="13">
        <v>46235.375</v>
      </c>
      <c r="L231" s="13">
        <v>46235.416666666664</v>
      </c>
      <c r="M231" s="1" t="s">
        <v>145</v>
      </c>
      <c r="N231" s="1" t="s">
        <v>150</v>
      </c>
      <c r="O231" s="1" t="s">
        <v>151</v>
      </c>
      <c r="P231" s="1" t="s">
        <v>372</v>
      </c>
      <c r="Q231" s="1" t="s">
        <v>147</v>
      </c>
      <c r="R231" s="1">
        <v>46236.166666666664</v>
      </c>
      <c r="S231" s="1" t="s">
        <v>153</v>
      </c>
      <c r="T231" s="1" t="s">
        <v>148</v>
      </c>
      <c r="U231" s="1"/>
    </row>
    <row r="232" spans="1:21" ht="21" customHeight="1" x14ac:dyDescent="0.45">
      <c r="A232" s="14">
        <v>46235</v>
      </c>
      <c r="B232" s="1" t="s">
        <v>103</v>
      </c>
      <c r="C232" s="13">
        <v>46236.291666666664</v>
      </c>
      <c r="D232" s="13">
        <v>46236.333333333336</v>
      </c>
      <c r="E232" s="1" t="s">
        <v>321</v>
      </c>
      <c r="F232" s="12">
        <v>24</v>
      </c>
      <c r="G232" s="12">
        <v>24</v>
      </c>
      <c r="H232" s="18">
        <v>0.13714285714285715</v>
      </c>
      <c r="I232" s="12">
        <v>175</v>
      </c>
      <c r="J232" s="12">
        <v>24</v>
      </c>
      <c r="K232" s="13">
        <v>46235.375</v>
      </c>
      <c r="L232" s="13">
        <v>46235.416666666664</v>
      </c>
      <c r="M232" s="1" t="s">
        <v>145</v>
      </c>
      <c r="N232" s="1" t="s">
        <v>154</v>
      </c>
      <c r="O232" s="1" t="s">
        <v>151</v>
      </c>
      <c r="P232" s="1" t="s">
        <v>373</v>
      </c>
      <c r="Q232" s="1" t="s">
        <v>147</v>
      </c>
      <c r="R232" s="1">
        <v>46236.166666666664</v>
      </c>
      <c r="S232" s="1"/>
      <c r="T232" s="1" t="s">
        <v>148</v>
      </c>
      <c r="U232" s="1"/>
    </row>
    <row r="233" spans="1:21" ht="21" customHeight="1" x14ac:dyDescent="0.45">
      <c r="A233" s="14">
        <v>46235</v>
      </c>
      <c r="B233" s="1" t="s">
        <v>101</v>
      </c>
      <c r="C233" s="13">
        <v>46236.291666666664</v>
      </c>
      <c r="D233" s="13">
        <v>46236.333333333336</v>
      </c>
      <c r="E233" s="1" t="s">
        <v>321</v>
      </c>
      <c r="F233" s="12">
        <v>24</v>
      </c>
      <c r="G233" s="12">
        <v>24</v>
      </c>
      <c r="H233" s="18">
        <v>0.13714285714285715</v>
      </c>
      <c r="I233" s="12">
        <v>175</v>
      </c>
      <c r="J233" s="12">
        <v>24</v>
      </c>
      <c r="K233" s="13">
        <v>46235.375</v>
      </c>
      <c r="L233" s="13">
        <v>46235.416666666664</v>
      </c>
      <c r="M233" s="1" t="s">
        <v>145</v>
      </c>
      <c r="N233" s="1" t="s">
        <v>154</v>
      </c>
      <c r="O233" s="1" t="s">
        <v>151</v>
      </c>
      <c r="P233" s="1" t="s">
        <v>374</v>
      </c>
      <c r="Q233" s="1" t="s">
        <v>147</v>
      </c>
      <c r="R233" s="1">
        <v>46236.166666666664</v>
      </c>
      <c r="S233" s="1"/>
      <c r="T233" s="1" t="s">
        <v>148</v>
      </c>
      <c r="U233" s="1"/>
    </row>
    <row r="234" spans="1:21" ht="21" customHeight="1" x14ac:dyDescent="0.45">
      <c r="A234" s="14">
        <v>46235</v>
      </c>
      <c r="B234" s="1" t="s">
        <v>143</v>
      </c>
      <c r="C234" s="13">
        <v>46236.302083333336</v>
      </c>
      <c r="D234" s="13">
        <v>46236.3125</v>
      </c>
      <c r="E234" s="1" t="s">
        <v>321</v>
      </c>
      <c r="F234" s="12">
        <v>3.097029710678302</v>
      </c>
      <c r="G234" s="12">
        <v>100</v>
      </c>
      <c r="H234" s="18"/>
      <c r="I234" s="12"/>
      <c r="J234" s="12"/>
      <c r="K234" s="13">
        <v>46235.541666666664</v>
      </c>
      <c r="L234" s="13">
        <v>46235.583333333336</v>
      </c>
      <c r="M234" s="1" t="s">
        <v>145</v>
      </c>
      <c r="N234" s="1"/>
      <c r="O234" s="1"/>
      <c r="P234" s="1" t="s">
        <v>375</v>
      </c>
      <c r="Q234" s="1" t="s">
        <v>147</v>
      </c>
      <c r="R234" s="1">
        <v>46236.177083333336</v>
      </c>
      <c r="S234" s="1"/>
      <c r="T234" s="1" t="s">
        <v>148</v>
      </c>
      <c r="U234" s="1"/>
    </row>
    <row r="235" spans="1:21" ht="21" customHeight="1" x14ac:dyDescent="0.45">
      <c r="A235" s="14">
        <v>46235</v>
      </c>
      <c r="B235" s="1" t="s">
        <v>143</v>
      </c>
      <c r="C235" s="13">
        <v>46236.3125</v>
      </c>
      <c r="D235" s="13">
        <v>46236.322916666664</v>
      </c>
      <c r="E235" s="1" t="s">
        <v>321</v>
      </c>
      <c r="F235" s="12">
        <v>2.5610387360055031</v>
      </c>
      <c r="G235" s="12">
        <v>100</v>
      </c>
      <c r="H235" s="18"/>
      <c r="I235" s="12"/>
      <c r="J235" s="12"/>
      <c r="K235" s="13">
        <v>46235.541666666664</v>
      </c>
      <c r="L235" s="13">
        <v>46235.583333333336</v>
      </c>
      <c r="M235" s="1" t="s">
        <v>145</v>
      </c>
      <c r="N235" s="1"/>
      <c r="O235" s="1"/>
      <c r="P235" s="1" t="s">
        <v>376</v>
      </c>
      <c r="Q235" s="1" t="s">
        <v>147</v>
      </c>
      <c r="R235" s="1">
        <v>46236.1875</v>
      </c>
      <c r="S235" s="1"/>
      <c r="T235" s="1" t="s">
        <v>148</v>
      </c>
      <c r="U235" s="1"/>
    </row>
    <row r="236" spans="1:21" ht="21" customHeight="1" x14ac:dyDescent="0.45">
      <c r="A236" s="14">
        <v>46235</v>
      </c>
      <c r="B236" s="1" t="s">
        <v>143</v>
      </c>
      <c r="C236" s="13">
        <v>46236.322916666664</v>
      </c>
      <c r="D236" s="13">
        <v>46236.333333333336</v>
      </c>
      <c r="E236" s="1" t="s">
        <v>321</v>
      </c>
      <c r="F236" s="12">
        <v>0</v>
      </c>
      <c r="G236" s="12">
        <v>100</v>
      </c>
      <c r="H236" s="18"/>
      <c r="I236" s="12"/>
      <c r="J236" s="12"/>
      <c r="K236" s="13">
        <v>46235.541666666664</v>
      </c>
      <c r="L236" s="13">
        <v>46235.583333333336</v>
      </c>
      <c r="M236" s="1" t="s">
        <v>145</v>
      </c>
      <c r="N236" s="1"/>
      <c r="O236" s="1"/>
      <c r="P236" s="1" t="s">
        <v>377</v>
      </c>
      <c r="Q236" s="1" t="s">
        <v>147</v>
      </c>
      <c r="R236" s="1">
        <v>46236.197916666664</v>
      </c>
      <c r="S236" s="1"/>
      <c r="T236" s="1" t="s">
        <v>148</v>
      </c>
      <c r="U236" s="1"/>
    </row>
    <row r="237" spans="1:21" ht="21" customHeight="1" x14ac:dyDescent="0.45">
      <c r="A237" s="14">
        <v>46235</v>
      </c>
      <c r="B237" s="1" t="s">
        <v>143</v>
      </c>
      <c r="C237" s="13">
        <v>46236.333333333336</v>
      </c>
      <c r="D237" s="13">
        <v>46236.34375</v>
      </c>
      <c r="E237" s="1" t="s">
        <v>321</v>
      </c>
      <c r="F237" s="12">
        <v>4.6952670664750835</v>
      </c>
      <c r="G237" s="12">
        <v>100</v>
      </c>
      <c r="H237" s="18"/>
      <c r="I237" s="12"/>
      <c r="J237" s="12"/>
      <c r="K237" s="13">
        <v>46235.541666666664</v>
      </c>
      <c r="L237" s="13">
        <v>46235.583333333336</v>
      </c>
      <c r="M237" s="1" t="s">
        <v>145</v>
      </c>
      <c r="N237" s="1"/>
      <c r="O237" s="1"/>
      <c r="P237" s="1" t="s">
        <v>378</v>
      </c>
      <c r="Q237" s="1" t="s">
        <v>147</v>
      </c>
      <c r="R237" s="1">
        <v>46236.208333333336</v>
      </c>
      <c r="S237" s="1"/>
      <c r="T237" s="1" t="s">
        <v>148</v>
      </c>
      <c r="U237" s="1"/>
    </row>
    <row r="238" spans="1:21" ht="21" customHeight="1" x14ac:dyDescent="0.45">
      <c r="A238" s="14">
        <v>46235</v>
      </c>
      <c r="B238" s="1" t="s">
        <v>149</v>
      </c>
      <c r="C238" s="13">
        <v>46236.333333333336</v>
      </c>
      <c r="D238" s="13">
        <v>46236.375</v>
      </c>
      <c r="E238" s="1" t="s">
        <v>321</v>
      </c>
      <c r="F238" s="12">
        <v>40</v>
      </c>
      <c r="G238" s="12">
        <v>40</v>
      </c>
      <c r="H238" s="18">
        <v>0.3125</v>
      </c>
      <c r="I238" s="12">
        <v>128</v>
      </c>
      <c r="J238" s="12">
        <v>40</v>
      </c>
      <c r="K238" s="13">
        <v>46235.375</v>
      </c>
      <c r="L238" s="13">
        <v>46235.416666666664</v>
      </c>
      <c r="M238" s="1" t="s">
        <v>145</v>
      </c>
      <c r="N238" s="1" t="s">
        <v>150</v>
      </c>
      <c r="O238" s="1" t="s">
        <v>151</v>
      </c>
      <c r="P238" s="1" t="s">
        <v>379</v>
      </c>
      <c r="Q238" s="1" t="s">
        <v>147</v>
      </c>
      <c r="R238" s="1">
        <v>46236.208333333336</v>
      </c>
      <c r="S238" s="1" t="s">
        <v>153</v>
      </c>
      <c r="T238" s="1" t="s">
        <v>148</v>
      </c>
      <c r="U238" s="1"/>
    </row>
    <row r="239" spans="1:21" ht="21" customHeight="1" x14ac:dyDescent="0.45">
      <c r="A239" s="14">
        <v>46235</v>
      </c>
      <c r="B239" s="1" t="s">
        <v>103</v>
      </c>
      <c r="C239" s="13">
        <v>46236.333333333336</v>
      </c>
      <c r="D239" s="13">
        <v>46236.375</v>
      </c>
      <c r="E239" s="1" t="s">
        <v>321</v>
      </c>
      <c r="F239" s="12">
        <v>24</v>
      </c>
      <c r="G239" s="12">
        <v>24</v>
      </c>
      <c r="H239" s="18">
        <v>0.13714285714285715</v>
      </c>
      <c r="I239" s="12">
        <v>175</v>
      </c>
      <c r="J239" s="12">
        <v>24</v>
      </c>
      <c r="K239" s="13">
        <v>46235.375</v>
      </c>
      <c r="L239" s="13">
        <v>46235.416666666664</v>
      </c>
      <c r="M239" s="1" t="s">
        <v>145</v>
      </c>
      <c r="N239" s="1" t="s">
        <v>154</v>
      </c>
      <c r="O239" s="1" t="s">
        <v>151</v>
      </c>
      <c r="P239" s="1" t="s">
        <v>380</v>
      </c>
      <c r="Q239" s="1" t="s">
        <v>147</v>
      </c>
      <c r="R239" s="1">
        <v>46236.208333333336</v>
      </c>
      <c r="S239" s="1"/>
      <c r="T239" s="1" t="s">
        <v>148</v>
      </c>
      <c r="U239" s="1"/>
    </row>
    <row r="240" spans="1:21" ht="21" customHeight="1" x14ac:dyDescent="0.45">
      <c r="A240" s="14">
        <v>46235</v>
      </c>
      <c r="B240" s="1" t="s">
        <v>101</v>
      </c>
      <c r="C240" s="13">
        <v>46236.333333333336</v>
      </c>
      <c r="D240" s="13">
        <v>46236.375</v>
      </c>
      <c r="E240" s="1" t="s">
        <v>321</v>
      </c>
      <c r="F240" s="12">
        <v>24</v>
      </c>
      <c r="G240" s="12">
        <v>24</v>
      </c>
      <c r="H240" s="18">
        <v>0.13714285714285715</v>
      </c>
      <c r="I240" s="12">
        <v>175</v>
      </c>
      <c r="J240" s="12">
        <v>24</v>
      </c>
      <c r="K240" s="13">
        <v>46235.375</v>
      </c>
      <c r="L240" s="13">
        <v>46235.416666666664</v>
      </c>
      <c r="M240" s="1" t="s">
        <v>145</v>
      </c>
      <c r="N240" s="1" t="s">
        <v>154</v>
      </c>
      <c r="O240" s="1" t="s">
        <v>151</v>
      </c>
      <c r="P240" s="1" t="s">
        <v>381</v>
      </c>
      <c r="Q240" s="1" t="s">
        <v>147</v>
      </c>
      <c r="R240" s="1">
        <v>46236.208333333336</v>
      </c>
      <c r="S240" s="1"/>
      <c r="T240" s="1" t="s">
        <v>148</v>
      </c>
      <c r="U240" s="1"/>
    </row>
    <row r="241" spans="1:21" ht="21" customHeight="1" x14ac:dyDescent="0.45">
      <c r="A241" s="14">
        <v>46235</v>
      </c>
      <c r="B241" s="1" t="s">
        <v>143</v>
      </c>
      <c r="C241" s="13">
        <v>46236.34375</v>
      </c>
      <c r="D241" s="13">
        <v>46236.354166666664</v>
      </c>
      <c r="E241" s="1" t="s">
        <v>321</v>
      </c>
      <c r="F241" s="12">
        <v>4.9198599219345711</v>
      </c>
      <c r="G241" s="12">
        <v>100</v>
      </c>
      <c r="H241" s="18"/>
      <c r="I241" s="12"/>
      <c r="J241" s="12"/>
      <c r="K241" s="13">
        <v>46235.541666666664</v>
      </c>
      <c r="L241" s="13">
        <v>46235.583333333336</v>
      </c>
      <c r="M241" s="1" t="s">
        <v>145</v>
      </c>
      <c r="N241" s="1"/>
      <c r="O241" s="1"/>
      <c r="P241" s="1" t="s">
        <v>382</v>
      </c>
      <c r="Q241" s="1" t="s">
        <v>147</v>
      </c>
      <c r="R241" s="1">
        <v>46236.21875</v>
      </c>
      <c r="S241" s="1"/>
      <c r="T241" s="1" t="s">
        <v>148</v>
      </c>
      <c r="U241" s="1"/>
    </row>
    <row r="242" spans="1:21" ht="21" customHeight="1" x14ac:dyDescent="0.45">
      <c r="A242" s="14">
        <v>46235</v>
      </c>
      <c r="B242" s="1" t="s">
        <v>143</v>
      </c>
      <c r="C242" s="13">
        <v>46236.354166666664</v>
      </c>
      <c r="D242" s="13">
        <v>46236.364583333336</v>
      </c>
      <c r="E242" s="1" t="s">
        <v>321</v>
      </c>
      <c r="F242" s="12">
        <v>0</v>
      </c>
      <c r="G242" s="12">
        <v>100</v>
      </c>
      <c r="H242" s="18"/>
      <c r="I242" s="12"/>
      <c r="J242" s="12"/>
      <c r="K242" s="13">
        <v>46235.541666666664</v>
      </c>
      <c r="L242" s="13">
        <v>46235.583333333336</v>
      </c>
      <c r="M242" s="1" t="s">
        <v>145</v>
      </c>
      <c r="N242" s="1"/>
      <c r="O242" s="1"/>
      <c r="P242" s="1" t="s">
        <v>383</v>
      </c>
      <c r="Q242" s="1" t="s">
        <v>147</v>
      </c>
      <c r="R242" s="1">
        <v>46236.229166666664</v>
      </c>
      <c r="S242" s="1"/>
      <c r="T242" s="1" t="s">
        <v>148</v>
      </c>
      <c r="U242" s="1"/>
    </row>
    <row r="243" spans="1:21" ht="21" customHeight="1" x14ac:dyDescent="0.45">
      <c r="A243" s="14">
        <v>46235</v>
      </c>
      <c r="B243" s="1" t="s">
        <v>143</v>
      </c>
      <c r="C243" s="13">
        <v>46236.364583333336</v>
      </c>
      <c r="D243" s="13">
        <v>46236.375</v>
      </c>
      <c r="E243" s="1" t="s">
        <v>321</v>
      </c>
      <c r="F243" s="12">
        <v>-35.901155517148268</v>
      </c>
      <c r="G243" s="12">
        <v>100</v>
      </c>
      <c r="H243" s="18"/>
      <c r="I243" s="12"/>
      <c r="J243" s="12"/>
      <c r="K243" s="13">
        <v>46235.541666666664</v>
      </c>
      <c r="L243" s="13">
        <v>46235.583333333336</v>
      </c>
      <c r="M243" s="1" t="s">
        <v>145</v>
      </c>
      <c r="N243" s="1"/>
      <c r="O243" s="1"/>
      <c r="P243" s="1" t="s">
        <v>384</v>
      </c>
      <c r="Q243" s="1" t="s">
        <v>147</v>
      </c>
      <c r="R243" s="1">
        <v>46236.239583333336</v>
      </c>
      <c r="S243" s="1"/>
      <c r="T243" s="1" t="s">
        <v>148</v>
      </c>
      <c r="U243" s="1"/>
    </row>
    <row r="244" spans="1:21" ht="21" customHeight="1" x14ac:dyDescent="0.45">
      <c r="A244" s="14">
        <v>46235</v>
      </c>
      <c r="B244" s="1" t="s">
        <v>143</v>
      </c>
      <c r="C244" s="13">
        <v>46236.375</v>
      </c>
      <c r="D244" s="13">
        <v>46236.385416666664</v>
      </c>
      <c r="E244" s="1" t="s">
        <v>321</v>
      </c>
      <c r="F244" s="12">
        <v>36</v>
      </c>
      <c r="G244" s="12">
        <v>100</v>
      </c>
      <c r="H244" s="18"/>
      <c r="I244" s="12"/>
      <c r="J244" s="12"/>
      <c r="K244" s="13">
        <v>46235.541666666664</v>
      </c>
      <c r="L244" s="13">
        <v>46235.583333333336</v>
      </c>
      <c r="M244" s="1" t="s">
        <v>145</v>
      </c>
      <c r="N244" s="1"/>
      <c r="O244" s="1"/>
      <c r="P244" s="1" t="s">
        <v>385</v>
      </c>
      <c r="Q244" s="1" t="s">
        <v>147</v>
      </c>
      <c r="R244" s="1">
        <v>46236.25</v>
      </c>
      <c r="S244" s="1"/>
      <c r="T244" s="1" t="s">
        <v>148</v>
      </c>
      <c r="U244" s="1"/>
    </row>
    <row r="245" spans="1:21" ht="21" customHeight="1" x14ac:dyDescent="0.45">
      <c r="A245" s="14">
        <v>46235</v>
      </c>
      <c r="B245" s="1" t="s">
        <v>149</v>
      </c>
      <c r="C245" s="13">
        <v>46236.375</v>
      </c>
      <c r="D245" s="13">
        <v>46236.416666666664</v>
      </c>
      <c r="E245" s="1" t="s">
        <v>321</v>
      </c>
      <c r="F245" s="12">
        <v>40</v>
      </c>
      <c r="G245" s="12">
        <v>40</v>
      </c>
      <c r="H245" s="18">
        <v>0.3125</v>
      </c>
      <c r="I245" s="12">
        <v>128</v>
      </c>
      <c r="J245" s="12">
        <v>40</v>
      </c>
      <c r="K245" s="13">
        <v>46235.375</v>
      </c>
      <c r="L245" s="13">
        <v>46235.416666666664</v>
      </c>
      <c r="M245" s="1" t="s">
        <v>145</v>
      </c>
      <c r="N245" s="1" t="s">
        <v>150</v>
      </c>
      <c r="O245" s="1" t="s">
        <v>151</v>
      </c>
      <c r="P245" s="1" t="s">
        <v>386</v>
      </c>
      <c r="Q245" s="1" t="s">
        <v>147</v>
      </c>
      <c r="R245" s="1">
        <v>46236.25</v>
      </c>
      <c r="S245" s="1" t="s">
        <v>153</v>
      </c>
      <c r="T245" s="1" t="s">
        <v>148</v>
      </c>
      <c r="U245" s="1"/>
    </row>
    <row r="246" spans="1:21" ht="21" customHeight="1" x14ac:dyDescent="0.45">
      <c r="A246" s="14">
        <v>46235</v>
      </c>
      <c r="B246" s="1" t="s">
        <v>103</v>
      </c>
      <c r="C246" s="13">
        <v>46236.375</v>
      </c>
      <c r="D246" s="13">
        <v>46236.416666666664</v>
      </c>
      <c r="E246" s="1" t="s">
        <v>321</v>
      </c>
      <c r="F246" s="12">
        <v>24</v>
      </c>
      <c r="G246" s="12">
        <v>24</v>
      </c>
      <c r="H246" s="18">
        <v>0.13714285714285715</v>
      </c>
      <c r="I246" s="12">
        <v>175</v>
      </c>
      <c r="J246" s="12">
        <v>24</v>
      </c>
      <c r="K246" s="13">
        <v>46235.375</v>
      </c>
      <c r="L246" s="13">
        <v>46235.416666666664</v>
      </c>
      <c r="M246" s="1" t="s">
        <v>145</v>
      </c>
      <c r="N246" s="1" t="s">
        <v>154</v>
      </c>
      <c r="O246" s="1" t="s">
        <v>151</v>
      </c>
      <c r="P246" s="1" t="s">
        <v>387</v>
      </c>
      <c r="Q246" s="1" t="s">
        <v>147</v>
      </c>
      <c r="R246" s="1">
        <v>46236.25</v>
      </c>
      <c r="S246" s="1"/>
      <c r="T246" s="1" t="s">
        <v>148</v>
      </c>
      <c r="U246" s="1"/>
    </row>
    <row r="247" spans="1:21" ht="21" customHeight="1" x14ac:dyDescent="0.45">
      <c r="A247" s="14">
        <v>46235</v>
      </c>
      <c r="B247" s="1" t="s">
        <v>101</v>
      </c>
      <c r="C247" s="13">
        <v>46236.375</v>
      </c>
      <c r="D247" s="13">
        <v>46236.416666666664</v>
      </c>
      <c r="E247" s="1" t="s">
        <v>321</v>
      </c>
      <c r="F247" s="12">
        <v>24</v>
      </c>
      <c r="G247" s="12">
        <v>24</v>
      </c>
      <c r="H247" s="18">
        <v>0.13714285714285715</v>
      </c>
      <c r="I247" s="12">
        <v>175</v>
      </c>
      <c r="J247" s="12">
        <v>24</v>
      </c>
      <c r="K247" s="13">
        <v>46235.375</v>
      </c>
      <c r="L247" s="13">
        <v>46235.416666666664</v>
      </c>
      <c r="M247" s="1" t="s">
        <v>145</v>
      </c>
      <c r="N247" s="1" t="s">
        <v>154</v>
      </c>
      <c r="O247" s="1" t="s">
        <v>151</v>
      </c>
      <c r="P247" s="1" t="s">
        <v>388</v>
      </c>
      <c r="Q247" s="1" t="s">
        <v>147</v>
      </c>
      <c r="R247" s="1">
        <v>46236.25</v>
      </c>
      <c r="S247" s="1"/>
      <c r="T247" s="1" t="s">
        <v>148</v>
      </c>
      <c r="U247" s="1"/>
    </row>
    <row r="248" spans="1:21" ht="21" customHeight="1" x14ac:dyDescent="0.45">
      <c r="A248" s="14">
        <v>46235</v>
      </c>
      <c r="B248" s="1" t="s">
        <v>143</v>
      </c>
      <c r="C248" s="13">
        <v>46236.385416666664</v>
      </c>
      <c r="D248" s="13">
        <v>46236.395833333336</v>
      </c>
      <c r="E248" s="1" t="s">
        <v>321</v>
      </c>
      <c r="F248" s="12">
        <v>0</v>
      </c>
      <c r="G248" s="12">
        <v>100</v>
      </c>
      <c r="H248" s="18"/>
      <c r="I248" s="12"/>
      <c r="J248" s="12"/>
      <c r="K248" s="13">
        <v>46235.541666666664</v>
      </c>
      <c r="L248" s="13">
        <v>46235.583333333336</v>
      </c>
      <c r="M248" s="1" t="s">
        <v>145</v>
      </c>
      <c r="N248" s="1"/>
      <c r="O248" s="1"/>
      <c r="P248" s="1" t="s">
        <v>389</v>
      </c>
      <c r="Q248" s="1" t="s">
        <v>147</v>
      </c>
      <c r="R248" s="1">
        <v>46236.260416666664</v>
      </c>
      <c r="S248" s="1"/>
      <c r="T248" s="1" t="s">
        <v>148</v>
      </c>
      <c r="U248" s="1"/>
    </row>
    <row r="249" spans="1:21" ht="21" customHeight="1" x14ac:dyDescent="0.45">
      <c r="A249" s="14">
        <v>46235</v>
      </c>
      <c r="B249" s="1" t="s">
        <v>143</v>
      </c>
      <c r="C249" s="13">
        <v>46236.395833333336</v>
      </c>
      <c r="D249" s="13">
        <v>46236.40625</v>
      </c>
      <c r="E249" s="1" t="s">
        <v>321</v>
      </c>
      <c r="F249" s="12">
        <v>0</v>
      </c>
      <c r="G249" s="12">
        <v>100</v>
      </c>
      <c r="H249" s="18"/>
      <c r="I249" s="12"/>
      <c r="J249" s="12"/>
      <c r="K249" s="13">
        <v>46235.541666666664</v>
      </c>
      <c r="L249" s="13">
        <v>46235.583333333336</v>
      </c>
      <c r="M249" s="1" t="s">
        <v>145</v>
      </c>
      <c r="N249" s="1"/>
      <c r="O249" s="1"/>
      <c r="P249" s="1" t="s">
        <v>390</v>
      </c>
      <c r="Q249" s="1" t="s">
        <v>147</v>
      </c>
      <c r="R249" s="1">
        <v>46236.270833333336</v>
      </c>
      <c r="S249" s="1"/>
      <c r="T249" s="1" t="s">
        <v>148</v>
      </c>
      <c r="U249" s="1"/>
    </row>
    <row r="250" spans="1:21" ht="21" customHeight="1" x14ac:dyDescent="0.45">
      <c r="A250" s="14">
        <v>46235</v>
      </c>
      <c r="B250" s="1" t="s">
        <v>143</v>
      </c>
      <c r="C250" s="13">
        <v>46236.40625</v>
      </c>
      <c r="D250" s="13">
        <v>46236.416666666664</v>
      </c>
      <c r="E250" s="1" t="s">
        <v>321</v>
      </c>
      <c r="F250" s="12">
        <v>-4.3099808451626211</v>
      </c>
      <c r="G250" s="12">
        <v>100</v>
      </c>
      <c r="H250" s="18"/>
      <c r="I250" s="12"/>
      <c r="J250" s="12"/>
      <c r="K250" s="13">
        <v>46235.541666666664</v>
      </c>
      <c r="L250" s="13">
        <v>46235.583333333336</v>
      </c>
      <c r="M250" s="1" t="s">
        <v>145</v>
      </c>
      <c r="N250" s="1"/>
      <c r="O250" s="1"/>
      <c r="P250" s="1" t="s">
        <v>391</v>
      </c>
      <c r="Q250" s="1" t="s">
        <v>147</v>
      </c>
      <c r="R250" s="1">
        <v>46236.28125</v>
      </c>
      <c r="S250" s="1"/>
      <c r="T250" s="1" t="s">
        <v>148</v>
      </c>
      <c r="U250" s="1"/>
    </row>
    <row r="251" spans="1:21" ht="21" customHeight="1" x14ac:dyDescent="0.45">
      <c r="A251" s="14">
        <v>46235</v>
      </c>
      <c r="B251" s="1" t="s">
        <v>143</v>
      </c>
      <c r="C251" s="13">
        <v>46236.416666666664</v>
      </c>
      <c r="D251" s="13">
        <v>46236.427083333336</v>
      </c>
      <c r="E251" s="1" t="s">
        <v>321</v>
      </c>
      <c r="F251" s="12">
        <v>0</v>
      </c>
      <c r="G251" s="12">
        <v>100</v>
      </c>
      <c r="H251" s="18"/>
      <c r="I251" s="12"/>
      <c r="J251" s="12"/>
      <c r="K251" s="13">
        <v>46235.541666666664</v>
      </c>
      <c r="L251" s="13">
        <v>46235.583333333336</v>
      </c>
      <c r="M251" s="1" t="s">
        <v>145</v>
      </c>
      <c r="N251" s="1"/>
      <c r="O251" s="1"/>
      <c r="P251" s="1" t="s">
        <v>392</v>
      </c>
      <c r="Q251" s="1" t="s">
        <v>147</v>
      </c>
      <c r="R251" s="1">
        <v>46236.291666666664</v>
      </c>
      <c r="S251" s="1"/>
      <c r="T251" s="1" t="s">
        <v>148</v>
      </c>
      <c r="U251" s="1"/>
    </row>
    <row r="252" spans="1:21" ht="21" customHeight="1" x14ac:dyDescent="0.45">
      <c r="A252" s="14">
        <v>46235</v>
      </c>
      <c r="B252" s="1" t="s">
        <v>149</v>
      </c>
      <c r="C252" s="13">
        <v>46236.416666666664</v>
      </c>
      <c r="D252" s="13">
        <v>46236.458333333336</v>
      </c>
      <c r="E252" s="1" t="s">
        <v>321</v>
      </c>
      <c r="F252" s="12">
        <v>40</v>
      </c>
      <c r="G252" s="12">
        <v>40</v>
      </c>
      <c r="H252" s="18">
        <v>0.3125</v>
      </c>
      <c r="I252" s="12">
        <v>128</v>
      </c>
      <c r="J252" s="12">
        <v>40</v>
      </c>
      <c r="K252" s="13">
        <v>46235.375</v>
      </c>
      <c r="L252" s="13">
        <v>46235.416666666664</v>
      </c>
      <c r="M252" s="1" t="s">
        <v>145</v>
      </c>
      <c r="N252" s="1" t="s">
        <v>150</v>
      </c>
      <c r="O252" s="1" t="s">
        <v>151</v>
      </c>
      <c r="P252" s="1" t="s">
        <v>393</v>
      </c>
      <c r="Q252" s="1" t="s">
        <v>147</v>
      </c>
      <c r="R252" s="1">
        <v>46236.291666666664</v>
      </c>
      <c r="S252" s="1" t="s">
        <v>153</v>
      </c>
      <c r="T252" s="1" t="s">
        <v>148</v>
      </c>
      <c r="U252" s="1"/>
    </row>
    <row r="253" spans="1:21" ht="21" customHeight="1" x14ac:dyDescent="0.45">
      <c r="A253" s="14">
        <v>46235</v>
      </c>
      <c r="B253" s="1" t="s">
        <v>103</v>
      </c>
      <c r="C253" s="13">
        <v>46236.416666666664</v>
      </c>
      <c r="D253" s="13">
        <v>46236.458333333336</v>
      </c>
      <c r="E253" s="1" t="s">
        <v>321</v>
      </c>
      <c r="F253" s="12">
        <v>24</v>
      </c>
      <c r="G253" s="12">
        <v>24</v>
      </c>
      <c r="H253" s="18">
        <v>0.13714285714285715</v>
      </c>
      <c r="I253" s="12">
        <v>175</v>
      </c>
      <c r="J253" s="12">
        <v>24</v>
      </c>
      <c r="K253" s="13">
        <v>46235.375</v>
      </c>
      <c r="L253" s="13">
        <v>46235.416666666664</v>
      </c>
      <c r="M253" s="1" t="s">
        <v>145</v>
      </c>
      <c r="N253" s="1" t="s">
        <v>154</v>
      </c>
      <c r="O253" s="1" t="s">
        <v>151</v>
      </c>
      <c r="P253" s="1" t="s">
        <v>394</v>
      </c>
      <c r="Q253" s="1" t="s">
        <v>147</v>
      </c>
      <c r="R253" s="1">
        <v>46236.291666666664</v>
      </c>
      <c r="S253" s="1"/>
      <c r="T253" s="1" t="s">
        <v>148</v>
      </c>
      <c r="U253" s="1"/>
    </row>
    <row r="254" spans="1:21" ht="21" customHeight="1" x14ac:dyDescent="0.45">
      <c r="A254" s="14">
        <v>46235</v>
      </c>
      <c r="B254" s="1" t="s">
        <v>101</v>
      </c>
      <c r="C254" s="13">
        <v>46236.416666666664</v>
      </c>
      <c r="D254" s="13">
        <v>46236.458333333336</v>
      </c>
      <c r="E254" s="1" t="s">
        <v>321</v>
      </c>
      <c r="F254" s="12">
        <v>24</v>
      </c>
      <c r="G254" s="12">
        <v>24</v>
      </c>
      <c r="H254" s="18">
        <v>0.13714285714285715</v>
      </c>
      <c r="I254" s="12">
        <v>175</v>
      </c>
      <c r="J254" s="12">
        <v>24</v>
      </c>
      <c r="K254" s="13">
        <v>46235.375</v>
      </c>
      <c r="L254" s="13">
        <v>46235.416666666664</v>
      </c>
      <c r="M254" s="1" t="s">
        <v>145</v>
      </c>
      <c r="N254" s="1" t="s">
        <v>154</v>
      </c>
      <c r="O254" s="1" t="s">
        <v>151</v>
      </c>
      <c r="P254" s="1" t="s">
        <v>395</v>
      </c>
      <c r="Q254" s="1" t="s">
        <v>147</v>
      </c>
      <c r="R254" s="1">
        <v>46236.291666666664</v>
      </c>
      <c r="S254" s="1"/>
      <c r="T254" s="1" t="s">
        <v>148</v>
      </c>
      <c r="U254" s="1"/>
    </row>
    <row r="255" spans="1:21" ht="21" customHeight="1" x14ac:dyDescent="0.45">
      <c r="A255" s="14">
        <v>46235</v>
      </c>
      <c r="B255" s="1" t="s">
        <v>143</v>
      </c>
      <c r="C255" s="13">
        <v>46236.427083333336</v>
      </c>
      <c r="D255" s="13">
        <v>46236.4375</v>
      </c>
      <c r="E255" s="1" t="s">
        <v>321</v>
      </c>
      <c r="F255" s="12">
        <v>0</v>
      </c>
      <c r="G255" s="12">
        <v>100</v>
      </c>
      <c r="H255" s="18"/>
      <c r="I255" s="12"/>
      <c r="J255" s="12"/>
      <c r="K255" s="13">
        <v>46235.541666666664</v>
      </c>
      <c r="L255" s="13">
        <v>46235.583333333336</v>
      </c>
      <c r="M255" s="1" t="s">
        <v>145</v>
      </c>
      <c r="N255" s="1"/>
      <c r="O255" s="1"/>
      <c r="P255" s="1" t="s">
        <v>396</v>
      </c>
      <c r="Q255" s="1" t="s">
        <v>147</v>
      </c>
      <c r="R255" s="1">
        <v>46236.302083333336</v>
      </c>
      <c r="S255" s="1"/>
      <c r="T255" s="1" t="s">
        <v>148</v>
      </c>
      <c r="U255" s="1"/>
    </row>
    <row r="256" spans="1:21" ht="21" customHeight="1" x14ac:dyDescent="0.45">
      <c r="A256" s="14">
        <v>46235</v>
      </c>
      <c r="B256" s="1" t="s">
        <v>143</v>
      </c>
      <c r="C256" s="13">
        <v>46236.4375</v>
      </c>
      <c r="D256" s="13">
        <v>46236.447916666664</v>
      </c>
      <c r="E256" s="1" t="s">
        <v>321</v>
      </c>
      <c r="F256" s="12">
        <v>1.4801994166607806</v>
      </c>
      <c r="G256" s="12">
        <v>100</v>
      </c>
      <c r="H256" s="18"/>
      <c r="I256" s="12"/>
      <c r="J256" s="12"/>
      <c r="K256" s="13">
        <v>46235.541666666664</v>
      </c>
      <c r="L256" s="13">
        <v>46235.583333333336</v>
      </c>
      <c r="M256" s="1" t="s">
        <v>145</v>
      </c>
      <c r="N256" s="1"/>
      <c r="O256" s="1"/>
      <c r="P256" s="1" t="s">
        <v>397</v>
      </c>
      <c r="Q256" s="1" t="s">
        <v>147</v>
      </c>
      <c r="R256" s="1">
        <v>46236.3125</v>
      </c>
      <c r="S256" s="1"/>
      <c r="T256" s="1" t="s">
        <v>148</v>
      </c>
      <c r="U256" s="1"/>
    </row>
    <row r="257" spans="1:21" ht="21" customHeight="1" x14ac:dyDescent="0.45">
      <c r="A257" s="14">
        <v>46235</v>
      </c>
      <c r="B257" s="1" t="s">
        <v>143</v>
      </c>
      <c r="C257" s="13">
        <v>46236.447916666664</v>
      </c>
      <c r="D257" s="13">
        <v>46236.458333333336</v>
      </c>
      <c r="E257" s="1" t="s">
        <v>321</v>
      </c>
      <c r="F257" s="12">
        <v>0</v>
      </c>
      <c r="G257" s="12">
        <v>100</v>
      </c>
      <c r="H257" s="18"/>
      <c r="I257" s="12"/>
      <c r="J257" s="12"/>
      <c r="K257" s="13">
        <v>46235.541666666664</v>
      </c>
      <c r="L257" s="13">
        <v>46235.583333333336</v>
      </c>
      <c r="M257" s="1" t="s">
        <v>145</v>
      </c>
      <c r="N257" s="1"/>
      <c r="O257" s="1"/>
      <c r="P257" s="1" t="s">
        <v>398</v>
      </c>
      <c r="Q257" s="1" t="s">
        <v>147</v>
      </c>
      <c r="R257" s="1">
        <v>46236.322916666664</v>
      </c>
      <c r="S257" s="1"/>
      <c r="T257" s="1" t="s">
        <v>148</v>
      </c>
      <c r="U257" s="1"/>
    </row>
    <row r="258" spans="1:21" ht="21" customHeight="1" x14ac:dyDescent="0.45">
      <c r="A258" s="14">
        <v>46235</v>
      </c>
      <c r="B258" s="1" t="s">
        <v>143</v>
      </c>
      <c r="C258" s="13">
        <v>46236.458333333336</v>
      </c>
      <c r="D258" s="13">
        <v>46236.46875</v>
      </c>
      <c r="E258" s="1" t="s">
        <v>321</v>
      </c>
      <c r="F258" s="12">
        <v>8.9915158359378591</v>
      </c>
      <c r="G258" s="12">
        <v>100</v>
      </c>
      <c r="H258" s="18"/>
      <c r="I258" s="12"/>
      <c r="J258" s="12"/>
      <c r="K258" s="13">
        <v>46235.541666666664</v>
      </c>
      <c r="L258" s="13">
        <v>46235.583333333336</v>
      </c>
      <c r="M258" s="1" t="s">
        <v>145</v>
      </c>
      <c r="N258" s="1"/>
      <c r="O258" s="1"/>
      <c r="P258" s="1" t="s">
        <v>399</v>
      </c>
      <c r="Q258" s="1" t="s">
        <v>147</v>
      </c>
      <c r="R258" s="1">
        <v>46236.333333333336</v>
      </c>
      <c r="S258" s="1"/>
      <c r="T258" s="1" t="s">
        <v>148</v>
      </c>
      <c r="U258" s="1"/>
    </row>
    <row r="259" spans="1:21" ht="21" customHeight="1" x14ac:dyDescent="0.45">
      <c r="A259" s="14">
        <v>46235</v>
      </c>
      <c r="B259" s="1" t="s">
        <v>149</v>
      </c>
      <c r="C259" s="13">
        <v>46236.458333333336</v>
      </c>
      <c r="D259" s="13">
        <v>46236.5</v>
      </c>
      <c r="E259" s="1" t="s">
        <v>321</v>
      </c>
      <c r="F259" s="12">
        <v>40</v>
      </c>
      <c r="G259" s="12">
        <v>40</v>
      </c>
      <c r="H259" s="18">
        <v>0.3125</v>
      </c>
      <c r="I259" s="12">
        <v>128</v>
      </c>
      <c r="J259" s="12">
        <v>40</v>
      </c>
      <c r="K259" s="13">
        <v>46235.375</v>
      </c>
      <c r="L259" s="13">
        <v>46235.416666666664</v>
      </c>
      <c r="M259" s="1" t="s">
        <v>145</v>
      </c>
      <c r="N259" s="1" t="s">
        <v>150</v>
      </c>
      <c r="O259" s="1" t="s">
        <v>151</v>
      </c>
      <c r="P259" s="1" t="s">
        <v>400</v>
      </c>
      <c r="Q259" s="1" t="s">
        <v>147</v>
      </c>
      <c r="R259" s="1">
        <v>46236.333333333336</v>
      </c>
      <c r="S259" s="1" t="s">
        <v>153</v>
      </c>
      <c r="T259" s="1" t="s">
        <v>148</v>
      </c>
      <c r="U259" s="1"/>
    </row>
    <row r="260" spans="1:21" ht="21" customHeight="1" x14ac:dyDescent="0.45">
      <c r="A260" s="14">
        <v>46235</v>
      </c>
      <c r="B260" s="1" t="s">
        <v>103</v>
      </c>
      <c r="C260" s="13">
        <v>46236.458333333336</v>
      </c>
      <c r="D260" s="13">
        <v>46236.5</v>
      </c>
      <c r="E260" s="1" t="s">
        <v>321</v>
      </c>
      <c r="F260" s="12">
        <v>24</v>
      </c>
      <c r="G260" s="12">
        <v>24</v>
      </c>
      <c r="H260" s="18">
        <v>0.13714285714285715</v>
      </c>
      <c r="I260" s="12">
        <v>175</v>
      </c>
      <c r="J260" s="12">
        <v>24</v>
      </c>
      <c r="K260" s="13">
        <v>46235.375</v>
      </c>
      <c r="L260" s="13">
        <v>46235.416666666664</v>
      </c>
      <c r="M260" s="1" t="s">
        <v>145</v>
      </c>
      <c r="N260" s="1" t="s">
        <v>154</v>
      </c>
      <c r="O260" s="1" t="s">
        <v>151</v>
      </c>
      <c r="P260" s="1" t="s">
        <v>401</v>
      </c>
      <c r="Q260" s="1" t="s">
        <v>147</v>
      </c>
      <c r="R260" s="1">
        <v>46236.333333333336</v>
      </c>
      <c r="S260" s="1"/>
      <c r="T260" s="1" t="s">
        <v>148</v>
      </c>
      <c r="U260" s="1"/>
    </row>
    <row r="261" spans="1:21" ht="21" customHeight="1" x14ac:dyDescent="0.45">
      <c r="A261" s="14">
        <v>46235</v>
      </c>
      <c r="B261" s="1" t="s">
        <v>101</v>
      </c>
      <c r="C261" s="13">
        <v>46236.458333333336</v>
      </c>
      <c r="D261" s="13">
        <v>46236.5</v>
      </c>
      <c r="E261" s="1" t="s">
        <v>321</v>
      </c>
      <c r="F261" s="12">
        <v>24</v>
      </c>
      <c r="G261" s="12">
        <v>24</v>
      </c>
      <c r="H261" s="18">
        <v>0.13714285714285715</v>
      </c>
      <c r="I261" s="12">
        <v>175</v>
      </c>
      <c r="J261" s="12">
        <v>24</v>
      </c>
      <c r="K261" s="13">
        <v>46235.375</v>
      </c>
      <c r="L261" s="13">
        <v>46235.416666666664</v>
      </c>
      <c r="M261" s="1" t="s">
        <v>145</v>
      </c>
      <c r="N261" s="1" t="s">
        <v>154</v>
      </c>
      <c r="O261" s="1" t="s">
        <v>151</v>
      </c>
      <c r="P261" s="1" t="s">
        <v>402</v>
      </c>
      <c r="Q261" s="1" t="s">
        <v>147</v>
      </c>
      <c r="R261" s="1">
        <v>46236.333333333336</v>
      </c>
      <c r="S261" s="1"/>
      <c r="T261" s="1" t="s">
        <v>148</v>
      </c>
      <c r="U261" s="1"/>
    </row>
    <row r="262" spans="1:21" ht="21" customHeight="1" x14ac:dyDescent="0.45">
      <c r="A262" s="14">
        <v>46235</v>
      </c>
      <c r="B262" s="1" t="s">
        <v>143</v>
      </c>
      <c r="C262" s="13">
        <v>46236.46875</v>
      </c>
      <c r="D262" s="13">
        <v>46236.479166666664</v>
      </c>
      <c r="E262" s="1" t="s">
        <v>321</v>
      </c>
      <c r="F262" s="12">
        <v>-36</v>
      </c>
      <c r="G262" s="12">
        <v>100</v>
      </c>
      <c r="H262" s="18"/>
      <c r="I262" s="12"/>
      <c r="J262" s="12"/>
      <c r="K262" s="13">
        <v>46235.541666666664</v>
      </c>
      <c r="L262" s="13">
        <v>46235.583333333336</v>
      </c>
      <c r="M262" s="1" t="s">
        <v>145</v>
      </c>
      <c r="N262" s="1"/>
      <c r="O262" s="1"/>
      <c r="P262" s="1" t="s">
        <v>403</v>
      </c>
      <c r="Q262" s="1" t="s">
        <v>147</v>
      </c>
      <c r="R262" s="1">
        <v>46236.34375</v>
      </c>
      <c r="S262" s="1"/>
      <c r="T262" s="1" t="s">
        <v>148</v>
      </c>
      <c r="U262" s="1"/>
    </row>
    <row r="263" spans="1:21" ht="21" customHeight="1" x14ac:dyDescent="0.45">
      <c r="A263" s="14">
        <v>46235</v>
      </c>
      <c r="B263" s="1" t="s">
        <v>143</v>
      </c>
      <c r="C263" s="13">
        <v>46236.479166666664</v>
      </c>
      <c r="D263" s="13">
        <v>46236.489583333336</v>
      </c>
      <c r="E263" s="1" t="s">
        <v>321</v>
      </c>
      <c r="F263" s="12">
        <v>-36</v>
      </c>
      <c r="G263" s="12">
        <v>100</v>
      </c>
      <c r="H263" s="18"/>
      <c r="I263" s="12"/>
      <c r="J263" s="12"/>
      <c r="K263" s="13">
        <v>46235.541666666664</v>
      </c>
      <c r="L263" s="13">
        <v>46235.583333333336</v>
      </c>
      <c r="M263" s="1" t="s">
        <v>145</v>
      </c>
      <c r="N263" s="1"/>
      <c r="O263" s="1"/>
      <c r="P263" s="1" t="s">
        <v>404</v>
      </c>
      <c r="Q263" s="1" t="s">
        <v>147</v>
      </c>
      <c r="R263" s="1">
        <v>46236.354166666664</v>
      </c>
      <c r="S263" s="1"/>
      <c r="T263" s="1" t="s">
        <v>148</v>
      </c>
      <c r="U263" s="1"/>
    </row>
    <row r="264" spans="1:21" ht="21" customHeight="1" x14ac:dyDescent="0.45">
      <c r="A264" s="14">
        <v>46235</v>
      </c>
      <c r="B264" s="1" t="s">
        <v>143</v>
      </c>
      <c r="C264" s="13">
        <v>46236.489583333336</v>
      </c>
      <c r="D264" s="13">
        <v>46236.5</v>
      </c>
      <c r="E264" s="1" t="s">
        <v>321</v>
      </c>
      <c r="F264" s="12">
        <v>-36</v>
      </c>
      <c r="G264" s="12">
        <v>100</v>
      </c>
      <c r="H264" s="18"/>
      <c r="I264" s="12"/>
      <c r="J264" s="12"/>
      <c r="K264" s="13">
        <v>46235.541666666664</v>
      </c>
      <c r="L264" s="13">
        <v>46235.583333333336</v>
      </c>
      <c r="M264" s="1" t="s">
        <v>145</v>
      </c>
      <c r="N264" s="1"/>
      <c r="O264" s="1"/>
      <c r="P264" s="1" t="s">
        <v>405</v>
      </c>
      <c r="Q264" s="1" t="s">
        <v>147</v>
      </c>
      <c r="R264" s="1">
        <v>46236.364583333336</v>
      </c>
      <c r="S264" s="1"/>
      <c r="T264" s="1" t="s">
        <v>148</v>
      </c>
      <c r="U264" s="1"/>
    </row>
    <row r="265" spans="1:21" ht="21" customHeight="1" x14ac:dyDescent="0.45">
      <c r="A265" s="14">
        <v>46235</v>
      </c>
      <c r="B265" s="1" t="s">
        <v>143</v>
      </c>
      <c r="C265" s="13">
        <v>46236.5</v>
      </c>
      <c r="D265" s="13">
        <v>46236.510416666664</v>
      </c>
      <c r="E265" s="1" t="s">
        <v>321</v>
      </c>
      <c r="F265" s="12">
        <v>-36</v>
      </c>
      <c r="G265" s="12">
        <v>100</v>
      </c>
      <c r="H265" s="18"/>
      <c r="I265" s="12"/>
      <c r="J265" s="12"/>
      <c r="K265" s="13">
        <v>46235.541666666664</v>
      </c>
      <c r="L265" s="13">
        <v>46235.583333333336</v>
      </c>
      <c r="M265" s="1" t="s">
        <v>145</v>
      </c>
      <c r="N265" s="1"/>
      <c r="O265" s="1"/>
      <c r="P265" s="1" t="s">
        <v>406</v>
      </c>
      <c r="Q265" s="1" t="s">
        <v>147</v>
      </c>
      <c r="R265" s="1">
        <v>46236.375</v>
      </c>
      <c r="S265" s="1"/>
      <c r="T265" s="1" t="s">
        <v>148</v>
      </c>
      <c r="U265" s="1"/>
    </row>
    <row r="266" spans="1:21" ht="21" customHeight="1" x14ac:dyDescent="0.45">
      <c r="A266" s="14">
        <v>46235</v>
      </c>
      <c r="B266" s="1" t="s">
        <v>149</v>
      </c>
      <c r="C266" s="13">
        <v>46236.5</v>
      </c>
      <c r="D266" s="13">
        <v>46236.541666666664</v>
      </c>
      <c r="E266" s="1" t="s">
        <v>321</v>
      </c>
      <c r="F266" s="12">
        <v>40</v>
      </c>
      <c r="G266" s="12">
        <v>40</v>
      </c>
      <c r="H266" s="18">
        <v>0.3125</v>
      </c>
      <c r="I266" s="12">
        <v>128</v>
      </c>
      <c r="J266" s="12">
        <v>40</v>
      </c>
      <c r="K266" s="13">
        <v>46235.375</v>
      </c>
      <c r="L266" s="13">
        <v>46235.416666666664</v>
      </c>
      <c r="M266" s="1" t="s">
        <v>145</v>
      </c>
      <c r="N266" s="1" t="s">
        <v>150</v>
      </c>
      <c r="O266" s="1" t="s">
        <v>151</v>
      </c>
      <c r="P266" s="1" t="s">
        <v>407</v>
      </c>
      <c r="Q266" s="1" t="s">
        <v>147</v>
      </c>
      <c r="R266" s="1">
        <v>46236.375</v>
      </c>
      <c r="S266" s="1" t="s">
        <v>153</v>
      </c>
      <c r="T266" s="1" t="s">
        <v>148</v>
      </c>
      <c r="U266" s="1"/>
    </row>
    <row r="267" spans="1:21" ht="21" customHeight="1" x14ac:dyDescent="0.45">
      <c r="A267" s="14">
        <v>46235</v>
      </c>
      <c r="B267" s="1" t="s">
        <v>103</v>
      </c>
      <c r="C267" s="13">
        <v>46236.5</v>
      </c>
      <c r="D267" s="13">
        <v>46236.541666666664</v>
      </c>
      <c r="E267" s="1" t="s">
        <v>321</v>
      </c>
      <c r="F267" s="12">
        <v>24</v>
      </c>
      <c r="G267" s="12">
        <v>24</v>
      </c>
      <c r="H267" s="18">
        <v>0.13714285714285715</v>
      </c>
      <c r="I267" s="12">
        <v>175</v>
      </c>
      <c r="J267" s="12">
        <v>24</v>
      </c>
      <c r="K267" s="13">
        <v>46235.375</v>
      </c>
      <c r="L267" s="13">
        <v>46235.416666666664</v>
      </c>
      <c r="M267" s="1" t="s">
        <v>145</v>
      </c>
      <c r="N267" s="1" t="s">
        <v>154</v>
      </c>
      <c r="O267" s="1" t="s">
        <v>151</v>
      </c>
      <c r="P267" s="1" t="s">
        <v>408</v>
      </c>
      <c r="Q267" s="1" t="s">
        <v>147</v>
      </c>
      <c r="R267" s="1">
        <v>46236.375</v>
      </c>
      <c r="S267" s="1"/>
      <c r="T267" s="1" t="s">
        <v>148</v>
      </c>
      <c r="U267" s="1"/>
    </row>
    <row r="268" spans="1:21" ht="21" customHeight="1" x14ac:dyDescent="0.45">
      <c r="A268" s="14">
        <v>46235</v>
      </c>
      <c r="B268" s="1" t="s">
        <v>101</v>
      </c>
      <c r="C268" s="13">
        <v>46236.5</v>
      </c>
      <c r="D268" s="13">
        <v>46236.541666666664</v>
      </c>
      <c r="E268" s="1" t="s">
        <v>321</v>
      </c>
      <c r="F268" s="12">
        <v>24</v>
      </c>
      <c r="G268" s="12">
        <v>24</v>
      </c>
      <c r="H268" s="18">
        <v>0.13714285714285715</v>
      </c>
      <c r="I268" s="12">
        <v>175</v>
      </c>
      <c r="J268" s="12">
        <v>24</v>
      </c>
      <c r="K268" s="13">
        <v>46235.375</v>
      </c>
      <c r="L268" s="13">
        <v>46235.416666666664</v>
      </c>
      <c r="M268" s="1" t="s">
        <v>145</v>
      </c>
      <c r="N268" s="1" t="s">
        <v>154</v>
      </c>
      <c r="O268" s="1" t="s">
        <v>151</v>
      </c>
      <c r="P268" s="1" t="s">
        <v>409</v>
      </c>
      <c r="Q268" s="1" t="s">
        <v>147</v>
      </c>
      <c r="R268" s="1">
        <v>46236.375</v>
      </c>
      <c r="S268" s="1"/>
      <c r="T268" s="1" t="s">
        <v>148</v>
      </c>
      <c r="U268" s="1"/>
    </row>
    <row r="269" spans="1:21" ht="21" customHeight="1" x14ac:dyDescent="0.45">
      <c r="A269" s="14">
        <v>46235</v>
      </c>
      <c r="B269" s="1" t="s">
        <v>143</v>
      </c>
      <c r="C269" s="13">
        <v>46236.510416666664</v>
      </c>
      <c r="D269" s="13">
        <v>46236.520833333336</v>
      </c>
      <c r="E269" s="1" t="s">
        <v>321</v>
      </c>
      <c r="F269" s="12">
        <v>-36</v>
      </c>
      <c r="G269" s="12">
        <v>100</v>
      </c>
      <c r="H269" s="18"/>
      <c r="I269" s="12"/>
      <c r="J269" s="12"/>
      <c r="K269" s="13">
        <v>46235.541666666664</v>
      </c>
      <c r="L269" s="13">
        <v>46235.583333333336</v>
      </c>
      <c r="M269" s="1" t="s">
        <v>145</v>
      </c>
      <c r="N269" s="1"/>
      <c r="O269" s="1"/>
      <c r="P269" s="1" t="s">
        <v>410</v>
      </c>
      <c r="Q269" s="1" t="s">
        <v>147</v>
      </c>
      <c r="R269" s="1">
        <v>46236.385416666664</v>
      </c>
      <c r="S269" s="1"/>
      <c r="T269" s="1" t="s">
        <v>148</v>
      </c>
      <c r="U269" s="1"/>
    </row>
    <row r="270" spans="1:21" ht="21" customHeight="1" x14ac:dyDescent="0.45">
      <c r="A270" s="14">
        <v>46235</v>
      </c>
      <c r="B270" s="1" t="s">
        <v>143</v>
      </c>
      <c r="C270" s="13">
        <v>46236.520833333336</v>
      </c>
      <c r="D270" s="13">
        <v>46236.53125</v>
      </c>
      <c r="E270" s="1" t="s">
        <v>321</v>
      </c>
      <c r="F270" s="12">
        <v>-36</v>
      </c>
      <c r="G270" s="12">
        <v>100</v>
      </c>
      <c r="H270" s="18"/>
      <c r="I270" s="12"/>
      <c r="J270" s="12"/>
      <c r="K270" s="13">
        <v>46235.541666666664</v>
      </c>
      <c r="L270" s="13">
        <v>46235.583333333336</v>
      </c>
      <c r="M270" s="1" t="s">
        <v>145</v>
      </c>
      <c r="N270" s="1"/>
      <c r="O270" s="1"/>
      <c r="P270" s="1" t="s">
        <v>411</v>
      </c>
      <c r="Q270" s="1" t="s">
        <v>147</v>
      </c>
      <c r="R270" s="1">
        <v>46236.395833333336</v>
      </c>
      <c r="S270" s="1"/>
      <c r="T270" s="1" t="s">
        <v>148</v>
      </c>
      <c r="U270" s="1"/>
    </row>
    <row r="271" spans="1:21" ht="21" customHeight="1" x14ac:dyDescent="0.45">
      <c r="A271" s="14">
        <v>46235</v>
      </c>
      <c r="B271" s="1" t="s">
        <v>143</v>
      </c>
      <c r="C271" s="13">
        <v>46236.53125</v>
      </c>
      <c r="D271" s="13">
        <v>46236.541666666664</v>
      </c>
      <c r="E271" s="1" t="s">
        <v>321</v>
      </c>
      <c r="F271" s="12">
        <v>-36</v>
      </c>
      <c r="G271" s="12">
        <v>100</v>
      </c>
      <c r="H271" s="18"/>
      <c r="I271" s="12"/>
      <c r="J271" s="12"/>
      <c r="K271" s="13">
        <v>46235.541666666664</v>
      </c>
      <c r="L271" s="13">
        <v>46235.583333333336</v>
      </c>
      <c r="M271" s="1" t="s">
        <v>145</v>
      </c>
      <c r="N271" s="1"/>
      <c r="O271" s="1"/>
      <c r="P271" s="1" t="s">
        <v>412</v>
      </c>
      <c r="Q271" s="1" t="s">
        <v>147</v>
      </c>
      <c r="R271" s="1">
        <v>46236.40625</v>
      </c>
      <c r="S271" s="1"/>
      <c r="T271" s="1" t="s">
        <v>148</v>
      </c>
      <c r="U271" s="1"/>
    </row>
    <row r="272" spans="1:21" ht="21" customHeight="1" x14ac:dyDescent="0.45">
      <c r="A272" s="14">
        <v>46235</v>
      </c>
      <c r="B272" s="1" t="s">
        <v>143</v>
      </c>
      <c r="C272" s="13">
        <v>46236.541666666664</v>
      </c>
      <c r="D272" s="13">
        <v>46236.552083333336</v>
      </c>
      <c r="E272" s="1" t="s">
        <v>321</v>
      </c>
      <c r="F272" s="12">
        <v>-36</v>
      </c>
      <c r="G272" s="12">
        <v>100</v>
      </c>
      <c r="H272" s="18"/>
      <c r="I272" s="12"/>
      <c r="J272" s="12"/>
      <c r="K272" s="13">
        <v>46235.541666666664</v>
      </c>
      <c r="L272" s="13">
        <v>46235.583333333336</v>
      </c>
      <c r="M272" s="1" t="s">
        <v>145</v>
      </c>
      <c r="N272" s="1"/>
      <c r="O272" s="1"/>
      <c r="P272" s="1" t="s">
        <v>413</v>
      </c>
      <c r="Q272" s="1" t="s">
        <v>147</v>
      </c>
      <c r="R272" s="1">
        <v>46236.416666666664</v>
      </c>
      <c r="S272" s="1"/>
      <c r="T272" s="1" t="s">
        <v>148</v>
      </c>
      <c r="U272" s="1"/>
    </row>
    <row r="273" spans="1:21" ht="21" customHeight="1" x14ac:dyDescent="0.45">
      <c r="A273" s="14">
        <v>46235</v>
      </c>
      <c r="B273" s="1" t="s">
        <v>149</v>
      </c>
      <c r="C273" s="13">
        <v>46236.541666666664</v>
      </c>
      <c r="D273" s="13">
        <v>46236.583333333336</v>
      </c>
      <c r="E273" s="1" t="s">
        <v>321</v>
      </c>
      <c r="F273" s="12">
        <v>40</v>
      </c>
      <c r="G273" s="12">
        <v>40</v>
      </c>
      <c r="H273" s="18">
        <v>0.3125</v>
      </c>
      <c r="I273" s="12">
        <v>128</v>
      </c>
      <c r="J273" s="12">
        <v>40</v>
      </c>
      <c r="K273" s="13">
        <v>46235.375</v>
      </c>
      <c r="L273" s="13">
        <v>46235.416666666664</v>
      </c>
      <c r="M273" s="1" t="s">
        <v>145</v>
      </c>
      <c r="N273" s="1" t="s">
        <v>150</v>
      </c>
      <c r="O273" s="1" t="s">
        <v>151</v>
      </c>
      <c r="P273" s="1" t="s">
        <v>414</v>
      </c>
      <c r="Q273" s="1" t="s">
        <v>147</v>
      </c>
      <c r="R273" s="1">
        <v>46236.416666666664</v>
      </c>
      <c r="S273" s="1" t="s">
        <v>153</v>
      </c>
      <c r="T273" s="1" t="s">
        <v>148</v>
      </c>
      <c r="U273" s="1"/>
    </row>
    <row r="274" spans="1:21" ht="21" customHeight="1" x14ac:dyDescent="0.45">
      <c r="A274" s="14">
        <v>46235</v>
      </c>
      <c r="B274" s="1" t="s">
        <v>103</v>
      </c>
      <c r="C274" s="13">
        <v>46236.541666666664</v>
      </c>
      <c r="D274" s="13">
        <v>46236.583333333336</v>
      </c>
      <c r="E274" s="1" t="s">
        <v>321</v>
      </c>
      <c r="F274" s="12">
        <v>24</v>
      </c>
      <c r="G274" s="12">
        <v>24</v>
      </c>
      <c r="H274" s="18">
        <v>0.13714285714285715</v>
      </c>
      <c r="I274" s="12">
        <v>175</v>
      </c>
      <c r="J274" s="12">
        <v>24</v>
      </c>
      <c r="K274" s="13">
        <v>46235.375</v>
      </c>
      <c r="L274" s="13">
        <v>46235.416666666664</v>
      </c>
      <c r="M274" s="1" t="s">
        <v>145</v>
      </c>
      <c r="N274" s="1" t="s">
        <v>154</v>
      </c>
      <c r="O274" s="1" t="s">
        <v>151</v>
      </c>
      <c r="P274" s="1" t="s">
        <v>415</v>
      </c>
      <c r="Q274" s="1" t="s">
        <v>147</v>
      </c>
      <c r="R274" s="1">
        <v>46236.416666666664</v>
      </c>
      <c r="S274" s="1"/>
      <c r="T274" s="1" t="s">
        <v>148</v>
      </c>
      <c r="U274" s="1"/>
    </row>
    <row r="275" spans="1:21" ht="21" customHeight="1" x14ac:dyDescent="0.45">
      <c r="A275" s="14">
        <v>46235</v>
      </c>
      <c r="B275" s="1" t="s">
        <v>101</v>
      </c>
      <c r="C275" s="13">
        <v>46236.541666666664</v>
      </c>
      <c r="D275" s="13">
        <v>46236.583333333336</v>
      </c>
      <c r="E275" s="1" t="s">
        <v>321</v>
      </c>
      <c r="F275" s="12">
        <v>24</v>
      </c>
      <c r="G275" s="12">
        <v>24</v>
      </c>
      <c r="H275" s="18">
        <v>0.13714285714285715</v>
      </c>
      <c r="I275" s="12">
        <v>175</v>
      </c>
      <c r="J275" s="12">
        <v>24</v>
      </c>
      <c r="K275" s="13">
        <v>46235.375</v>
      </c>
      <c r="L275" s="13">
        <v>46235.416666666664</v>
      </c>
      <c r="M275" s="1" t="s">
        <v>145</v>
      </c>
      <c r="N275" s="1" t="s">
        <v>154</v>
      </c>
      <c r="O275" s="1" t="s">
        <v>151</v>
      </c>
      <c r="P275" s="1" t="s">
        <v>416</v>
      </c>
      <c r="Q275" s="1" t="s">
        <v>147</v>
      </c>
      <c r="R275" s="1">
        <v>46236.416666666664</v>
      </c>
      <c r="S275" s="1"/>
      <c r="T275" s="1" t="s">
        <v>148</v>
      </c>
      <c r="U275" s="1"/>
    </row>
    <row r="276" spans="1:21" ht="21" customHeight="1" x14ac:dyDescent="0.45">
      <c r="A276" s="14">
        <v>46235</v>
      </c>
      <c r="B276" s="1" t="s">
        <v>143</v>
      </c>
      <c r="C276" s="13">
        <v>46236.552083333336</v>
      </c>
      <c r="D276" s="13">
        <v>46236.5625</v>
      </c>
      <c r="E276" s="1" t="s">
        <v>321</v>
      </c>
      <c r="F276" s="12">
        <v>-36</v>
      </c>
      <c r="G276" s="12">
        <v>100</v>
      </c>
      <c r="H276" s="18"/>
      <c r="I276" s="12"/>
      <c r="J276" s="12"/>
      <c r="K276" s="13">
        <v>46235.541666666664</v>
      </c>
      <c r="L276" s="13">
        <v>46235.583333333336</v>
      </c>
      <c r="M276" s="1" t="s">
        <v>145</v>
      </c>
      <c r="N276" s="1"/>
      <c r="O276" s="1"/>
      <c r="P276" s="1" t="s">
        <v>417</v>
      </c>
      <c r="Q276" s="1" t="s">
        <v>147</v>
      </c>
      <c r="R276" s="1">
        <v>46236.427083333336</v>
      </c>
      <c r="S276" s="1"/>
      <c r="T276" s="1" t="s">
        <v>148</v>
      </c>
      <c r="U276" s="1"/>
    </row>
    <row r="277" spans="1:21" ht="21" customHeight="1" x14ac:dyDescent="0.45">
      <c r="A277" s="14">
        <v>46235</v>
      </c>
      <c r="B277" s="1" t="s">
        <v>143</v>
      </c>
      <c r="C277" s="13">
        <v>46236.5625</v>
      </c>
      <c r="D277" s="13">
        <v>46236.572916666664</v>
      </c>
      <c r="E277" s="1" t="s">
        <v>321</v>
      </c>
      <c r="F277" s="12">
        <v>-36</v>
      </c>
      <c r="G277" s="12">
        <v>100</v>
      </c>
      <c r="H277" s="18"/>
      <c r="I277" s="12"/>
      <c r="J277" s="12"/>
      <c r="K277" s="13">
        <v>46235.541666666664</v>
      </c>
      <c r="L277" s="13">
        <v>46235.583333333336</v>
      </c>
      <c r="M277" s="1" t="s">
        <v>145</v>
      </c>
      <c r="N277" s="1"/>
      <c r="O277" s="1"/>
      <c r="P277" s="1" t="s">
        <v>418</v>
      </c>
      <c r="Q277" s="1" t="s">
        <v>147</v>
      </c>
      <c r="R277" s="1">
        <v>46236.4375</v>
      </c>
      <c r="S277" s="1"/>
      <c r="T277" s="1" t="s">
        <v>148</v>
      </c>
      <c r="U277" s="1"/>
    </row>
    <row r="278" spans="1:21" ht="21" customHeight="1" x14ac:dyDescent="0.45">
      <c r="A278" s="14">
        <v>46235</v>
      </c>
      <c r="B278" s="1" t="s">
        <v>143</v>
      </c>
      <c r="C278" s="13">
        <v>46236.572916666664</v>
      </c>
      <c r="D278" s="13">
        <v>46236.583333333336</v>
      </c>
      <c r="E278" s="1" t="s">
        <v>321</v>
      </c>
      <c r="F278" s="12">
        <v>0</v>
      </c>
      <c r="G278" s="12">
        <v>100</v>
      </c>
      <c r="H278" s="18"/>
      <c r="I278" s="12"/>
      <c r="J278" s="12"/>
      <c r="K278" s="13">
        <v>46235.541666666664</v>
      </c>
      <c r="L278" s="13">
        <v>46235.583333333336</v>
      </c>
      <c r="M278" s="1" t="s">
        <v>145</v>
      </c>
      <c r="N278" s="1"/>
      <c r="O278" s="1"/>
      <c r="P278" s="1" t="s">
        <v>419</v>
      </c>
      <c r="Q278" s="1" t="s">
        <v>147</v>
      </c>
      <c r="R278" s="1">
        <v>46236.447916666664</v>
      </c>
      <c r="S278" s="1"/>
      <c r="T278" s="1" t="s">
        <v>148</v>
      </c>
      <c r="U278" s="1"/>
    </row>
    <row r="279" spans="1:21" ht="21" customHeight="1" x14ac:dyDescent="0.45">
      <c r="A279" s="14">
        <v>46235</v>
      </c>
      <c r="B279" s="1" t="s">
        <v>143</v>
      </c>
      <c r="C279" s="13">
        <v>46236.583333333336</v>
      </c>
      <c r="D279" s="13">
        <v>46236.59375</v>
      </c>
      <c r="E279" s="1" t="s">
        <v>321</v>
      </c>
      <c r="F279" s="12">
        <v>-9.7215032136105002</v>
      </c>
      <c r="G279" s="12">
        <v>100</v>
      </c>
      <c r="H279" s="18"/>
      <c r="I279" s="12"/>
      <c r="J279" s="12"/>
      <c r="K279" s="13">
        <v>46235.541666666664</v>
      </c>
      <c r="L279" s="13">
        <v>46235.583333333336</v>
      </c>
      <c r="M279" s="1" t="s">
        <v>145</v>
      </c>
      <c r="N279" s="1"/>
      <c r="O279" s="1"/>
      <c r="P279" s="1" t="s">
        <v>420</v>
      </c>
      <c r="Q279" s="1" t="s">
        <v>147</v>
      </c>
      <c r="R279" s="1">
        <v>46236.458333333336</v>
      </c>
      <c r="S279" s="1"/>
      <c r="T279" s="1" t="s">
        <v>148</v>
      </c>
      <c r="U279" s="1"/>
    </row>
    <row r="280" spans="1:21" ht="21" customHeight="1" x14ac:dyDescent="0.45">
      <c r="A280" s="14">
        <v>46235</v>
      </c>
      <c r="B280" s="1" t="s">
        <v>149</v>
      </c>
      <c r="C280" s="13">
        <v>46236.583333333336</v>
      </c>
      <c r="D280" s="13">
        <v>46236.625</v>
      </c>
      <c r="E280" s="1" t="s">
        <v>321</v>
      </c>
      <c r="F280" s="12">
        <v>40</v>
      </c>
      <c r="G280" s="12">
        <v>40</v>
      </c>
      <c r="H280" s="18">
        <v>0.3125</v>
      </c>
      <c r="I280" s="12">
        <v>128</v>
      </c>
      <c r="J280" s="12">
        <v>40</v>
      </c>
      <c r="K280" s="13">
        <v>46235.375</v>
      </c>
      <c r="L280" s="13">
        <v>46235.416666666664</v>
      </c>
      <c r="M280" s="1" t="s">
        <v>145</v>
      </c>
      <c r="N280" s="1" t="s">
        <v>150</v>
      </c>
      <c r="O280" s="1" t="s">
        <v>151</v>
      </c>
      <c r="P280" s="1" t="s">
        <v>421</v>
      </c>
      <c r="Q280" s="1" t="s">
        <v>147</v>
      </c>
      <c r="R280" s="1">
        <v>46236.458333333336</v>
      </c>
      <c r="S280" s="1" t="s">
        <v>153</v>
      </c>
      <c r="T280" s="1" t="s">
        <v>148</v>
      </c>
      <c r="U280" s="1"/>
    </row>
    <row r="281" spans="1:21" ht="21" customHeight="1" x14ac:dyDescent="0.45">
      <c r="A281" s="14">
        <v>46235</v>
      </c>
      <c r="B281" s="1" t="s">
        <v>103</v>
      </c>
      <c r="C281" s="13">
        <v>46236.583333333336</v>
      </c>
      <c r="D281" s="13">
        <v>46236.625</v>
      </c>
      <c r="E281" s="1" t="s">
        <v>321</v>
      </c>
      <c r="F281" s="12">
        <v>24</v>
      </c>
      <c r="G281" s="12">
        <v>24</v>
      </c>
      <c r="H281" s="18">
        <v>0.13714285714285715</v>
      </c>
      <c r="I281" s="12">
        <v>175</v>
      </c>
      <c r="J281" s="12">
        <v>24</v>
      </c>
      <c r="K281" s="13">
        <v>46235.375</v>
      </c>
      <c r="L281" s="13">
        <v>46235.416666666664</v>
      </c>
      <c r="M281" s="1" t="s">
        <v>145</v>
      </c>
      <c r="N281" s="1" t="s">
        <v>154</v>
      </c>
      <c r="O281" s="1" t="s">
        <v>151</v>
      </c>
      <c r="P281" s="1" t="s">
        <v>422</v>
      </c>
      <c r="Q281" s="1" t="s">
        <v>147</v>
      </c>
      <c r="R281" s="1">
        <v>46236.458333333336</v>
      </c>
      <c r="S281" s="1"/>
      <c r="T281" s="1" t="s">
        <v>148</v>
      </c>
      <c r="U281" s="1"/>
    </row>
    <row r="282" spans="1:21" ht="21" customHeight="1" x14ac:dyDescent="0.45">
      <c r="A282" s="14">
        <v>46235</v>
      </c>
      <c r="B282" s="1" t="s">
        <v>101</v>
      </c>
      <c r="C282" s="13">
        <v>46236.583333333336</v>
      </c>
      <c r="D282" s="13">
        <v>46236.625</v>
      </c>
      <c r="E282" s="1" t="s">
        <v>321</v>
      </c>
      <c r="F282" s="12">
        <v>24</v>
      </c>
      <c r="G282" s="12">
        <v>24</v>
      </c>
      <c r="H282" s="18">
        <v>0.13714285714285715</v>
      </c>
      <c r="I282" s="12">
        <v>175</v>
      </c>
      <c r="J282" s="12">
        <v>24</v>
      </c>
      <c r="K282" s="13">
        <v>46235.375</v>
      </c>
      <c r="L282" s="13">
        <v>46235.416666666664</v>
      </c>
      <c r="M282" s="1" t="s">
        <v>145</v>
      </c>
      <c r="N282" s="1" t="s">
        <v>154</v>
      </c>
      <c r="O282" s="1" t="s">
        <v>151</v>
      </c>
      <c r="P282" s="1" t="s">
        <v>423</v>
      </c>
      <c r="Q282" s="1" t="s">
        <v>147</v>
      </c>
      <c r="R282" s="1">
        <v>46236.458333333336</v>
      </c>
      <c r="S282" s="1"/>
      <c r="T282" s="1" t="s">
        <v>148</v>
      </c>
      <c r="U282" s="1"/>
    </row>
    <row r="283" spans="1:21" ht="21" customHeight="1" x14ac:dyDescent="0.45">
      <c r="A283" s="14">
        <v>46235</v>
      </c>
      <c r="B283" s="1" t="s">
        <v>143</v>
      </c>
      <c r="C283" s="13">
        <v>46236.59375</v>
      </c>
      <c r="D283" s="13">
        <v>46236.604166666664</v>
      </c>
      <c r="E283" s="1" t="s">
        <v>321</v>
      </c>
      <c r="F283" s="12">
        <v>-36</v>
      </c>
      <c r="G283" s="12">
        <v>100</v>
      </c>
      <c r="H283" s="18"/>
      <c r="I283" s="12"/>
      <c r="J283" s="12"/>
      <c r="K283" s="13">
        <v>46235.541666666664</v>
      </c>
      <c r="L283" s="13">
        <v>46235.583333333336</v>
      </c>
      <c r="M283" s="1" t="s">
        <v>145</v>
      </c>
      <c r="N283" s="1"/>
      <c r="O283" s="1"/>
      <c r="P283" s="1" t="s">
        <v>424</v>
      </c>
      <c r="Q283" s="1" t="s">
        <v>147</v>
      </c>
      <c r="R283" s="1">
        <v>46236.46875</v>
      </c>
      <c r="S283" s="1"/>
      <c r="T283" s="1" t="s">
        <v>148</v>
      </c>
      <c r="U283" s="1"/>
    </row>
    <row r="284" spans="1:21" ht="21" customHeight="1" x14ac:dyDescent="0.45">
      <c r="A284" s="14">
        <v>46235</v>
      </c>
      <c r="B284" s="1" t="s">
        <v>143</v>
      </c>
      <c r="C284" s="13">
        <v>46236.604166666664</v>
      </c>
      <c r="D284" s="13">
        <v>46236.614583333336</v>
      </c>
      <c r="E284" s="1" t="s">
        <v>321</v>
      </c>
      <c r="F284" s="12">
        <v>-36</v>
      </c>
      <c r="G284" s="12">
        <v>100</v>
      </c>
      <c r="H284" s="18"/>
      <c r="I284" s="12"/>
      <c r="J284" s="12"/>
      <c r="K284" s="13">
        <v>46235.541666666664</v>
      </c>
      <c r="L284" s="13">
        <v>46235.583333333336</v>
      </c>
      <c r="M284" s="1" t="s">
        <v>145</v>
      </c>
      <c r="N284" s="1"/>
      <c r="O284" s="1"/>
      <c r="P284" s="1" t="s">
        <v>425</v>
      </c>
      <c r="Q284" s="1" t="s">
        <v>147</v>
      </c>
      <c r="R284" s="1">
        <v>46236.479166666664</v>
      </c>
      <c r="S284" s="1"/>
      <c r="T284" s="1" t="s">
        <v>148</v>
      </c>
      <c r="U284" s="1"/>
    </row>
    <row r="285" spans="1:21" ht="21" customHeight="1" x14ac:dyDescent="0.45">
      <c r="A285" s="14">
        <v>46235</v>
      </c>
      <c r="B285" s="1" t="s">
        <v>143</v>
      </c>
      <c r="C285" s="13">
        <v>46236.614583333336</v>
      </c>
      <c r="D285" s="13">
        <v>46236.625</v>
      </c>
      <c r="E285" s="1" t="s">
        <v>321</v>
      </c>
      <c r="F285" s="12">
        <v>-36</v>
      </c>
      <c r="G285" s="12">
        <v>100</v>
      </c>
      <c r="H285" s="18"/>
      <c r="I285" s="12"/>
      <c r="J285" s="12"/>
      <c r="K285" s="13">
        <v>46235.541666666664</v>
      </c>
      <c r="L285" s="13">
        <v>46235.583333333336</v>
      </c>
      <c r="M285" s="1" t="s">
        <v>145</v>
      </c>
      <c r="N285" s="1"/>
      <c r="O285" s="1"/>
      <c r="P285" s="1" t="s">
        <v>426</v>
      </c>
      <c r="Q285" s="1" t="s">
        <v>147</v>
      </c>
      <c r="R285" s="1">
        <v>46236.489583333336</v>
      </c>
      <c r="S285" s="1"/>
      <c r="T285" s="1" t="s">
        <v>148</v>
      </c>
      <c r="U285" s="1"/>
    </row>
    <row r="286" spans="1:21" ht="21" customHeight="1" x14ac:dyDescent="0.45">
      <c r="A286" s="14">
        <v>46235</v>
      </c>
      <c r="B286" s="1" t="s">
        <v>143</v>
      </c>
      <c r="C286" s="13">
        <v>46236.625</v>
      </c>
      <c r="D286" s="13">
        <v>46236.635416666664</v>
      </c>
      <c r="E286" s="1" t="s">
        <v>321</v>
      </c>
      <c r="F286" s="12">
        <v>35.999999999999993</v>
      </c>
      <c r="G286" s="12">
        <v>100</v>
      </c>
      <c r="H286" s="18"/>
      <c r="I286" s="12"/>
      <c r="J286" s="12"/>
      <c r="K286" s="13">
        <v>46235.541666666664</v>
      </c>
      <c r="L286" s="13">
        <v>46235.583333333336</v>
      </c>
      <c r="M286" s="1" t="s">
        <v>145</v>
      </c>
      <c r="N286" s="1"/>
      <c r="O286" s="1"/>
      <c r="P286" s="1" t="s">
        <v>427</v>
      </c>
      <c r="Q286" s="1" t="s">
        <v>147</v>
      </c>
      <c r="R286" s="1">
        <v>46236.5</v>
      </c>
      <c r="S286" s="1"/>
      <c r="T286" s="1" t="s">
        <v>148</v>
      </c>
      <c r="U286" s="1"/>
    </row>
    <row r="287" spans="1:21" ht="21" customHeight="1" x14ac:dyDescent="0.45">
      <c r="A287" s="14">
        <v>46235</v>
      </c>
      <c r="B287" s="1" t="s">
        <v>149</v>
      </c>
      <c r="C287" s="13">
        <v>46236.625</v>
      </c>
      <c r="D287" s="13">
        <v>46236.666666666664</v>
      </c>
      <c r="E287" s="1" t="s">
        <v>321</v>
      </c>
      <c r="F287" s="12">
        <v>40</v>
      </c>
      <c r="G287" s="12">
        <v>40</v>
      </c>
      <c r="H287" s="18">
        <v>0.3125</v>
      </c>
      <c r="I287" s="12">
        <v>128</v>
      </c>
      <c r="J287" s="12">
        <v>40</v>
      </c>
      <c r="K287" s="13">
        <v>46235.375</v>
      </c>
      <c r="L287" s="13">
        <v>46235.416666666664</v>
      </c>
      <c r="M287" s="1" t="s">
        <v>145</v>
      </c>
      <c r="N287" s="1" t="s">
        <v>150</v>
      </c>
      <c r="O287" s="1" t="s">
        <v>151</v>
      </c>
      <c r="P287" s="1" t="s">
        <v>428</v>
      </c>
      <c r="Q287" s="1" t="s">
        <v>147</v>
      </c>
      <c r="R287" s="1">
        <v>46236.5</v>
      </c>
      <c r="S287" s="1" t="s">
        <v>153</v>
      </c>
      <c r="T287" s="1" t="s">
        <v>148</v>
      </c>
      <c r="U287" s="1"/>
    </row>
    <row r="288" spans="1:21" ht="21" customHeight="1" x14ac:dyDescent="0.45">
      <c r="A288" s="14">
        <v>46235</v>
      </c>
      <c r="B288" s="1" t="s">
        <v>103</v>
      </c>
      <c r="C288" s="13">
        <v>46236.625</v>
      </c>
      <c r="D288" s="13">
        <v>46236.666666666664</v>
      </c>
      <c r="E288" s="1" t="s">
        <v>321</v>
      </c>
      <c r="F288" s="12">
        <v>24</v>
      </c>
      <c r="G288" s="12">
        <v>24</v>
      </c>
      <c r="H288" s="18">
        <v>0.13714285714285715</v>
      </c>
      <c r="I288" s="12">
        <v>175</v>
      </c>
      <c r="J288" s="12">
        <v>24</v>
      </c>
      <c r="K288" s="13">
        <v>46235.375</v>
      </c>
      <c r="L288" s="13">
        <v>46235.416666666664</v>
      </c>
      <c r="M288" s="1" t="s">
        <v>145</v>
      </c>
      <c r="N288" s="1" t="s">
        <v>154</v>
      </c>
      <c r="O288" s="1" t="s">
        <v>151</v>
      </c>
      <c r="P288" s="1" t="s">
        <v>429</v>
      </c>
      <c r="Q288" s="1" t="s">
        <v>147</v>
      </c>
      <c r="R288" s="1">
        <v>46236.5</v>
      </c>
      <c r="S288" s="1"/>
      <c r="T288" s="1" t="s">
        <v>148</v>
      </c>
      <c r="U288" s="1"/>
    </row>
    <row r="289" spans="1:21" ht="21" customHeight="1" x14ac:dyDescent="0.45">
      <c r="A289" s="14">
        <v>46235</v>
      </c>
      <c r="B289" s="1" t="s">
        <v>101</v>
      </c>
      <c r="C289" s="13">
        <v>46236.625</v>
      </c>
      <c r="D289" s="13">
        <v>46236.666666666664</v>
      </c>
      <c r="E289" s="1" t="s">
        <v>321</v>
      </c>
      <c r="F289" s="12">
        <v>24</v>
      </c>
      <c r="G289" s="12">
        <v>24</v>
      </c>
      <c r="H289" s="18">
        <v>0.13714285714285715</v>
      </c>
      <c r="I289" s="12">
        <v>175</v>
      </c>
      <c r="J289" s="12">
        <v>24</v>
      </c>
      <c r="K289" s="13">
        <v>46235.375</v>
      </c>
      <c r="L289" s="13">
        <v>46235.416666666664</v>
      </c>
      <c r="M289" s="1" t="s">
        <v>145</v>
      </c>
      <c r="N289" s="1" t="s">
        <v>154</v>
      </c>
      <c r="O289" s="1" t="s">
        <v>151</v>
      </c>
      <c r="P289" s="1" t="s">
        <v>430</v>
      </c>
      <c r="Q289" s="1" t="s">
        <v>147</v>
      </c>
      <c r="R289" s="1">
        <v>46236.5</v>
      </c>
      <c r="S289" s="1"/>
      <c r="T289" s="1" t="s">
        <v>148</v>
      </c>
      <c r="U289" s="1"/>
    </row>
    <row r="290" spans="1:21" ht="21" customHeight="1" x14ac:dyDescent="0.45">
      <c r="A290" s="14">
        <v>46235</v>
      </c>
      <c r="B290" s="1" t="s">
        <v>143</v>
      </c>
      <c r="C290" s="13">
        <v>46236.635416666664</v>
      </c>
      <c r="D290" s="13">
        <v>46236.645833333336</v>
      </c>
      <c r="E290" s="1" t="s">
        <v>321</v>
      </c>
      <c r="F290" s="12">
        <v>35.999999999999993</v>
      </c>
      <c r="G290" s="12">
        <v>100</v>
      </c>
      <c r="H290" s="18"/>
      <c r="I290" s="12"/>
      <c r="J290" s="12"/>
      <c r="K290" s="13">
        <v>46235.541666666664</v>
      </c>
      <c r="L290" s="13">
        <v>46235.583333333336</v>
      </c>
      <c r="M290" s="1" t="s">
        <v>145</v>
      </c>
      <c r="N290" s="1"/>
      <c r="O290" s="1"/>
      <c r="P290" s="1" t="s">
        <v>431</v>
      </c>
      <c r="Q290" s="1" t="s">
        <v>147</v>
      </c>
      <c r="R290" s="1">
        <v>46236.510416666664</v>
      </c>
      <c r="S290" s="1"/>
      <c r="T290" s="1" t="s">
        <v>148</v>
      </c>
      <c r="U290" s="1"/>
    </row>
    <row r="291" spans="1:21" ht="21" customHeight="1" x14ac:dyDescent="0.45">
      <c r="A291" s="14">
        <v>46235</v>
      </c>
      <c r="B291" s="1" t="s">
        <v>143</v>
      </c>
      <c r="C291" s="13">
        <v>46236.645833333336</v>
      </c>
      <c r="D291" s="13">
        <v>46236.65625</v>
      </c>
      <c r="E291" s="1" t="s">
        <v>321</v>
      </c>
      <c r="F291" s="12">
        <v>-36</v>
      </c>
      <c r="G291" s="12">
        <v>100</v>
      </c>
      <c r="H291" s="18"/>
      <c r="I291" s="12"/>
      <c r="J291" s="12"/>
      <c r="K291" s="13">
        <v>46235.541666666664</v>
      </c>
      <c r="L291" s="13">
        <v>46235.583333333336</v>
      </c>
      <c r="M291" s="1" t="s">
        <v>145</v>
      </c>
      <c r="N291" s="1"/>
      <c r="O291" s="1"/>
      <c r="P291" s="1" t="s">
        <v>432</v>
      </c>
      <c r="Q291" s="1" t="s">
        <v>147</v>
      </c>
      <c r="R291" s="1">
        <v>46236.520833333336</v>
      </c>
      <c r="S291" s="1"/>
      <c r="T291" s="1" t="s">
        <v>148</v>
      </c>
      <c r="U291" s="1"/>
    </row>
    <row r="292" spans="1:21" ht="21" customHeight="1" x14ac:dyDescent="0.45">
      <c r="A292" s="14">
        <v>46235</v>
      </c>
      <c r="B292" s="1" t="s">
        <v>143</v>
      </c>
      <c r="C292" s="13">
        <v>46236.65625</v>
      </c>
      <c r="D292" s="13">
        <v>46236.666666666664</v>
      </c>
      <c r="E292" s="1" t="s">
        <v>321</v>
      </c>
      <c r="F292" s="12">
        <v>-36</v>
      </c>
      <c r="G292" s="12">
        <v>100</v>
      </c>
      <c r="H292" s="18"/>
      <c r="I292" s="12"/>
      <c r="J292" s="12"/>
      <c r="K292" s="13">
        <v>46235.541666666664</v>
      </c>
      <c r="L292" s="13">
        <v>46235.583333333336</v>
      </c>
      <c r="M292" s="1" t="s">
        <v>145</v>
      </c>
      <c r="N292" s="1"/>
      <c r="O292" s="1"/>
      <c r="P292" s="1" t="s">
        <v>433</v>
      </c>
      <c r="Q292" s="1" t="s">
        <v>147</v>
      </c>
      <c r="R292" s="1">
        <v>46236.53125</v>
      </c>
      <c r="S292" s="1"/>
      <c r="T292" s="1" t="s">
        <v>148</v>
      </c>
      <c r="U292" s="1"/>
    </row>
    <row r="293" spans="1:21" ht="21" customHeight="1" x14ac:dyDescent="0.45">
      <c r="A293" s="14">
        <v>46235</v>
      </c>
      <c r="B293" s="1" t="s">
        <v>143</v>
      </c>
      <c r="C293" s="13">
        <v>46236.666666666664</v>
      </c>
      <c r="D293" s="13">
        <v>46236.677083333336</v>
      </c>
      <c r="E293" s="1" t="s">
        <v>321</v>
      </c>
      <c r="F293" s="12">
        <v>0</v>
      </c>
      <c r="G293" s="12">
        <v>100</v>
      </c>
      <c r="H293" s="18"/>
      <c r="I293" s="12"/>
      <c r="J293" s="12"/>
      <c r="K293" s="13">
        <v>46235.541666666664</v>
      </c>
      <c r="L293" s="13">
        <v>46235.583333333336</v>
      </c>
      <c r="M293" s="1" t="s">
        <v>145</v>
      </c>
      <c r="N293" s="1"/>
      <c r="O293" s="1"/>
      <c r="P293" s="1" t="s">
        <v>434</v>
      </c>
      <c r="Q293" s="1" t="s">
        <v>147</v>
      </c>
      <c r="R293" s="1">
        <v>46236.541666666664</v>
      </c>
      <c r="S293" s="1"/>
      <c r="T293" s="1" t="s">
        <v>148</v>
      </c>
      <c r="U293" s="1"/>
    </row>
    <row r="294" spans="1:21" ht="21" customHeight="1" x14ac:dyDescent="0.45">
      <c r="A294" s="14">
        <v>46235</v>
      </c>
      <c r="B294" s="1" t="s">
        <v>149</v>
      </c>
      <c r="C294" s="13">
        <v>46236.666666666664</v>
      </c>
      <c r="D294" s="13">
        <v>46236.708333333336</v>
      </c>
      <c r="E294" s="1" t="s">
        <v>321</v>
      </c>
      <c r="F294" s="12">
        <v>40</v>
      </c>
      <c r="G294" s="12">
        <v>40</v>
      </c>
      <c r="H294" s="18">
        <v>0.3125</v>
      </c>
      <c r="I294" s="12">
        <v>128</v>
      </c>
      <c r="J294" s="12">
        <v>40</v>
      </c>
      <c r="K294" s="13">
        <v>46235.375</v>
      </c>
      <c r="L294" s="13">
        <v>46235.416666666664</v>
      </c>
      <c r="M294" s="1" t="s">
        <v>145</v>
      </c>
      <c r="N294" s="1" t="s">
        <v>150</v>
      </c>
      <c r="O294" s="1" t="s">
        <v>151</v>
      </c>
      <c r="P294" s="1" t="s">
        <v>435</v>
      </c>
      <c r="Q294" s="1" t="s">
        <v>147</v>
      </c>
      <c r="R294" s="1">
        <v>46236.541666666664</v>
      </c>
      <c r="S294" s="1" t="s">
        <v>153</v>
      </c>
      <c r="T294" s="1" t="s">
        <v>148</v>
      </c>
      <c r="U294" s="1"/>
    </row>
    <row r="295" spans="1:21" ht="21" customHeight="1" x14ac:dyDescent="0.45">
      <c r="A295" s="14">
        <v>46235</v>
      </c>
      <c r="B295" s="1" t="s">
        <v>103</v>
      </c>
      <c r="C295" s="13">
        <v>46236.666666666664</v>
      </c>
      <c r="D295" s="13">
        <v>46236.708333333336</v>
      </c>
      <c r="E295" s="1" t="s">
        <v>321</v>
      </c>
      <c r="F295" s="12">
        <v>24</v>
      </c>
      <c r="G295" s="12">
        <v>24</v>
      </c>
      <c r="H295" s="18">
        <v>0.13714285714285715</v>
      </c>
      <c r="I295" s="12">
        <v>175</v>
      </c>
      <c r="J295" s="12">
        <v>24</v>
      </c>
      <c r="K295" s="13">
        <v>46235.375</v>
      </c>
      <c r="L295" s="13">
        <v>46235.416666666664</v>
      </c>
      <c r="M295" s="1" t="s">
        <v>145</v>
      </c>
      <c r="N295" s="1" t="s">
        <v>154</v>
      </c>
      <c r="O295" s="1" t="s">
        <v>151</v>
      </c>
      <c r="P295" s="1" t="s">
        <v>436</v>
      </c>
      <c r="Q295" s="1" t="s">
        <v>147</v>
      </c>
      <c r="R295" s="1">
        <v>46236.541666666664</v>
      </c>
      <c r="S295" s="1"/>
      <c r="T295" s="1" t="s">
        <v>148</v>
      </c>
      <c r="U295" s="1"/>
    </row>
    <row r="296" spans="1:21" ht="21" customHeight="1" x14ac:dyDescent="0.45">
      <c r="A296" s="14">
        <v>46235</v>
      </c>
      <c r="B296" s="1" t="s">
        <v>101</v>
      </c>
      <c r="C296" s="13">
        <v>46236.666666666664</v>
      </c>
      <c r="D296" s="13">
        <v>46236.708333333336</v>
      </c>
      <c r="E296" s="1" t="s">
        <v>321</v>
      </c>
      <c r="F296" s="12">
        <v>24</v>
      </c>
      <c r="G296" s="12">
        <v>24</v>
      </c>
      <c r="H296" s="18">
        <v>0.13714285714285715</v>
      </c>
      <c r="I296" s="12">
        <v>175</v>
      </c>
      <c r="J296" s="12">
        <v>24</v>
      </c>
      <c r="K296" s="13">
        <v>46235.375</v>
      </c>
      <c r="L296" s="13">
        <v>46235.416666666664</v>
      </c>
      <c r="M296" s="1" t="s">
        <v>145</v>
      </c>
      <c r="N296" s="1" t="s">
        <v>154</v>
      </c>
      <c r="O296" s="1" t="s">
        <v>151</v>
      </c>
      <c r="P296" s="1" t="s">
        <v>437</v>
      </c>
      <c r="Q296" s="1" t="s">
        <v>147</v>
      </c>
      <c r="R296" s="1">
        <v>46236.541666666664</v>
      </c>
      <c r="S296" s="1"/>
      <c r="T296" s="1" t="s">
        <v>148</v>
      </c>
      <c r="U296" s="1"/>
    </row>
    <row r="297" spans="1:21" ht="21" customHeight="1" x14ac:dyDescent="0.45">
      <c r="A297" s="14">
        <v>46235</v>
      </c>
      <c r="B297" s="1" t="s">
        <v>143</v>
      </c>
      <c r="C297" s="13">
        <v>46236.677083333336</v>
      </c>
      <c r="D297" s="13">
        <v>46236.6875</v>
      </c>
      <c r="E297" s="1" t="s">
        <v>321</v>
      </c>
      <c r="F297" s="12">
        <v>-1.513646080067296</v>
      </c>
      <c r="G297" s="12">
        <v>100</v>
      </c>
      <c r="H297" s="18"/>
      <c r="I297" s="12"/>
      <c r="J297" s="12"/>
      <c r="K297" s="13">
        <v>46235.541666666664</v>
      </c>
      <c r="L297" s="13">
        <v>46235.583333333336</v>
      </c>
      <c r="M297" s="1" t="s">
        <v>145</v>
      </c>
      <c r="N297" s="1"/>
      <c r="O297" s="1"/>
      <c r="P297" s="1" t="s">
        <v>438</v>
      </c>
      <c r="Q297" s="1" t="s">
        <v>147</v>
      </c>
      <c r="R297" s="1">
        <v>46236.552083333336</v>
      </c>
      <c r="S297" s="1"/>
      <c r="T297" s="1" t="s">
        <v>148</v>
      </c>
      <c r="U297" s="1"/>
    </row>
    <row r="298" spans="1:21" ht="21" customHeight="1" x14ac:dyDescent="0.45">
      <c r="A298" s="14">
        <v>46235</v>
      </c>
      <c r="B298" s="1" t="s">
        <v>143</v>
      </c>
      <c r="C298" s="13">
        <v>46236.6875</v>
      </c>
      <c r="D298" s="13">
        <v>46236.697916666664</v>
      </c>
      <c r="E298" s="1" t="s">
        <v>321</v>
      </c>
      <c r="F298" s="12">
        <v>-2.8374356393544509</v>
      </c>
      <c r="G298" s="12">
        <v>100</v>
      </c>
      <c r="H298" s="18"/>
      <c r="I298" s="12"/>
      <c r="J298" s="12"/>
      <c r="K298" s="13">
        <v>46235.541666666664</v>
      </c>
      <c r="L298" s="13">
        <v>46235.583333333336</v>
      </c>
      <c r="M298" s="1" t="s">
        <v>145</v>
      </c>
      <c r="N298" s="1"/>
      <c r="O298" s="1"/>
      <c r="P298" s="1" t="s">
        <v>439</v>
      </c>
      <c r="Q298" s="1" t="s">
        <v>147</v>
      </c>
      <c r="R298" s="1">
        <v>46236.5625</v>
      </c>
      <c r="S298" s="1"/>
      <c r="T298" s="1" t="s">
        <v>148</v>
      </c>
      <c r="U298" s="1"/>
    </row>
    <row r="299" spans="1:21" ht="21" customHeight="1" x14ac:dyDescent="0.45">
      <c r="A299" s="14">
        <v>46235</v>
      </c>
      <c r="B299" s="1" t="s">
        <v>143</v>
      </c>
      <c r="C299" s="13">
        <v>46236.697916666664</v>
      </c>
      <c r="D299" s="13">
        <v>46236.708333333336</v>
      </c>
      <c r="E299" s="1" t="s">
        <v>321</v>
      </c>
      <c r="F299" s="12">
        <v>-0.47971414569927678</v>
      </c>
      <c r="G299" s="12">
        <v>100</v>
      </c>
      <c r="H299" s="18"/>
      <c r="I299" s="12"/>
      <c r="J299" s="12"/>
      <c r="K299" s="13">
        <v>46235.541666666664</v>
      </c>
      <c r="L299" s="13">
        <v>46235.583333333336</v>
      </c>
      <c r="M299" s="1" t="s">
        <v>145</v>
      </c>
      <c r="N299" s="1"/>
      <c r="O299" s="1"/>
      <c r="P299" s="1" t="s">
        <v>440</v>
      </c>
      <c r="Q299" s="1" t="s">
        <v>147</v>
      </c>
      <c r="R299" s="1">
        <v>46236.572916666664</v>
      </c>
      <c r="S299" s="1"/>
      <c r="T299" s="1" t="s">
        <v>148</v>
      </c>
      <c r="U299" s="1"/>
    </row>
    <row r="300" spans="1:21" ht="21" customHeight="1" x14ac:dyDescent="0.45">
      <c r="A300" s="14">
        <v>46235</v>
      </c>
      <c r="B300" s="1" t="s">
        <v>143</v>
      </c>
      <c r="C300" s="13">
        <v>46236.708333333336</v>
      </c>
      <c r="D300" s="13">
        <v>46236.71875</v>
      </c>
      <c r="E300" s="1" t="s">
        <v>321</v>
      </c>
      <c r="F300" s="12">
        <v>0.20654795542531273</v>
      </c>
      <c r="G300" s="12">
        <v>100</v>
      </c>
      <c r="H300" s="18"/>
      <c r="I300" s="12"/>
      <c r="J300" s="12"/>
      <c r="K300" s="13">
        <v>46235.541666666664</v>
      </c>
      <c r="L300" s="13">
        <v>46235.583333333336</v>
      </c>
      <c r="M300" s="1" t="s">
        <v>145</v>
      </c>
      <c r="N300" s="1"/>
      <c r="O300" s="1"/>
      <c r="P300" s="1" t="s">
        <v>441</v>
      </c>
      <c r="Q300" s="1" t="s">
        <v>147</v>
      </c>
      <c r="R300" s="1">
        <v>46236.583333333336</v>
      </c>
      <c r="S300" s="1"/>
      <c r="T300" s="1" t="s">
        <v>148</v>
      </c>
      <c r="U300" s="1"/>
    </row>
    <row r="301" spans="1:21" ht="21" customHeight="1" x14ac:dyDescent="0.45">
      <c r="A301" s="14">
        <v>46235</v>
      </c>
      <c r="B301" s="1" t="s">
        <v>149</v>
      </c>
      <c r="C301" s="13">
        <v>46236.708333333336</v>
      </c>
      <c r="D301" s="13">
        <v>46236.75</v>
      </c>
      <c r="E301" s="1" t="s">
        <v>321</v>
      </c>
      <c r="F301" s="12">
        <v>40</v>
      </c>
      <c r="G301" s="12">
        <v>40</v>
      </c>
      <c r="H301" s="18">
        <v>0.3125</v>
      </c>
      <c r="I301" s="12">
        <v>128</v>
      </c>
      <c r="J301" s="12">
        <v>40</v>
      </c>
      <c r="K301" s="13">
        <v>46235.375</v>
      </c>
      <c r="L301" s="13">
        <v>46235.416666666664</v>
      </c>
      <c r="M301" s="1" t="s">
        <v>145</v>
      </c>
      <c r="N301" s="1" t="s">
        <v>150</v>
      </c>
      <c r="O301" s="1" t="s">
        <v>151</v>
      </c>
      <c r="P301" s="1" t="s">
        <v>442</v>
      </c>
      <c r="Q301" s="1" t="s">
        <v>147</v>
      </c>
      <c r="R301" s="1">
        <v>46236.583333333336</v>
      </c>
      <c r="S301" s="1" t="s">
        <v>153</v>
      </c>
      <c r="T301" s="1" t="s">
        <v>148</v>
      </c>
      <c r="U301" s="1"/>
    </row>
    <row r="302" spans="1:21" ht="21" customHeight="1" x14ac:dyDescent="0.45">
      <c r="A302" s="14">
        <v>46235</v>
      </c>
      <c r="B302" s="1" t="s">
        <v>103</v>
      </c>
      <c r="C302" s="13">
        <v>46236.708333333336</v>
      </c>
      <c r="D302" s="13">
        <v>46236.75</v>
      </c>
      <c r="E302" s="1" t="s">
        <v>321</v>
      </c>
      <c r="F302" s="12">
        <v>24</v>
      </c>
      <c r="G302" s="12">
        <v>24</v>
      </c>
      <c r="H302" s="18">
        <v>0.13714285714285715</v>
      </c>
      <c r="I302" s="12">
        <v>175</v>
      </c>
      <c r="J302" s="12">
        <v>24</v>
      </c>
      <c r="K302" s="13">
        <v>46235.375</v>
      </c>
      <c r="L302" s="13">
        <v>46235.416666666664</v>
      </c>
      <c r="M302" s="1" t="s">
        <v>145</v>
      </c>
      <c r="N302" s="1" t="s">
        <v>154</v>
      </c>
      <c r="O302" s="1" t="s">
        <v>151</v>
      </c>
      <c r="P302" s="1" t="s">
        <v>443</v>
      </c>
      <c r="Q302" s="1" t="s">
        <v>147</v>
      </c>
      <c r="R302" s="1">
        <v>46236.583333333336</v>
      </c>
      <c r="S302" s="1"/>
      <c r="T302" s="1" t="s">
        <v>148</v>
      </c>
      <c r="U302" s="1"/>
    </row>
    <row r="303" spans="1:21" ht="21" customHeight="1" x14ac:dyDescent="0.45">
      <c r="A303" s="14">
        <v>46235</v>
      </c>
      <c r="B303" s="1" t="s">
        <v>101</v>
      </c>
      <c r="C303" s="13">
        <v>46236.708333333336</v>
      </c>
      <c r="D303" s="13">
        <v>46236.75</v>
      </c>
      <c r="E303" s="1" t="s">
        <v>321</v>
      </c>
      <c r="F303" s="12">
        <v>24</v>
      </c>
      <c r="G303" s="12">
        <v>24</v>
      </c>
      <c r="H303" s="18">
        <v>0.13714285714285715</v>
      </c>
      <c r="I303" s="12">
        <v>175</v>
      </c>
      <c r="J303" s="12">
        <v>24</v>
      </c>
      <c r="K303" s="13">
        <v>46235.375</v>
      </c>
      <c r="L303" s="13">
        <v>46235.416666666664</v>
      </c>
      <c r="M303" s="1" t="s">
        <v>145</v>
      </c>
      <c r="N303" s="1" t="s">
        <v>154</v>
      </c>
      <c r="O303" s="1" t="s">
        <v>151</v>
      </c>
      <c r="P303" s="1" t="s">
        <v>444</v>
      </c>
      <c r="Q303" s="1" t="s">
        <v>147</v>
      </c>
      <c r="R303" s="1">
        <v>46236.583333333336</v>
      </c>
      <c r="S303" s="1"/>
      <c r="T303" s="1" t="s">
        <v>148</v>
      </c>
      <c r="U303" s="1"/>
    </row>
    <row r="304" spans="1:21" ht="21" customHeight="1" x14ac:dyDescent="0.45">
      <c r="A304" s="14">
        <v>46235</v>
      </c>
      <c r="B304" s="1" t="s">
        <v>143</v>
      </c>
      <c r="C304" s="13">
        <v>46236.71875</v>
      </c>
      <c r="D304" s="13">
        <v>46236.729166666664</v>
      </c>
      <c r="E304" s="1" t="s">
        <v>321</v>
      </c>
      <c r="F304" s="12">
        <v>-3.195144646727063</v>
      </c>
      <c r="G304" s="12">
        <v>100</v>
      </c>
      <c r="H304" s="18"/>
      <c r="I304" s="12"/>
      <c r="J304" s="12"/>
      <c r="K304" s="13">
        <v>46235.541666666664</v>
      </c>
      <c r="L304" s="13">
        <v>46235.583333333336</v>
      </c>
      <c r="M304" s="1" t="s">
        <v>145</v>
      </c>
      <c r="N304" s="1"/>
      <c r="O304" s="1"/>
      <c r="P304" s="1" t="s">
        <v>445</v>
      </c>
      <c r="Q304" s="1" t="s">
        <v>147</v>
      </c>
      <c r="R304" s="1">
        <v>46236.59375</v>
      </c>
      <c r="S304" s="1"/>
      <c r="T304" s="1" t="s">
        <v>148</v>
      </c>
      <c r="U304" s="1"/>
    </row>
    <row r="305" spans="1:21" ht="21" customHeight="1" x14ac:dyDescent="0.45">
      <c r="A305" s="14">
        <v>46235</v>
      </c>
      <c r="B305" s="1" t="s">
        <v>143</v>
      </c>
      <c r="C305" s="13">
        <v>46236.729166666664</v>
      </c>
      <c r="D305" s="13">
        <v>46236.739583333336</v>
      </c>
      <c r="E305" s="1" t="s">
        <v>321</v>
      </c>
      <c r="F305" s="12">
        <v>-5.3278247767648477</v>
      </c>
      <c r="G305" s="12">
        <v>100</v>
      </c>
      <c r="H305" s="18"/>
      <c r="I305" s="12"/>
      <c r="J305" s="12"/>
      <c r="K305" s="13">
        <v>46235.541666666664</v>
      </c>
      <c r="L305" s="13">
        <v>46235.583333333336</v>
      </c>
      <c r="M305" s="1" t="s">
        <v>145</v>
      </c>
      <c r="N305" s="1"/>
      <c r="O305" s="1"/>
      <c r="P305" s="1" t="s">
        <v>446</v>
      </c>
      <c r="Q305" s="1" t="s">
        <v>147</v>
      </c>
      <c r="R305" s="1">
        <v>46236.604166666664</v>
      </c>
      <c r="S305" s="1"/>
      <c r="T305" s="1" t="s">
        <v>148</v>
      </c>
      <c r="U305" s="1"/>
    </row>
    <row r="306" spans="1:21" ht="21" customHeight="1" x14ac:dyDescent="0.45">
      <c r="A306" s="14">
        <v>46235</v>
      </c>
      <c r="B306" s="1" t="s">
        <v>143</v>
      </c>
      <c r="C306" s="13">
        <v>46236.739583333336</v>
      </c>
      <c r="D306" s="13">
        <v>46236.75</v>
      </c>
      <c r="E306" s="1" t="s">
        <v>321</v>
      </c>
      <c r="F306" s="12">
        <v>35.999999999999993</v>
      </c>
      <c r="G306" s="12">
        <v>100</v>
      </c>
      <c r="H306" s="18"/>
      <c r="I306" s="12"/>
      <c r="J306" s="12"/>
      <c r="K306" s="13">
        <v>46235.541666666664</v>
      </c>
      <c r="L306" s="13">
        <v>46235.583333333336</v>
      </c>
      <c r="M306" s="1" t="s">
        <v>145</v>
      </c>
      <c r="N306" s="1"/>
      <c r="O306" s="1"/>
      <c r="P306" s="1" t="s">
        <v>447</v>
      </c>
      <c r="Q306" s="1" t="s">
        <v>147</v>
      </c>
      <c r="R306" s="1">
        <v>46236.614583333336</v>
      </c>
      <c r="S306" s="1"/>
      <c r="T306" s="1" t="s">
        <v>148</v>
      </c>
      <c r="U306" s="1"/>
    </row>
    <row r="307" spans="1:21" ht="21" customHeight="1" x14ac:dyDescent="0.45">
      <c r="A307" s="14">
        <v>46235</v>
      </c>
      <c r="B307" s="1" t="s">
        <v>143</v>
      </c>
      <c r="C307" s="13">
        <v>46236.75</v>
      </c>
      <c r="D307" s="13">
        <v>46236.760416666664</v>
      </c>
      <c r="E307" s="1" t="s">
        <v>321</v>
      </c>
      <c r="F307" s="12">
        <v>-60</v>
      </c>
      <c r="G307" s="12">
        <v>100</v>
      </c>
      <c r="H307" s="18"/>
      <c r="I307" s="12"/>
      <c r="J307" s="12"/>
      <c r="K307" s="13">
        <v>46235.541666666664</v>
      </c>
      <c r="L307" s="13">
        <v>46235.583333333336</v>
      </c>
      <c r="M307" s="1" t="s">
        <v>145</v>
      </c>
      <c r="N307" s="1"/>
      <c r="O307" s="1"/>
      <c r="P307" s="1" t="s">
        <v>448</v>
      </c>
      <c r="Q307" s="1" t="s">
        <v>147</v>
      </c>
      <c r="R307" s="1">
        <v>46236.625</v>
      </c>
      <c r="S307" s="1"/>
      <c r="T307" s="1" t="s">
        <v>148</v>
      </c>
      <c r="U307" s="1"/>
    </row>
    <row r="308" spans="1:21" ht="21" customHeight="1" x14ac:dyDescent="0.45">
      <c r="A308" s="14">
        <v>46235</v>
      </c>
      <c r="B308" s="1" t="s">
        <v>149</v>
      </c>
      <c r="C308" s="13">
        <v>46236.75</v>
      </c>
      <c r="D308" s="13">
        <v>46236.791666666664</v>
      </c>
      <c r="E308" s="1" t="s">
        <v>321</v>
      </c>
      <c r="F308" s="12">
        <v>40</v>
      </c>
      <c r="G308" s="12">
        <v>40</v>
      </c>
      <c r="H308" s="18">
        <v>0.3125</v>
      </c>
      <c r="I308" s="12">
        <v>128</v>
      </c>
      <c r="J308" s="12">
        <v>40</v>
      </c>
      <c r="K308" s="13">
        <v>46235.375</v>
      </c>
      <c r="L308" s="13">
        <v>46235.416666666664</v>
      </c>
      <c r="M308" s="1" t="s">
        <v>145</v>
      </c>
      <c r="N308" s="1" t="s">
        <v>150</v>
      </c>
      <c r="O308" s="1" t="s">
        <v>151</v>
      </c>
      <c r="P308" s="1" t="s">
        <v>449</v>
      </c>
      <c r="Q308" s="1" t="s">
        <v>147</v>
      </c>
      <c r="R308" s="1">
        <v>46236.625</v>
      </c>
      <c r="S308" s="1" t="s">
        <v>153</v>
      </c>
      <c r="T308" s="1" t="s">
        <v>148</v>
      </c>
      <c r="U308" s="1"/>
    </row>
    <row r="309" spans="1:21" ht="21" customHeight="1" x14ac:dyDescent="0.45">
      <c r="A309" s="14">
        <v>46235</v>
      </c>
      <c r="B309" s="1" t="s">
        <v>103</v>
      </c>
      <c r="C309" s="13">
        <v>46236.75</v>
      </c>
      <c r="D309" s="13">
        <v>46236.791666666664</v>
      </c>
      <c r="E309" s="1" t="s">
        <v>321</v>
      </c>
      <c r="F309" s="12">
        <v>0</v>
      </c>
      <c r="G309" s="12">
        <v>24</v>
      </c>
      <c r="H309" s="18">
        <v>0.13714285714285715</v>
      </c>
      <c r="I309" s="12">
        <v>175</v>
      </c>
      <c r="J309" s="12">
        <v>24</v>
      </c>
      <c r="K309" s="13">
        <v>46235.375</v>
      </c>
      <c r="L309" s="13">
        <v>46235.416666666664</v>
      </c>
      <c r="M309" s="1" t="s">
        <v>145</v>
      </c>
      <c r="N309" s="1" t="s">
        <v>154</v>
      </c>
      <c r="O309" s="1" t="s">
        <v>151</v>
      </c>
      <c r="P309" s="1" t="s">
        <v>450</v>
      </c>
      <c r="Q309" s="1" t="s">
        <v>147</v>
      </c>
      <c r="R309" s="1">
        <v>46236.625</v>
      </c>
      <c r="S309" s="1"/>
      <c r="T309" s="1" t="s">
        <v>148</v>
      </c>
      <c r="U309" s="1"/>
    </row>
    <row r="310" spans="1:21" ht="21" customHeight="1" x14ac:dyDescent="0.45">
      <c r="A310" s="14">
        <v>46235</v>
      </c>
      <c r="B310" s="1" t="s">
        <v>101</v>
      </c>
      <c r="C310" s="13">
        <v>46236.75</v>
      </c>
      <c r="D310" s="13">
        <v>46236.791666666664</v>
      </c>
      <c r="E310" s="1" t="s">
        <v>321</v>
      </c>
      <c r="F310" s="12">
        <v>24</v>
      </c>
      <c r="G310" s="12">
        <v>24</v>
      </c>
      <c r="H310" s="18">
        <v>0.13714285714285715</v>
      </c>
      <c r="I310" s="12">
        <v>175</v>
      </c>
      <c r="J310" s="12">
        <v>24</v>
      </c>
      <c r="K310" s="13">
        <v>46235.375</v>
      </c>
      <c r="L310" s="13">
        <v>46235.416666666664</v>
      </c>
      <c r="M310" s="1" t="s">
        <v>145</v>
      </c>
      <c r="N310" s="1" t="s">
        <v>154</v>
      </c>
      <c r="O310" s="1" t="s">
        <v>151</v>
      </c>
      <c r="P310" s="1" t="s">
        <v>451</v>
      </c>
      <c r="Q310" s="1" t="s">
        <v>147</v>
      </c>
      <c r="R310" s="1">
        <v>46236.625</v>
      </c>
      <c r="S310" s="1"/>
      <c r="T310" s="1" t="s">
        <v>148</v>
      </c>
      <c r="U310" s="1"/>
    </row>
    <row r="311" spans="1:21" ht="21" customHeight="1" x14ac:dyDescent="0.45">
      <c r="A311" s="14">
        <v>46235</v>
      </c>
      <c r="B311" s="1" t="s">
        <v>143</v>
      </c>
      <c r="C311" s="13">
        <v>46236.760416666664</v>
      </c>
      <c r="D311" s="13">
        <v>46236.770833333336</v>
      </c>
      <c r="E311" s="1" t="s">
        <v>321</v>
      </c>
      <c r="F311" s="12">
        <v>-4.8734562237868522</v>
      </c>
      <c r="G311" s="12">
        <v>100</v>
      </c>
      <c r="H311" s="18"/>
      <c r="I311" s="12"/>
      <c r="J311" s="12"/>
      <c r="K311" s="13">
        <v>46235.541666666664</v>
      </c>
      <c r="L311" s="13">
        <v>46235.583333333336</v>
      </c>
      <c r="M311" s="1" t="s">
        <v>145</v>
      </c>
      <c r="N311" s="1"/>
      <c r="O311" s="1"/>
      <c r="P311" s="1" t="s">
        <v>452</v>
      </c>
      <c r="Q311" s="1" t="s">
        <v>147</v>
      </c>
      <c r="R311" s="1">
        <v>46236.635416666664</v>
      </c>
      <c r="S311" s="1"/>
      <c r="T311" s="1" t="s">
        <v>148</v>
      </c>
      <c r="U311" s="1"/>
    </row>
    <row r="312" spans="1:21" ht="21" customHeight="1" x14ac:dyDescent="0.45">
      <c r="A312" s="14">
        <v>46235</v>
      </c>
      <c r="B312" s="1" t="s">
        <v>143</v>
      </c>
      <c r="C312" s="13">
        <v>46236.770833333336</v>
      </c>
      <c r="D312" s="13">
        <v>46236.78125</v>
      </c>
      <c r="E312" s="1" t="s">
        <v>321</v>
      </c>
      <c r="F312" s="12">
        <v>-13.717014268942636</v>
      </c>
      <c r="G312" s="12">
        <v>100</v>
      </c>
      <c r="H312" s="18"/>
      <c r="I312" s="12"/>
      <c r="J312" s="12"/>
      <c r="K312" s="13">
        <v>46235.541666666664</v>
      </c>
      <c r="L312" s="13">
        <v>46235.583333333336</v>
      </c>
      <c r="M312" s="1" t="s">
        <v>145</v>
      </c>
      <c r="N312" s="1"/>
      <c r="O312" s="1"/>
      <c r="P312" s="1" t="s">
        <v>453</v>
      </c>
      <c r="Q312" s="1" t="s">
        <v>147</v>
      </c>
      <c r="R312" s="1">
        <v>46236.645833333336</v>
      </c>
      <c r="S312" s="1"/>
      <c r="T312" s="1" t="s">
        <v>148</v>
      </c>
      <c r="U312" s="1"/>
    </row>
    <row r="313" spans="1:21" ht="21" customHeight="1" x14ac:dyDescent="0.45">
      <c r="A313" s="14">
        <v>46235</v>
      </c>
      <c r="B313" s="1" t="s">
        <v>143</v>
      </c>
      <c r="C313" s="13">
        <v>46236.78125</v>
      </c>
      <c r="D313" s="13">
        <v>46236.791666666664</v>
      </c>
      <c r="E313" s="1" t="s">
        <v>321</v>
      </c>
      <c r="F313" s="12">
        <v>-7.5110131205901158</v>
      </c>
      <c r="G313" s="12">
        <v>100</v>
      </c>
      <c r="H313" s="18"/>
      <c r="I313" s="12"/>
      <c r="J313" s="12"/>
      <c r="K313" s="13">
        <v>46235.541666666664</v>
      </c>
      <c r="L313" s="13">
        <v>46235.583333333336</v>
      </c>
      <c r="M313" s="1" t="s">
        <v>145</v>
      </c>
      <c r="N313" s="1"/>
      <c r="O313" s="1"/>
      <c r="P313" s="1" t="s">
        <v>454</v>
      </c>
      <c r="Q313" s="1" t="s">
        <v>147</v>
      </c>
      <c r="R313" s="1">
        <v>46236.65625</v>
      </c>
      <c r="S313" s="1"/>
      <c r="T313" s="1" t="s">
        <v>148</v>
      </c>
      <c r="U313" s="1"/>
    </row>
    <row r="314" spans="1:21" ht="21" customHeight="1" x14ac:dyDescent="0.45">
      <c r="A314" s="14">
        <v>46235</v>
      </c>
      <c r="B314" s="1" t="s">
        <v>143</v>
      </c>
      <c r="C314" s="13">
        <v>46236.791666666664</v>
      </c>
      <c r="D314" s="13">
        <v>46236.802083333336</v>
      </c>
      <c r="E314" s="1" t="s">
        <v>321</v>
      </c>
      <c r="F314" s="12">
        <v>0</v>
      </c>
      <c r="G314" s="12">
        <v>100</v>
      </c>
      <c r="H314" s="18"/>
      <c r="I314" s="12"/>
      <c r="J314" s="12"/>
      <c r="K314" s="13">
        <v>46235.541666666664</v>
      </c>
      <c r="L314" s="13">
        <v>46235.583333333336</v>
      </c>
      <c r="M314" s="1" t="s">
        <v>145</v>
      </c>
      <c r="N314" s="1"/>
      <c r="O314" s="1"/>
      <c r="P314" s="1" t="s">
        <v>455</v>
      </c>
      <c r="Q314" s="1" t="s">
        <v>147</v>
      </c>
      <c r="R314" s="1">
        <v>46237</v>
      </c>
      <c r="S314" s="1"/>
      <c r="T314" s="1" t="s">
        <v>148</v>
      </c>
      <c r="U314" s="1"/>
    </row>
    <row r="315" spans="1:21" ht="21" customHeight="1" x14ac:dyDescent="0.45">
      <c r="A315" s="14">
        <v>46235</v>
      </c>
      <c r="B315" s="1" t="s">
        <v>149</v>
      </c>
      <c r="C315" s="13">
        <v>46236.791666666664</v>
      </c>
      <c r="D315" s="13">
        <v>46236.833333333336</v>
      </c>
      <c r="E315" s="1" t="s">
        <v>321</v>
      </c>
      <c r="F315" s="12">
        <v>40</v>
      </c>
      <c r="G315" s="12">
        <v>40</v>
      </c>
      <c r="H315" s="18">
        <v>0.3125</v>
      </c>
      <c r="I315" s="12">
        <v>128</v>
      </c>
      <c r="J315" s="12">
        <v>40</v>
      </c>
      <c r="K315" s="13">
        <v>46235.375</v>
      </c>
      <c r="L315" s="13">
        <v>46235.416666666664</v>
      </c>
      <c r="M315" s="1" t="s">
        <v>145</v>
      </c>
      <c r="N315" s="1" t="s">
        <v>150</v>
      </c>
      <c r="O315" s="1" t="s">
        <v>151</v>
      </c>
      <c r="P315" s="1" t="s">
        <v>456</v>
      </c>
      <c r="Q315" s="1" t="s">
        <v>147</v>
      </c>
      <c r="R315" s="1">
        <v>46237</v>
      </c>
      <c r="S315" s="1" t="s">
        <v>153</v>
      </c>
      <c r="T315" s="1" t="s">
        <v>148</v>
      </c>
      <c r="U315" s="1"/>
    </row>
    <row r="316" spans="1:21" ht="21" customHeight="1" x14ac:dyDescent="0.45">
      <c r="A316" s="14">
        <v>46235</v>
      </c>
      <c r="B316" s="1" t="s">
        <v>103</v>
      </c>
      <c r="C316" s="13">
        <v>46236.791666666664</v>
      </c>
      <c r="D316" s="13">
        <v>46236.833333333336</v>
      </c>
      <c r="E316" s="1" t="s">
        <v>321</v>
      </c>
      <c r="F316" s="12">
        <v>24</v>
      </c>
      <c r="G316" s="12">
        <v>24</v>
      </c>
      <c r="H316" s="18">
        <v>0.13714285714285715</v>
      </c>
      <c r="I316" s="12">
        <v>175</v>
      </c>
      <c r="J316" s="12">
        <v>24</v>
      </c>
      <c r="K316" s="13">
        <v>46235.375</v>
      </c>
      <c r="L316" s="13">
        <v>46235.416666666664</v>
      </c>
      <c r="M316" s="1" t="s">
        <v>145</v>
      </c>
      <c r="N316" s="1" t="s">
        <v>154</v>
      </c>
      <c r="O316" s="1" t="s">
        <v>151</v>
      </c>
      <c r="P316" s="1" t="s">
        <v>457</v>
      </c>
      <c r="Q316" s="1" t="s">
        <v>147</v>
      </c>
      <c r="R316" s="1">
        <v>46237</v>
      </c>
      <c r="S316" s="1"/>
      <c r="T316" s="1" t="s">
        <v>148</v>
      </c>
      <c r="U316" s="1"/>
    </row>
    <row r="317" spans="1:21" ht="21" customHeight="1" x14ac:dyDescent="0.45">
      <c r="A317" s="14">
        <v>46235</v>
      </c>
      <c r="B317" s="1" t="s">
        <v>101</v>
      </c>
      <c r="C317" s="13">
        <v>46236.791666666664</v>
      </c>
      <c r="D317" s="13">
        <v>46236.833333333336</v>
      </c>
      <c r="E317" s="1" t="s">
        <v>321</v>
      </c>
      <c r="F317" s="12">
        <v>24</v>
      </c>
      <c r="G317" s="12">
        <v>24</v>
      </c>
      <c r="H317" s="18">
        <v>0.13714285714285715</v>
      </c>
      <c r="I317" s="12">
        <v>175</v>
      </c>
      <c r="J317" s="12">
        <v>24</v>
      </c>
      <c r="K317" s="13">
        <v>46235.375</v>
      </c>
      <c r="L317" s="13">
        <v>46235.416666666664</v>
      </c>
      <c r="M317" s="1" t="s">
        <v>145</v>
      </c>
      <c r="N317" s="1" t="s">
        <v>154</v>
      </c>
      <c r="O317" s="1" t="s">
        <v>151</v>
      </c>
      <c r="P317" s="1" t="s">
        <v>458</v>
      </c>
      <c r="Q317" s="1" t="s">
        <v>147</v>
      </c>
      <c r="R317" s="1">
        <v>46237</v>
      </c>
      <c r="S317" s="1"/>
      <c r="T317" s="1" t="s">
        <v>148</v>
      </c>
      <c r="U317" s="1"/>
    </row>
    <row r="318" spans="1:21" ht="21" customHeight="1" x14ac:dyDescent="0.45">
      <c r="A318" s="14">
        <v>46235</v>
      </c>
      <c r="B318" s="1" t="s">
        <v>143</v>
      </c>
      <c r="C318" s="13">
        <v>46236.802083333336</v>
      </c>
      <c r="D318" s="13">
        <v>46236.8125</v>
      </c>
      <c r="E318" s="1" t="s">
        <v>321</v>
      </c>
      <c r="F318" s="12">
        <v>36</v>
      </c>
      <c r="G318" s="12">
        <v>100</v>
      </c>
      <c r="H318" s="18"/>
      <c r="I318" s="12"/>
      <c r="J318" s="12"/>
      <c r="K318" s="13">
        <v>46235.541666666664</v>
      </c>
      <c r="L318" s="13">
        <v>46235.583333333336</v>
      </c>
      <c r="M318" s="1" t="s">
        <v>145</v>
      </c>
      <c r="N318" s="1"/>
      <c r="O318" s="1"/>
      <c r="P318" s="1" t="s">
        <v>459</v>
      </c>
      <c r="Q318" s="1" t="s">
        <v>147</v>
      </c>
      <c r="R318" s="1">
        <v>46236.677083333336</v>
      </c>
      <c r="S318" s="1"/>
      <c r="T318" s="1" t="s">
        <v>148</v>
      </c>
      <c r="U318" s="1"/>
    </row>
    <row r="319" spans="1:21" ht="21" customHeight="1" x14ac:dyDescent="0.45">
      <c r="A319" s="14">
        <v>46235</v>
      </c>
      <c r="B319" s="1" t="s">
        <v>143</v>
      </c>
      <c r="C319" s="13">
        <v>46236.8125</v>
      </c>
      <c r="D319" s="13">
        <v>46236.822916666664</v>
      </c>
      <c r="E319" s="1" t="s">
        <v>321</v>
      </c>
      <c r="F319" s="12">
        <v>0</v>
      </c>
      <c r="G319" s="12">
        <v>100</v>
      </c>
      <c r="H319" s="18"/>
      <c r="I319" s="12"/>
      <c r="J319" s="12"/>
      <c r="K319" s="13">
        <v>46235.541666666664</v>
      </c>
      <c r="L319" s="13">
        <v>46235.583333333336</v>
      </c>
      <c r="M319" s="1" t="s">
        <v>145</v>
      </c>
      <c r="N319" s="1"/>
      <c r="O319" s="1"/>
      <c r="P319" s="1" t="s">
        <v>460</v>
      </c>
      <c r="Q319" s="1" t="s">
        <v>147</v>
      </c>
      <c r="R319" s="1">
        <v>46236.6875</v>
      </c>
      <c r="S319" s="1"/>
      <c r="T319" s="1" t="s">
        <v>148</v>
      </c>
      <c r="U319" s="1"/>
    </row>
    <row r="320" spans="1:21" ht="21" customHeight="1" x14ac:dyDescent="0.45">
      <c r="A320" s="14">
        <v>46235</v>
      </c>
      <c r="B320" s="1" t="s">
        <v>143</v>
      </c>
      <c r="C320" s="13">
        <v>46236.822916666664</v>
      </c>
      <c r="D320" s="13">
        <v>46236.833333333336</v>
      </c>
      <c r="E320" s="1" t="s">
        <v>321</v>
      </c>
      <c r="F320" s="12">
        <v>36</v>
      </c>
      <c r="G320" s="12">
        <v>100</v>
      </c>
      <c r="H320" s="18"/>
      <c r="I320" s="12"/>
      <c r="J320" s="12"/>
      <c r="K320" s="13">
        <v>46235.541666666664</v>
      </c>
      <c r="L320" s="13">
        <v>46235.583333333336</v>
      </c>
      <c r="M320" s="1" t="s">
        <v>145</v>
      </c>
      <c r="N320" s="1"/>
      <c r="O320" s="1"/>
      <c r="P320" s="1" t="s">
        <v>461</v>
      </c>
      <c r="Q320" s="1" t="s">
        <v>147</v>
      </c>
      <c r="R320" s="1">
        <v>46236.697916666664</v>
      </c>
      <c r="S320" s="1"/>
      <c r="T320" s="1" t="s">
        <v>148</v>
      </c>
      <c r="U320" s="1"/>
    </row>
    <row r="321" spans="1:21" ht="21" customHeight="1" x14ac:dyDescent="0.45">
      <c r="A321" s="14">
        <v>46235</v>
      </c>
      <c r="B321" s="1" t="s">
        <v>143</v>
      </c>
      <c r="C321" s="13">
        <v>46236.833333333336</v>
      </c>
      <c r="D321" s="13">
        <v>46236.84375</v>
      </c>
      <c r="E321" s="1" t="s">
        <v>321</v>
      </c>
      <c r="F321" s="12">
        <v>60</v>
      </c>
      <c r="G321" s="12">
        <v>100</v>
      </c>
      <c r="H321" s="18"/>
      <c r="I321" s="12"/>
      <c r="J321" s="12"/>
      <c r="K321" s="13">
        <v>46235.541666666664</v>
      </c>
      <c r="L321" s="13">
        <v>46235.583333333336</v>
      </c>
      <c r="M321" s="1" t="s">
        <v>145</v>
      </c>
      <c r="N321" s="1"/>
      <c r="O321" s="1"/>
      <c r="P321" s="1" t="s">
        <v>462</v>
      </c>
      <c r="Q321" s="1" t="s">
        <v>147</v>
      </c>
      <c r="R321" s="1">
        <v>46236.708333333336</v>
      </c>
      <c r="S321" s="1"/>
      <c r="T321" s="1" t="s">
        <v>148</v>
      </c>
      <c r="U321" s="1"/>
    </row>
    <row r="322" spans="1:21" ht="21" customHeight="1" x14ac:dyDescent="0.45">
      <c r="A322" s="14">
        <v>46235</v>
      </c>
      <c r="B322" s="1" t="s">
        <v>149</v>
      </c>
      <c r="C322" s="13">
        <v>46236.833333333336</v>
      </c>
      <c r="D322" s="13">
        <v>46236.875</v>
      </c>
      <c r="E322" s="1" t="s">
        <v>321</v>
      </c>
      <c r="F322" s="12">
        <v>40</v>
      </c>
      <c r="G322" s="12">
        <v>40</v>
      </c>
      <c r="H322" s="18">
        <v>0.3125</v>
      </c>
      <c r="I322" s="12">
        <v>128</v>
      </c>
      <c r="J322" s="12">
        <v>40</v>
      </c>
      <c r="K322" s="13">
        <v>46235.375</v>
      </c>
      <c r="L322" s="13">
        <v>46235.416666666664</v>
      </c>
      <c r="M322" s="1" t="s">
        <v>145</v>
      </c>
      <c r="N322" s="1" t="s">
        <v>150</v>
      </c>
      <c r="O322" s="1" t="s">
        <v>151</v>
      </c>
      <c r="P322" s="1" t="s">
        <v>463</v>
      </c>
      <c r="Q322" s="1" t="s">
        <v>147</v>
      </c>
      <c r="R322" s="1">
        <v>46236.708333333336</v>
      </c>
      <c r="S322" s="1" t="s">
        <v>153</v>
      </c>
      <c r="T322" s="1" t="s">
        <v>148</v>
      </c>
      <c r="U322" s="1"/>
    </row>
    <row r="323" spans="1:21" ht="21" customHeight="1" x14ac:dyDescent="0.45">
      <c r="A323" s="14">
        <v>46235</v>
      </c>
      <c r="B323" s="1" t="s">
        <v>103</v>
      </c>
      <c r="C323" s="13">
        <v>46236.833333333336</v>
      </c>
      <c r="D323" s="13">
        <v>46236.875</v>
      </c>
      <c r="E323" s="1" t="s">
        <v>321</v>
      </c>
      <c r="F323" s="12">
        <v>24</v>
      </c>
      <c r="G323" s="12">
        <v>24</v>
      </c>
      <c r="H323" s="18">
        <v>0.13714285714285715</v>
      </c>
      <c r="I323" s="12">
        <v>175</v>
      </c>
      <c r="J323" s="12">
        <v>24</v>
      </c>
      <c r="K323" s="13">
        <v>46235.375</v>
      </c>
      <c r="L323" s="13">
        <v>46235.416666666664</v>
      </c>
      <c r="M323" s="1" t="s">
        <v>145</v>
      </c>
      <c r="N323" s="1" t="s">
        <v>154</v>
      </c>
      <c r="O323" s="1" t="s">
        <v>151</v>
      </c>
      <c r="P323" s="1" t="s">
        <v>464</v>
      </c>
      <c r="Q323" s="1" t="s">
        <v>147</v>
      </c>
      <c r="R323" s="1">
        <v>46236.708333333336</v>
      </c>
      <c r="S323" s="1"/>
      <c r="T323" s="1" t="s">
        <v>148</v>
      </c>
      <c r="U323" s="1"/>
    </row>
    <row r="324" spans="1:21" ht="21" customHeight="1" x14ac:dyDescent="0.45">
      <c r="A324" s="14">
        <v>46235</v>
      </c>
      <c r="B324" s="1" t="s">
        <v>101</v>
      </c>
      <c r="C324" s="13">
        <v>46236.833333333336</v>
      </c>
      <c r="D324" s="13">
        <v>46236.875</v>
      </c>
      <c r="E324" s="1" t="s">
        <v>321</v>
      </c>
      <c r="F324" s="12">
        <v>0</v>
      </c>
      <c r="G324" s="12">
        <v>24</v>
      </c>
      <c r="H324" s="18">
        <v>0.13714285714285715</v>
      </c>
      <c r="I324" s="12">
        <v>175</v>
      </c>
      <c r="J324" s="12">
        <v>24</v>
      </c>
      <c r="K324" s="13">
        <v>46235.375</v>
      </c>
      <c r="L324" s="13">
        <v>46235.416666666664</v>
      </c>
      <c r="M324" s="1" t="s">
        <v>145</v>
      </c>
      <c r="N324" s="1" t="s">
        <v>154</v>
      </c>
      <c r="O324" s="1" t="s">
        <v>151</v>
      </c>
      <c r="P324" s="1" t="s">
        <v>465</v>
      </c>
      <c r="Q324" s="1" t="s">
        <v>147</v>
      </c>
      <c r="R324" s="1">
        <v>46236.708333333336</v>
      </c>
      <c r="S324" s="1"/>
      <c r="T324" s="1" t="s">
        <v>148</v>
      </c>
      <c r="U324" s="1"/>
    </row>
    <row r="325" spans="1:21" ht="21" customHeight="1" x14ac:dyDescent="0.45">
      <c r="A325" s="14">
        <v>46235</v>
      </c>
      <c r="B325" s="1" t="s">
        <v>143</v>
      </c>
      <c r="C325" s="13">
        <v>46236.84375</v>
      </c>
      <c r="D325" s="13">
        <v>46236.854166666664</v>
      </c>
      <c r="E325" s="1" t="s">
        <v>321</v>
      </c>
      <c r="F325" s="12">
        <v>60</v>
      </c>
      <c r="G325" s="12">
        <v>100</v>
      </c>
      <c r="H325" s="18"/>
      <c r="I325" s="12"/>
      <c r="J325" s="12"/>
      <c r="K325" s="13">
        <v>46235.541666666664</v>
      </c>
      <c r="L325" s="13">
        <v>46235.583333333336</v>
      </c>
      <c r="M325" s="1" t="s">
        <v>145</v>
      </c>
      <c r="N325" s="1"/>
      <c r="O325" s="1"/>
      <c r="P325" s="1" t="s">
        <v>466</v>
      </c>
      <c r="Q325" s="1" t="s">
        <v>147</v>
      </c>
      <c r="R325" s="1">
        <v>46236.71875</v>
      </c>
      <c r="S325" s="1"/>
      <c r="T325" s="1" t="s">
        <v>148</v>
      </c>
      <c r="U325" s="1"/>
    </row>
    <row r="326" spans="1:21" ht="21" customHeight="1" x14ac:dyDescent="0.45">
      <c r="A326" s="14">
        <v>46235</v>
      </c>
      <c r="B326" s="1" t="s">
        <v>143</v>
      </c>
      <c r="C326" s="13">
        <v>46236.854166666664</v>
      </c>
      <c r="D326" s="13">
        <v>46236.864583333336</v>
      </c>
      <c r="E326" s="1" t="s">
        <v>321</v>
      </c>
      <c r="F326" s="12">
        <v>60</v>
      </c>
      <c r="G326" s="12">
        <v>100</v>
      </c>
      <c r="H326" s="18"/>
      <c r="I326" s="12"/>
      <c r="J326" s="12"/>
      <c r="K326" s="13">
        <v>46235.541666666664</v>
      </c>
      <c r="L326" s="13">
        <v>46235.583333333336</v>
      </c>
      <c r="M326" s="1" t="s">
        <v>145</v>
      </c>
      <c r="N326" s="1"/>
      <c r="O326" s="1"/>
      <c r="P326" s="1" t="s">
        <v>467</v>
      </c>
      <c r="Q326" s="1" t="s">
        <v>147</v>
      </c>
      <c r="R326" s="1">
        <v>46236.729166666664</v>
      </c>
      <c r="S326" s="1"/>
      <c r="T326" s="1" t="s">
        <v>148</v>
      </c>
      <c r="U326" s="1"/>
    </row>
    <row r="327" spans="1:21" ht="21" customHeight="1" x14ac:dyDescent="0.45">
      <c r="A327" s="14">
        <v>46235</v>
      </c>
      <c r="B327" s="1" t="s">
        <v>143</v>
      </c>
      <c r="C327" s="13">
        <v>46236.864583333336</v>
      </c>
      <c r="D327" s="13">
        <v>46236.875</v>
      </c>
      <c r="E327" s="1" t="s">
        <v>321</v>
      </c>
      <c r="F327" s="12">
        <v>60</v>
      </c>
      <c r="G327" s="12">
        <v>100</v>
      </c>
      <c r="H327" s="18"/>
      <c r="I327" s="12"/>
      <c r="J327" s="12"/>
      <c r="K327" s="13">
        <v>46235.541666666664</v>
      </c>
      <c r="L327" s="13">
        <v>46235.583333333336</v>
      </c>
      <c r="M327" s="1" t="s">
        <v>145</v>
      </c>
      <c r="N327" s="1"/>
      <c r="O327" s="1"/>
      <c r="P327" s="1" t="s">
        <v>468</v>
      </c>
      <c r="Q327" s="1" t="s">
        <v>147</v>
      </c>
      <c r="R327" s="1">
        <v>46236.739583333336</v>
      </c>
      <c r="S327" s="1"/>
      <c r="T327" s="1" t="s">
        <v>148</v>
      </c>
      <c r="U327" s="1"/>
    </row>
    <row r="328" spans="1:21" ht="21" customHeight="1" x14ac:dyDescent="0.45">
      <c r="A328" s="14">
        <v>46235</v>
      </c>
      <c r="B328" s="1" t="s">
        <v>143</v>
      </c>
      <c r="C328" s="13">
        <v>46236.875</v>
      </c>
      <c r="D328" s="13">
        <v>46236.885416666664</v>
      </c>
      <c r="E328" s="1" t="s">
        <v>321</v>
      </c>
      <c r="F328" s="12">
        <v>36</v>
      </c>
      <c r="G328" s="12">
        <v>100</v>
      </c>
      <c r="H328" s="18"/>
      <c r="I328" s="12"/>
      <c r="J328" s="12"/>
      <c r="K328" s="13">
        <v>46235.541666666664</v>
      </c>
      <c r="L328" s="13">
        <v>46235.583333333336</v>
      </c>
      <c r="M328" s="1" t="s">
        <v>145</v>
      </c>
      <c r="N328" s="1"/>
      <c r="O328" s="1"/>
      <c r="P328" s="1" t="s">
        <v>469</v>
      </c>
      <c r="Q328" s="1" t="s">
        <v>147</v>
      </c>
      <c r="R328" s="1">
        <v>46236.75</v>
      </c>
      <c r="S328" s="1"/>
      <c r="T328" s="1" t="s">
        <v>148</v>
      </c>
      <c r="U328" s="1"/>
    </row>
    <row r="329" spans="1:21" ht="21" customHeight="1" x14ac:dyDescent="0.45">
      <c r="A329" s="14">
        <v>46235</v>
      </c>
      <c r="B329" s="1" t="s">
        <v>149</v>
      </c>
      <c r="C329" s="13">
        <v>46236.875</v>
      </c>
      <c r="D329" s="13">
        <v>46236.916666666664</v>
      </c>
      <c r="E329" s="1" t="s">
        <v>321</v>
      </c>
      <c r="F329" s="12">
        <v>40</v>
      </c>
      <c r="G329" s="12">
        <v>40</v>
      </c>
      <c r="H329" s="18">
        <v>0.3125</v>
      </c>
      <c r="I329" s="12">
        <v>128</v>
      </c>
      <c r="J329" s="12">
        <v>40</v>
      </c>
      <c r="K329" s="13">
        <v>46235.375</v>
      </c>
      <c r="L329" s="13">
        <v>46235.416666666664</v>
      </c>
      <c r="M329" s="1" t="s">
        <v>145</v>
      </c>
      <c r="N329" s="1" t="s">
        <v>150</v>
      </c>
      <c r="O329" s="1" t="s">
        <v>151</v>
      </c>
      <c r="P329" s="1" t="s">
        <v>470</v>
      </c>
      <c r="Q329" s="1" t="s">
        <v>147</v>
      </c>
      <c r="R329" s="1">
        <v>46236.75</v>
      </c>
      <c r="S329" s="1" t="s">
        <v>153</v>
      </c>
      <c r="T329" s="1" t="s">
        <v>148</v>
      </c>
      <c r="U329" s="1"/>
    </row>
    <row r="330" spans="1:21" ht="21" customHeight="1" x14ac:dyDescent="0.45">
      <c r="A330" s="14">
        <v>46235</v>
      </c>
      <c r="B330" s="1" t="s">
        <v>103</v>
      </c>
      <c r="C330" s="13">
        <v>46236.875</v>
      </c>
      <c r="D330" s="13">
        <v>46236.916666666664</v>
      </c>
      <c r="E330" s="1" t="s">
        <v>321</v>
      </c>
      <c r="F330" s="12">
        <v>24</v>
      </c>
      <c r="G330" s="12">
        <v>24</v>
      </c>
      <c r="H330" s="18">
        <v>0.13714285714285715</v>
      </c>
      <c r="I330" s="12">
        <v>175</v>
      </c>
      <c r="J330" s="12">
        <v>24</v>
      </c>
      <c r="K330" s="13">
        <v>46235.375</v>
      </c>
      <c r="L330" s="13">
        <v>46235.416666666664</v>
      </c>
      <c r="M330" s="1" t="s">
        <v>145</v>
      </c>
      <c r="N330" s="1" t="s">
        <v>154</v>
      </c>
      <c r="O330" s="1" t="s">
        <v>151</v>
      </c>
      <c r="P330" s="1" t="s">
        <v>471</v>
      </c>
      <c r="Q330" s="1" t="s">
        <v>147</v>
      </c>
      <c r="R330" s="1">
        <v>46236.75</v>
      </c>
      <c r="S330" s="1"/>
      <c r="T330" s="1" t="s">
        <v>148</v>
      </c>
      <c r="U330" s="1"/>
    </row>
    <row r="331" spans="1:21" ht="21" customHeight="1" x14ac:dyDescent="0.45">
      <c r="A331" s="14">
        <v>46235</v>
      </c>
      <c r="B331" s="1" t="s">
        <v>101</v>
      </c>
      <c r="C331" s="13">
        <v>46236.875</v>
      </c>
      <c r="D331" s="13">
        <v>46236.916666666664</v>
      </c>
      <c r="E331" s="1" t="s">
        <v>321</v>
      </c>
      <c r="F331" s="12">
        <v>24</v>
      </c>
      <c r="G331" s="12">
        <v>24</v>
      </c>
      <c r="H331" s="18">
        <v>0.13714285714285715</v>
      </c>
      <c r="I331" s="12">
        <v>175</v>
      </c>
      <c r="J331" s="12">
        <v>24</v>
      </c>
      <c r="K331" s="13">
        <v>46235.375</v>
      </c>
      <c r="L331" s="13">
        <v>46235.416666666664</v>
      </c>
      <c r="M331" s="1" t="s">
        <v>145</v>
      </c>
      <c r="N331" s="1" t="s">
        <v>154</v>
      </c>
      <c r="O331" s="1" t="s">
        <v>151</v>
      </c>
      <c r="P331" s="1" t="s">
        <v>472</v>
      </c>
      <c r="Q331" s="1" t="s">
        <v>147</v>
      </c>
      <c r="R331" s="1">
        <v>46236.75</v>
      </c>
      <c r="S331" s="1"/>
      <c r="T331" s="1" t="s">
        <v>148</v>
      </c>
      <c r="U331" s="1"/>
    </row>
    <row r="332" spans="1:21" ht="21" customHeight="1" x14ac:dyDescent="0.45">
      <c r="A332" s="14">
        <v>46235</v>
      </c>
      <c r="B332" s="1" t="s">
        <v>143</v>
      </c>
      <c r="C332" s="13">
        <v>46236.885416666664</v>
      </c>
      <c r="D332" s="13">
        <v>46236.895833333336</v>
      </c>
      <c r="E332" s="1" t="s">
        <v>321</v>
      </c>
      <c r="F332" s="12">
        <v>36</v>
      </c>
      <c r="G332" s="12">
        <v>100</v>
      </c>
      <c r="H332" s="18"/>
      <c r="I332" s="12"/>
      <c r="J332" s="12"/>
      <c r="K332" s="13">
        <v>46235.541666666664</v>
      </c>
      <c r="L332" s="13">
        <v>46235.583333333336</v>
      </c>
      <c r="M332" s="1" t="s">
        <v>145</v>
      </c>
      <c r="N332" s="1"/>
      <c r="O332" s="1"/>
      <c r="P332" s="1" t="s">
        <v>473</v>
      </c>
      <c r="Q332" s="1" t="s">
        <v>147</v>
      </c>
      <c r="R332" s="1">
        <v>46236.760416666664</v>
      </c>
      <c r="S332" s="1"/>
      <c r="T332" s="1" t="s">
        <v>148</v>
      </c>
      <c r="U332" s="1"/>
    </row>
    <row r="333" spans="1:21" ht="21" customHeight="1" x14ac:dyDescent="0.45">
      <c r="A333" s="14">
        <v>46235</v>
      </c>
      <c r="B333" s="1" t="s">
        <v>143</v>
      </c>
      <c r="C333" s="13">
        <v>46236.895833333336</v>
      </c>
      <c r="D333" s="13">
        <v>46236.90625</v>
      </c>
      <c r="E333" s="1" t="s">
        <v>321</v>
      </c>
      <c r="F333" s="12">
        <v>36</v>
      </c>
      <c r="G333" s="12">
        <v>100</v>
      </c>
      <c r="H333" s="18"/>
      <c r="I333" s="12"/>
      <c r="J333" s="12"/>
      <c r="K333" s="13">
        <v>46235.541666666664</v>
      </c>
      <c r="L333" s="13">
        <v>46235.583333333336</v>
      </c>
      <c r="M333" s="1" t="s">
        <v>145</v>
      </c>
      <c r="N333" s="1"/>
      <c r="O333" s="1"/>
      <c r="P333" s="1" t="s">
        <v>474</v>
      </c>
      <c r="Q333" s="1" t="s">
        <v>147</v>
      </c>
      <c r="R333" s="1">
        <v>46236.770833333336</v>
      </c>
      <c r="S333" s="1"/>
      <c r="T333" s="1" t="s">
        <v>148</v>
      </c>
      <c r="U333" s="1"/>
    </row>
    <row r="334" spans="1:21" ht="21" customHeight="1" x14ac:dyDescent="0.45">
      <c r="A334" s="14">
        <v>46235</v>
      </c>
      <c r="B334" s="1" t="s">
        <v>143</v>
      </c>
      <c r="C334" s="13">
        <v>46236.90625</v>
      </c>
      <c r="D334" s="13">
        <v>46236.916666666664</v>
      </c>
      <c r="E334" s="1" t="s">
        <v>321</v>
      </c>
      <c r="F334" s="12">
        <v>0</v>
      </c>
      <c r="G334" s="12">
        <v>100</v>
      </c>
      <c r="H334" s="18"/>
      <c r="I334" s="12"/>
      <c r="J334" s="12"/>
      <c r="K334" s="13">
        <v>46235.541666666664</v>
      </c>
      <c r="L334" s="13">
        <v>46235.583333333336</v>
      </c>
      <c r="M334" s="1" t="s">
        <v>145</v>
      </c>
      <c r="N334" s="1"/>
      <c r="O334" s="1"/>
      <c r="P334" s="1" t="s">
        <v>475</v>
      </c>
      <c r="Q334" s="1" t="s">
        <v>147</v>
      </c>
      <c r="R334" s="1">
        <v>46236.78125</v>
      </c>
      <c r="S334" s="1"/>
      <c r="T334" s="1" t="s">
        <v>148</v>
      </c>
      <c r="U334" s="1"/>
    </row>
    <row r="335" spans="1:21" ht="21" customHeight="1" x14ac:dyDescent="0.45">
      <c r="A335" s="14">
        <v>46235</v>
      </c>
      <c r="B335" s="1" t="s">
        <v>143</v>
      </c>
      <c r="C335" s="13">
        <v>46236.916666666664</v>
      </c>
      <c r="D335" s="13">
        <v>46236.927083333336</v>
      </c>
      <c r="E335" s="1" t="s">
        <v>321</v>
      </c>
      <c r="F335" s="12">
        <v>0</v>
      </c>
      <c r="G335" s="12">
        <v>100</v>
      </c>
      <c r="H335" s="18"/>
      <c r="I335" s="12"/>
      <c r="J335" s="12"/>
      <c r="K335" s="13">
        <v>46235.541666666664</v>
      </c>
      <c r="L335" s="13">
        <v>46235.583333333336</v>
      </c>
      <c r="M335" s="1" t="s">
        <v>145</v>
      </c>
      <c r="N335" s="1"/>
      <c r="O335" s="1"/>
      <c r="P335" s="1" t="s">
        <v>476</v>
      </c>
      <c r="Q335" s="1" t="s">
        <v>147</v>
      </c>
      <c r="R335" s="1">
        <v>46236.791666666664</v>
      </c>
      <c r="S335" s="1"/>
      <c r="T335" s="1" t="s">
        <v>148</v>
      </c>
      <c r="U335" s="1"/>
    </row>
    <row r="336" spans="1:21" ht="21" customHeight="1" x14ac:dyDescent="0.45">
      <c r="A336" s="14">
        <v>46235</v>
      </c>
      <c r="B336" s="1" t="s">
        <v>149</v>
      </c>
      <c r="C336" s="13">
        <v>46236.916666666664</v>
      </c>
      <c r="D336" s="13">
        <v>46236.958333333336</v>
      </c>
      <c r="E336" s="1" t="s">
        <v>321</v>
      </c>
      <c r="F336" s="12">
        <v>40</v>
      </c>
      <c r="G336" s="12">
        <v>40</v>
      </c>
      <c r="H336" s="18">
        <v>0.3125</v>
      </c>
      <c r="I336" s="12">
        <v>128</v>
      </c>
      <c r="J336" s="12">
        <v>40</v>
      </c>
      <c r="K336" s="13">
        <v>46235.375</v>
      </c>
      <c r="L336" s="13">
        <v>46235.416666666664</v>
      </c>
      <c r="M336" s="1" t="s">
        <v>145</v>
      </c>
      <c r="N336" s="1" t="s">
        <v>150</v>
      </c>
      <c r="O336" s="1" t="s">
        <v>151</v>
      </c>
      <c r="P336" s="1" t="s">
        <v>477</v>
      </c>
      <c r="Q336" s="1" t="s">
        <v>147</v>
      </c>
      <c r="R336" s="1">
        <v>46236.791666666664</v>
      </c>
      <c r="S336" s="1" t="s">
        <v>153</v>
      </c>
      <c r="T336" s="1" t="s">
        <v>148</v>
      </c>
      <c r="U336" s="1"/>
    </row>
    <row r="337" spans="1:21" ht="21" customHeight="1" x14ac:dyDescent="0.45">
      <c r="A337" s="14">
        <v>46235</v>
      </c>
      <c r="B337" s="1" t="s">
        <v>103</v>
      </c>
      <c r="C337" s="13">
        <v>46236.916666666664</v>
      </c>
      <c r="D337" s="13">
        <v>46236.958333333336</v>
      </c>
      <c r="E337" s="1" t="s">
        <v>321</v>
      </c>
      <c r="F337" s="12">
        <v>24</v>
      </c>
      <c r="G337" s="12">
        <v>24</v>
      </c>
      <c r="H337" s="18">
        <v>0.13714285714285715</v>
      </c>
      <c r="I337" s="12">
        <v>175</v>
      </c>
      <c r="J337" s="12">
        <v>24</v>
      </c>
      <c r="K337" s="13">
        <v>46235.375</v>
      </c>
      <c r="L337" s="13">
        <v>46235.416666666664</v>
      </c>
      <c r="M337" s="1" t="s">
        <v>145</v>
      </c>
      <c r="N337" s="1" t="s">
        <v>154</v>
      </c>
      <c r="O337" s="1" t="s">
        <v>151</v>
      </c>
      <c r="P337" s="1" t="s">
        <v>478</v>
      </c>
      <c r="Q337" s="1" t="s">
        <v>147</v>
      </c>
      <c r="R337" s="1">
        <v>46236.791666666664</v>
      </c>
      <c r="S337" s="1"/>
      <c r="T337" s="1" t="s">
        <v>148</v>
      </c>
      <c r="U337" s="1"/>
    </row>
    <row r="338" spans="1:21" ht="21" customHeight="1" x14ac:dyDescent="0.45">
      <c r="A338" s="14">
        <v>46235</v>
      </c>
      <c r="B338" s="1" t="s">
        <v>101</v>
      </c>
      <c r="C338" s="13">
        <v>46236.916666666664</v>
      </c>
      <c r="D338" s="13">
        <v>46236.958333333336</v>
      </c>
      <c r="E338" s="1" t="s">
        <v>321</v>
      </c>
      <c r="F338" s="12">
        <v>24</v>
      </c>
      <c r="G338" s="12">
        <v>24</v>
      </c>
      <c r="H338" s="18">
        <v>0.13714285714285715</v>
      </c>
      <c r="I338" s="12">
        <v>175</v>
      </c>
      <c r="J338" s="12">
        <v>24</v>
      </c>
      <c r="K338" s="13">
        <v>46235.375</v>
      </c>
      <c r="L338" s="13">
        <v>46235.416666666664</v>
      </c>
      <c r="M338" s="1" t="s">
        <v>145</v>
      </c>
      <c r="N338" s="1" t="s">
        <v>154</v>
      </c>
      <c r="O338" s="1" t="s">
        <v>151</v>
      </c>
      <c r="P338" s="1" t="s">
        <v>479</v>
      </c>
      <c r="Q338" s="1" t="s">
        <v>147</v>
      </c>
      <c r="R338" s="1">
        <v>46236.791666666664</v>
      </c>
      <c r="S338" s="1"/>
      <c r="T338" s="1" t="s">
        <v>148</v>
      </c>
      <c r="U338" s="1"/>
    </row>
    <row r="339" spans="1:21" ht="21" customHeight="1" x14ac:dyDescent="0.45">
      <c r="A339" s="14">
        <v>46235</v>
      </c>
      <c r="B339" s="1" t="s">
        <v>143</v>
      </c>
      <c r="C339" s="13">
        <v>46236.927083333336</v>
      </c>
      <c r="D339" s="13">
        <v>46236.9375</v>
      </c>
      <c r="E339" s="1" t="s">
        <v>321</v>
      </c>
      <c r="F339" s="12">
        <v>0</v>
      </c>
      <c r="G339" s="12">
        <v>100</v>
      </c>
      <c r="H339" s="18"/>
      <c r="I339" s="12"/>
      <c r="J339" s="12"/>
      <c r="K339" s="13">
        <v>46235.541666666664</v>
      </c>
      <c r="L339" s="13">
        <v>46235.583333333336</v>
      </c>
      <c r="M339" s="1" t="s">
        <v>145</v>
      </c>
      <c r="N339" s="1"/>
      <c r="O339" s="1"/>
      <c r="P339" s="1" t="s">
        <v>480</v>
      </c>
      <c r="Q339" s="1" t="s">
        <v>147</v>
      </c>
      <c r="R339" s="1">
        <v>46236.802083333336</v>
      </c>
      <c r="S339" s="1"/>
      <c r="T339" s="1" t="s">
        <v>148</v>
      </c>
      <c r="U339" s="1"/>
    </row>
    <row r="340" spans="1:21" ht="21" customHeight="1" x14ac:dyDescent="0.45">
      <c r="A340" s="14">
        <v>46235</v>
      </c>
      <c r="B340" s="1" t="s">
        <v>143</v>
      </c>
      <c r="C340" s="13">
        <v>46236.9375</v>
      </c>
      <c r="D340" s="13">
        <v>46236.947916666664</v>
      </c>
      <c r="E340" s="1" t="s">
        <v>321</v>
      </c>
      <c r="F340" s="12">
        <v>0</v>
      </c>
      <c r="G340" s="12">
        <v>100</v>
      </c>
      <c r="H340" s="18"/>
      <c r="I340" s="12"/>
      <c r="J340" s="12"/>
      <c r="K340" s="13">
        <v>46235.541666666664</v>
      </c>
      <c r="L340" s="13">
        <v>46235.583333333336</v>
      </c>
      <c r="M340" s="1" t="s">
        <v>145</v>
      </c>
      <c r="N340" s="1"/>
      <c r="O340" s="1"/>
      <c r="P340" s="1" t="s">
        <v>481</v>
      </c>
      <c r="Q340" s="1" t="s">
        <v>147</v>
      </c>
      <c r="R340" s="1">
        <v>46236.8125</v>
      </c>
      <c r="S340" s="1"/>
      <c r="T340" s="1" t="s">
        <v>148</v>
      </c>
      <c r="U340" s="1"/>
    </row>
    <row r="341" spans="1:21" ht="21" customHeight="1" x14ac:dyDescent="0.45">
      <c r="A341" s="14">
        <v>46235</v>
      </c>
      <c r="B341" s="1" t="s">
        <v>143</v>
      </c>
      <c r="C341" s="13">
        <v>46236.947916666664</v>
      </c>
      <c r="D341" s="13">
        <v>46236.958333333336</v>
      </c>
      <c r="E341" s="1" t="s">
        <v>321</v>
      </c>
      <c r="F341" s="12">
        <v>12.29386279910916</v>
      </c>
      <c r="G341" s="12">
        <v>100</v>
      </c>
      <c r="H341" s="18"/>
      <c r="I341" s="12"/>
      <c r="J341" s="12"/>
      <c r="K341" s="13">
        <v>46235.541666666664</v>
      </c>
      <c r="L341" s="13">
        <v>46235.583333333336</v>
      </c>
      <c r="M341" s="1" t="s">
        <v>145</v>
      </c>
      <c r="N341" s="1"/>
      <c r="O341" s="1"/>
      <c r="P341" s="1" t="s">
        <v>482</v>
      </c>
      <c r="Q341" s="1" t="s">
        <v>147</v>
      </c>
      <c r="R341" s="1">
        <v>46236.822916666664</v>
      </c>
      <c r="S341" s="1"/>
      <c r="T341" s="1" t="s">
        <v>148</v>
      </c>
      <c r="U341" s="1"/>
    </row>
    <row r="342" spans="1:21" ht="21" customHeight="1" x14ac:dyDescent="0.45">
      <c r="A342" s="14">
        <v>46235</v>
      </c>
      <c r="B342" s="1" t="s">
        <v>143</v>
      </c>
      <c r="C342" s="13">
        <v>46236.958333333336</v>
      </c>
      <c r="D342" s="13">
        <v>46236.96875</v>
      </c>
      <c r="E342" s="1" t="s">
        <v>321</v>
      </c>
      <c r="F342" s="12">
        <v>0</v>
      </c>
      <c r="G342" s="12">
        <v>100</v>
      </c>
      <c r="H342" s="18"/>
      <c r="I342" s="12"/>
      <c r="J342" s="12"/>
      <c r="K342" s="13">
        <v>46235.541666666664</v>
      </c>
      <c r="L342" s="13">
        <v>46235.583333333336</v>
      </c>
      <c r="M342" s="1" t="s">
        <v>145</v>
      </c>
      <c r="N342" s="1"/>
      <c r="O342" s="1"/>
      <c r="P342" s="1" t="s">
        <v>483</v>
      </c>
      <c r="Q342" s="1" t="s">
        <v>147</v>
      </c>
      <c r="R342" s="1">
        <v>46236.833333333336</v>
      </c>
      <c r="S342" s="1"/>
      <c r="T342" s="1" t="s">
        <v>148</v>
      </c>
      <c r="U342" s="1"/>
    </row>
    <row r="343" spans="1:21" ht="21" customHeight="1" x14ac:dyDescent="0.45">
      <c r="A343" s="14">
        <v>46235</v>
      </c>
      <c r="B343" s="1" t="s">
        <v>149</v>
      </c>
      <c r="C343" s="13">
        <v>46236.958333333336</v>
      </c>
      <c r="D343" s="13">
        <v>46237</v>
      </c>
      <c r="E343" s="1" t="s">
        <v>321</v>
      </c>
      <c r="F343" s="12">
        <v>40</v>
      </c>
      <c r="G343" s="12">
        <v>40</v>
      </c>
      <c r="H343" s="18">
        <v>0.3125</v>
      </c>
      <c r="I343" s="12">
        <v>128</v>
      </c>
      <c r="J343" s="12">
        <v>40</v>
      </c>
      <c r="K343" s="13">
        <v>46235.375</v>
      </c>
      <c r="L343" s="13">
        <v>46235.416666666664</v>
      </c>
      <c r="M343" s="1" t="s">
        <v>145</v>
      </c>
      <c r="N343" s="1" t="s">
        <v>150</v>
      </c>
      <c r="O343" s="1" t="s">
        <v>151</v>
      </c>
      <c r="P343" s="1" t="s">
        <v>484</v>
      </c>
      <c r="Q343" s="1" t="s">
        <v>147</v>
      </c>
      <c r="R343" s="1">
        <v>46236.833333333336</v>
      </c>
      <c r="S343" s="1" t="s">
        <v>153</v>
      </c>
      <c r="T343" s="1" t="s">
        <v>148</v>
      </c>
      <c r="U343" s="1"/>
    </row>
    <row r="344" spans="1:21" ht="21" customHeight="1" x14ac:dyDescent="0.45">
      <c r="A344" s="14">
        <v>46235</v>
      </c>
      <c r="B344" s="1" t="s">
        <v>103</v>
      </c>
      <c r="C344" s="13">
        <v>46236.958333333336</v>
      </c>
      <c r="D344" s="13">
        <v>46237</v>
      </c>
      <c r="E344" s="1" t="s">
        <v>321</v>
      </c>
      <c r="F344" s="12">
        <v>24</v>
      </c>
      <c r="G344" s="12">
        <v>24</v>
      </c>
      <c r="H344" s="18">
        <v>0.13714285714285715</v>
      </c>
      <c r="I344" s="12">
        <v>175</v>
      </c>
      <c r="J344" s="12">
        <v>24</v>
      </c>
      <c r="K344" s="13">
        <v>46235.375</v>
      </c>
      <c r="L344" s="13">
        <v>46235.416666666664</v>
      </c>
      <c r="M344" s="1" t="s">
        <v>145</v>
      </c>
      <c r="N344" s="1" t="s">
        <v>154</v>
      </c>
      <c r="O344" s="1" t="s">
        <v>151</v>
      </c>
      <c r="P344" s="1" t="s">
        <v>485</v>
      </c>
      <c r="Q344" s="1" t="s">
        <v>147</v>
      </c>
      <c r="R344" s="1">
        <v>46236.833333333336</v>
      </c>
      <c r="S344" s="1"/>
      <c r="T344" s="1" t="s">
        <v>148</v>
      </c>
      <c r="U344" s="1"/>
    </row>
    <row r="345" spans="1:21" ht="21" customHeight="1" x14ac:dyDescent="0.45">
      <c r="A345" s="14">
        <v>46235</v>
      </c>
      <c r="B345" s="1" t="s">
        <v>101</v>
      </c>
      <c r="C345" s="13">
        <v>46236.958333333336</v>
      </c>
      <c r="D345" s="13">
        <v>46237</v>
      </c>
      <c r="E345" s="1" t="s">
        <v>321</v>
      </c>
      <c r="F345" s="12">
        <v>24</v>
      </c>
      <c r="G345" s="12">
        <v>24</v>
      </c>
      <c r="H345" s="18">
        <v>0.13714285714285715</v>
      </c>
      <c r="I345" s="12">
        <v>175</v>
      </c>
      <c r="J345" s="12">
        <v>24</v>
      </c>
      <c r="K345" s="13">
        <v>46235.375</v>
      </c>
      <c r="L345" s="13">
        <v>46235.416666666664</v>
      </c>
      <c r="M345" s="1" t="s">
        <v>145</v>
      </c>
      <c r="N345" s="1" t="s">
        <v>154</v>
      </c>
      <c r="O345" s="1" t="s">
        <v>151</v>
      </c>
      <c r="P345" s="1" t="s">
        <v>486</v>
      </c>
      <c r="Q345" s="1" t="s">
        <v>147</v>
      </c>
      <c r="R345" s="1">
        <v>46236.833333333336</v>
      </c>
      <c r="S345" s="1"/>
      <c r="T345" s="1" t="s">
        <v>148</v>
      </c>
      <c r="U345" s="1"/>
    </row>
    <row r="346" spans="1:21" ht="21" customHeight="1" x14ac:dyDescent="0.45">
      <c r="A346" s="14">
        <v>46235</v>
      </c>
      <c r="B346" s="1" t="s">
        <v>143</v>
      </c>
      <c r="C346" s="13">
        <v>46236.96875</v>
      </c>
      <c r="D346" s="13">
        <v>46236.979166666664</v>
      </c>
      <c r="E346" s="1" t="s">
        <v>321</v>
      </c>
      <c r="F346" s="12">
        <v>36</v>
      </c>
      <c r="G346" s="12">
        <v>100</v>
      </c>
      <c r="H346" s="18"/>
      <c r="I346" s="12"/>
      <c r="J346" s="12"/>
      <c r="K346" s="13">
        <v>46235.541666666664</v>
      </c>
      <c r="L346" s="13">
        <v>46235.583333333336</v>
      </c>
      <c r="M346" s="1" t="s">
        <v>145</v>
      </c>
      <c r="N346" s="1"/>
      <c r="O346" s="1"/>
      <c r="P346" s="1" t="s">
        <v>487</v>
      </c>
      <c r="Q346" s="1" t="s">
        <v>147</v>
      </c>
      <c r="R346" s="1">
        <v>46236.84375</v>
      </c>
      <c r="S346" s="1"/>
      <c r="T346" s="1" t="s">
        <v>148</v>
      </c>
      <c r="U346" s="1"/>
    </row>
    <row r="347" spans="1:21" ht="21" customHeight="1" x14ac:dyDescent="0.45">
      <c r="A347" s="14">
        <v>46235</v>
      </c>
      <c r="B347" s="1" t="s">
        <v>143</v>
      </c>
      <c r="C347" s="13">
        <v>46236.979166666664</v>
      </c>
      <c r="D347" s="13">
        <v>46236.989583333336</v>
      </c>
      <c r="E347" s="1" t="s">
        <v>321</v>
      </c>
      <c r="F347" s="12">
        <v>0</v>
      </c>
      <c r="G347" s="12">
        <v>100</v>
      </c>
      <c r="H347" s="18"/>
      <c r="I347" s="12"/>
      <c r="J347" s="12"/>
      <c r="K347" s="13">
        <v>46235.541666666664</v>
      </c>
      <c r="L347" s="13">
        <v>46235.583333333336</v>
      </c>
      <c r="M347" s="1" t="s">
        <v>145</v>
      </c>
      <c r="N347" s="1"/>
      <c r="O347" s="1"/>
      <c r="P347" s="1" t="s">
        <v>488</v>
      </c>
      <c r="Q347" s="1" t="s">
        <v>147</v>
      </c>
      <c r="R347" s="1">
        <v>46236.854166666664</v>
      </c>
      <c r="S347" s="1"/>
      <c r="T347" s="1" t="s">
        <v>148</v>
      </c>
      <c r="U347" s="1"/>
    </row>
    <row r="348" spans="1:21" ht="21" customHeight="1" x14ac:dyDescent="0.45">
      <c r="A348" s="14">
        <v>46235</v>
      </c>
      <c r="B348" s="1" t="s">
        <v>143</v>
      </c>
      <c r="C348" s="13">
        <v>46236.989583333336</v>
      </c>
      <c r="D348" s="13">
        <v>46237</v>
      </c>
      <c r="E348" s="1" t="s">
        <v>321</v>
      </c>
      <c r="F348" s="12">
        <v>0</v>
      </c>
      <c r="G348" s="12">
        <v>100</v>
      </c>
      <c r="H348" s="18"/>
      <c r="I348" s="12"/>
      <c r="J348" s="12"/>
      <c r="K348" s="13">
        <v>46235.541666666664</v>
      </c>
      <c r="L348" s="13">
        <v>46235.583333333336</v>
      </c>
      <c r="M348" s="1" t="s">
        <v>145</v>
      </c>
      <c r="N348" s="1"/>
      <c r="O348" s="1"/>
      <c r="P348" s="1" t="s">
        <v>489</v>
      </c>
      <c r="Q348" s="1" t="s">
        <v>147</v>
      </c>
      <c r="R348" s="1">
        <v>46236.864583333336</v>
      </c>
      <c r="S348" s="1"/>
      <c r="T348" s="1" t="s">
        <v>148</v>
      </c>
      <c r="U348" s="1"/>
    </row>
    <row r="349" spans="1:21" ht="21" customHeight="1" x14ac:dyDescent="0.45">
      <c r="A349" s="14">
        <v>46236</v>
      </c>
      <c r="B349" s="1" t="s">
        <v>143</v>
      </c>
      <c r="C349" s="13">
        <v>46236</v>
      </c>
      <c r="D349" s="13">
        <v>46236.010416666664</v>
      </c>
      <c r="E349" s="1" t="s">
        <v>144</v>
      </c>
      <c r="F349" s="12">
        <v>-18.458027330911214</v>
      </c>
      <c r="G349" s="12">
        <v>100</v>
      </c>
      <c r="H349" s="18"/>
      <c r="I349" s="12"/>
      <c r="J349" s="12"/>
      <c r="K349" s="13">
        <v>46235.541666666664</v>
      </c>
      <c r="L349" s="13">
        <v>46235.583333333336</v>
      </c>
      <c r="M349" s="1" t="s">
        <v>145</v>
      </c>
      <c r="N349" s="1"/>
      <c r="O349" s="1"/>
      <c r="P349" s="1" t="s">
        <v>322</v>
      </c>
      <c r="Q349" s="1" t="s">
        <v>147</v>
      </c>
      <c r="R349" s="1">
        <v>46235.875</v>
      </c>
      <c r="S349" s="1"/>
      <c r="T349" s="1" t="s">
        <v>490</v>
      </c>
      <c r="U349" s="1"/>
    </row>
    <row r="350" spans="1:21" ht="21" customHeight="1" x14ac:dyDescent="0.45">
      <c r="A350" s="14">
        <v>46236</v>
      </c>
      <c r="B350" s="1" t="s">
        <v>149</v>
      </c>
      <c r="C350" s="13">
        <v>46236</v>
      </c>
      <c r="D350" s="13">
        <v>46236.041666666664</v>
      </c>
      <c r="E350" s="1" t="s">
        <v>144</v>
      </c>
      <c r="F350" s="12">
        <v>40</v>
      </c>
      <c r="G350" s="12">
        <v>40</v>
      </c>
      <c r="H350" s="18">
        <v>0.3125</v>
      </c>
      <c r="I350" s="12">
        <v>128</v>
      </c>
      <c r="J350" s="12">
        <v>40</v>
      </c>
      <c r="K350" s="13">
        <v>46235.375</v>
      </c>
      <c r="L350" s="13">
        <v>46235.416666666664</v>
      </c>
      <c r="M350" s="1" t="s">
        <v>145</v>
      </c>
      <c r="N350" s="1" t="s">
        <v>150</v>
      </c>
      <c r="O350" s="1" t="s">
        <v>151</v>
      </c>
      <c r="P350" s="1" t="s">
        <v>323</v>
      </c>
      <c r="Q350" s="1" t="s">
        <v>147</v>
      </c>
      <c r="R350" s="1">
        <v>46235.875</v>
      </c>
      <c r="S350" s="1" t="s">
        <v>153</v>
      </c>
      <c r="T350" s="1" t="s">
        <v>490</v>
      </c>
      <c r="U350" s="1"/>
    </row>
    <row r="351" spans="1:21" ht="21" customHeight="1" x14ac:dyDescent="0.45">
      <c r="A351" s="14">
        <v>46236</v>
      </c>
      <c r="B351" s="1" t="s">
        <v>103</v>
      </c>
      <c r="C351" s="13">
        <v>46236</v>
      </c>
      <c r="D351" s="13">
        <v>46236.041666666664</v>
      </c>
      <c r="E351" s="1" t="s">
        <v>144</v>
      </c>
      <c r="F351" s="12">
        <v>24</v>
      </c>
      <c r="G351" s="12">
        <v>24</v>
      </c>
      <c r="H351" s="18">
        <v>0.13714285714285715</v>
      </c>
      <c r="I351" s="12">
        <v>175</v>
      </c>
      <c r="J351" s="12">
        <v>24</v>
      </c>
      <c r="K351" s="13">
        <v>46235.375</v>
      </c>
      <c r="L351" s="13">
        <v>46235.416666666664</v>
      </c>
      <c r="M351" s="1" t="s">
        <v>145</v>
      </c>
      <c r="N351" s="1" t="s">
        <v>154</v>
      </c>
      <c r="O351" s="1" t="s">
        <v>151</v>
      </c>
      <c r="P351" s="1" t="s">
        <v>324</v>
      </c>
      <c r="Q351" s="1" t="s">
        <v>147</v>
      </c>
      <c r="R351" s="1">
        <v>46235.875</v>
      </c>
      <c r="S351" s="1"/>
      <c r="T351" s="1" t="s">
        <v>490</v>
      </c>
      <c r="U351" s="1"/>
    </row>
    <row r="352" spans="1:21" ht="21" customHeight="1" x14ac:dyDescent="0.45">
      <c r="A352" s="14">
        <v>46236</v>
      </c>
      <c r="B352" s="1" t="s">
        <v>101</v>
      </c>
      <c r="C352" s="13">
        <v>46236</v>
      </c>
      <c r="D352" s="13">
        <v>46236.041666666664</v>
      </c>
      <c r="E352" s="1" t="s">
        <v>144</v>
      </c>
      <c r="F352" s="12">
        <v>24</v>
      </c>
      <c r="G352" s="12">
        <v>24</v>
      </c>
      <c r="H352" s="18">
        <v>0.13714285714285715</v>
      </c>
      <c r="I352" s="12">
        <v>175</v>
      </c>
      <c r="J352" s="12">
        <v>24</v>
      </c>
      <c r="K352" s="13">
        <v>46235.375</v>
      </c>
      <c r="L352" s="13">
        <v>46235.416666666664</v>
      </c>
      <c r="M352" s="1" t="s">
        <v>145</v>
      </c>
      <c r="N352" s="1" t="s">
        <v>154</v>
      </c>
      <c r="O352" s="1" t="s">
        <v>151</v>
      </c>
      <c r="P352" s="1" t="s">
        <v>325</v>
      </c>
      <c r="Q352" s="1" t="s">
        <v>147</v>
      </c>
      <c r="R352" s="1">
        <v>46235.875</v>
      </c>
      <c r="S352" s="1"/>
      <c r="T352" s="1" t="s">
        <v>490</v>
      </c>
      <c r="U352" s="1"/>
    </row>
    <row r="353" spans="1:21" ht="21" customHeight="1" x14ac:dyDescent="0.45">
      <c r="A353" s="14">
        <v>46236</v>
      </c>
      <c r="B353" s="1" t="s">
        <v>143</v>
      </c>
      <c r="C353" s="13">
        <v>46236.010416666664</v>
      </c>
      <c r="D353" s="13">
        <v>46236.020833333336</v>
      </c>
      <c r="E353" s="1" t="s">
        <v>144</v>
      </c>
      <c r="F353" s="12">
        <v>0</v>
      </c>
      <c r="G353" s="12">
        <v>100</v>
      </c>
      <c r="H353" s="18"/>
      <c r="I353" s="12"/>
      <c r="J353" s="12"/>
      <c r="K353" s="13">
        <v>46235.541666666664</v>
      </c>
      <c r="L353" s="13">
        <v>46235.583333333336</v>
      </c>
      <c r="M353" s="1" t="s">
        <v>145</v>
      </c>
      <c r="N353" s="1"/>
      <c r="O353" s="1"/>
      <c r="P353" s="1" t="s">
        <v>326</v>
      </c>
      <c r="Q353" s="1" t="s">
        <v>147</v>
      </c>
      <c r="R353" s="1">
        <v>46235.885416666664</v>
      </c>
      <c r="S353" s="1"/>
      <c r="T353" s="1" t="s">
        <v>490</v>
      </c>
      <c r="U353" s="1"/>
    </row>
    <row r="354" spans="1:21" ht="21" customHeight="1" x14ac:dyDescent="0.45">
      <c r="A354" s="14">
        <v>46236</v>
      </c>
      <c r="B354" s="1" t="s">
        <v>143</v>
      </c>
      <c r="C354" s="13">
        <v>46236.020833333336</v>
      </c>
      <c r="D354" s="13">
        <v>46236.03125</v>
      </c>
      <c r="E354" s="1" t="s">
        <v>144</v>
      </c>
      <c r="F354" s="12">
        <v>0</v>
      </c>
      <c r="G354" s="12">
        <v>100</v>
      </c>
      <c r="H354" s="18"/>
      <c r="I354" s="12"/>
      <c r="J354" s="12"/>
      <c r="K354" s="13">
        <v>46235.541666666664</v>
      </c>
      <c r="L354" s="13">
        <v>46235.583333333336</v>
      </c>
      <c r="M354" s="1" t="s">
        <v>145</v>
      </c>
      <c r="N354" s="1"/>
      <c r="O354" s="1"/>
      <c r="P354" s="1" t="s">
        <v>327</v>
      </c>
      <c r="Q354" s="1" t="s">
        <v>147</v>
      </c>
      <c r="R354" s="1">
        <v>46235.895833333336</v>
      </c>
      <c r="S354" s="1"/>
      <c r="T354" s="1" t="s">
        <v>490</v>
      </c>
      <c r="U354" s="1"/>
    </row>
    <row r="355" spans="1:21" ht="21" customHeight="1" x14ac:dyDescent="0.45">
      <c r="A355" s="14">
        <v>46236</v>
      </c>
      <c r="B355" s="1" t="s">
        <v>143</v>
      </c>
      <c r="C355" s="13">
        <v>46236.03125</v>
      </c>
      <c r="D355" s="13">
        <v>46236.041666666664</v>
      </c>
      <c r="E355" s="1" t="s">
        <v>144</v>
      </c>
      <c r="F355" s="12">
        <v>0</v>
      </c>
      <c r="G355" s="12">
        <v>100</v>
      </c>
      <c r="H355" s="18"/>
      <c r="I355" s="12"/>
      <c r="J355" s="12"/>
      <c r="K355" s="13">
        <v>46235.541666666664</v>
      </c>
      <c r="L355" s="13">
        <v>46235.583333333336</v>
      </c>
      <c r="M355" s="1" t="s">
        <v>145</v>
      </c>
      <c r="N355" s="1"/>
      <c r="O355" s="1"/>
      <c r="P355" s="1" t="s">
        <v>328</v>
      </c>
      <c r="Q355" s="1" t="s">
        <v>147</v>
      </c>
      <c r="R355" s="1">
        <v>46235.90625</v>
      </c>
      <c r="S355" s="1"/>
      <c r="T355" s="1" t="s">
        <v>490</v>
      </c>
      <c r="U355" s="1"/>
    </row>
    <row r="356" spans="1:21" ht="21" customHeight="1" x14ac:dyDescent="0.45">
      <c r="A356" s="14">
        <v>46236</v>
      </c>
      <c r="B356" s="1" t="s">
        <v>143</v>
      </c>
      <c r="C356" s="13">
        <v>46236.041666666664</v>
      </c>
      <c r="D356" s="13">
        <v>46236.052083333336</v>
      </c>
      <c r="E356" s="1" t="s">
        <v>144</v>
      </c>
      <c r="F356" s="12">
        <v>21.150137638703697</v>
      </c>
      <c r="G356" s="12">
        <v>100</v>
      </c>
      <c r="H356" s="18"/>
      <c r="I356" s="12"/>
      <c r="J356" s="12"/>
      <c r="K356" s="13">
        <v>46235.541666666664</v>
      </c>
      <c r="L356" s="13">
        <v>46235.583333333336</v>
      </c>
      <c r="M356" s="1" t="s">
        <v>145</v>
      </c>
      <c r="N356" s="1"/>
      <c r="O356" s="1"/>
      <c r="P356" s="1" t="s">
        <v>329</v>
      </c>
      <c r="Q356" s="1" t="s">
        <v>147</v>
      </c>
      <c r="R356" s="1">
        <v>46235.916666666664</v>
      </c>
      <c r="S356" s="1"/>
      <c r="T356" s="1" t="s">
        <v>490</v>
      </c>
      <c r="U356" s="1"/>
    </row>
    <row r="357" spans="1:21" ht="21" customHeight="1" x14ac:dyDescent="0.45">
      <c r="A357" s="14">
        <v>46236</v>
      </c>
      <c r="B357" s="1" t="s">
        <v>149</v>
      </c>
      <c r="C357" s="13">
        <v>46236.041666666664</v>
      </c>
      <c r="D357" s="13">
        <v>46236.083333333336</v>
      </c>
      <c r="E357" s="1" t="s">
        <v>144</v>
      </c>
      <c r="F357" s="12">
        <v>40</v>
      </c>
      <c r="G357" s="12">
        <v>40</v>
      </c>
      <c r="H357" s="18">
        <v>0.3125</v>
      </c>
      <c r="I357" s="12">
        <v>128</v>
      </c>
      <c r="J357" s="12">
        <v>40</v>
      </c>
      <c r="K357" s="13">
        <v>46235.375</v>
      </c>
      <c r="L357" s="13">
        <v>46235.416666666664</v>
      </c>
      <c r="M357" s="1" t="s">
        <v>145</v>
      </c>
      <c r="N357" s="1" t="s">
        <v>150</v>
      </c>
      <c r="O357" s="1" t="s">
        <v>151</v>
      </c>
      <c r="P357" s="1" t="s">
        <v>330</v>
      </c>
      <c r="Q357" s="1" t="s">
        <v>147</v>
      </c>
      <c r="R357" s="1">
        <v>46235.916666666664</v>
      </c>
      <c r="S357" s="1" t="s">
        <v>153</v>
      </c>
      <c r="T357" s="1" t="s">
        <v>490</v>
      </c>
      <c r="U357" s="1"/>
    </row>
    <row r="358" spans="1:21" ht="21" customHeight="1" x14ac:dyDescent="0.45">
      <c r="A358" s="14">
        <v>46236</v>
      </c>
      <c r="B358" s="1" t="s">
        <v>103</v>
      </c>
      <c r="C358" s="13">
        <v>46236.041666666664</v>
      </c>
      <c r="D358" s="13">
        <v>46236.083333333336</v>
      </c>
      <c r="E358" s="1" t="s">
        <v>144</v>
      </c>
      <c r="F358" s="12">
        <v>24</v>
      </c>
      <c r="G358" s="12">
        <v>24</v>
      </c>
      <c r="H358" s="18">
        <v>0.13714285714285715</v>
      </c>
      <c r="I358" s="12">
        <v>175</v>
      </c>
      <c r="J358" s="12">
        <v>24</v>
      </c>
      <c r="K358" s="13">
        <v>46235.375</v>
      </c>
      <c r="L358" s="13">
        <v>46235.416666666664</v>
      </c>
      <c r="M358" s="1" t="s">
        <v>145</v>
      </c>
      <c r="N358" s="1" t="s">
        <v>154</v>
      </c>
      <c r="O358" s="1" t="s">
        <v>151</v>
      </c>
      <c r="P358" s="1" t="s">
        <v>331</v>
      </c>
      <c r="Q358" s="1" t="s">
        <v>147</v>
      </c>
      <c r="R358" s="1">
        <v>46235.916666666664</v>
      </c>
      <c r="S358" s="1"/>
      <c r="T358" s="1" t="s">
        <v>490</v>
      </c>
      <c r="U358" s="1"/>
    </row>
    <row r="359" spans="1:21" ht="21" customHeight="1" x14ac:dyDescent="0.45">
      <c r="A359" s="14">
        <v>46236</v>
      </c>
      <c r="B359" s="1" t="s">
        <v>101</v>
      </c>
      <c r="C359" s="13">
        <v>46236.041666666664</v>
      </c>
      <c r="D359" s="13">
        <v>46236.083333333336</v>
      </c>
      <c r="E359" s="1" t="s">
        <v>144</v>
      </c>
      <c r="F359" s="12">
        <v>24</v>
      </c>
      <c r="G359" s="12">
        <v>24</v>
      </c>
      <c r="H359" s="18">
        <v>0.13714285714285715</v>
      </c>
      <c r="I359" s="12">
        <v>175</v>
      </c>
      <c r="J359" s="12">
        <v>24</v>
      </c>
      <c r="K359" s="13">
        <v>46235.375</v>
      </c>
      <c r="L359" s="13">
        <v>46235.416666666664</v>
      </c>
      <c r="M359" s="1" t="s">
        <v>145</v>
      </c>
      <c r="N359" s="1" t="s">
        <v>154</v>
      </c>
      <c r="O359" s="1" t="s">
        <v>151</v>
      </c>
      <c r="P359" s="1" t="s">
        <v>332</v>
      </c>
      <c r="Q359" s="1" t="s">
        <v>147</v>
      </c>
      <c r="R359" s="1">
        <v>46235.916666666664</v>
      </c>
      <c r="S359" s="1"/>
      <c r="T359" s="1" t="s">
        <v>490</v>
      </c>
      <c r="U359" s="1"/>
    </row>
    <row r="360" spans="1:21" ht="21" customHeight="1" x14ac:dyDescent="0.45">
      <c r="A360" s="14">
        <v>46236</v>
      </c>
      <c r="B360" s="1" t="s">
        <v>143</v>
      </c>
      <c r="C360" s="13">
        <v>46236.052083333336</v>
      </c>
      <c r="D360" s="13">
        <v>46236.0625</v>
      </c>
      <c r="E360" s="1" t="s">
        <v>144</v>
      </c>
      <c r="F360" s="12">
        <v>0</v>
      </c>
      <c r="G360" s="12">
        <v>100</v>
      </c>
      <c r="H360" s="18"/>
      <c r="I360" s="12"/>
      <c r="J360" s="12"/>
      <c r="K360" s="13">
        <v>46235.541666666664</v>
      </c>
      <c r="L360" s="13">
        <v>46235.583333333336</v>
      </c>
      <c r="M360" s="1" t="s">
        <v>145</v>
      </c>
      <c r="N360" s="1"/>
      <c r="O360" s="1"/>
      <c r="P360" s="1" t="s">
        <v>333</v>
      </c>
      <c r="Q360" s="1" t="s">
        <v>147</v>
      </c>
      <c r="R360" s="1">
        <v>46235.927083333336</v>
      </c>
      <c r="S360" s="1"/>
      <c r="T360" s="1" t="s">
        <v>490</v>
      </c>
      <c r="U360" s="1"/>
    </row>
    <row r="361" spans="1:21" ht="21" customHeight="1" x14ac:dyDescent="0.45">
      <c r="A361" s="14">
        <v>46236</v>
      </c>
      <c r="B361" s="1" t="s">
        <v>143</v>
      </c>
      <c r="C361" s="13">
        <v>46236.0625</v>
      </c>
      <c r="D361" s="13">
        <v>46236.072916666664</v>
      </c>
      <c r="E361" s="1" t="s">
        <v>144</v>
      </c>
      <c r="F361" s="12">
        <v>0</v>
      </c>
      <c r="G361" s="12">
        <v>100</v>
      </c>
      <c r="H361" s="18"/>
      <c r="I361" s="12"/>
      <c r="J361" s="12"/>
      <c r="K361" s="13">
        <v>46235.541666666664</v>
      </c>
      <c r="L361" s="13">
        <v>46235.583333333336</v>
      </c>
      <c r="M361" s="1" t="s">
        <v>145</v>
      </c>
      <c r="N361" s="1"/>
      <c r="O361" s="1"/>
      <c r="P361" s="1" t="s">
        <v>334</v>
      </c>
      <c r="Q361" s="1" t="s">
        <v>147</v>
      </c>
      <c r="R361" s="1">
        <v>46235.9375</v>
      </c>
      <c r="S361" s="1"/>
      <c r="T361" s="1" t="s">
        <v>490</v>
      </c>
      <c r="U361" s="1"/>
    </row>
    <row r="362" spans="1:21" ht="21" customHeight="1" x14ac:dyDescent="0.45">
      <c r="A362" s="14">
        <v>46236</v>
      </c>
      <c r="B362" s="1" t="s">
        <v>143</v>
      </c>
      <c r="C362" s="13">
        <v>46236.072916666664</v>
      </c>
      <c r="D362" s="13">
        <v>46236.083333333336</v>
      </c>
      <c r="E362" s="1" t="s">
        <v>144</v>
      </c>
      <c r="F362" s="12">
        <v>0</v>
      </c>
      <c r="G362" s="12">
        <v>100</v>
      </c>
      <c r="H362" s="18"/>
      <c r="I362" s="12"/>
      <c r="J362" s="12"/>
      <c r="K362" s="13">
        <v>46235.541666666664</v>
      </c>
      <c r="L362" s="13">
        <v>46235.583333333336</v>
      </c>
      <c r="M362" s="1" t="s">
        <v>145</v>
      </c>
      <c r="N362" s="1"/>
      <c r="O362" s="1"/>
      <c r="P362" s="1" t="s">
        <v>335</v>
      </c>
      <c r="Q362" s="1" t="s">
        <v>147</v>
      </c>
      <c r="R362" s="1">
        <v>46235.947916666664</v>
      </c>
      <c r="S362" s="1"/>
      <c r="T362" s="1" t="s">
        <v>490</v>
      </c>
      <c r="U362" s="1"/>
    </row>
    <row r="363" spans="1:21" ht="21" customHeight="1" x14ac:dyDescent="0.45">
      <c r="A363" s="14">
        <v>46236</v>
      </c>
      <c r="B363" s="1" t="s">
        <v>143</v>
      </c>
      <c r="C363" s="13">
        <v>46236.083333333336</v>
      </c>
      <c r="D363" s="13">
        <v>46236.09375</v>
      </c>
      <c r="E363" s="1" t="s">
        <v>144</v>
      </c>
      <c r="F363" s="12">
        <v>-0.18024801592258491</v>
      </c>
      <c r="G363" s="12">
        <v>100</v>
      </c>
      <c r="H363" s="18"/>
      <c r="I363" s="12"/>
      <c r="J363" s="12"/>
      <c r="K363" s="13">
        <v>46235.541666666664</v>
      </c>
      <c r="L363" s="13">
        <v>46235.583333333336</v>
      </c>
      <c r="M363" s="1" t="s">
        <v>145</v>
      </c>
      <c r="N363" s="1"/>
      <c r="O363" s="1"/>
      <c r="P363" s="1" t="s">
        <v>336</v>
      </c>
      <c r="Q363" s="1" t="s">
        <v>147</v>
      </c>
      <c r="R363" s="1">
        <v>46235.958333333336</v>
      </c>
      <c r="S363" s="1"/>
      <c r="T363" s="1" t="s">
        <v>490</v>
      </c>
      <c r="U363" s="1"/>
    </row>
    <row r="364" spans="1:21" ht="21" customHeight="1" x14ac:dyDescent="0.45">
      <c r="A364" s="14">
        <v>46236</v>
      </c>
      <c r="B364" s="1" t="s">
        <v>149</v>
      </c>
      <c r="C364" s="13">
        <v>46236.083333333336</v>
      </c>
      <c r="D364" s="13">
        <v>46236.125</v>
      </c>
      <c r="E364" s="1" t="s">
        <v>144</v>
      </c>
      <c r="F364" s="12">
        <v>40</v>
      </c>
      <c r="G364" s="12">
        <v>40</v>
      </c>
      <c r="H364" s="18">
        <v>0.3125</v>
      </c>
      <c r="I364" s="12">
        <v>128</v>
      </c>
      <c r="J364" s="12">
        <v>40</v>
      </c>
      <c r="K364" s="13">
        <v>46235.375</v>
      </c>
      <c r="L364" s="13">
        <v>46235.416666666664</v>
      </c>
      <c r="M364" s="1" t="s">
        <v>145</v>
      </c>
      <c r="N364" s="1" t="s">
        <v>150</v>
      </c>
      <c r="O364" s="1" t="s">
        <v>151</v>
      </c>
      <c r="P364" s="1" t="s">
        <v>337</v>
      </c>
      <c r="Q364" s="1" t="s">
        <v>147</v>
      </c>
      <c r="R364" s="1">
        <v>46235.958333333336</v>
      </c>
      <c r="S364" s="1" t="s">
        <v>153</v>
      </c>
      <c r="T364" s="1" t="s">
        <v>490</v>
      </c>
      <c r="U364" s="1"/>
    </row>
    <row r="365" spans="1:21" ht="21" customHeight="1" x14ac:dyDescent="0.45">
      <c r="A365" s="14">
        <v>46236</v>
      </c>
      <c r="B365" s="1" t="s">
        <v>103</v>
      </c>
      <c r="C365" s="13">
        <v>46236.083333333336</v>
      </c>
      <c r="D365" s="13">
        <v>46236.125</v>
      </c>
      <c r="E365" s="1" t="s">
        <v>144</v>
      </c>
      <c r="F365" s="12">
        <v>24</v>
      </c>
      <c r="G365" s="12">
        <v>24</v>
      </c>
      <c r="H365" s="18">
        <v>0.13714285714285715</v>
      </c>
      <c r="I365" s="12">
        <v>175</v>
      </c>
      <c r="J365" s="12">
        <v>24</v>
      </c>
      <c r="K365" s="13">
        <v>46235.375</v>
      </c>
      <c r="L365" s="13">
        <v>46235.416666666664</v>
      </c>
      <c r="M365" s="1" t="s">
        <v>145</v>
      </c>
      <c r="N365" s="1" t="s">
        <v>154</v>
      </c>
      <c r="O365" s="1" t="s">
        <v>151</v>
      </c>
      <c r="P365" s="1" t="s">
        <v>338</v>
      </c>
      <c r="Q365" s="1" t="s">
        <v>147</v>
      </c>
      <c r="R365" s="1">
        <v>46235.958333333336</v>
      </c>
      <c r="S365" s="1"/>
      <c r="T365" s="1" t="s">
        <v>490</v>
      </c>
      <c r="U365" s="1"/>
    </row>
    <row r="366" spans="1:21" ht="21" customHeight="1" x14ac:dyDescent="0.45">
      <c r="A366" s="14">
        <v>46236</v>
      </c>
      <c r="B366" s="1" t="s">
        <v>101</v>
      </c>
      <c r="C366" s="13">
        <v>46236.083333333336</v>
      </c>
      <c r="D366" s="13">
        <v>46236.125</v>
      </c>
      <c r="E366" s="1" t="s">
        <v>144</v>
      </c>
      <c r="F366" s="12">
        <v>24</v>
      </c>
      <c r="G366" s="12">
        <v>24</v>
      </c>
      <c r="H366" s="18">
        <v>0.13714285714285715</v>
      </c>
      <c r="I366" s="12">
        <v>175</v>
      </c>
      <c r="J366" s="12">
        <v>24</v>
      </c>
      <c r="K366" s="13">
        <v>46235.375</v>
      </c>
      <c r="L366" s="13">
        <v>46235.416666666664</v>
      </c>
      <c r="M366" s="1" t="s">
        <v>145</v>
      </c>
      <c r="N366" s="1" t="s">
        <v>154</v>
      </c>
      <c r="O366" s="1" t="s">
        <v>151</v>
      </c>
      <c r="P366" s="1" t="s">
        <v>339</v>
      </c>
      <c r="Q366" s="1" t="s">
        <v>147</v>
      </c>
      <c r="R366" s="1">
        <v>46235.958333333336</v>
      </c>
      <c r="S366" s="1"/>
      <c r="T366" s="1" t="s">
        <v>490</v>
      </c>
      <c r="U366" s="1"/>
    </row>
    <row r="367" spans="1:21" ht="21" customHeight="1" x14ac:dyDescent="0.45">
      <c r="A367" s="14">
        <v>46236</v>
      </c>
      <c r="B367" s="1" t="s">
        <v>143</v>
      </c>
      <c r="C367" s="13">
        <v>46236.09375</v>
      </c>
      <c r="D367" s="13">
        <v>46236.104166666664</v>
      </c>
      <c r="E367" s="1" t="s">
        <v>144</v>
      </c>
      <c r="F367" s="12">
        <v>-7.370332307693503</v>
      </c>
      <c r="G367" s="12">
        <v>100</v>
      </c>
      <c r="H367" s="18"/>
      <c r="I367" s="12"/>
      <c r="J367" s="12"/>
      <c r="K367" s="13">
        <v>46235.541666666664</v>
      </c>
      <c r="L367" s="13">
        <v>46235.583333333336</v>
      </c>
      <c r="M367" s="1" t="s">
        <v>145</v>
      </c>
      <c r="N367" s="1"/>
      <c r="O367" s="1"/>
      <c r="P367" s="1" t="s">
        <v>340</v>
      </c>
      <c r="Q367" s="1" t="s">
        <v>147</v>
      </c>
      <c r="R367" s="1">
        <v>46235.96875</v>
      </c>
      <c r="S367" s="1"/>
      <c r="T367" s="1" t="s">
        <v>490</v>
      </c>
      <c r="U367" s="1"/>
    </row>
    <row r="368" spans="1:21" ht="21" customHeight="1" x14ac:dyDescent="0.45">
      <c r="A368" s="14">
        <v>46236</v>
      </c>
      <c r="B368" s="1" t="s">
        <v>143</v>
      </c>
      <c r="C368" s="13">
        <v>46236.104166666664</v>
      </c>
      <c r="D368" s="13">
        <v>46236.114583333336</v>
      </c>
      <c r="E368" s="1" t="s">
        <v>144</v>
      </c>
      <c r="F368" s="12">
        <v>0</v>
      </c>
      <c r="G368" s="12">
        <v>100</v>
      </c>
      <c r="H368" s="18"/>
      <c r="I368" s="12"/>
      <c r="J368" s="12"/>
      <c r="K368" s="13">
        <v>46235.541666666664</v>
      </c>
      <c r="L368" s="13">
        <v>46235.583333333336</v>
      </c>
      <c r="M368" s="1" t="s">
        <v>145</v>
      </c>
      <c r="N368" s="1"/>
      <c r="O368" s="1"/>
      <c r="P368" s="1" t="s">
        <v>341</v>
      </c>
      <c r="Q368" s="1" t="s">
        <v>147</v>
      </c>
      <c r="R368" s="1">
        <v>46235.979166666664</v>
      </c>
      <c r="S368" s="1"/>
      <c r="T368" s="1" t="s">
        <v>490</v>
      </c>
      <c r="U368" s="1"/>
    </row>
    <row r="369" spans="1:21" ht="21" customHeight="1" x14ac:dyDescent="0.45">
      <c r="A369" s="14">
        <v>46236</v>
      </c>
      <c r="B369" s="1" t="s">
        <v>143</v>
      </c>
      <c r="C369" s="13">
        <v>46236.114583333336</v>
      </c>
      <c r="D369" s="13">
        <v>46236.125</v>
      </c>
      <c r="E369" s="1" t="s">
        <v>144</v>
      </c>
      <c r="F369" s="12">
        <v>0</v>
      </c>
      <c r="G369" s="12">
        <v>100</v>
      </c>
      <c r="H369" s="18"/>
      <c r="I369" s="12"/>
      <c r="J369" s="12"/>
      <c r="K369" s="13">
        <v>46235.541666666664</v>
      </c>
      <c r="L369" s="13">
        <v>46235.583333333336</v>
      </c>
      <c r="M369" s="1" t="s">
        <v>145</v>
      </c>
      <c r="N369" s="1"/>
      <c r="O369" s="1"/>
      <c r="P369" s="1" t="s">
        <v>342</v>
      </c>
      <c r="Q369" s="1" t="s">
        <v>147</v>
      </c>
      <c r="R369" s="1">
        <v>46235.989583333336</v>
      </c>
      <c r="S369" s="1"/>
      <c r="T369" s="1" t="s">
        <v>490</v>
      </c>
      <c r="U369" s="1"/>
    </row>
    <row r="370" spans="1:21" ht="21" customHeight="1" x14ac:dyDescent="0.45">
      <c r="A370" s="14">
        <v>46236</v>
      </c>
      <c r="B370" s="1" t="s">
        <v>143</v>
      </c>
      <c r="C370" s="13">
        <v>46236.125</v>
      </c>
      <c r="D370" s="13">
        <v>46236.135416666664</v>
      </c>
      <c r="E370" s="1" t="s">
        <v>144</v>
      </c>
      <c r="F370" s="12">
        <v>0</v>
      </c>
      <c r="G370" s="12">
        <v>100</v>
      </c>
      <c r="H370" s="18"/>
      <c r="I370" s="12"/>
      <c r="J370" s="12"/>
      <c r="K370" s="13">
        <v>46235.541666666664</v>
      </c>
      <c r="L370" s="13">
        <v>46235.583333333336</v>
      </c>
      <c r="M370" s="1" t="s">
        <v>145</v>
      </c>
      <c r="N370" s="1"/>
      <c r="O370" s="1"/>
      <c r="P370" s="1" t="s">
        <v>343</v>
      </c>
      <c r="Q370" s="1" t="s">
        <v>147</v>
      </c>
      <c r="R370" s="1">
        <v>46236</v>
      </c>
      <c r="S370" s="1"/>
      <c r="T370" s="1" t="s">
        <v>490</v>
      </c>
      <c r="U370" s="1"/>
    </row>
    <row r="371" spans="1:21" ht="21" customHeight="1" x14ac:dyDescent="0.45">
      <c r="A371" s="14">
        <v>46236</v>
      </c>
      <c r="B371" s="1" t="s">
        <v>149</v>
      </c>
      <c r="C371" s="13">
        <v>46236.125</v>
      </c>
      <c r="D371" s="13">
        <v>46236.166666666664</v>
      </c>
      <c r="E371" s="1" t="s">
        <v>144</v>
      </c>
      <c r="F371" s="12">
        <v>40</v>
      </c>
      <c r="G371" s="12">
        <v>40</v>
      </c>
      <c r="H371" s="18">
        <v>0.3125</v>
      </c>
      <c r="I371" s="12">
        <v>128</v>
      </c>
      <c r="J371" s="12">
        <v>40</v>
      </c>
      <c r="K371" s="13">
        <v>46235.375</v>
      </c>
      <c r="L371" s="13">
        <v>46235.416666666664</v>
      </c>
      <c r="M371" s="1" t="s">
        <v>145</v>
      </c>
      <c r="N371" s="1" t="s">
        <v>150</v>
      </c>
      <c r="O371" s="1" t="s">
        <v>151</v>
      </c>
      <c r="P371" s="1" t="s">
        <v>344</v>
      </c>
      <c r="Q371" s="1" t="s">
        <v>147</v>
      </c>
      <c r="R371" s="1">
        <v>46236</v>
      </c>
      <c r="S371" s="1" t="s">
        <v>153</v>
      </c>
      <c r="T371" s="1" t="s">
        <v>490</v>
      </c>
      <c r="U371" s="1"/>
    </row>
    <row r="372" spans="1:21" ht="21" customHeight="1" x14ac:dyDescent="0.45">
      <c r="A372" s="14">
        <v>46236</v>
      </c>
      <c r="B372" s="1" t="s">
        <v>103</v>
      </c>
      <c r="C372" s="13">
        <v>46236.125</v>
      </c>
      <c r="D372" s="13">
        <v>46236.166666666664</v>
      </c>
      <c r="E372" s="1" t="s">
        <v>144</v>
      </c>
      <c r="F372" s="12">
        <v>24</v>
      </c>
      <c r="G372" s="12">
        <v>24</v>
      </c>
      <c r="H372" s="18">
        <v>0.13714285714285715</v>
      </c>
      <c r="I372" s="12">
        <v>175</v>
      </c>
      <c r="J372" s="12">
        <v>24</v>
      </c>
      <c r="K372" s="13">
        <v>46235.375</v>
      </c>
      <c r="L372" s="13">
        <v>46235.416666666664</v>
      </c>
      <c r="M372" s="1" t="s">
        <v>145</v>
      </c>
      <c r="N372" s="1" t="s">
        <v>154</v>
      </c>
      <c r="O372" s="1" t="s">
        <v>151</v>
      </c>
      <c r="P372" s="1" t="s">
        <v>345</v>
      </c>
      <c r="Q372" s="1" t="s">
        <v>147</v>
      </c>
      <c r="R372" s="1">
        <v>46236</v>
      </c>
      <c r="S372" s="1"/>
      <c r="T372" s="1" t="s">
        <v>490</v>
      </c>
      <c r="U372" s="1"/>
    </row>
    <row r="373" spans="1:21" ht="21" customHeight="1" x14ac:dyDescent="0.45">
      <c r="A373" s="14">
        <v>46236</v>
      </c>
      <c r="B373" s="1" t="s">
        <v>101</v>
      </c>
      <c r="C373" s="13">
        <v>46236.125</v>
      </c>
      <c r="D373" s="13">
        <v>46236.166666666664</v>
      </c>
      <c r="E373" s="1" t="s">
        <v>144</v>
      </c>
      <c r="F373" s="12">
        <v>24</v>
      </c>
      <c r="G373" s="12">
        <v>24</v>
      </c>
      <c r="H373" s="18">
        <v>0.13714285714285715</v>
      </c>
      <c r="I373" s="12">
        <v>175</v>
      </c>
      <c r="J373" s="12">
        <v>24</v>
      </c>
      <c r="K373" s="13">
        <v>46235.375</v>
      </c>
      <c r="L373" s="13">
        <v>46235.416666666664</v>
      </c>
      <c r="M373" s="1" t="s">
        <v>145</v>
      </c>
      <c r="N373" s="1" t="s">
        <v>154</v>
      </c>
      <c r="O373" s="1" t="s">
        <v>151</v>
      </c>
      <c r="P373" s="1" t="s">
        <v>346</v>
      </c>
      <c r="Q373" s="1" t="s">
        <v>147</v>
      </c>
      <c r="R373" s="1">
        <v>46236</v>
      </c>
      <c r="S373" s="1"/>
      <c r="T373" s="1" t="s">
        <v>490</v>
      </c>
      <c r="U373" s="1"/>
    </row>
    <row r="374" spans="1:21" ht="21" customHeight="1" x14ac:dyDescent="0.45">
      <c r="A374" s="14">
        <v>46236</v>
      </c>
      <c r="B374" s="1" t="s">
        <v>143</v>
      </c>
      <c r="C374" s="13">
        <v>46236.135416666664</v>
      </c>
      <c r="D374" s="13">
        <v>46236.145833333336</v>
      </c>
      <c r="E374" s="1" t="s">
        <v>144</v>
      </c>
      <c r="F374" s="12">
        <v>-4.5587853311510811</v>
      </c>
      <c r="G374" s="12">
        <v>100</v>
      </c>
      <c r="H374" s="18"/>
      <c r="I374" s="12"/>
      <c r="J374" s="12"/>
      <c r="K374" s="13">
        <v>46235.541666666664</v>
      </c>
      <c r="L374" s="13">
        <v>46235.583333333336</v>
      </c>
      <c r="M374" s="1" t="s">
        <v>145</v>
      </c>
      <c r="N374" s="1"/>
      <c r="O374" s="1"/>
      <c r="P374" s="1" t="s">
        <v>347</v>
      </c>
      <c r="Q374" s="1" t="s">
        <v>147</v>
      </c>
      <c r="R374" s="1">
        <v>46236.010416666664</v>
      </c>
      <c r="S374" s="1"/>
      <c r="T374" s="1" t="s">
        <v>490</v>
      </c>
      <c r="U374" s="1"/>
    </row>
    <row r="375" spans="1:21" ht="21" customHeight="1" x14ac:dyDescent="0.45">
      <c r="A375" s="14">
        <v>46236</v>
      </c>
      <c r="B375" s="1" t="s">
        <v>143</v>
      </c>
      <c r="C375" s="13">
        <v>46236.145833333336</v>
      </c>
      <c r="D375" s="13">
        <v>46236.15625</v>
      </c>
      <c r="E375" s="1" t="s">
        <v>144</v>
      </c>
      <c r="F375" s="12">
        <v>-3.5010837156643779</v>
      </c>
      <c r="G375" s="12">
        <v>100</v>
      </c>
      <c r="H375" s="18"/>
      <c r="I375" s="12"/>
      <c r="J375" s="12"/>
      <c r="K375" s="13">
        <v>46235.541666666664</v>
      </c>
      <c r="L375" s="13">
        <v>46235.583333333336</v>
      </c>
      <c r="M375" s="1" t="s">
        <v>145</v>
      </c>
      <c r="N375" s="1"/>
      <c r="O375" s="1"/>
      <c r="P375" s="1" t="s">
        <v>348</v>
      </c>
      <c r="Q375" s="1" t="s">
        <v>147</v>
      </c>
      <c r="R375" s="1">
        <v>46236.020833333336</v>
      </c>
      <c r="S375" s="1"/>
      <c r="T375" s="1" t="s">
        <v>490</v>
      </c>
      <c r="U375" s="1"/>
    </row>
    <row r="376" spans="1:21" ht="21" customHeight="1" x14ac:dyDescent="0.45">
      <c r="A376" s="14">
        <v>46236</v>
      </c>
      <c r="B376" s="1" t="s">
        <v>143</v>
      </c>
      <c r="C376" s="13">
        <v>46236.15625</v>
      </c>
      <c r="D376" s="13">
        <v>46236.166666666664</v>
      </c>
      <c r="E376" s="1" t="s">
        <v>144</v>
      </c>
      <c r="F376" s="12">
        <v>-13.978311196078922</v>
      </c>
      <c r="G376" s="12">
        <v>100</v>
      </c>
      <c r="H376" s="18"/>
      <c r="I376" s="12"/>
      <c r="J376" s="12"/>
      <c r="K376" s="13">
        <v>46235.541666666664</v>
      </c>
      <c r="L376" s="13">
        <v>46235.583333333336</v>
      </c>
      <c r="M376" s="1" t="s">
        <v>145</v>
      </c>
      <c r="N376" s="1"/>
      <c r="O376" s="1"/>
      <c r="P376" s="1" t="s">
        <v>349</v>
      </c>
      <c r="Q376" s="1" t="s">
        <v>147</v>
      </c>
      <c r="R376" s="1">
        <v>46236.03125</v>
      </c>
      <c r="S376" s="1"/>
      <c r="T376" s="1" t="s">
        <v>490</v>
      </c>
      <c r="U376" s="1"/>
    </row>
    <row r="377" spans="1:21" ht="21" customHeight="1" x14ac:dyDescent="0.45">
      <c r="A377" s="14">
        <v>46236</v>
      </c>
      <c r="B377" s="1" t="s">
        <v>143</v>
      </c>
      <c r="C377" s="13">
        <v>46236.166666666664</v>
      </c>
      <c r="D377" s="13">
        <v>46236.177083333336</v>
      </c>
      <c r="E377" s="1" t="s">
        <v>144</v>
      </c>
      <c r="F377" s="12">
        <v>0</v>
      </c>
      <c r="G377" s="12">
        <v>100</v>
      </c>
      <c r="H377" s="18"/>
      <c r="I377" s="12"/>
      <c r="J377" s="12"/>
      <c r="K377" s="13">
        <v>46235.541666666664</v>
      </c>
      <c r="L377" s="13">
        <v>46235.583333333336</v>
      </c>
      <c r="M377" s="1" t="s">
        <v>145</v>
      </c>
      <c r="N377" s="1"/>
      <c r="O377" s="1"/>
      <c r="P377" s="1" t="s">
        <v>350</v>
      </c>
      <c r="Q377" s="1" t="s">
        <v>147</v>
      </c>
      <c r="R377" s="1">
        <v>46236.041666666664</v>
      </c>
      <c r="S377" s="1"/>
      <c r="T377" s="1" t="s">
        <v>490</v>
      </c>
      <c r="U377" s="1"/>
    </row>
    <row r="378" spans="1:21" ht="21" customHeight="1" x14ac:dyDescent="0.45">
      <c r="A378" s="14">
        <v>46236</v>
      </c>
      <c r="B378" s="1" t="s">
        <v>149</v>
      </c>
      <c r="C378" s="13">
        <v>46236.166666666664</v>
      </c>
      <c r="D378" s="13">
        <v>46236.208333333336</v>
      </c>
      <c r="E378" s="1" t="s">
        <v>144</v>
      </c>
      <c r="F378" s="12">
        <v>40</v>
      </c>
      <c r="G378" s="12">
        <v>40</v>
      </c>
      <c r="H378" s="18">
        <v>0.3125</v>
      </c>
      <c r="I378" s="12">
        <v>128</v>
      </c>
      <c r="J378" s="12">
        <v>40</v>
      </c>
      <c r="K378" s="13">
        <v>46235.375</v>
      </c>
      <c r="L378" s="13">
        <v>46235.416666666664</v>
      </c>
      <c r="M378" s="1" t="s">
        <v>145</v>
      </c>
      <c r="N378" s="1" t="s">
        <v>150</v>
      </c>
      <c r="O378" s="1" t="s">
        <v>151</v>
      </c>
      <c r="P378" s="1" t="s">
        <v>351</v>
      </c>
      <c r="Q378" s="1" t="s">
        <v>147</v>
      </c>
      <c r="R378" s="1">
        <v>46236.041666666664</v>
      </c>
      <c r="S378" s="1" t="s">
        <v>153</v>
      </c>
      <c r="T378" s="1" t="s">
        <v>490</v>
      </c>
      <c r="U378" s="1"/>
    </row>
    <row r="379" spans="1:21" ht="21" customHeight="1" x14ac:dyDescent="0.45">
      <c r="A379" s="14">
        <v>46236</v>
      </c>
      <c r="B379" s="1" t="s">
        <v>103</v>
      </c>
      <c r="C379" s="13">
        <v>46236.166666666664</v>
      </c>
      <c r="D379" s="13">
        <v>46236.208333333336</v>
      </c>
      <c r="E379" s="1" t="s">
        <v>144</v>
      </c>
      <c r="F379" s="12">
        <v>24</v>
      </c>
      <c r="G379" s="12">
        <v>24</v>
      </c>
      <c r="H379" s="18">
        <v>0.13714285714285715</v>
      </c>
      <c r="I379" s="12">
        <v>175</v>
      </c>
      <c r="J379" s="12">
        <v>24</v>
      </c>
      <c r="K379" s="13">
        <v>46235.375</v>
      </c>
      <c r="L379" s="13">
        <v>46235.416666666664</v>
      </c>
      <c r="M379" s="1" t="s">
        <v>145</v>
      </c>
      <c r="N379" s="1" t="s">
        <v>154</v>
      </c>
      <c r="O379" s="1" t="s">
        <v>151</v>
      </c>
      <c r="P379" s="1" t="s">
        <v>352</v>
      </c>
      <c r="Q379" s="1" t="s">
        <v>147</v>
      </c>
      <c r="R379" s="1">
        <v>46236.041666666664</v>
      </c>
      <c r="S379" s="1"/>
      <c r="T379" s="1" t="s">
        <v>490</v>
      </c>
      <c r="U379" s="1"/>
    </row>
    <row r="380" spans="1:21" ht="21" customHeight="1" x14ac:dyDescent="0.45">
      <c r="A380" s="14">
        <v>46236</v>
      </c>
      <c r="B380" s="1" t="s">
        <v>101</v>
      </c>
      <c r="C380" s="13">
        <v>46236.166666666664</v>
      </c>
      <c r="D380" s="13">
        <v>46236.208333333336</v>
      </c>
      <c r="E380" s="1" t="s">
        <v>144</v>
      </c>
      <c r="F380" s="12">
        <v>24</v>
      </c>
      <c r="G380" s="12">
        <v>24</v>
      </c>
      <c r="H380" s="18">
        <v>0.13714285714285715</v>
      </c>
      <c r="I380" s="12">
        <v>175</v>
      </c>
      <c r="J380" s="12">
        <v>24</v>
      </c>
      <c r="K380" s="13">
        <v>46235.375</v>
      </c>
      <c r="L380" s="13">
        <v>46235.416666666664</v>
      </c>
      <c r="M380" s="1" t="s">
        <v>145</v>
      </c>
      <c r="N380" s="1" t="s">
        <v>154</v>
      </c>
      <c r="O380" s="1" t="s">
        <v>151</v>
      </c>
      <c r="P380" s="1" t="s">
        <v>353</v>
      </c>
      <c r="Q380" s="1" t="s">
        <v>147</v>
      </c>
      <c r="R380" s="1">
        <v>46236.041666666664</v>
      </c>
      <c r="S380" s="1"/>
      <c r="T380" s="1" t="s">
        <v>490</v>
      </c>
      <c r="U380" s="1"/>
    </row>
    <row r="381" spans="1:21" ht="21" customHeight="1" x14ac:dyDescent="0.45">
      <c r="A381" s="14">
        <v>46236</v>
      </c>
      <c r="B381" s="1" t="s">
        <v>143</v>
      </c>
      <c r="C381" s="13">
        <v>46236.177083333336</v>
      </c>
      <c r="D381" s="13">
        <v>46236.1875</v>
      </c>
      <c r="E381" s="1" t="s">
        <v>144</v>
      </c>
      <c r="F381" s="12">
        <v>-24</v>
      </c>
      <c r="G381" s="12">
        <v>100</v>
      </c>
      <c r="H381" s="18"/>
      <c r="I381" s="12"/>
      <c r="J381" s="12"/>
      <c r="K381" s="13">
        <v>46235.541666666664</v>
      </c>
      <c r="L381" s="13">
        <v>46235.583333333336</v>
      </c>
      <c r="M381" s="1" t="s">
        <v>145</v>
      </c>
      <c r="N381" s="1"/>
      <c r="O381" s="1"/>
      <c r="P381" s="1" t="s">
        <v>354</v>
      </c>
      <c r="Q381" s="1" t="s">
        <v>147</v>
      </c>
      <c r="R381" s="1">
        <v>46236.052083333336</v>
      </c>
      <c r="S381" s="1"/>
      <c r="T381" s="1" t="s">
        <v>490</v>
      </c>
      <c r="U381" s="1"/>
    </row>
    <row r="382" spans="1:21" ht="21" customHeight="1" x14ac:dyDescent="0.45">
      <c r="A382" s="14">
        <v>46236</v>
      </c>
      <c r="B382" s="1" t="s">
        <v>143</v>
      </c>
      <c r="C382" s="13">
        <v>46236.1875</v>
      </c>
      <c r="D382" s="13">
        <v>46236.197916666664</v>
      </c>
      <c r="E382" s="1" t="s">
        <v>144</v>
      </c>
      <c r="F382" s="12">
        <v>-22.87377133671642</v>
      </c>
      <c r="G382" s="12">
        <v>100</v>
      </c>
      <c r="H382" s="18"/>
      <c r="I382" s="12"/>
      <c r="J382" s="12"/>
      <c r="K382" s="13">
        <v>46235.541666666664</v>
      </c>
      <c r="L382" s="13">
        <v>46235.583333333336</v>
      </c>
      <c r="M382" s="1" t="s">
        <v>145</v>
      </c>
      <c r="N382" s="1"/>
      <c r="O382" s="1"/>
      <c r="P382" s="1" t="s">
        <v>355</v>
      </c>
      <c r="Q382" s="1" t="s">
        <v>147</v>
      </c>
      <c r="R382" s="1">
        <v>46236.0625</v>
      </c>
      <c r="S382" s="1"/>
      <c r="T382" s="1" t="s">
        <v>490</v>
      </c>
      <c r="U382" s="1"/>
    </row>
    <row r="383" spans="1:21" ht="21" customHeight="1" x14ac:dyDescent="0.45">
      <c r="A383" s="14">
        <v>46236</v>
      </c>
      <c r="B383" s="1" t="s">
        <v>143</v>
      </c>
      <c r="C383" s="13">
        <v>46236.197916666664</v>
      </c>
      <c r="D383" s="13">
        <v>46236.208333333336</v>
      </c>
      <c r="E383" s="1" t="s">
        <v>144</v>
      </c>
      <c r="F383" s="12">
        <v>0</v>
      </c>
      <c r="G383" s="12">
        <v>100</v>
      </c>
      <c r="H383" s="18"/>
      <c r="I383" s="12"/>
      <c r="J383" s="12"/>
      <c r="K383" s="13">
        <v>46235.541666666664</v>
      </c>
      <c r="L383" s="13">
        <v>46235.583333333336</v>
      </c>
      <c r="M383" s="1" t="s">
        <v>145</v>
      </c>
      <c r="N383" s="1"/>
      <c r="O383" s="1"/>
      <c r="P383" s="1" t="s">
        <v>356</v>
      </c>
      <c r="Q383" s="1" t="s">
        <v>147</v>
      </c>
      <c r="R383" s="1">
        <v>46236.072916666664</v>
      </c>
      <c r="S383" s="1"/>
      <c r="T383" s="1" t="s">
        <v>490</v>
      </c>
      <c r="U383" s="1"/>
    </row>
    <row r="384" spans="1:21" ht="21" customHeight="1" x14ac:dyDescent="0.45">
      <c r="A384" s="14">
        <v>46236</v>
      </c>
      <c r="B384" s="1" t="s">
        <v>143</v>
      </c>
      <c r="C384" s="13">
        <v>46236.208333333336</v>
      </c>
      <c r="D384" s="13">
        <v>46236.21875</v>
      </c>
      <c r="E384" s="1" t="s">
        <v>144</v>
      </c>
      <c r="F384" s="12">
        <v>0</v>
      </c>
      <c r="G384" s="12">
        <v>100</v>
      </c>
      <c r="H384" s="18"/>
      <c r="I384" s="12"/>
      <c r="J384" s="12"/>
      <c r="K384" s="13">
        <v>46235.541666666664</v>
      </c>
      <c r="L384" s="13">
        <v>46235.583333333336</v>
      </c>
      <c r="M384" s="1" t="s">
        <v>145</v>
      </c>
      <c r="N384" s="1"/>
      <c r="O384" s="1"/>
      <c r="P384" s="1" t="s">
        <v>357</v>
      </c>
      <c r="Q384" s="1" t="s">
        <v>147</v>
      </c>
      <c r="R384" s="1">
        <v>46236.083333333336</v>
      </c>
      <c r="S384" s="1"/>
      <c r="T384" s="1" t="s">
        <v>490</v>
      </c>
      <c r="U384" s="1"/>
    </row>
    <row r="385" spans="1:21" ht="21" customHeight="1" x14ac:dyDescent="0.45">
      <c r="A385" s="14">
        <v>46236</v>
      </c>
      <c r="B385" s="1" t="s">
        <v>149</v>
      </c>
      <c r="C385" s="13">
        <v>46236.208333333336</v>
      </c>
      <c r="D385" s="13">
        <v>46236.25</v>
      </c>
      <c r="E385" s="1" t="s">
        <v>144</v>
      </c>
      <c r="F385" s="12">
        <v>40</v>
      </c>
      <c r="G385" s="12">
        <v>40</v>
      </c>
      <c r="H385" s="18">
        <v>0.3125</v>
      </c>
      <c r="I385" s="12">
        <v>128</v>
      </c>
      <c r="J385" s="12">
        <v>40</v>
      </c>
      <c r="K385" s="13">
        <v>46235.375</v>
      </c>
      <c r="L385" s="13">
        <v>46235.416666666664</v>
      </c>
      <c r="M385" s="1" t="s">
        <v>145</v>
      </c>
      <c r="N385" s="1" t="s">
        <v>150</v>
      </c>
      <c r="O385" s="1" t="s">
        <v>151</v>
      </c>
      <c r="P385" s="1" t="s">
        <v>358</v>
      </c>
      <c r="Q385" s="1" t="s">
        <v>147</v>
      </c>
      <c r="R385" s="1">
        <v>46236.083333333336</v>
      </c>
      <c r="S385" s="1" t="s">
        <v>153</v>
      </c>
      <c r="T385" s="1" t="s">
        <v>490</v>
      </c>
      <c r="U385" s="1"/>
    </row>
    <row r="386" spans="1:21" ht="21" customHeight="1" x14ac:dyDescent="0.45">
      <c r="A386" s="14">
        <v>46236</v>
      </c>
      <c r="B386" s="1" t="s">
        <v>103</v>
      </c>
      <c r="C386" s="13">
        <v>46236.208333333336</v>
      </c>
      <c r="D386" s="13">
        <v>46236.25</v>
      </c>
      <c r="E386" s="1" t="s">
        <v>144</v>
      </c>
      <c r="F386" s="12">
        <v>24</v>
      </c>
      <c r="G386" s="12">
        <v>24</v>
      </c>
      <c r="H386" s="18">
        <v>0.13714285714285715</v>
      </c>
      <c r="I386" s="12">
        <v>175</v>
      </c>
      <c r="J386" s="12">
        <v>24</v>
      </c>
      <c r="K386" s="13">
        <v>46235.375</v>
      </c>
      <c r="L386" s="13">
        <v>46235.416666666664</v>
      </c>
      <c r="M386" s="1" t="s">
        <v>145</v>
      </c>
      <c r="N386" s="1" t="s">
        <v>154</v>
      </c>
      <c r="O386" s="1" t="s">
        <v>151</v>
      </c>
      <c r="P386" s="1" t="s">
        <v>359</v>
      </c>
      <c r="Q386" s="1" t="s">
        <v>147</v>
      </c>
      <c r="R386" s="1">
        <v>46236.083333333336</v>
      </c>
      <c r="S386" s="1"/>
      <c r="T386" s="1" t="s">
        <v>490</v>
      </c>
      <c r="U386" s="1"/>
    </row>
    <row r="387" spans="1:21" ht="21" customHeight="1" x14ac:dyDescent="0.45">
      <c r="A387" s="14">
        <v>46236</v>
      </c>
      <c r="B387" s="1" t="s">
        <v>101</v>
      </c>
      <c r="C387" s="13">
        <v>46236.208333333336</v>
      </c>
      <c r="D387" s="13">
        <v>46236.25</v>
      </c>
      <c r="E387" s="1" t="s">
        <v>144</v>
      </c>
      <c r="F387" s="12">
        <v>24</v>
      </c>
      <c r="G387" s="12">
        <v>24</v>
      </c>
      <c r="H387" s="18">
        <v>0.13714285714285715</v>
      </c>
      <c r="I387" s="12">
        <v>175</v>
      </c>
      <c r="J387" s="12">
        <v>24</v>
      </c>
      <c r="K387" s="13">
        <v>46235.375</v>
      </c>
      <c r="L387" s="13">
        <v>46235.416666666664</v>
      </c>
      <c r="M387" s="1" t="s">
        <v>145</v>
      </c>
      <c r="N387" s="1" t="s">
        <v>154</v>
      </c>
      <c r="O387" s="1" t="s">
        <v>151</v>
      </c>
      <c r="P387" s="1" t="s">
        <v>360</v>
      </c>
      <c r="Q387" s="1" t="s">
        <v>147</v>
      </c>
      <c r="R387" s="1">
        <v>46236.083333333336</v>
      </c>
      <c r="S387" s="1"/>
      <c r="T387" s="1" t="s">
        <v>490</v>
      </c>
      <c r="U387" s="1"/>
    </row>
    <row r="388" spans="1:21" ht="21" customHeight="1" x14ac:dyDescent="0.45">
      <c r="A388" s="14">
        <v>46236</v>
      </c>
      <c r="B388" s="1" t="s">
        <v>143</v>
      </c>
      <c r="C388" s="13">
        <v>46236.21875</v>
      </c>
      <c r="D388" s="13">
        <v>46236.229166666664</v>
      </c>
      <c r="E388" s="1" t="s">
        <v>144</v>
      </c>
      <c r="F388" s="12">
        <v>0</v>
      </c>
      <c r="G388" s="12">
        <v>100</v>
      </c>
      <c r="H388" s="18"/>
      <c r="I388" s="12"/>
      <c r="J388" s="12"/>
      <c r="K388" s="13">
        <v>46235.541666666664</v>
      </c>
      <c r="L388" s="13">
        <v>46235.583333333336</v>
      </c>
      <c r="M388" s="1" t="s">
        <v>145</v>
      </c>
      <c r="N388" s="1"/>
      <c r="O388" s="1"/>
      <c r="P388" s="1" t="s">
        <v>361</v>
      </c>
      <c r="Q388" s="1" t="s">
        <v>147</v>
      </c>
      <c r="R388" s="1">
        <v>46236.09375</v>
      </c>
      <c r="S388" s="1"/>
      <c r="T388" s="1" t="s">
        <v>490</v>
      </c>
      <c r="U388" s="1"/>
    </row>
    <row r="389" spans="1:21" ht="21" customHeight="1" x14ac:dyDescent="0.45">
      <c r="A389" s="14">
        <v>46236</v>
      </c>
      <c r="B389" s="1" t="s">
        <v>143</v>
      </c>
      <c r="C389" s="13">
        <v>46236.229166666664</v>
      </c>
      <c r="D389" s="13">
        <v>46236.239583333336</v>
      </c>
      <c r="E389" s="1" t="s">
        <v>144</v>
      </c>
      <c r="F389" s="12">
        <v>0</v>
      </c>
      <c r="G389" s="12">
        <v>100</v>
      </c>
      <c r="H389" s="18"/>
      <c r="I389" s="12"/>
      <c r="J389" s="12"/>
      <c r="K389" s="13">
        <v>46235.541666666664</v>
      </c>
      <c r="L389" s="13">
        <v>46235.583333333336</v>
      </c>
      <c r="M389" s="1" t="s">
        <v>145</v>
      </c>
      <c r="N389" s="1"/>
      <c r="O389" s="1"/>
      <c r="P389" s="1" t="s">
        <v>362</v>
      </c>
      <c r="Q389" s="1" t="s">
        <v>147</v>
      </c>
      <c r="R389" s="1">
        <v>46236.104166666664</v>
      </c>
      <c r="S389" s="1"/>
      <c r="T389" s="1" t="s">
        <v>490</v>
      </c>
      <c r="U389" s="1"/>
    </row>
    <row r="390" spans="1:21" ht="21" customHeight="1" x14ac:dyDescent="0.45">
      <c r="A390" s="14">
        <v>46236</v>
      </c>
      <c r="B390" s="1" t="s">
        <v>143</v>
      </c>
      <c r="C390" s="13">
        <v>46236.239583333336</v>
      </c>
      <c r="D390" s="13">
        <v>46236.25</v>
      </c>
      <c r="E390" s="1" t="s">
        <v>144</v>
      </c>
      <c r="F390" s="12">
        <v>0</v>
      </c>
      <c r="G390" s="12">
        <v>100</v>
      </c>
      <c r="H390" s="18"/>
      <c r="I390" s="12"/>
      <c r="J390" s="12"/>
      <c r="K390" s="13">
        <v>46235.541666666664</v>
      </c>
      <c r="L390" s="13">
        <v>46235.583333333336</v>
      </c>
      <c r="M390" s="1" t="s">
        <v>145</v>
      </c>
      <c r="N390" s="1"/>
      <c r="O390" s="1"/>
      <c r="P390" s="1" t="s">
        <v>363</v>
      </c>
      <c r="Q390" s="1" t="s">
        <v>147</v>
      </c>
      <c r="R390" s="1">
        <v>46236.114583333336</v>
      </c>
      <c r="S390" s="1"/>
      <c r="T390" s="1" t="s">
        <v>490</v>
      </c>
      <c r="U390" s="1"/>
    </row>
    <row r="391" spans="1:21" ht="21" customHeight="1" x14ac:dyDescent="0.45">
      <c r="A391" s="14">
        <v>46236</v>
      </c>
      <c r="B391" s="1" t="s">
        <v>143</v>
      </c>
      <c r="C391" s="13">
        <v>46236.25</v>
      </c>
      <c r="D391" s="13">
        <v>46236.260416666664</v>
      </c>
      <c r="E391" s="1" t="s">
        <v>144</v>
      </c>
      <c r="F391" s="12">
        <v>0</v>
      </c>
      <c r="G391" s="12">
        <v>100</v>
      </c>
      <c r="H391" s="18"/>
      <c r="I391" s="12"/>
      <c r="J391" s="12"/>
      <c r="K391" s="13">
        <v>46235.541666666664</v>
      </c>
      <c r="L391" s="13">
        <v>46235.583333333336</v>
      </c>
      <c r="M391" s="1" t="s">
        <v>145</v>
      </c>
      <c r="N391" s="1"/>
      <c r="O391" s="1"/>
      <c r="P391" s="1" t="s">
        <v>364</v>
      </c>
      <c r="Q391" s="1" t="s">
        <v>147</v>
      </c>
      <c r="R391" s="1">
        <v>46236.125</v>
      </c>
      <c r="S391" s="1"/>
      <c r="T391" s="1" t="s">
        <v>490</v>
      </c>
      <c r="U391" s="1"/>
    </row>
    <row r="392" spans="1:21" ht="21" customHeight="1" x14ac:dyDescent="0.45">
      <c r="A392" s="14">
        <v>46236</v>
      </c>
      <c r="B392" s="1" t="s">
        <v>149</v>
      </c>
      <c r="C392" s="13">
        <v>46236.25</v>
      </c>
      <c r="D392" s="13">
        <v>46236.291666666664</v>
      </c>
      <c r="E392" s="1" t="s">
        <v>144</v>
      </c>
      <c r="F392" s="12">
        <v>40</v>
      </c>
      <c r="G392" s="12">
        <v>40</v>
      </c>
      <c r="H392" s="18">
        <v>0.3125</v>
      </c>
      <c r="I392" s="12">
        <v>128</v>
      </c>
      <c r="J392" s="12">
        <v>40</v>
      </c>
      <c r="K392" s="13">
        <v>46235.375</v>
      </c>
      <c r="L392" s="13">
        <v>46235.416666666664</v>
      </c>
      <c r="M392" s="1" t="s">
        <v>145</v>
      </c>
      <c r="N392" s="1" t="s">
        <v>150</v>
      </c>
      <c r="O392" s="1" t="s">
        <v>151</v>
      </c>
      <c r="P392" s="1" t="s">
        <v>365</v>
      </c>
      <c r="Q392" s="1" t="s">
        <v>147</v>
      </c>
      <c r="R392" s="1">
        <v>46236.125</v>
      </c>
      <c r="S392" s="1" t="s">
        <v>153</v>
      </c>
      <c r="T392" s="1" t="s">
        <v>490</v>
      </c>
      <c r="U392" s="1"/>
    </row>
    <row r="393" spans="1:21" ht="21" customHeight="1" x14ac:dyDescent="0.45">
      <c r="A393" s="14">
        <v>46236</v>
      </c>
      <c r="B393" s="1" t="s">
        <v>103</v>
      </c>
      <c r="C393" s="13">
        <v>46236.25</v>
      </c>
      <c r="D393" s="13">
        <v>46236.291666666664</v>
      </c>
      <c r="E393" s="1" t="s">
        <v>144</v>
      </c>
      <c r="F393" s="12">
        <v>24</v>
      </c>
      <c r="G393" s="12">
        <v>24</v>
      </c>
      <c r="H393" s="18">
        <v>0.13714285714285715</v>
      </c>
      <c r="I393" s="12">
        <v>175</v>
      </c>
      <c r="J393" s="12">
        <v>24</v>
      </c>
      <c r="K393" s="13">
        <v>46235.375</v>
      </c>
      <c r="L393" s="13">
        <v>46235.416666666664</v>
      </c>
      <c r="M393" s="1" t="s">
        <v>145</v>
      </c>
      <c r="N393" s="1" t="s">
        <v>154</v>
      </c>
      <c r="O393" s="1" t="s">
        <v>151</v>
      </c>
      <c r="P393" s="1" t="s">
        <v>366</v>
      </c>
      <c r="Q393" s="1" t="s">
        <v>147</v>
      </c>
      <c r="R393" s="1">
        <v>46236.125</v>
      </c>
      <c r="S393" s="1"/>
      <c r="T393" s="1" t="s">
        <v>490</v>
      </c>
      <c r="U393" s="1"/>
    </row>
    <row r="394" spans="1:21" ht="21" customHeight="1" x14ac:dyDescent="0.45">
      <c r="A394" s="14">
        <v>46236</v>
      </c>
      <c r="B394" s="1" t="s">
        <v>101</v>
      </c>
      <c r="C394" s="13">
        <v>46236.25</v>
      </c>
      <c r="D394" s="13">
        <v>46236.291666666664</v>
      </c>
      <c r="E394" s="1" t="s">
        <v>144</v>
      </c>
      <c r="F394" s="12">
        <v>24</v>
      </c>
      <c r="G394" s="12">
        <v>24</v>
      </c>
      <c r="H394" s="18">
        <v>0.13714285714285715</v>
      </c>
      <c r="I394" s="12">
        <v>175</v>
      </c>
      <c r="J394" s="12">
        <v>24</v>
      </c>
      <c r="K394" s="13">
        <v>46235.375</v>
      </c>
      <c r="L394" s="13">
        <v>46235.416666666664</v>
      </c>
      <c r="M394" s="1" t="s">
        <v>145</v>
      </c>
      <c r="N394" s="1" t="s">
        <v>154</v>
      </c>
      <c r="O394" s="1" t="s">
        <v>151</v>
      </c>
      <c r="P394" s="1" t="s">
        <v>367</v>
      </c>
      <c r="Q394" s="1" t="s">
        <v>147</v>
      </c>
      <c r="R394" s="1">
        <v>46236.125</v>
      </c>
      <c r="S394" s="1"/>
      <c r="T394" s="1" t="s">
        <v>490</v>
      </c>
      <c r="U394" s="1"/>
    </row>
    <row r="395" spans="1:21" ht="21" customHeight="1" x14ac:dyDescent="0.45">
      <c r="A395" s="14">
        <v>46236</v>
      </c>
      <c r="B395" s="1" t="s">
        <v>143</v>
      </c>
      <c r="C395" s="13">
        <v>46236.260416666664</v>
      </c>
      <c r="D395" s="13">
        <v>46236.270833333336</v>
      </c>
      <c r="E395" s="1" t="s">
        <v>144</v>
      </c>
      <c r="F395" s="12">
        <v>0</v>
      </c>
      <c r="G395" s="12">
        <v>100</v>
      </c>
      <c r="H395" s="18"/>
      <c r="I395" s="12"/>
      <c r="J395" s="12"/>
      <c r="K395" s="13">
        <v>46235.541666666664</v>
      </c>
      <c r="L395" s="13">
        <v>46235.583333333336</v>
      </c>
      <c r="M395" s="1" t="s">
        <v>145</v>
      </c>
      <c r="N395" s="1"/>
      <c r="O395" s="1"/>
      <c r="P395" s="1" t="s">
        <v>368</v>
      </c>
      <c r="Q395" s="1" t="s">
        <v>147</v>
      </c>
      <c r="R395" s="1">
        <v>46236.135416666664</v>
      </c>
      <c r="S395" s="1"/>
      <c r="T395" s="1" t="s">
        <v>490</v>
      </c>
      <c r="U395" s="1"/>
    </row>
    <row r="396" spans="1:21" ht="21" customHeight="1" x14ac:dyDescent="0.45">
      <c r="A396" s="14">
        <v>46236</v>
      </c>
      <c r="B396" s="1" t="s">
        <v>143</v>
      </c>
      <c r="C396" s="13">
        <v>46236.270833333336</v>
      </c>
      <c r="D396" s="13">
        <v>46236.28125</v>
      </c>
      <c r="E396" s="1" t="s">
        <v>144</v>
      </c>
      <c r="F396" s="12">
        <v>0</v>
      </c>
      <c r="G396" s="12">
        <v>100</v>
      </c>
      <c r="H396" s="18"/>
      <c r="I396" s="12"/>
      <c r="J396" s="12"/>
      <c r="K396" s="13">
        <v>46235.541666666664</v>
      </c>
      <c r="L396" s="13">
        <v>46235.583333333336</v>
      </c>
      <c r="M396" s="1" t="s">
        <v>145</v>
      </c>
      <c r="N396" s="1"/>
      <c r="O396" s="1"/>
      <c r="P396" s="1" t="s">
        <v>369</v>
      </c>
      <c r="Q396" s="1" t="s">
        <v>147</v>
      </c>
      <c r="R396" s="1">
        <v>46236.145833333336</v>
      </c>
      <c r="S396" s="1"/>
      <c r="T396" s="1" t="s">
        <v>490</v>
      </c>
      <c r="U396" s="1"/>
    </row>
    <row r="397" spans="1:21" ht="21" customHeight="1" x14ac:dyDescent="0.45">
      <c r="A397" s="14">
        <v>46236</v>
      </c>
      <c r="B397" s="1" t="s">
        <v>143</v>
      </c>
      <c r="C397" s="13">
        <v>46236.28125</v>
      </c>
      <c r="D397" s="13">
        <v>46236.291666666664</v>
      </c>
      <c r="E397" s="1" t="s">
        <v>144</v>
      </c>
      <c r="F397" s="12">
        <v>0</v>
      </c>
      <c r="G397" s="12">
        <v>100</v>
      </c>
      <c r="H397" s="18"/>
      <c r="I397" s="12"/>
      <c r="J397" s="12"/>
      <c r="K397" s="13">
        <v>46235.541666666664</v>
      </c>
      <c r="L397" s="13">
        <v>46235.583333333336</v>
      </c>
      <c r="M397" s="1" t="s">
        <v>145</v>
      </c>
      <c r="N397" s="1"/>
      <c r="O397" s="1"/>
      <c r="P397" s="1" t="s">
        <v>370</v>
      </c>
      <c r="Q397" s="1" t="s">
        <v>147</v>
      </c>
      <c r="R397" s="1">
        <v>46236.15625</v>
      </c>
      <c r="S397" s="1"/>
      <c r="T397" s="1" t="s">
        <v>490</v>
      </c>
      <c r="U397" s="1"/>
    </row>
    <row r="398" spans="1:21" ht="21" customHeight="1" x14ac:dyDescent="0.45">
      <c r="A398" s="14">
        <v>46236</v>
      </c>
      <c r="B398" s="1" t="s">
        <v>143</v>
      </c>
      <c r="C398" s="13">
        <v>46236.291666666664</v>
      </c>
      <c r="D398" s="13">
        <v>46236.302083333336</v>
      </c>
      <c r="E398" s="1" t="s">
        <v>144</v>
      </c>
      <c r="F398" s="12">
        <v>3.5945352952788281</v>
      </c>
      <c r="G398" s="12">
        <v>100</v>
      </c>
      <c r="H398" s="18"/>
      <c r="I398" s="12"/>
      <c r="J398" s="12"/>
      <c r="K398" s="13">
        <v>46235.541666666664</v>
      </c>
      <c r="L398" s="13">
        <v>46235.583333333336</v>
      </c>
      <c r="M398" s="1" t="s">
        <v>145</v>
      </c>
      <c r="N398" s="1"/>
      <c r="O398" s="1"/>
      <c r="P398" s="1" t="s">
        <v>371</v>
      </c>
      <c r="Q398" s="1" t="s">
        <v>147</v>
      </c>
      <c r="R398" s="1">
        <v>46236.166666666664</v>
      </c>
      <c r="S398" s="1"/>
      <c r="T398" s="1" t="s">
        <v>490</v>
      </c>
      <c r="U398" s="1"/>
    </row>
    <row r="399" spans="1:21" ht="21" customHeight="1" x14ac:dyDescent="0.45">
      <c r="A399" s="14">
        <v>46236</v>
      </c>
      <c r="B399" s="1" t="s">
        <v>149</v>
      </c>
      <c r="C399" s="13">
        <v>46236.291666666664</v>
      </c>
      <c r="D399" s="13">
        <v>46236.333333333336</v>
      </c>
      <c r="E399" s="1" t="s">
        <v>144</v>
      </c>
      <c r="F399" s="12">
        <v>40</v>
      </c>
      <c r="G399" s="12">
        <v>40</v>
      </c>
      <c r="H399" s="18">
        <v>0.3125</v>
      </c>
      <c r="I399" s="12">
        <v>128</v>
      </c>
      <c r="J399" s="12">
        <v>40</v>
      </c>
      <c r="K399" s="13">
        <v>46235.375</v>
      </c>
      <c r="L399" s="13">
        <v>46235.416666666664</v>
      </c>
      <c r="M399" s="1" t="s">
        <v>145</v>
      </c>
      <c r="N399" s="1" t="s">
        <v>150</v>
      </c>
      <c r="O399" s="1" t="s">
        <v>151</v>
      </c>
      <c r="P399" s="1" t="s">
        <v>372</v>
      </c>
      <c r="Q399" s="1" t="s">
        <v>147</v>
      </c>
      <c r="R399" s="1">
        <v>46236.166666666664</v>
      </c>
      <c r="S399" s="1" t="s">
        <v>153</v>
      </c>
      <c r="T399" s="1" t="s">
        <v>490</v>
      </c>
      <c r="U399" s="1"/>
    </row>
    <row r="400" spans="1:21" ht="21" customHeight="1" x14ac:dyDescent="0.45">
      <c r="A400" s="14">
        <v>46236</v>
      </c>
      <c r="B400" s="1" t="s">
        <v>103</v>
      </c>
      <c r="C400" s="13">
        <v>46236.291666666664</v>
      </c>
      <c r="D400" s="13">
        <v>46236.333333333336</v>
      </c>
      <c r="E400" s="1" t="s">
        <v>144</v>
      </c>
      <c r="F400" s="12">
        <v>24</v>
      </c>
      <c r="G400" s="12">
        <v>24</v>
      </c>
      <c r="H400" s="18">
        <v>0.13714285714285715</v>
      </c>
      <c r="I400" s="12">
        <v>175</v>
      </c>
      <c r="J400" s="12">
        <v>24</v>
      </c>
      <c r="K400" s="13">
        <v>46235.375</v>
      </c>
      <c r="L400" s="13">
        <v>46235.416666666664</v>
      </c>
      <c r="M400" s="1" t="s">
        <v>145</v>
      </c>
      <c r="N400" s="1" t="s">
        <v>154</v>
      </c>
      <c r="O400" s="1" t="s">
        <v>151</v>
      </c>
      <c r="P400" s="1" t="s">
        <v>373</v>
      </c>
      <c r="Q400" s="1" t="s">
        <v>147</v>
      </c>
      <c r="R400" s="1">
        <v>46236.166666666664</v>
      </c>
      <c r="S400" s="1"/>
      <c r="T400" s="1" t="s">
        <v>490</v>
      </c>
      <c r="U400" s="1"/>
    </row>
    <row r="401" spans="1:21" ht="21" customHeight="1" x14ac:dyDescent="0.45">
      <c r="A401" s="14">
        <v>46236</v>
      </c>
      <c r="B401" s="1" t="s">
        <v>101</v>
      </c>
      <c r="C401" s="13">
        <v>46236.291666666664</v>
      </c>
      <c r="D401" s="13">
        <v>46236.333333333336</v>
      </c>
      <c r="E401" s="1" t="s">
        <v>144</v>
      </c>
      <c r="F401" s="12">
        <v>24</v>
      </c>
      <c r="G401" s="12">
        <v>24</v>
      </c>
      <c r="H401" s="18">
        <v>0.13714285714285715</v>
      </c>
      <c r="I401" s="12">
        <v>175</v>
      </c>
      <c r="J401" s="12">
        <v>24</v>
      </c>
      <c r="K401" s="13">
        <v>46235.375</v>
      </c>
      <c r="L401" s="13">
        <v>46235.416666666664</v>
      </c>
      <c r="M401" s="1" t="s">
        <v>145</v>
      </c>
      <c r="N401" s="1" t="s">
        <v>154</v>
      </c>
      <c r="O401" s="1" t="s">
        <v>151</v>
      </c>
      <c r="P401" s="1" t="s">
        <v>374</v>
      </c>
      <c r="Q401" s="1" t="s">
        <v>147</v>
      </c>
      <c r="R401" s="1">
        <v>46236.166666666664</v>
      </c>
      <c r="S401" s="1"/>
      <c r="T401" s="1" t="s">
        <v>490</v>
      </c>
      <c r="U401" s="1"/>
    </row>
    <row r="402" spans="1:21" ht="21" customHeight="1" x14ac:dyDescent="0.45">
      <c r="A402" s="14">
        <v>46236</v>
      </c>
      <c r="B402" s="1" t="s">
        <v>143</v>
      </c>
      <c r="C402" s="13">
        <v>46236.302083333336</v>
      </c>
      <c r="D402" s="13">
        <v>46236.3125</v>
      </c>
      <c r="E402" s="1" t="s">
        <v>144</v>
      </c>
      <c r="F402" s="12">
        <v>3.097029710678302</v>
      </c>
      <c r="G402" s="12">
        <v>100</v>
      </c>
      <c r="H402" s="18"/>
      <c r="I402" s="12"/>
      <c r="J402" s="12"/>
      <c r="K402" s="13">
        <v>46235.541666666664</v>
      </c>
      <c r="L402" s="13">
        <v>46235.583333333336</v>
      </c>
      <c r="M402" s="1" t="s">
        <v>145</v>
      </c>
      <c r="N402" s="1"/>
      <c r="O402" s="1"/>
      <c r="P402" s="1" t="s">
        <v>375</v>
      </c>
      <c r="Q402" s="1" t="s">
        <v>147</v>
      </c>
      <c r="R402" s="1">
        <v>46236.177083333336</v>
      </c>
      <c r="S402" s="1"/>
      <c r="T402" s="1" t="s">
        <v>490</v>
      </c>
      <c r="U402" s="1"/>
    </row>
    <row r="403" spans="1:21" ht="21" customHeight="1" x14ac:dyDescent="0.45">
      <c r="A403" s="14">
        <v>46236</v>
      </c>
      <c r="B403" s="1" t="s">
        <v>143</v>
      </c>
      <c r="C403" s="13">
        <v>46236.3125</v>
      </c>
      <c r="D403" s="13">
        <v>46236.322916666664</v>
      </c>
      <c r="E403" s="1" t="s">
        <v>144</v>
      </c>
      <c r="F403" s="12">
        <v>2.5610387360055031</v>
      </c>
      <c r="G403" s="12">
        <v>100</v>
      </c>
      <c r="H403" s="18"/>
      <c r="I403" s="12"/>
      <c r="J403" s="12"/>
      <c r="K403" s="13">
        <v>46235.541666666664</v>
      </c>
      <c r="L403" s="13">
        <v>46235.583333333336</v>
      </c>
      <c r="M403" s="1" t="s">
        <v>145</v>
      </c>
      <c r="N403" s="1"/>
      <c r="O403" s="1"/>
      <c r="P403" s="1" t="s">
        <v>376</v>
      </c>
      <c r="Q403" s="1" t="s">
        <v>147</v>
      </c>
      <c r="R403" s="1">
        <v>46236.1875</v>
      </c>
      <c r="S403" s="1"/>
      <c r="T403" s="1" t="s">
        <v>490</v>
      </c>
      <c r="U403" s="1"/>
    </row>
    <row r="404" spans="1:21" ht="21" customHeight="1" x14ac:dyDescent="0.45">
      <c r="A404" s="14">
        <v>46236</v>
      </c>
      <c r="B404" s="1" t="s">
        <v>143</v>
      </c>
      <c r="C404" s="13">
        <v>46236.322916666664</v>
      </c>
      <c r="D404" s="13">
        <v>46236.333333333336</v>
      </c>
      <c r="E404" s="1" t="s">
        <v>144</v>
      </c>
      <c r="F404" s="12">
        <v>0</v>
      </c>
      <c r="G404" s="12">
        <v>100</v>
      </c>
      <c r="H404" s="18"/>
      <c r="I404" s="12"/>
      <c r="J404" s="12"/>
      <c r="K404" s="13">
        <v>46235.541666666664</v>
      </c>
      <c r="L404" s="13">
        <v>46235.583333333336</v>
      </c>
      <c r="M404" s="1" t="s">
        <v>145</v>
      </c>
      <c r="N404" s="1"/>
      <c r="O404" s="1"/>
      <c r="P404" s="1" t="s">
        <v>377</v>
      </c>
      <c r="Q404" s="1" t="s">
        <v>147</v>
      </c>
      <c r="R404" s="1">
        <v>46236.197916666664</v>
      </c>
      <c r="S404" s="1"/>
      <c r="T404" s="1" t="s">
        <v>490</v>
      </c>
      <c r="U404" s="1"/>
    </row>
    <row r="405" spans="1:21" ht="21" customHeight="1" x14ac:dyDescent="0.45">
      <c r="A405" s="14">
        <v>46236</v>
      </c>
      <c r="B405" s="1" t="s">
        <v>143</v>
      </c>
      <c r="C405" s="13">
        <v>46236.333333333336</v>
      </c>
      <c r="D405" s="13">
        <v>46236.34375</v>
      </c>
      <c r="E405" s="1" t="s">
        <v>144</v>
      </c>
      <c r="F405" s="12">
        <v>4.6952670664750835</v>
      </c>
      <c r="G405" s="12">
        <v>100</v>
      </c>
      <c r="H405" s="18"/>
      <c r="I405" s="12"/>
      <c r="J405" s="12"/>
      <c r="K405" s="13">
        <v>46235.541666666664</v>
      </c>
      <c r="L405" s="13">
        <v>46235.583333333336</v>
      </c>
      <c r="M405" s="1" t="s">
        <v>145</v>
      </c>
      <c r="N405" s="1"/>
      <c r="O405" s="1"/>
      <c r="P405" s="1" t="s">
        <v>378</v>
      </c>
      <c r="Q405" s="1" t="s">
        <v>147</v>
      </c>
      <c r="R405" s="1">
        <v>46236.208333333336</v>
      </c>
      <c r="S405" s="1"/>
      <c r="T405" s="1" t="s">
        <v>490</v>
      </c>
      <c r="U405" s="1"/>
    </row>
    <row r="406" spans="1:21" ht="21" customHeight="1" x14ac:dyDescent="0.45">
      <c r="A406" s="14">
        <v>46236</v>
      </c>
      <c r="B406" s="1" t="s">
        <v>149</v>
      </c>
      <c r="C406" s="13">
        <v>46236.333333333336</v>
      </c>
      <c r="D406" s="13">
        <v>46236.375</v>
      </c>
      <c r="E406" s="1" t="s">
        <v>144</v>
      </c>
      <c r="F406" s="12">
        <v>40</v>
      </c>
      <c r="G406" s="12">
        <v>40</v>
      </c>
      <c r="H406" s="18">
        <v>0.3125</v>
      </c>
      <c r="I406" s="12">
        <v>128</v>
      </c>
      <c r="J406" s="12">
        <v>40</v>
      </c>
      <c r="K406" s="13">
        <v>46235.375</v>
      </c>
      <c r="L406" s="13">
        <v>46235.416666666664</v>
      </c>
      <c r="M406" s="1" t="s">
        <v>145</v>
      </c>
      <c r="N406" s="1" t="s">
        <v>150</v>
      </c>
      <c r="O406" s="1" t="s">
        <v>151</v>
      </c>
      <c r="P406" s="1" t="s">
        <v>379</v>
      </c>
      <c r="Q406" s="1" t="s">
        <v>147</v>
      </c>
      <c r="R406" s="1">
        <v>46236.208333333336</v>
      </c>
      <c r="S406" s="1" t="s">
        <v>153</v>
      </c>
      <c r="T406" s="1" t="s">
        <v>490</v>
      </c>
      <c r="U406" s="1"/>
    </row>
    <row r="407" spans="1:21" ht="21" customHeight="1" x14ac:dyDescent="0.45">
      <c r="A407" s="14">
        <v>46236</v>
      </c>
      <c r="B407" s="1" t="s">
        <v>103</v>
      </c>
      <c r="C407" s="13">
        <v>46236.333333333336</v>
      </c>
      <c r="D407" s="13">
        <v>46236.375</v>
      </c>
      <c r="E407" s="1" t="s">
        <v>144</v>
      </c>
      <c r="F407" s="12">
        <v>24</v>
      </c>
      <c r="G407" s="12">
        <v>24</v>
      </c>
      <c r="H407" s="18">
        <v>0.13714285714285715</v>
      </c>
      <c r="I407" s="12">
        <v>175</v>
      </c>
      <c r="J407" s="12">
        <v>24</v>
      </c>
      <c r="K407" s="13">
        <v>46235.375</v>
      </c>
      <c r="L407" s="13">
        <v>46235.416666666664</v>
      </c>
      <c r="M407" s="1" t="s">
        <v>145</v>
      </c>
      <c r="N407" s="1" t="s">
        <v>154</v>
      </c>
      <c r="O407" s="1" t="s">
        <v>151</v>
      </c>
      <c r="P407" s="1" t="s">
        <v>380</v>
      </c>
      <c r="Q407" s="1" t="s">
        <v>147</v>
      </c>
      <c r="R407" s="1">
        <v>46236.208333333336</v>
      </c>
      <c r="S407" s="1"/>
      <c r="T407" s="1" t="s">
        <v>490</v>
      </c>
      <c r="U407" s="1"/>
    </row>
    <row r="408" spans="1:21" ht="21" customHeight="1" x14ac:dyDescent="0.45">
      <c r="A408" s="14">
        <v>46236</v>
      </c>
      <c r="B408" s="1" t="s">
        <v>101</v>
      </c>
      <c r="C408" s="13">
        <v>46236.333333333336</v>
      </c>
      <c r="D408" s="13">
        <v>46236.375</v>
      </c>
      <c r="E408" s="1" t="s">
        <v>144</v>
      </c>
      <c r="F408" s="12">
        <v>24</v>
      </c>
      <c r="G408" s="12">
        <v>24</v>
      </c>
      <c r="H408" s="18">
        <v>0.13714285714285715</v>
      </c>
      <c r="I408" s="12">
        <v>175</v>
      </c>
      <c r="J408" s="12">
        <v>24</v>
      </c>
      <c r="K408" s="13">
        <v>46235.375</v>
      </c>
      <c r="L408" s="13">
        <v>46235.416666666664</v>
      </c>
      <c r="M408" s="1" t="s">
        <v>145</v>
      </c>
      <c r="N408" s="1" t="s">
        <v>154</v>
      </c>
      <c r="O408" s="1" t="s">
        <v>151</v>
      </c>
      <c r="P408" s="1" t="s">
        <v>381</v>
      </c>
      <c r="Q408" s="1" t="s">
        <v>147</v>
      </c>
      <c r="R408" s="1">
        <v>46236.208333333336</v>
      </c>
      <c r="S408" s="1"/>
      <c r="T408" s="1" t="s">
        <v>490</v>
      </c>
      <c r="U408" s="1"/>
    </row>
    <row r="409" spans="1:21" ht="21" customHeight="1" x14ac:dyDescent="0.45">
      <c r="A409" s="14">
        <v>46236</v>
      </c>
      <c r="B409" s="1" t="s">
        <v>143</v>
      </c>
      <c r="C409" s="13">
        <v>46236.34375</v>
      </c>
      <c r="D409" s="13">
        <v>46236.354166666664</v>
      </c>
      <c r="E409" s="1" t="s">
        <v>144</v>
      </c>
      <c r="F409" s="12">
        <v>4.9198599219345711</v>
      </c>
      <c r="G409" s="12">
        <v>100</v>
      </c>
      <c r="H409" s="18"/>
      <c r="I409" s="12"/>
      <c r="J409" s="12"/>
      <c r="K409" s="13">
        <v>46235.541666666664</v>
      </c>
      <c r="L409" s="13">
        <v>46235.583333333336</v>
      </c>
      <c r="M409" s="1" t="s">
        <v>145</v>
      </c>
      <c r="N409" s="1"/>
      <c r="O409" s="1"/>
      <c r="P409" s="1" t="s">
        <v>382</v>
      </c>
      <c r="Q409" s="1" t="s">
        <v>147</v>
      </c>
      <c r="R409" s="1">
        <v>46236.21875</v>
      </c>
      <c r="S409" s="1"/>
      <c r="T409" s="1" t="s">
        <v>490</v>
      </c>
      <c r="U409" s="1"/>
    </row>
    <row r="410" spans="1:21" ht="21" customHeight="1" x14ac:dyDescent="0.45">
      <c r="A410" s="14">
        <v>46236</v>
      </c>
      <c r="B410" s="1" t="s">
        <v>143</v>
      </c>
      <c r="C410" s="13">
        <v>46236.354166666664</v>
      </c>
      <c r="D410" s="13">
        <v>46236.364583333336</v>
      </c>
      <c r="E410" s="1" t="s">
        <v>144</v>
      </c>
      <c r="F410" s="12">
        <v>0</v>
      </c>
      <c r="G410" s="12">
        <v>100</v>
      </c>
      <c r="H410" s="18"/>
      <c r="I410" s="12"/>
      <c r="J410" s="12"/>
      <c r="K410" s="13">
        <v>46235.541666666664</v>
      </c>
      <c r="L410" s="13">
        <v>46235.583333333336</v>
      </c>
      <c r="M410" s="1" t="s">
        <v>145</v>
      </c>
      <c r="N410" s="1"/>
      <c r="O410" s="1"/>
      <c r="P410" s="1" t="s">
        <v>383</v>
      </c>
      <c r="Q410" s="1" t="s">
        <v>147</v>
      </c>
      <c r="R410" s="1">
        <v>46236.229166666664</v>
      </c>
      <c r="S410" s="1"/>
      <c r="T410" s="1" t="s">
        <v>490</v>
      </c>
      <c r="U410" s="1"/>
    </row>
    <row r="411" spans="1:21" ht="21" customHeight="1" x14ac:dyDescent="0.45">
      <c r="A411" s="14">
        <v>46236</v>
      </c>
      <c r="B411" s="1" t="s">
        <v>143</v>
      </c>
      <c r="C411" s="13">
        <v>46236.364583333336</v>
      </c>
      <c r="D411" s="13">
        <v>46236.375</v>
      </c>
      <c r="E411" s="1" t="s">
        <v>144</v>
      </c>
      <c r="F411" s="12">
        <v>-35.901155517148268</v>
      </c>
      <c r="G411" s="12">
        <v>100</v>
      </c>
      <c r="H411" s="18"/>
      <c r="I411" s="12"/>
      <c r="J411" s="12"/>
      <c r="K411" s="13">
        <v>46235.541666666664</v>
      </c>
      <c r="L411" s="13">
        <v>46235.583333333336</v>
      </c>
      <c r="M411" s="1" t="s">
        <v>145</v>
      </c>
      <c r="N411" s="1"/>
      <c r="O411" s="1"/>
      <c r="P411" s="1" t="s">
        <v>384</v>
      </c>
      <c r="Q411" s="1" t="s">
        <v>147</v>
      </c>
      <c r="R411" s="1">
        <v>46236.239583333336</v>
      </c>
      <c r="S411" s="1"/>
      <c r="T411" s="1" t="s">
        <v>490</v>
      </c>
      <c r="U411" s="1"/>
    </row>
    <row r="412" spans="1:21" ht="21" customHeight="1" x14ac:dyDescent="0.45">
      <c r="A412" s="14">
        <v>46236</v>
      </c>
      <c r="B412" s="1" t="s">
        <v>143</v>
      </c>
      <c r="C412" s="13">
        <v>46236.375</v>
      </c>
      <c r="D412" s="13">
        <v>46236.385416666664</v>
      </c>
      <c r="E412" s="1" t="s">
        <v>144</v>
      </c>
      <c r="F412" s="12">
        <v>36</v>
      </c>
      <c r="G412" s="12">
        <v>100</v>
      </c>
      <c r="H412" s="18"/>
      <c r="I412" s="12"/>
      <c r="J412" s="12"/>
      <c r="K412" s="13">
        <v>46235.541666666664</v>
      </c>
      <c r="L412" s="13">
        <v>46235.583333333336</v>
      </c>
      <c r="M412" s="1" t="s">
        <v>145</v>
      </c>
      <c r="N412" s="1"/>
      <c r="O412" s="1"/>
      <c r="P412" s="1" t="s">
        <v>385</v>
      </c>
      <c r="Q412" s="1" t="s">
        <v>147</v>
      </c>
      <c r="R412" s="1">
        <v>46236.25</v>
      </c>
      <c r="S412" s="1"/>
      <c r="T412" s="1" t="s">
        <v>490</v>
      </c>
      <c r="U412" s="1"/>
    </row>
    <row r="413" spans="1:21" ht="21" customHeight="1" x14ac:dyDescent="0.45">
      <c r="A413" s="14">
        <v>46236</v>
      </c>
      <c r="B413" s="1" t="s">
        <v>149</v>
      </c>
      <c r="C413" s="13">
        <v>46236.375</v>
      </c>
      <c r="D413" s="13">
        <v>46236.416666666664</v>
      </c>
      <c r="E413" s="1" t="s">
        <v>144</v>
      </c>
      <c r="F413" s="12">
        <v>40</v>
      </c>
      <c r="G413" s="12">
        <v>40</v>
      </c>
      <c r="H413" s="18">
        <v>0.3125</v>
      </c>
      <c r="I413" s="12">
        <v>128</v>
      </c>
      <c r="J413" s="12">
        <v>40</v>
      </c>
      <c r="K413" s="13">
        <v>46235.375</v>
      </c>
      <c r="L413" s="13">
        <v>46235.416666666664</v>
      </c>
      <c r="M413" s="1" t="s">
        <v>145</v>
      </c>
      <c r="N413" s="1" t="s">
        <v>150</v>
      </c>
      <c r="O413" s="1" t="s">
        <v>151</v>
      </c>
      <c r="P413" s="1" t="s">
        <v>386</v>
      </c>
      <c r="Q413" s="1" t="s">
        <v>147</v>
      </c>
      <c r="R413" s="1">
        <v>46236.25</v>
      </c>
      <c r="S413" s="1" t="s">
        <v>153</v>
      </c>
      <c r="T413" s="1" t="s">
        <v>490</v>
      </c>
      <c r="U413" s="1"/>
    </row>
    <row r="414" spans="1:21" ht="21" customHeight="1" x14ac:dyDescent="0.45">
      <c r="A414" s="14">
        <v>46236</v>
      </c>
      <c r="B414" s="1" t="s">
        <v>103</v>
      </c>
      <c r="C414" s="13">
        <v>46236.375</v>
      </c>
      <c r="D414" s="13">
        <v>46236.416666666664</v>
      </c>
      <c r="E414" s="1" t="s">
        <v>144</v>
      </c>
      <c r="F414" s="12">
        <v>24</v>
      </c>
      <c r="G414" s="12">
        <v>24</v>
      </c>
      <c r="H414" s="18">
        <v>0.13714285714285715</v>
      </c>
      <c r="I414" s="12">
        <v>175</v>
      </c>
      <c r="J414" s="12">
        <v>24</v>
      </c>
      <c r="K414" s="13">
        <v>46235.375</v>
      </c>
      <c r="L414" s="13">
        <v>46235.416666666664</v>
      </c>
      <c r="M414" s="1" t="s">
        <v>145</v>
      </c>
      <c r="N414" s="1" t="s">
        <v>154</v>
      </c>
      <c r="O414" s="1" t="s">
        <v>151</v>
      </c>
      <c r="P414" s="1" t="s">
        <v>387</v>
      </c>
      <c r="Q414" s="1" t="s">
        <v>147</v>
      </c>
      <c r="R414" s="1">
        <v>46236.25</v>
      </c>
      <c r="S414" s="1"/>
      <c r="T414" s="1" t="s">
        <v>490</v>
      </c>
      <c r="U414" s="1"/>
    </row>
    <row r="415" spans="1:21" ht="21" customHeight="1" x14ac:dyDescent="0.45">
      <c r="A415" s="14">
        <v>46236</v>
      </c>
      <c r="B415" s="1" t="s">
        <v>101</v>
      </c>
      <c r="C415" s="13">
        <v>46236.375</v>
      </c>
      <c r="D415" s="13">
        <v>46236.416666666664</v>
      </c>
      <c r="E415" s="1" t="s">
        <v>144</v>
      </c>
      <c r="F415" s="12">
        <v>24</v>
      </c>
      <c r="G415" s="12">
        <v>24</v>
      </c>
      <c r="H415" s="18">
        <v>0.13714285714285715</v>
      </c>
      <c r="I415" s="12">
        <v>175</v>
      </c>
      <c r="J415" s="12">
        <v>24</v>
      </c>
      <c r="K415" s="13">
        <v>46235.375</v>
      </c>
      <c r="L415" s="13">
        <v>46235.416666666664</v>
      </c>
      <c r="M415" s="1" t="s">
        <v>145</v>
      </c>
      <c r="N415" s="1" t="s">
        <v>154</v>
      </c>
      <c r="O415" s="1" t="s">
        <v>151</v>
      </c>
      <c r="P415" s="1" t="s">
        <v>388</v>
      </c>
      <c r="Q415" s="1" t="s">
        <v>147</v>
      </c>
      <c r="R415" s="1">
        <v>46236.25</v>
      </c>
      <c r="S415" s="1"/>
      <c r="T415" s="1" t="s">
        <v>490</v>
      </c>
      <c r="U415" s="1"/>
    </row>
    <row r="416" spans="1:21" ht="21" customHeight="1" x14ac:dyDescent="0.45">
      <c r="A416" s="14">
        <v>46236</v>
      </c>
      <c r="B416" s="1" t="s">
        <v>143</v>
      </c>
      <c r="C416" s="13">
        <v>46236.385416666664</v>
      </c>
      <c r="D416" s="13">
        <v>46236.395833333336</v>
      </c>
      <c r="E416" s="1" t="s">
        <v>144</v>
      </c>
      <c r="F416" s="12">
        <v>0</v>
      </c>
      <c r="G416" s="12">
        <v>100</v>
      </c>
      <c r="H416" s="18"/>
      <c r="I416" s="12"/>
      <c r="J416" s="12"/>
      <c r="K416" s="13">
        <v>46235.541666666664</v>
      </c>
      <c r="L416" s="13">
        <v>46235.583333333336</v>
      </c>
      <c r="M416" s="1" t="s">
        <v>145</v>
      </c>
      <c r="N416" s="1"/>
      <c r="O416" s="1"/>
      <c r="P416" s="1" t="s">
        <v>389</v>
      </c>
      <c r="Q416" s="1" t="s">
        <v>147</v>
      </c>
      <c r="R416" s="1">
        <v>46236.260416666664</v>
      </c>
      <c r="S416" s="1"/>
      <c r="T416" s="1" t="s">
        <v>490</v>
      </c>
      <c r="U416" s="1"/>
    </row>
    <row r="417" spans="1:21" ht="21" customHeight="1" x14ac:dyDescent="0.45">
      <c r="A417" s="14">
        <v>46236</v>
      </c>
      <c r="B417" s="1" t="s">
        <v>143</v>
      </c>
      <c r="C417" s="13">
        <v>46236.395833333336</v>
      </c>
      <c r="D417" s="13">
        <v>46236.40625</v>
      </c>
      <c r="E417" s="1" t="s">
        <v>144</v>
      </c>
      <c r="F417" s="12">
        <v>0</v>
      </c>
      <c r="G417" s="12">
        <v>100</v>
      </c>
      <c r="H417" s="18"/>
      <c r="I417" s="12"/>
      <c r="J417" s="12"/>
      <c r="K417" s="13">
        <v>46235.541666666664</v>
      </c>
      <c r="L417" s="13">
        <v>46235.583333333336</v>
      </c>
      <c r="M417" s="1" t="s">
        <v>145</v>
      </c>
      <c r="N417" s="1"/>
      <c r="O417" s="1"/>
      <c r="P417" s="1" t="s">
        <v>390</v>
      </c>
      <c r="Q417" s="1" t="s">
        <v>147</v>
      </c>
      <c r="R417" s="1">
        <v>46236.270833333336</v>
      </c>
      <c r="S417" s="1"/>
      <c r="T417" s="1" t="s">
        <v>490</v>
      </c>
      <c r="U417" s="1"/>
    </row>
    <row r="418" spans="1:21" ht="21" customHeight="1" x14ac:dyDescent="0.45">
      <c r="A418" s="14">
        <v>46236</v>
      </c>
      <c r="B418" s="1" t="s">
        <v>143</v>
      </c>
      <c r="C418" s="13">
        <v>46236.40625</v>
      </c>
      <c r="D418" s="13">
        <v>46236.416666666664</v>
      </c>
      <c r="E418" s="1" t="s">
        <v>144</v>
      </c>
      <c r="F418" s="12">
        <v>-4.3099808451626211</v>
      </c>
      <c r="G418" s="12">
        <v>100</v>
      </c>
      <c r="H418" s="18"/>
      <c r="I418" s="12"/>
      <c r="J418" s="12"/>
      <c r="K418" s="13">
        <v>46235.541666666664</v>
      </c>
      <c r="L418" s="13">
        <v>46235.583333333336</v>
      </c>
      <c r="M418" s="1" t="s">
        <v>145</v>
      </c>
      <c r="N418" s="1"/>
      <c r="O418" s="1"/>
      <c r="P418" s="1" t="s">
        <v>391</v>
      </c>
      <c r="Q418" s="1" t="s">
        <v>147</v>
      </c>
      <c r="R418" s="1">
        <v>46236.28125</v>
      </c>
      <c r="S418" s="1"/>
      <c r="T418" s="1" t="s">
        <v>490</v>
      </c>
      <c r="U418" s="1"/>
    </row>
    <row r="419" spans="1:21" ht="21" customHeight="1" x14ac:dyDescent="0.45">
      <c r="A419" s="14">
        <v>46236</v>
      </c>
      <c r="B419" s="1" t="s">
        <v>143</v>
      </c>
      <c r="C419" s="13">
        <v>46236.416666666664</v>
      </c>
      <c r="D419" s="13">
        <v>46236.427083333336</v>
      </c>
      <c r="E419" s="1" t="s">
        <v>144</v>
      </c>
      <c r="F419" s="12">
        <v>0</v>
      </c>
      <c r="G419" s="12">
        <v>100</v>
      </c>
      <c r="H419" s="18"/>
      <c r="I419" s="12"/>
      <c r="J419" s="12"/>
      <c r="K419" s="13">
        <v>46235.541666666664</v>
      </c>
      <c r="L419" s="13">
        <v>46235.583333333336</v>
      </c>
      <c r="M419" s="1" t="s">
        <v>145</v>
      </c>
      <c r="N419" s="1"/>
      <c r="O419" s="1"/>
      <c r="P419" s="1" t="s">
        <v>392</v>
      </c>
      <c r="Q419" s="1" t="s">
        <v>147</v>
      </c>
      <c r="R419" s="1">
        <v>46236.291666666664</v>
      </c>
      <c r="S419" s="1"/>
      <c r="T419" s="1" t="s">
        <v>490</v>
      </c>
      <c r="U419" s="1"/>
    </row>
    <row r="420" spans="1:21" ht="21" customHeight="1" x14ac:dyDescent="0.45">
      <c r="A420" s="14">
        <v>46236</v>
      </c>
      <c r="B420" s="1" t="s">
        <v>149</v>
      </c>
      <c r="C420" s="13">
        <v>46236.416666666664</v>
      </c>
      <c r="D420" s="13">
        <v>46236.458333333336</v>
      </c>
      <c r="E420" s="1" t="s">
        <v>144</v>
      </c>
      <c r="F420" s="12">
        <v>40</v>
      </c>
      <c r="G420" s="12">
        <v>40</v>
      </c>
      <c r="H420" s="18">
        <v>0.3125</v>
      </c>
      <c r="I420" s="12">
        <v>128</v>
      </c>
      <c r="J420" s="12">
        <v>40</v>
      </c>
      <c r="K420" s="13">
        <v>46235.375</v>
      </c>
      <c r="L420" s="13">
        <v>46235.416666666664</v>
      </c>
      <c r="M420" s="1" t="s">
        <v>145</v>
      </c>
      <c r="N420" s="1" t="s">
        <v>150</v>
      </c>
      <c r="O420" s="1" t="s">
        <v>151</v>
      </c>
      <c r="P420" s="1" t="s">
        <v>393</v>
      </c>
      <c r="Q420" s="1" t="s">
        <v>147</v>
      </c>
      <c r="R420" s="1">
        <v>46236.291666666664</v>
      </c>
      <c r="S420" s="1" t="s">
        <v>153</v>
      </c>
      <c r="T420" s="1" t="s">
        <v>490</v>
      </c>
      <c r="U420" s="1"/>
    </row>
    <row r="421" spans="1:21" ht="21" customHeight="1" x14ac:dyDescent="0.45">
      <c r="A421" s="14">
        <v>46236</v>
      </c>
      <c r="B421" s="1" t="s">
        <v>103</v>
      </c>
      <c r="C421" s="13">
        <v>46236.416666666664</v>
      </c>
      <c r="D421" s="13">
        <v>46236.458333333336</v>
      </c>
      <c r="E421" s="1" t="s">
        <v>144</v>
      </c>
      <c r="F421" s="12">
        <v>24</v>
      </c>
      <c r="G421" s="12">
        <v>24</v>
      </c>
      <c r="H421" s="18">
        <v>0.13714285714285715</v>
      </c>
      <c r="I421" s="12">
        <v>175</v>
      </c>
      <c r="J421" s="12">
        <v>24</v>
      </c>
      <c r="K421" s="13">
        <v>46235.375</v>
      </c>
      <c r="L421" s="13">
        <v>46235.416666666664</v>
      </c>
      <c r="M421" s="1" t="s">
        <v>145</v>
      </c>
      <c r="N421" s="1" t="s">
        <v>154</v>
      </c>
      <c r="O421" s="1" t="s">
        <v>151</v>
      </c>
      <c r="P421" s="1" t="s">
        <v>394</v>
      </c>
      <c r="Q421" s="1" t="s">
        <v>147</v>
      </c>
      <c r="R421" s="1">
        <v>46236.291666666664</v>
      </c>
      <c r="S421" s="1"/>
      <c r="T421" s="1" t="s">
        <v>490</v>
      </c>
      <c r="U421" s="1"/>
    </row>
    <row r="422" spans="1:21" ht="21" customHeight="1" x14ac:dyDescent="0.45">
      <c r="A422" s="14">
        <v>46236</v>
      </c>
      <c r="B422" s="1" t="s">
        <v>101</v>
      </c>
      <c r="C422" s="13">
        <v>46236.416666666664</v>
      </c>
      <c r="D422" s="13">
        <v>46236.458333333336</v>
      </c>
      <c r="E422" s="1" t="s">
        <v>144</v>
      </c>
      <c r="F422" s="12">
        <v>24</v>
      </c>
      <c r="G422" s="12">
        <v>24</v>
      </c>
      <c r="H422" s="18">
        <v>0.13714285714285715</v>
      </c>
      <c r="I422" s="12">
        <v>175</v>
      </c>
      <c r="J422" s="12">
        <v>24</v>
      </c>
      <c r="K422" s="13">
        <v>46235.375</v>
      </c>
      <c r="L422" s="13">
        <v>46235.416666666664</v>
      </c>
      <c r="M422" s="1" t="s">
        <v>145</v>
      </c>
      <c r="N422" s="1" t="s">
        <v>154</v>
      </c>
      <c r="O422" s="1" t="s">
        <v>151</v>
      </c>
      <c r="P422" s="1" t="s">
        <v>395</v>
      </c>
      <c r="Q422" s="1" t="s">
        <v>147</v>
      </c>
      <c r="R422" s="1">
        <v>46236.291666666664</v>
      </c>
      <c r="S422" s="1"/>
      <c r="T422" s="1" t="s">
        <v>490</v>
      </c>
      <c r="U422" s="1"/>
    </row>
    <row r="423" spans="1:21" ht="21" customHeight="1" x14ac:dyDescent="0.45">
      <c r="A423" s="14">
        <v>46236</v>
      </c>
      <c r="B423" s="1" t="s">
        <v>143</v>
      </c>
      <c r="C423" s="13">
        <v>46236.427083333336</v>
      </c>
      <c r="D423" s="13">
        <v>46236.4375</v>
      </c>
      <c r="E423" s="1" t="s">
        <v>144</v>
      </c>
      <c r="F423" s="12">
        <v>0</v>
      </c>
      <c r="G423" s="12">
        <v>100</v>
      </c>
      <c r="H423" s="18"/>
      <c r="I423" s="12"/>
      <c r="J423" s="12"/>
      <c r="K423" s="13">
        <v>46235.541666666664</v>
      </c>
      <c r="L423" s="13">
        <v>46235.583333333336</v>
      </c>
      <c r="M423" s="1" t="s">
        <v>145</v>
      </c>
      <c r="N423" s="1"/>
      <c r="O423" s="1"/>
      <c r="P423" s="1" t="s">
        <v>396</v>
      </c>
      <c r="Q423" s="1" t="s">
        <v>147</v>
      </c>
      <c r="R423" s="1">
        <v>46236.302083333336</v>
      </c>
      <c r="S423" s="1"/>
      <c r="T423" s="1" t="s">
        <v>490</v>
      </c>
      <c r="U423" s="1"/>
    </row>
    <row r="424" spans="1:21" ht="21" customHeight="1" x14ac:dyDescent="0.45">
      <c r="A424" s="14">
        <v>46236</v>
      </c>
      <c r="B424" s="1" t="s">
        <v>143</v>
      </c>
      <c r="C424" s="13">
        <v>46236.4375</v>
      </c>
      <c r="D424" s="13">
        <v>46236.447916666664</v>
      </c>
      <c r="E424" s="1" t="s">
        <v>144</v>
      </c>
      <c r="F424" s="12">
        <v>1.4801994166607806</v>
      </c>
      <c r="G424" s="12">
        <v>100</v>
      </c>
      <c r="H424" s="18"/>
      <c r="I424" s="12"/>
      <c r="J424" s="12"/>
      <c r="K424" s="13">
        <v>46235.541666666664</v>
      </c>
      <c r="L424" s="13">
        <v>46235.583333333336</v>
      </c>
      <c r="M424" s="1" t="s">
        <v>145</v>
      </c>
      <c r="N424" s="1"/>
      <c r="O424" s="1"/>
      <c r="P424" s="1" t="s">
        <v>397</v>
      </c>
      <c r="Q424" s="1" t="s">
        <v>147</v>
      </c>
      <c r="R424" s="1">
        <v>46236.3125</v>
      </c>
      <c r="S424" s="1"/>
      <c r="T424" s="1" t="s">
        <v>490</v>
      </c>
      <c r="U424" s="1"/>
    </row>
    <row r="425" spans="1:21" ht="21" customHeight="1" x14ac:dyDescent="0.45">
      <c r="A425" s="14">
        <v>46236</v>
      </c>
      <c r="B425" s="1" t="s">
        <v>143</v>
      </c>
      <c r="C425" s="13">
        <v>46236.447916666664</v>
      </c>
      <c r="D425" s="13">
        <v>46236.458333333336</v>
      </c>
      <c r="E425" s="1" t="s">
        <v>144</v>
      </c>
      <c r="F425" s="12">
        <v>0</v>
      </c>
      <c r="G425" s="12">
        <v>100</v>
      </c>
      <c r="H425" s="18"/>
      <c r="I425" s="12"/>
      <c r="J425" s="12"/>
      <c r="K425" s="13">
        <v>46235.541666666664</v>
      </c>
      <c r="L425" s="13">
        <v>46235.583333333336</v>
      </c>
      <c r="M425" s="1" t="s">
        <v>145</v>
      </c>
      <c r="N425" s="1"/>
      <c r="O425" s="1"/>
      <c r="P425" s="1" t="s">
        <v>398</v>
      </c>
      <c r="Q425" s="1" t="s">
        <v>147</v>
      </c>
      <c r="R425" s="1">
        <v>46236.322916666664</v>
      </c>
      <c r="S425" s="1"/>
      <c r="T425" s="1" t="s">
        <v>490</v>
      </c>
      <c r="U425" s="1"/>
    </row>
    <row r="426" spans="1:21" ht="21" customHeight="1" x14ac:dyDescent="0.45">
      <c r="A426" s="14">
        <v>46236</v>
      </c>
      <c r="B426" s="1" t="s">
        <v>143</v>
      </c>
      <c r="C426" s="13">
        <v>46236.458333333336</v>
      </c>
      <c r="D426" s="13">
        <v>46236.46875</v>
      </c>
      <c r="E426" s="1" t="s">
        <v>144</v>
      </c>
      <c r="F426" s="12">
        <v>8.9915158359378591</v>
      </c>
      <c r="G426" s="12">
        <v>100</v>
      </c>
      <c r="H426" s="18"/>
      <c r="I426" s="12"/>
      <c r="J426" s="12"/>
      <c r="K426" s="13">
        <v>46235.541666666664</v>
      </c>
      <c r="L426" s="13">
        <v>46235.583333333336</v>
      </c>
      <c r="M426" s="1" t="s">
        <v>145</v>
      </c>
      <c r="N426" s="1"/>
      <c r="O426" s="1"/>
      <c r="P426" s="1" t="s">
        <v>399</v>
      </c>
      <c r="Q426" s="1" t="s">
        <v>147</v>
      </c>
      <c r="R426" s="1">
        <v>46236.333333333336</v>
      </c>
      <c r="S426" s="1"/>
      <c r="T426" s="1" t="s">
        <v>490</v>
      </c>
      <c r="U426" s="1"/>
    </row>
    <row r="427" spans="1:21" ht="21" customHeight="1" x14ac:dyDescent="0.45">
      <c r="A427" s="14">
        <v>46236</v>
      </c>
      <c r="B427" s="1" t="s">
        <v>149</v>
      </c>
      <c r="C427" s="13">
        <v>46236.458333333336</v>
      </c>
      <c r="D427" s="13">
        <v>46236.5</v>
      </c>
      <c r="E427" s="1" t="s">
        <v>144</v>
      </c>
      <c r="F427" s="12">
        <v>40</v>
      </c>
      <c r="G427" s="12">
        <v>40</v>
      </c>
      <c r="H427" s="18">
        <v>0.3125</v>
      </c>
      <c r="I427" s="12">
        <v>128</v>
      </c>
      <c r="J427" s="12">
        <v>40</v>
      </c>
      <c r="K427" s="13">
        <v>46235.375</v>
      </c>
      <c r="L427" s="13">
        <v>46235.416666666664</v>
      </c>
      <c r="M427" s="1" t="s">
        <v>145</v>
      </c>
      <c r="N427" s="1" t="s">
        <v>150</v>
      </c>
      <c r="O427" s="1" t="s">
        <v>151</v>
      </c>
      <c r="P427" s="1" t="s">
        <v>400</v>
      </c>
      <c r="Q427" s="1" t="s">
        <v>147</v>
      </c>
      <c r="R427" s="1">
        <v>46236.333333333336</v>
      </c>
      <c r="S427" s="1" t="s">
        <v>153</v>
      </c>
      <c r="T427" s="1" t="s">
        <v>490</v>
      </c>
      <c r="U427" s="1"/>
    </row>
    <row r="428" spans="1:21" ht="21" customHeight="1" x14ac:dyDescent="0.45">
      <c r="A428" s="14">
        <v>46236</v>
      </c>
      <c r="B428" s="1" t="s">
        <v>103</v>
      </c>
      <c r="C428" s="13">
        <v>46236.458333333336</v>
      </c>
      <c r="D428" s="13">
        <v>46236.5</v>
      </c>
      <c r="E428" s="1" t="s">
        <v>144</v>
      </c>
      <c r="F428" s="12">
        <v>24</v>
      </c>
      <c r="G428" s="12">
        <v>24</v>
      </c>
      <c r="H428" s="18">
        <v>0.13714285714285715</v>
      </c>
      <c r="I428" s="12">
        <v>175</v>
      </c>
      <c r="J428" s="12">
        <v>24</v>
      </c>
      <c r="K428" s="13">
        <v>46235.375</v>
      </c>
      <c r="L428" s="13">
        <v>46235.416666666664</v>
      </c>
      <c r="M428" s="1" t="s">
        <v>145</v>
      </c>
      <c r="N428" s="1" t="s">
        <v>154</v>
      </c>
      <c r="O428" s="1" t="s">
        <v>151</v>
      </c>
      <c r="P428" s="1" t="s">
        <v>401</v>
      </c>
      <c r="Q428" s="1" t="s">
        <v>147</v>
      </c>
      <c r="R428" s="1">
        <v>46236.333333333336</v>
      </c>
      <c r="S428" s="1"/>
      <c r="T428" s="1" t="s">
        <v>490</v>
      </c>
      <c r="U428" s="1"/>
    </row>
    <row r="429" spans="1:21" ht="21" customHeight="1" x14ac:dyDescent="0.45">
      <c r="A429" s="14">
        <v>46236</v>
      </c>
      <c r="B429" s="1" t="s">
        <v>101</v>
      </c>
      <c r="C429" s="13">
        <v>46236.458333333336</v>
      </c>
      <c r="D429" s="13">
        <v>46236.5</v>
      </c>
      <c r="E429" s="1" t="s">
        <v>144</v>
      </c>
      <c r="F429" s="12">
        <v>24</v>
      </c>
      <c r="G429" s="12">
        <v>24</v>
      </c>
      <c r="H429" s="18">
        <v>0.13714285714285715</v>
      </c>
      <c r="I429" s="12">
        <v>175</v>
      </c>
      <c r="J429" s="12">
        <v>24</v>
      </c>
      <c r="K429" s="13">
        <v>46235.375</v>
      </c>
      <c r="L429" s="13">
        <v>46235.416666666664</v>
      </c>
      <c r="M429" s="1" t="s">
        <v>145</v>
      </c>
      <c r="N429" s="1" t="s">
        <v>154</v>
      </c>
      <c r="O429" s="1" t="s">
        <v>151</v>
      </c>
      <c r="P429" s="1" t="s">
        <v>402</v>
      </c>
      <c r="Q429" s="1" t="s">
        <v>147</v>
      </c>
      <c r="R429" s="1">
        <v>46236.333333333336</v>
      </c>
      <c r="S429" s="1"/>
      <c r="T429" s="1" t="s">
        <v>490</v>
      </c>
      <c r="U429" s="1"/>
    </row>
    <row r="430" spans="1:21" ht="21" customHeight="1" x14ac:dyDescent="0.45">
      <c r="A430" s="14">
        <v>46236</v>
      </c>
      <c r="B430" s="1" t="s">
        <v>143</v>
      </c>
      <c r="C430" s="13">
        <v>46236.46875</v>
      </c>
      <c r="D430" s="13">
        <v>46236.479166666664</v>
      </c>
      <c r="E430" s="1" t="s">
        <v>144</v>
      </c>
      <c r="F430" s="12">
        <v>-36</v>
      </c>
      <c r="G430" s="12">
        <v>100</v>
      </c>
      <c r="H430" s="18"/>
      <c r="I430" s="12"/>
      <c r="J430" s="12"/>
      <c r="K430" s="13">
        <v>46235.541666666664</v>
      </c>
      <c r="L430" s="13">
        <v>46235.583333333336</v>
      </c>
      <c r="M430" s="1" t="s">
        <v>145</v>
      </c>
      <c r="N430" s="1"/>
      <c r="O430" s="1"/>
      <c r="P430" s="1" t="s">
        <v>403</v>
      </c>
      <c r="Q430" s="1" t="s">
        <v>147</v>
      </c>
      <c r="R430" s="1">
        <v>46236.34375</v>
      </c>
      <c r="S430" s="1"/>
      <c r="T430" s="1" t="s">
        <v>490</v>
      </c>
      <c r="U430" s="1"/>
    </row>
    <row r="431" spans="1:21" ht="21" customHeight="1" x14ac:dyDescent="0.45">
      <c r="A431" s="14">
        <v>46236</v>
      </c>
      <c r="B431" s="1" t="s">
        <v>143</v>
      </c>
      <c r="C431" s="13">
        <v>46236.479166666664</v>
      </c>
      <c r="D431" s="13">
        <v>46236.489583333336</v>
      </c>
      <c r="E431" s="1" t="s">
        <v>144</v>
      </c>
      <c r="F431" s="12">
        <v>-36</v>
      </c>
      <c r="G431" s="12">
        <v>100</v>
      </c>
      <c r="H431" s="18"/>
      <c r="I431" s="12"/>
      <c r="J431" s="12"/>
      <c r="K431" s="13">
        <v>46235.541666666664</v>
      </c>
      <c r="L431" s="13">
        <v>46235.583333333336</v>
      </c>
      <c r="M431" s="1" t="s">
        <v>145</v>
      </c>
      <c r="N431" s="1"/>
      <c r="O431" s="1"/>
      <c r="P431" s="1" t="s">
        <v>404</v>
      </c>
      <c r="Q431" s="1" t="s">
        <v>147</v>
      </c>
      <c r="R431" s="1">
        <v>46236.354166666664</v>
      </c>
      <c r="S431" s="1"/>
      <c r="T431" s="1" t="s">
        <v>490</v>
      </c>
      <c r="U431" s="1"/>
    </row>
    <row r="432" spans="1:21" ht="21" customHeight="1" x14ac:dyDescent="0.45">
      <c r="A432" s="14">
        <v>46236</v>
      </c>
      <c r="B432" s="1" t="s">
        <v>143</v>
      </c>
      <c r="C432" s="13">
        <v>46236.489583333336</v>
      </c>
      <c r="D432" s="13">
        <v>46236.5</v>
      </c>
      <c r="E432" s="1" t="s">
        <v>144</v>
      </c>
      <c r="F432" s="12">
        <v>-36</v>
      </c>
      <c r="G432" s="12">
        <v>100</v>
      </c>
      <c r="H432" s="18"/>
      <c r="I432" s="12"/>
      <c r="J432" s="12"/>
      <c r="K432" s="13">
        <v>46235.541666666664</v>
      </c>
      <c r="L432" s="13">
        <v>46235.583333333336</v>
      </c>
      <c r="M432" s="1" t="s">
        <v>145</v>
      </c>
      <c r="N432" s="1"/>
      <c r="O432" s="1"/>
      <c r="P432" s="1" t="s">
        <v>405</v>
      </c>
      <c r="Q432" s="1" t="s">
        <v>147</v>
      </c>
      <c r="R432" s="1">
        <v>46236.364583333336</v>
      </c>
      <c r="S432" s="1"/>
      <c r="T432" s="1" t="s">
        <v>490</v>
      </c>
      <c r="U432" s="1"/>
    </row>
    <row r="433" spans="1:21" ht="21" customHeight="1" x14ac:dyDescent="0.45">
      <c r="A433" s="14">
        <v>46236</v>
      </c>
      <c r="B433" s="1" t="s">
        <v>143</v>
      </c>
      <c r="C433" s="13">
        <v>46236.5</v>
      </c>
      <c r="D433" s="13">
        <v>46236.510416666664</v>
      </c>
      <c r="E433" s="1" t="s">
        <v>144</v>
      </c>
      <c r="F433" s="12">
        <v>-36</v>
      </c>
      <c r="G433" s="12">
        <v>100</v>
      </c>
      <c r="H433" s="18"/>
      <c r="I433" s="12"/>
      <c r="J433" s="12"/>
      <c r="K433" s="13">
        <v>46235.541666666664</v>
      </c>
      <c r="L433" s="13">
        <v>46235.583333333336</v>
      </c>
      <c r="M433" s="1" t="s">
        <v>145</v>
      </c>
      <c r="N433" s="1"/>
      <c r="O433" s="1"/>
      <c r="P433" s="1" t="s">
        <v>406</v>
      </c>
      <c r="Q433" s="1" t="s">
        <v>147</v>
      </c>
      <c r="R433" s="1">
        <v>46236.375</v>
      </c>
      <c r="S433" s="1"/>
      <c r="T433" s="1" t="s">
        <v>490</v>
      </c>
      <c r="U433" s="1"/>
    </row>
    <row r="434" spans="1:21" ht="21" customHeight="1" x14ac:dyDescent="0.45">
      <c r="A434" s="14">
        <v>46236</v>
      </c>
      <c r="B434" s="1" t="s">
        <v>149</v>
      </c>
      <c r="C434" s="13">
        <v>46236.5</v>
      </c>
      <c r="D434" s="13">
        <v>46236.541666666664</v>
      </c>
      <c r="E434" s="1" t="s">
        <v>144</v>
      </c>
      <c r="F434" s="12">
        <v>40</v>
      </c>
      <c r="G434" s="12">
        <v>40</v>
      </c>
      <c r="H434" s="18">
        <v>0.3125</v>
      </c>
      <c r="I434" s="12">
        <v>128</v>
      </c>
      <c r="J434" s="12">
        <v>40</v>
      </c>
      <c r="K434" s="13">
        <v>46235.375</v>
      </c>
      <c r="L434" s="13">
        <v>46235.416666666664</v>
      </c>
      <c r="M434" s="1" t="s">
        <v>145</v>
      </c>
      <c r="N434" s="1" t="s">
        <v>150</v>
      </c>
      <c r="O434" s="1" t="s">
        <v>151</v>
      </c>
      <c r="P434" s="1" t="s">
        <v>407</v>
      </c>
      <c r="Q434" s="1" t="s">
        <v>147</v>
      </c>
      <c r="R434" s="1">
        <v>46236.375</v>
      </c>
      <c r="S434" s="1" t="s">
        <v>153</v>
      </c>
      <c r="T434" s="1" t="s">
        <v>490</v>
      </c>
      <c r="U434" s="1"/>
    </row>
    <row r="435" spans="1:21" ht="21" customHeight="1" x14ac:dyDescent="0.45">
      <c r="A435" s="14">
        <v>46236</v>
      </c>
      <c r="B435" s="1" t="s">
        <v>103</v>
      </c>
      <c r="C435" s="13">
        <v>46236.5</v>
      </c>
      <c r="D435" s="13">
        <v>46236.541666666664</v>
      </c>
      <c r="E435" s="1" t="s">
        <v>144</v>
      </c>
      <c r="F435" s="12">
        <v>24</v>
      </c>
      <c r="G435" s="12">
        <v>24</v>
      </c>
      <c r="H435" s="18">
        <v>0.13714285714285715</v>
      </c>
      <c r="I435" s="12">
        <v>175</v>
      </c>
      <c r="J435" s="12">
        <v>24</v>
      </c>
      <c r="K435" s="13">
        <v>46235.375</v>
      </c>
      <c r="L435" s="13">
        <v>46235.416666666664</v>
      </c>
      <c r="M435" s="1" t="s">
        <v>145</v>
      </c>
      <c r="N435" s="1" t="s">
        <v>154</v>
      </c>
      <c r="O435" s="1" t="s">
        <v>151</v>
      </c>
      <c r="P435" s="1" t="s">
        <v>408</v>
      </c>
      <c r="Q435" s="1" t="s">
        <v>147</v>
      </c>
      <c r="R435" s="1">
        <v>46236.375</v>
      </c>
      <c r="S435" s="1"/>
      <c r="T435" s="1" t="s">
        <v>490</v>
      </c>
      <c r="U435" s="1"/>
    </row>
    <row r="436" spans="1:21" ht="21" customHeight="1" x14ac:dyDescent="0.45">
      <c r="A436" s="14">
        <v>46236</v>
      </c>
      <c r="B436" s="1" t="s">
        <v>101</v>
      </c>
      <c r="C436" s="13">
        <v>46236.5</v>
      </c>
      <c r="D436" s="13">
        <v>46236.541666666664</v>
      </c>
      <c r="E436" s="1" t="s">
        <v>144</v>
      </c>
      <c r="F436" s="12">
        <v>24</v>
      </c>
      <c r="G436" s="12">
        <v>24</v>
      </c>
      <c r="H436" s="18">
        <v>0.13714285714285715</v>
      </c>
      <c r="I436" s="12">
        <v>175</v>
      </c>
      <c r="J436" s="12">
        <v>24</v>
      </c>
      <c r="K436" s="13">
        <v>46235.375</v>
      </c>
      <c r="L436" s="13">
        <v>46235.416666666664</v>
      </c>
      <c r="M436" s="1" t="s">
        <v>145</v>
      </c>
      <c r="N436" s="1" t="s">
        <v>154</v>
      </c>
      <c r="O436" s="1" t="s">
        <v>151</v>
      </c>
      <c r="P436" s="1" t="s">
        <v>409</v>
      </c>
      <c r="Q436" s="1" t="s">
        <v>147</v>
      </c>
      <c r="R436" s="1">
        <v>46236.375</v>
      </c>
      <c r="S436" s="1"/>
      <c r="T436" s="1" t="s">
        <v>490</v>
      </c>
      <c r="U436" s="1"/>
    </row>
    <row r="437" spans="1:21" ht="21" customHeight="1" x14ac:dyDescent="0.45">
      <c r="A437" s="14">
        <v>46236</v>
      </c>
      <c r="B437" s="1" t="s">
        <v>143</v>
      </c>
      <c r="C437" s="13">
        <v>46236.510416666664</v>
      </c>
      <c r="D437" s="13">
        <v>46236.520833333336</v>
      </c>
      <c r="E437" s="1" t="s">
        <v>144</v>
      </c>
      <c r="F437" s="12">
        <v>-36</v>
      </c>
      <c r="G437" s="12">
        <v>100</v>
      </c>
      <c r="H437" s="18"/>
      <c r="I437" s="12"/>
      <c r="J437" s="12"/>
      <c r="K437" s="13">
        <v>46235.541666666664</v>
      </c>
      <c r="L437" s="13">
        <v>46235.583333333336</v>
      </c>
      <c r="M437" s="1" t="s">
        <v>145</v>
      </c>
      <c r="N437" s="1"/>
      <c r="O437" s="1"/>
      <c r="P437" s="1" t="s">
        <v>410</v>
      </c>
      <c r="Q437" s="1" t="s">
        <v>147</v>
      </c>
      <c r="R437" s="1">
        <v>46236.385416666664</v>
      </c>
      <c r="S437" s="1"/>
      <c r="T437" s="1" t="s">
        <v>490</v>
      </c>
      <c r="U437" s="1"/>
    </row>
    <row r="438" spans="1:21" ht="21" customHeight="1" x14ac:dyDescent="0.45">
      <c r="A438" s="14">
        <v>46236</v>
      </c>
      <c r="B438" s="1" t="s">
        <v>143</v>
      </c>
      <c r="C438" s="13">
        <v>46236.520833333336</v>
      </c>
      <c r="D438" s="13">
        <v>46236.53125</v>
      </c>
      <c r="E438" s="1" t="s">
        <v>144</v>
      </c>
      <c r="F438" s="12">
        <v>-36</v>
      </c>
      <c r="G438" s="12">
        <v>100</v>
      </c>
      <c r="H438" s="18"/>
      <c r="I438" s="12"/>
      <c r="J438" s="12"/>
      <c r="K438" s="13">
        <v>46235.541666666664</v>
      </c>
      <c r="L438" s="13">
        <v>46235.583333333336</v>
      </c>
      <c r="M438" s="1" t="s">
        <v>145</v>
      </c>
      <c r="N438" s="1"/>
      <c r="O438" s="1"/>
      <c r="P438" s="1" t="s">
        <v>411</v>
      </c>
      <c r="Q438" s="1" t="s">
        <v>147</v>
      </c>
      <c r="R438" s="1">
        <v>46236.395833333336</v>
      </c>
      <c r="S438" s="1"/>
      <c r="T438" s="1" t="s">
        <v>490</v>
      </c>
      <c r="U438" s="1"/>
    </row>
    <row r="439" spans="1:21" ht="21" customHeight="1" x14ac:dyDescent="0.45">
      <c r="A439" s="14">
        <v>46236</v>
      </c>
      <c r="B439" s="1" t="s">
        <v>143</v>
      </c>
      <c r="C439" s="13">
        <v>46236.53125</v>
      </c>
      <c r="D439" s="13">
        <v>46236.541666666664</v>
      </c>
      <c r="E439" s="1" t="s">
        <v>144</v>
      </c>
      <c r="F439" s="12">
        <v>-36</v>
      </c>
      <c r="G439" s="12">
        <v>100</v>
      </c>
      <c r="H439" s="18"/>
      <c r="I439" s="12"/>
      <c r="J439" s="12"/>
      <c r="K439" s="13">
        <v>46235.541666666664</v>
      </c>
      <c r="L439" s="13">
        <v>46235.583333333336</v>
      </c>
      <c r="M439" s="1" t="s">
        <v>145</v>
      </c>
      <c r="N439" s="1"/>
      <c r="O439" s="1"/>
      <c r="P439" s="1" t="s">
        <v>412</v>
      </c>
      <c r="Q439" s="1" t="s">
        <v>147</v>
      </c>
      <c r="R439" s="1">
        <v>46236.40625</v>
      </c>
      <c r="S439" s="1"/>
      <c r="T439" s="1" t="s">
        <v>490</v>
      </c>
      <c r="U439" s="1"/>
    </row>
    <row r="440" spans="1:21" ht="21" customHeight="1" x14ac:dyDescent="0.45">
      <c r="A440" s="14">
        <v>46236</v>
      </c>
      <c r="B440" s="1" t="s">
        <v>143</v>
      </c>
      <c r="C440" s="13">
        <v>46236.541666666664</v>
      </c>
      <c r="D440" s="13">
        <v>46236.552083333336</v>
      </c>
      <c r="E440" s="1" t="s">
        <v>144</v>
      </c>
      <c r="F440" s="12">
        <v>-36</v>
      </c>
      <c r="G440" s="12">
        <v>100</v>
      </c>
      <c r="H440" s="18"/>
      <c r="I440" s="12"/>
      <c r="J440" s="12"/>
      <c r="K440" s="13">
        <v>46235.541666666664</v>
      </c>
      <c r="L440" s="13">
        <v>46235.583333333336</v>
      </c>
      <c r="M440" s="1" t="s">
        <v>145</v>
      </c>
      <c r="N440" s="1"/>
      <c r="O440" s="1"/>
      <c r="P440" s="1" t="s">
        <v>413</v>
      </c>
      <c r="Q440" s="1" t="s">
        <v>147</v>
      </c>
      <c r="R440" s="1">
        <v>46236.416666666664</v>
      </c>
      <c r="S440" s="1"/>
      <c r="T440" s="1" t="s">
        <v>490</v>
      </c>
      <c r="U440" s="1"/>
    </row>
    <row r="441" spans="1:21" ht="21" customHeight="1" x14ac:dyDescent="0.45">
      <c r="A441" s="14">
        <v>46236</v>
      </c>
      <c r="B441" s="1" t="s">
        <v>149</v>
      </c>
      <c r="C441" s="13">
        <v>46236.541666666664</v>
      </c>
      <c r="D441" s="13">
        <v>46236.583333333336</v>
      </c>
      <c r="E441" s="1" t="s">
        <v>144</v>
      </c>
      <c r="F441" s="12">
        <v>40</v>
      </c>
      <c r="G441" s="12">
        <v>40</v>
      </c>
      <c r="H441" s="18">
        <v>0.3125</v>
      </c>
      <c r="I441" s="12">
        <v>128</v>
      </c>
      <c r="J441" s="12">
        <v>40</v>
      </c>
      <c r="K441" s="13">
        <v>46235.375</v>
      </c>
      <c r="L441" s="13">
        <v>46235.416666666664</v>
      </c>
      <c r="M441" s="1" t="s">
        <v>145</v>
      </c>
      <c r="N441" s="1" t="s">
        <v>150</v>
      </c>
      <c r="O441" s="1" t="s">
        <v>151</v>
      </c>
      <c r="P441" s="1" t="s">
        <v>414</v>
      </c>
      <c r="Q441" s="1" t="s">
        <v>147</v>
      </c>
      <c r="R441" s="1">
        <v>46236.416666666664</v>
      </c>
      <c r="S441" s="1" t="s">
        <v>153</v>
      </c>
      <c r="T441" s="1" t="s">
        <v>490</v>
      </c>
      <c r="U441" s="1"/>
    </row>
    <row r="442" spans="1:21" ht="21" customHeight="1" x14ac:dyDescent="0.45">
      <c r="A442" s="14">
        <v>46236</v>
      </c>
      <c r="B442" s="1" t="s">
        <v>103</v>
      </c>
      <c r="C442" s="13">
        <v>46236.541666666664</v>
      </c>
      <c r="D442" s="13">
        <v>46236.583333333336</v>
      </c>
      <c r="E442" s="1" t="s">
        <v>144</v>
      </c>
      <c r="F442" s="12">
        <v>24</v>
      </c>
      <c r="G442" s="12">
        <v>24</v>
      </c>
      <c r="H442" s="18">
        <v>0.13714285714285715</v>
      </c>
      <c r="I442" s="12">
        <v>175</v>
      </c>
      <c r="J442" s="12">
        <v>24</v>
      </c>
      <c r="K442" s="13">
        <v>46235.375</v>
      </c>
      <c r="L442" s="13">
        <v>46235.416666666664</v>
      </c>
      <c r="M442" s="1" t="s">
        <v>145</v>
      </c>
      <c r="N442" s="1" t="s">
        <v>154</v>
      </c>
      <c r="O442" s="1" t="s">
        <v>151</v>
      </c>
      <c r="P442" s="1" t="s">
        <v>415</v>
      </c>
      <c r="Q442" s="1" t="s">
        <v>147</v>
      </c>
      <c r="R442" s="1">
        <v>46236.416666666664</v>
      </c>
      <c r="S442" s="1"/>
      <c r="T442" s="1" t="s">
        <v>490</v>
      </c>
      <c r="U442" s="1"/>
    </row>
    <row r="443" spans="1:21" ht="21" customHeight="1" x14ac:dyDescent="0.45">
      <c r="A443" s="14">
        <v>46236</v>
      </c>
      <c r="B443" s="1" t="s">
        <v>101</v>
      </c>
      <c r="C443" s="13">
        <v>46236.541666666664</v>
      </c>
      <c r="D443" s="13">
        <v>46236.583333333336</v>
      </c>
      <c r="E443" s="1" t="s">
        <v>144</v>
      </c>
      <c r="F443" s="12">
        <v>24</v>
      </c>
      <c r="G443" s="12">
        <v>24</v>
      </c>
      <c r="H443" s="18">
        <v>0.13714285714285715</v>
      </c>
      <c r="I443" s="12">
        <v>175</v>
      </c>
      <c r="J443" s="12">
        <v>24</v>
      </c>
      <c r="K443" s="13">
        <v>46235.375</v>
      </c>
      <c r="L443" s="13">
        <v>46235.416666666664</v>
      </c>
      <c r="M443" s="1" t="s">
        <v>145</v>
      </c>
      <c r="N443" s="1" t="s">
        <v>154</v>
      </c>
      <c r="O443" s="1" t="s">
        <v>151</v>
      </c>
      <c r="P443" s="1" t="s">
        <v>416</v>
      </c>
      <c r="Q443" s="1" t="s">
        <v>147</v>
      </c>
      <c r="R443" s="1">
        <v>46236.416666666664</v>
      </c>
      <c r="S443" s="1"/>
      <c r="T443" s="1" t="s">
        <v>490</v>
      </c>
      <c r="U443" s="1"/>
    </row>
    <row r="444" spans="1:21" ht="21" customHeight="1" x14ac:dyDescent="0.45">
      <c r="A444" s="14">
        <v>46236</v>
      </c>
      <c r="B444" s="1" t="s">
        <v>143</v>
      </c>
      <c r="C444" s="13">
        <v>46236.552083333336</v>
      </c>
      <c r="D444" s="13">
        <v>46236.5625</v>
      </c>
      <c r="E444" s="1" t="s">
        <v>144</v>
      </c>
      <c r="F444" s="12">
        <v>-36</v>
      </c>
      <c r="G444" s="12">
        <v>100</v>
      </c>
      <c r="H444" s="18"/>
      <c r="I444" s="12"/>
      <c r="J444" s="12"/>
      <c r="K444" s="13">
        <v>46235.541666666664</v>
      </c>
      <c r="L444" s="13">
        <v>46235.583333333336</v>
      </c>
      <c r="M444" s="1" t="s">
        <v>145</v>
      </c>
      <c r="N444" s="1"/>
      <c r="O444" s="1"/>
      <c r="P444" s="1" t="s">
        <v>417</v>
      </c>
      <c r="Q444" s="1" t="s">
        <v>147</v>
      </c>
      <c r="R444" s="1">
        <v>46236.427083333336</v>
      </c>
      <c r="S444" s="1"/>
      <c r="T444" s="1" t="s">
        <v>490</v>
      </c>
      <c r="U444" s="1"/>
    </row>
    <row r="445" spans="1:21" ht="21" customHeight="1" x14ac:dyDescent="0.45">
      <c r="A445" s="14">
        <v>46236</v>
      </c>
      <c r="B445" s="1" t="s">
        <v>143</v>
      </c>
      <c r="C445" s="13">
        <v>46236.5625</v>
      </c>
      <c r="D445" s="13">
        <v>46236.572916666664</v>
      </c>
      <c r="E445" s="1" t="s">
        <v>144</v>
      </c>
      <c r="F445" s="12">
        <v>-36</v>
      </c>
      <c r="G445" s="12">
        <v>100</v>
      </c>
      <c r="H445" s="18"/>
      <c r="I445" s="12"/>
      <c r="J445" s="12"/>
      <c r="K445" s="13">
        <v>46235.541666666664</v>
      </c>
      <c r="L445" s="13">
        <v>46235.583333333336</v>
      </c>
      <c r="M445" s="1" t="s">
        <v>145</v>
      </c>
      <c r="N445" s="1"/>
      <c r="O445" s="1"/>
      <c r="P445" s="1" t="s">
        <v>418</v>
      </c>
      <c r="Q445" s="1" t="s">
        <v>147</v>
      </c>
      <c r="R445" s="1">
        <v>46236.4375</v>
      </c>
      <c r="S445" s="1"/>
      <c r="T445" s="1" t="s">
        <v>490</v>
      </c>
      <c r="U445" s="1"/>
    </row>
    <row r="446" spans="1:21" ht="21" customHeight="1" x14ac:dyDescent="0.45">
      <c r="A446" s="14">
        <v>46236</v>
      </c>
      <c r="B446" s="1" t="s">
        <v>143</v>
      </c>
      <c r="C446" s="13">
        <v>46236.572916666664</v>
      </c>
      <c r="D446" s="13">
        <v>46236.583333333336</v>
      </c>
      <c r="E446" s="1" t="s">
        <v>144</v>
      </c>
      <c r="F446" s="12">
        <v>0</v>
      </c>
      <c r="G446" s="12">
        <v>100</v>
      </c>
      <c r="H446" s="18"/>
      <c r="I446" s="12"/>
      <c r="J446" s="12"/>
      <c r="K446" s="13">
        <v>46235.541666666664</v>
      </c>
      <c r="L446" s="13">
        <v>46235.583333333336</v>
      </c>
      <c r="M446" s="1" t="s">
        <v>145</v>
      </c>
      <c r="N446" s="1"/>
      <c r="O446" s="1"/>
      <c r="P446" s="1" t="s">
        <v>419</v>
      </c>
      <c r="Q446" s="1" t="s">
        <v>147</v>
      </c>
      <c r="R446" s="1">
        <v>46236.447916666664</v>
      </c>
      <c r="S446" s="1"/>
      <c r="T446" s="1" t="s">
        <v>490</v>
      </c>
      <c r="U446" s="1"/>
    </row>
    <row r="447" spans="1:21" ht="21" customHeight="1" x14ac:dyDescent="0.45">
      <c r="A447" s="14">
        <v>46236</v>
      </c>
      <c r="B447" s="1" t="s">
        <v>143</v>
      </c>
      <c r="C447" s="13">
        <v>46236.583333333336</v>
      </c>
      <c r="D447" s="13">
        <v>46236.59375</v>
      </c>
      <c r="E447" s="1" t="s">
        <v>144</v>
      </c>
      <c r="F447" s="12">
        <v>-9.7215032136105002</v>
      </c>
      <c r="G447" s="12">
        <v>100</v>
      </c>
      <c r="H447" s="18"/>
      <c r="I447" s="12"/>
      <c r="J447" s="12"/>
      <c r="K447" s="13">
        <v>46235.541666666664</v>
      </c>
      <c r="L447" s="13">
        <v>46235.583333333336</v>
      </c>
      <c r="M447" s="1" t="s">
        <v>145</v>
      </c>
      <c r="N447" s="1"/>
      <c r="O447" s="1"/>
      <c r="P447" s="1" t="s">
        <v>420</v>
      </c>
      <c r="Q447" s="1" t="s">
        <v>147</v>
      </c>
      <c r="R447" s="1">
        <v>46236.458333333336</v>
      </c>
      <c r="S447" s="1"/>
      <c r="T447" s="1" t="s">
        <v>490</v>
      </c>
      <c r="U447" s="1"/>
    </row>
    <row r="448" spans="1:21" ht="21" customHeight="1" x14ac:dyDescent="0.45">
      <c r="A448" s="14">
        <v>46236</v>
      </c>
      <c r="B448" s="1" t="s">
        <v>149</v>
      </c>
      <c r="C448" s="13">
        <v>46236.583333333336</v>
      </c>
      <c r="D448" s="13">
        <v>46236.625</v>
      </c>
      <c r="E448" s="1" t="s">
        <v>144</v>
      </c>
      <c r="F448" s="12">
        <v>40</v>
      </c>
      <c r="G448" s="12">
        <v>40</v>
      </c>
      <c r="H448" s="18">
        <v>0.3125</v>
      </c>
      <c r="I448" s="12">
        <v>128</v>
      </c>
      <c r="J448" s="12">
        <v>40</v>
      </c>
      <c r="K448" s="13">
        <v>46235.375</v>
      </c>
      <c r="L448" s="13">
        <v>46235.416666666664</v>
      </c>
      <c r="M448" s="1" t="s">
        <v>145</v>
      </c>
      <c r="N448" s="1" t="s">
        <v>150</v>
      </c>
      <c r="O448" s="1" t="s">
        <v>151</v>
      </c>
      <c r="P448" s="1" t="s">
        <v>421</v>
      </c>
      <c r="Q448" s="1" t="s">
        <v>147</v>
      </c>
      <c r="R448" s="1">
        <v>46236.458333333336</v>
      </c>
      <c r="S448" s="1" t="s">
        <v>153</v>
      </c>
      <c r="T448" s="1" t="s">
        <v>490</v>
      </c>
      <c r="U448" s="1"/>
    </row>
    <row r="449" spans="1:21" ht="21" customHeight="1" x14ac:dyDescent="0.45">
      <c r="A449" s="14">
        <v>46236</v>
      </c>
      <c r="B449" s="1" t="s">
        <v>103</v>
      </c>
      <c r="C449" s="13">
        <v>46236.583333333336</v>
      </c>
      <c r="D449" s="13">
        <v>46236.625</v>
      </c>
      <c r="E449" s="1" t="s">
        <v>144</v>
      </c>
      <c r="F449" s="12">
        <v>24</v>
      </c>
      <c r="G449" s="12">
        <v>24</v>
      </c>
      <c r="H449" s="18">
        <v>0.13714285714285715</v>
      </c>
      <c r="I449" s="12">
        <v>175</v>
      </c>
      <c r="J449" s="12">
        <v>24</v>
      </c>
      <c r="K449" s="13">
        <v>46235.375</v>
      </c>
      <c r="L449" s="13">
        <v>46235.416666666664</v>
      </c>
      <c r="M449" s="1" t="s">
        <v>145</v>
      </c>
      <c r="N449" s="1" t="s">
        <v>154</v>
      </c>
      <c r="O449" s="1" t="s">
        <v>151</v>
      </c>
      <c r="P449" s="1" t="s">
        <v>422</v>
      </c>
      <c r="Q449" s="1" t="s">
        <v>147</v>
      </c>
      <c r="R449" s="1">
        <v>46236.458333333336</v>
      </c>
      <c r="S449" s="1"/>
      <c r="T449" s="1" t="s">
        <v>490</v>
      </c>
      <c r="U449" s="1"/>
    </row>
    <row r="450" spans="1:21" ht="21" customHeight="1" x14ac:dyDescent="0.45">
      <c r="A450" s="14">
        <v>46236</v>
      </c>
      <c r="B450" s="1" t="s">
        <v>101</v>
      </c>
      <c r="C450" s="13">
        <v>46236.583333333336</v>
      </c>
      <c r="D450" s="13">
        <v>46236.625</v>
      </c>
      <c r="E450" s="1" t="s">
        <v>144</v>
      </c>
      <c r="F450" s="12">
        <v>24</v>
      </c>
      <c r="G450" s="12">
        <v>24</v>
      </c>
      <c r="H450" s="18">
        <v>0.13714285714285715</v>
      </c>
      <c r="I450" s="12">
        <v>175</v>
      </c>
      <c r="J450" s="12">
        <v>24</v>
      </c>
      <c r="K450" s="13">
        <v>46235.375</v>
      </c>
      <c r="L450" s="13">
        <v>46235.416666666664</v>
      </c>
      <c r="M450" s="1" t="s">
        <v>145</v>
      </c>
      <c r="N450" s="1" t="s">
        <v>154</v>
      </c>
      <c r="O450" s="1" t="s">
        <v>151</v>
      </c>
      <c r="P450" s="1" t="s">
        <v>423</v>
      </c>
      <c r="Q450" s="1" t="s">
        <v>147</v>
      </c>
      <c r="R450" s="1">
        <v>46236.458333333336</v>
      </c>
      <c r="S450" s="1"/>
      <c r="T450" s="1" t="s">
        <v>490</v>
      </c>
      <c r="U450" s="1"/>
    </row>
    <row r="451" spans="1:21" ht="21" customHeight="1" x14ac:dyDescent="0.45">
      <c r="A451" s="14">
        <v>46236</v>
      </c>
      <c r="B451" s="1" t="s">
        <v>143</v>
      </c>
      <c r="C451" s="13">
        <v>46236.59375</v>
      </c>
      <c r="D451" s="13">
        <v>46236.604166666664</v>
      </c>
      <c r="E451" s="1" t="s">
        <v>144</v>
      </c>
      <c r="F451" s="12">
        <v>-36</v>
      </c>
      <c r="G451" s="12">
        <v>100</v>
      </c>
      <c r="H451" s="18"/>
      <c r="I451" s="12"/>
      <c r="J451" s="12"/>
      <c r="K451" s="13">
        <v>46235.541666666664</v>
      </c>
      <c r="L451" s="13">
        <v>46235.583333333336</v>
      </c>
      <c r="M451" s="1" t="s">
        <v>145</v>
      </c>
      <c r="N451" s="1"/>
      <c r="O451" s="1"/>
      <c r="P451" s="1" t="s">
        <v>424</v>
      </c>
      <c r="Q451" s="1" t="s">
        <v>147</v>
      </c>
      <c r="R451" s="1">
        <v>46236.46875</v>
      </c>
      <c r="S451" s="1"/>
      <c r="T451" s="1" t="s">
        <v>490</v>
      </c>
      <c r="U451" s="1"/>
    </row>
    <row r="452" spans="1:21" ht="21" customHeight="1" x14ac:dyDescent="0.45">
      <c r="A452" s="14">
        <v>46236</v>
      </c>
      <c r="B452" s="1" t="s">
        <v>143</v>
      </c>
      <c r="C452" s="13">
        <v>46236.604166666664</v>
      </c>
      <c r="D452" s="13">
        <v>46236.614583333336</v>
      </c>
      <c r="E452" s="1" t="s">
        <v>144</v>
      </c>
      <c r="F452" s="12">
        <v>-36</v>
      </c>
      <c r="G452" s="12">
        <v>100</v>
      </c>
      <c r="H452" s="18"/>
      <c r="I452" s="12"/>
      <c r="J452" s="12"/>
      <c r="K452" s="13">
        <v>46235.541666666664</v>
      </c>
      <c r="L452" s="13">
        <v>46235.583333333336</v>
      </c>
      <c r="M452" s="1" t="s">
        <v>145</v>
      </c>
      <c r="N452" s="1"/>
      <c r="O452" s="1"/>
      <c r="P452" s="1" t="s">
        <v>425</v>
      </c>
      <c r="Q452" s="1" t="s">
        <v>147</v>
      </c>
      <c r="R452" s="1">
        <v>46236.479166666664</v>
      </c>
      <c r="S452" s="1"/>
      <c r="T452" s="1" t="s">
        <v>490</v>
      </c>
      <c r="U452" s="1"/>
    </row>
    <row r="453" spans="1:21" ht="21" customHeight="1" x14ac:dyDescent="0.45">
      <c r="A453" s="14">
        <v>46236</v>
      </c>
      <c r="B453" s="1" t="s">
        <v>143</v>
      </c>
      <c r="C453" s="13">
        <v>46236.614583333336</v>
      </c>
      <c r="D453" s="13">
        <v>46236.625</v>
      </c>
      <c r="E453" s="1" t="s">
        <v>144</v>
      </c>
      <c r="F453" s="12">
        <v>-36</v>
      </c>
      <c r="G453" s="12">
        <v>100</v>
      </c>
      <c r="H453" s="18"/>
      <c r="I453" s="12"/>
      <c r="J453" s="12"/>
      <c r="K453" s="13">
        <v>46235.541666666664</v>
      </c>
      <c r="L453" s="13">
        <v>46235.583333333336</v>
      </c>
      <c r="M453" s="1" t="s">
        <v>145</v>
      </c>
      <c r="N453" s="1"/>
      <c r="O453" s="1"/>
      <c r="P453" s="1" t="s">
        <v>426</v>
      </c>
      <c r="Q453" s="1" t="s">
        <v>147</v>
      </c>
      <c r="R453" s="1">
        <v>46236.489583333336</v>
      </c>
      <c r="S453" s="1"/>
      <c r="T453" s="1" t="s">
        <v>490</v>
      </c>
      <c r="U453" s="1"/>
    </row>
    <row r="454" spans="1:21" ht="21" customHeight="1" x14ac:dyDescent="0.45">
      <c r="A454" s="14">
        <v>46236</v>
      </c>
      <c r="B454" s="1" t="s">
        <v>143</v>
      </c>
      <c r="C454" s="13">
        <v>46236.625</v>
      </c>
      <c r="D454" s="13">
        <v>46236.635416666664</v>
      </c>
      <c r="E454" s="1" t="s">
        <v>144</v>
      </c>
      <c r="F454" s="12">
        <v>35.999999999999993</v>
      </c>
      <c r="G454" s="12">
        <v>100</v>
      </c>
      <c r="H454" s="18"/>
      <c r="I454" s="12"/>
      <c r="J454" s="12"/>
      <c r="K454" s="13">
        <v>46235.541666666664</v>
      </c>
      <c r="L454" s="13">
        <v>46235.583333333336</v>
      </c>
      <c r="M454" s="1" t="s">
        <v>145</v>
      </c>
      <c r="N454" s="1"/>
      <c r="O454" s="1"/>
      <c r="P454" s="1" t="s">
        <v>427</v>
      </c>
      <c r="Q454" s="1" t="s">
        <v>147</v>
      </c>
      <c r="R454" s="1">
        <v>46236.5</v>
      </c>
      <c r="S454" s="1"/>
      <c r="T454" s="1" t="s">
        <v>490</v>
      </c>
      <c r="U454" s="1"/>
    </row>
    <row r="455" spans="1:21" ht="21" customHeight="1" x14ac:dyDescent="0.45">
      <c r="A455" s="14">
        <v>46236</v>
      </c>
      <c r="B455" s="1" t="s">
        <v>149</v>
      </c>
      <c r="C455" s="13">
        <v>46236.625</v>
      </c>
      <c r="D455" s="13">
        <v>46236.666666666664</v>
      </c>
      <c r="E455" s="1" t="s">
        <v>144</v>
      </c>
      <c r="F455" s="12">
        <v>40</v>
      </c>
      <c r="G455" s="12">
        <v>40</v>
      </c>
      <c r="H455" s="18">
        <v>0.3125</v>
      </c>
      <c r="I455" s="12">
        <v>128</v>
      </c>
      <c r="J455" s="12">
        <v>40</v>
      </c>
      <c r="K455" s="13">
        <v>46235.375</v>
      </c>
      <c r="L455" s="13">
        <v>46235.416666666664</v>
      </c>
      <c r="M455" s="1" t="s">
        <v>145</v>
      </c>
      <c r="N455" s="1" t="s">
        <v>150</v>
      </c>
      <c r="O455" s="1" t="s">
        <v>151</v>
      </c>
      <c r="P455" s="1" t="s">
        <v>428</v>
      </c>
      <c r="Q455" s="1" t="s">
        <v>147</v>
      </c>
      <c r="R455" s="1">
        <v>46236.5</v>
      </c>
      <c r="S455" s="1" t="s">
        <v>153</v>
      </c>
      <c r="T455" s="1" t="s">
        <v>490</v>
      </c>
      <c r="U455" s="1"/>
    </row>
    <row r="456" spans="1:21" ht="21" customHeight="1" x14ac:dyDescent="0.45">
      <c r="A456" s="14">
        <v>46236</v>
      </c>
      <c r="B456" s="1" t="s">
        <v>103</v>
      </c>
      <c r="C456" s="13">
        <v>46236.625</v>
      </c>
      <c r="D456" s="13">
        <v>46236.666666666664</v>
      </c>
      <c r="E456" s="1" t="s">
        <v>144</v>
      </c>
      <c r="F456" s="12">
        <v>24</v>
      </c>
      <c r="G456" s="12">
        <v>24</v>
      </c>
      <c r="H456" s="18">
        <v>0.13714285714285715</v>
      </c>
      <c r="I456" s="12">
        <v>175</v>
      </c>
      <c r="J456" s="12">
        <v>24</v>
      </c>
      <c r="K456" s="13">
        <v>46235.375</v>
      </c>
      <c r="L456" s="13">
        <v>46235.416666666664</v>
      </c>
      <c r="M456" s="1" t="s">
        <v>145</v>
      </c>
      <c r="N456" s="1" t="s">
        <v>154</v>
      </c>
      <c r="O456" s="1" t="s">
        <v>151</v>
      </c>
      <c r="P456" s="1" t="s">
        <v>429</v>
      </c>
      <c r="Q456" s="1" t="s">
        <v>147</v>
      </c>
      <c r="R456" s="1">
        <v>46236.5</v>
      </c>
      <c r="S456" s="1"/>
      <c r="T456" s="1" t="s">
        <v>490</v>
      </c>
      <c r="U456" s="1"/>
    </row>
    <row r="457" spans="1:21" ht="21" customHeight="1" x14ac:dyDescent="0.45">
      <c r="A457" s="14">
        <v>46236</v>
      </c>
      <c r="B457" s="1" t="s">
        <v>101</v>
      </c>
      <c r="C457" s="13">
        <v>46236.625</v>
      </c>
      <c r="D457" s="13">
        <v>46236.666666666664</v>
      </c>
      <c r="E457" s="1" t="s">
        <v>144</v>
      </c>
      <c r="F457" s="12">
        <v>24</v>
      </c>
      <c r="G457" s="12">
        <v>24</v>
      </c>
      <c r="H457" s="18">
        <v>0.13714285714285715</v>
      </c>
      <c r="I457" s="12">
        <v>175</v>
      </c>
      <c r="J457" s="12">
        <v>24</v>
      </c>
      <c r="K457" s="13">
        <v>46235.375</v>
      </c>
      <c r="L457" s="13">
        <v>46235.416666666664</v>
      </c>
      <c r="M457" s="1" t="s">
        <v>145</v>
      </c>
      <c r="N457" s="1" t="s">
        <v>154</v>
      </c>
      <c r="O457" s="1" t="s">
        <v>151</v>
      </c>
      <c r="P457" s="1" t="s">
        <v>430</v>
      </c>
      <c r="Q457" s="1" t="s">
        <v>147</v>
      </c>
      <c r="R457" s="1">
        <v>46236.5</v>
      </c>
      <c r="S457" s="1"/>
      <c r="T457" s="1" t="s">
        <v>490</v>
      </c>
      <c r="U457" s="1"/>
    </row>
    <row r="458" spans="1:21" ht="21" customHeight="1" x14ac:dyDescent="0.45">
      <c r="A458" s="14">
        <v>46236</v>
      </c>
      <c r="B458" s="1" t="s">
        <v>143</v>
      </c>
      <c r="C458" s="13">
        <v>46236.635416666664</v>
      </c>
      <c r="D458" s="13">
        <v>46236.645833333336</v>
      </c>
      <c r="E458" s="1" t="s">
        <v>144</v>
      </c>
      <c r="F458" s="12">
        <v>35.999999999999993</v>
      </c>
      <c r="G458" s="12">
        <v>100</v>
      </c>
      <c r="H458" s="18"/>
      <c r="I458" s="12"/>
      <c r="J458" s="12"/>
      <c r="K458" s="13">
        <v>46235.541666666664</v>
      </c>
      <c r="L458" s="13">
        <v>46235.583333333336</v>
      </c>
      <c r="M458" s="1" t="s">
        <v>145</v>
      </c>
      <c r="N458" s="1"/>
      <c r="O458" s="1"/>
      <c r="P458" s="1" t="s">
        <v>431</v>
      </c>
      <c r="Q458" s="1" t="s">
        <v>147</v>
      </c>
      <c r="R458" s="1">
        <v>46236.510416666664</v>
      </c>
      <c r="S458" s="1"/>
      <c r="T458" s="1" t="s">
        <v>490</v>
      </c>
      <c r="U458" s="1"/>
    </row>
    <row r="459" spans="1:21" ht="21" customHeight="1" x14ac:dyDescent="0.45">
      <c r="A459" s="14">
        <v>46236</v>
      </c>
      <c r="B459" s="1" t="s">
        <v>143</v>
      </c>
      <c r="C459" s="13">
        <v>46236.645833333336</v>
      </c>
      <c r="D459" s="13">
        <v>46236.65625</v>
      </c>
      <c r="E459" s="1" t="s">
        <v>144</v>
      </c>
      <c r="F459" s="12">
        <v>-36</v>
      </c>
      <c r="G459" s="12">
        <v>100</v>
      </c>
      <c r="H459" s="18"/>
      <c r="I459" s="12"/>
      <c r="J459" s="12"/>
      <c r="K459" s="13">
        <v>46235.541666666664</v>
      </c>
      <c r="L459" s="13">
        <v>46235.583333333336</v>
      </c>
      <c r="M459" s="1" t="s">
        <v>145</v>
      </c>
      <c r="N459" s="1"/>
      <c r="O459" s="1"/>
      <c r="P459" s="1" t="s">
        <v>432</v>
      </c>
      <c r="Q459" s="1" t="s">
        <v>147</v>
      </c>
      <c r="R459" s="1">
        <v>46236.520833333336</v>
      </c>
      <c r="S459" s="1"/>
      <c r="T459" s="1" t="s">
        <v>490</v>
      </c>
      <c r="U459" s="1"/>
    </row>
    <row r="460" spans="1:21" ht="21" customHeight="1" x14ac:dyDescent="0.45">
      <c r="A460" s="14">
        <v>46236</v>
      </c>
      <c r="B460" s="1" t="s">
        <v>143</v>
      </c>
      <c r="C460" s="13">
        <v>46236.65625</v>
      </c>
      <c r="D460" s="13">
        <v>46236.666666666664</v>
      </c>
      <c r="E460" s="1" t="s">
        <v>144</v>
      </c>
      <c r="F460" s="12">
        <v>-36</v>
      </c>
      <c r="G460" s="12">
        <v>100</v>
      </c>
      <c r="H460" s="18"/>
      <c r="I460" s="12"/>
      <c r="J460" s="12"/>
      <c r="K460" s="13">
        <v>46235.541666666664</v>
      </c>
      <c r="L460" s="13">
        <v>46235.583333333336</v>
      </c>
      <c r="M460" s="1" t="s">
        <v>145</v>
      </c>
      <c r="N460" s="1"/>
      <c r="O460" s="1"/>
      <c r="P460" s="1" t="s">
        <v>433</v>
      </c>
      <c r="Q460" s="1" t="s">
        <v>147</v>
      </c>
      <c r="R460" s="1">
        <v>46236.53125</v>
      </c>
      <c r="S460" s="1"/>
      <c r="T460" s="1" t="s">
        <v>490</v>
      </c>
      <c r="U460" s="1"/>
    </row>
    <row r="461" spans="1:21" ht="21" customHeight="1" x14ac:dyDescent="0.45">
      <c r="A461" s="14">
        <v>46236</v>
      </c>
      <c r="B461" s="1" t="s">
        <v>143</v>
      </c>
      <c r="C461" s="13">
        <v>46236.666666666664</v>
      </c>
      <c r="D461" s="13">
        <v>46236.677083333336</v>
      </c>
      <c r="E461" s="1" t="s">
        <v>144</v>
      </c>
      <c r="F461" s="12">
        <v>0</v>
      </c>
      <c r="G461" s="12">
        <v>100</v>
      </c>
      <c r="H461" s="18"/>
      <c r="I461" s="12"/>
      <c r="J461" s="12"/>
      <c r="K461" s="13">
        <v>46235.541666666664</v>
      </c>
      <c r="L461" s="13">
        <v>46235.583333333336</v>
      </c>
      <c r="M461" s="1" t="s">
        <v>145</v>
      </c>
      <c r="N461" s="1"/>
      <c r="O461" s="1"/>
      <c r="P461" s="1" t="s">
        <v>434</v>
      </c>
      <c r="Q461" s="1" t="s">
        <v>147</v>
      </c>
      <c r="R461" s="1">
        <v>46236.541666666664</v>
      </c>
      <c r="S461" s="1"/>
      <c r="T461" s="1" t="s">
        <v>490</v>
      </c>
      <c r="U461" s="1"/>
    </row>
    <row r="462" spans="1:21" ht="21" customHeight="1" x14ac:dyDescent="0.45">
      <c r="A462" s="14">
        <v>46236</v>
      </c>
      <c r="B462" s="1" t="s">
        <v>149</v>
      </c>
      <c r="C462" s="13">
        <v>46236.666666666664</v>
      </c>
      <c r="D462" s="13">
        <v>46236.708333333336</v>
      </c>
      <c r="E462" s="1" t="s">
        <v>144</v>
      </c>
      <c r="F462" s="12">
        <v>40</v>
      </c>
      <c r="G462" s="12">
        <v>40</v>
      </c>
      <c r="H462" s="18">
        <v>0.3125</v>
      </c>
      <c r="I462" s="12">
        <v>128</v>
      </c>
      <c r="J462" s="12">
        <v>40</v>
      </c>
      <c r="K462" s="13">
        <v>46235.375</v>
      </c>
      <c r="L462" s="13">
        <v>46235.416666666664</v>
      </c>
      <c r="M462" s="1" t="s">
        <v>145</v>
      </c>
      <c r="N462" s="1" t="s">
        <v>150</v>
      </c>
      <c r="O462" s="1" t="s">
        <v>151</v>
      </c>
      <c r="P462" s="1" t="s">
        <v>435</v>
      </c>
      <c r="Q462" s="1" t="s">
        <v>147</v>
      </c>
      <c r="R462" s="1">
        <v>46236.541666666664</v>
      </c>
      <c r="S462" s="1" t="s">
        <v>153</v>
      </c>
      <c r="T462" s="1" t="s">
        <v>490</v>
      </c>
      <c r="U462" s="1"/>
    </row>
    <row r="463" spans="1:21" ht="21" customHeight="1" x14ac:dyDescent="0.45">
      <c r="A463" s="14">
        <v>46236</v>
      </c>
      <c r="B463" s="1" t="s">
        <v>103</v>
      </c>
      <c r="C463" s="13">
        <v>46236.666666666664</v>
      </c>
      <c r="D463" s="13">
        <v>46236.708333333336</v>
      </c>
      <c r="E463" s="1" t="s">
        <v>144</v>
      </c>
      <c r="F463" s="12">
        <v>24</v>
      </c>
      <c r="G463" s="12">
        <v>24</v>
      </c>
      <c r="H463" s="18">
        <v>0.13714285714285715</v>
      </c>
      <c r="I463" s="12">
        <v>175</v>
      </c>
      <c r="J463" s="12">
        <v>24</v>
      </c>
      <c r="K463" s="13">
        <v>46235.375</v>
      </c>
      <c r="L463" s="13">
        <v>46235.416666666664</v>
      </c>
      <c r="M463" s="1" t="s">
        <v>145</v>
      </c>
      <c r="N463" s="1" t="s">
        <v>154</v>
      </c>
      <c r="O463" s="1" t="s">
        <v>151</v>
      </c>
      <c r="P463" s="1" t="s">
        <v>436</v>
      </c>
      <c r="Q463" s="1" t="s">
        <v>147</v>
      </c>
      <c r="R463" s="1">
        <v>46236.541666666664</v>
      </c>
      <c r="S463" s="1"/>
      <c r="T463" s="1" t="s">
        <v>490</v>
      </c>
      <c r="U463" s="1"/>
    </row>
    <row r="464" spans="1:21" ht="21" customHeight="1" x14ac:dyDescent="0.45">
      <c r="A464" s="14">
        <v>46236</v>
      </c>
      <c r="B464" s="1" t="s">
        <v>101</v>
      </c>
      <c r="C464" s="13">
        <v>46236.666666666664</v>
      </c>
      <c r="D464" s="13">
        <v>46236.708333333336</v>
      </c>
      <c r="E464" s="1" t="s">
        <v>144</v>
      </c>
      <c r="F464" s="12">
        <v>24</v>
      </c>
      <c r="G464" s="12">
        <v>24</v>
      </c>
      <c r="H464" s="18">
        <v>0.13714285714285715</v>
      </c>
      <c r="I464" s="12">
        <v>175</v>
      </c>
      <c r="J464" s="12">
        <v>24</v>
      </c>
      <c r="K464" s="13">
        <v>46235.375</v>
      </c>
      <c r="L464" s="13">
        <v>46235.416666666664</v>
      </c>
      <c r="M464" s="1" t="s">
        <v>145</v>
      </c>
      <c r="N464" s="1" t="s">
        <v>154</v>
      </c>
      <c r="O464" s="1" t="s">
        <v>151</v>
      </c>
      <c r="P464" s="1" t="s">
        <v>437</v>
      </c>
      <c r="Q464" s="1" t="s">
        <v>147</v>
      </c>
      <c r="R464" s="1">
        <v>46236.541666666664</v>
      </c>
      <c r="S464" s="1"/>
      <c r="T464" s="1" t="s">
        <v>490</v>
      </c>
      <c r="U464" s="1"/>
    </row>
    <row r="465" spans="1:21" ht="21" customHeight="1" x14ac:dyDescent="0.45">
      <c r="A465" s="14">
        <v>46236</v>
      </c>
      <c r="B465" s="1" t="s">
        <v>143</v>
      </c>
      <c r="C465" s="13">
        <v>46236.677083333336</v>
      </c>
      <c r="D465" s="13">
        <v>46236.6875</v>
      </c>
      <c r="E465" s="1" t="s">
        <v>144</v>
      </c>
      <c r="F465" s="12">
        <v>-1.513646080067296</v>
      </c>
      <c r="G465" s="12">
        <v>100</v>
      </c>
      <c r="H465" s="18"/>
      <c r="I465" s="12"/>
      <c r="J465" s="12"/>
      <c r="K465" s="13">
        <v>46235.541666666664</v>
      </c>
      <c r="L465" s="13">
        <v>46235.583333333336</v>
      </c>
      <c r="M465" s="1" t="s">
        <v>145</v>
      </c>
      <c r="N465" s="1"/>
      <c r="O465" s="1"/>
      <c r="P465" s="1" t="s">
        <v>438</v>
      </c>
      <c r="Q465" s="1" t="s">
        <v>147</v>
      </c>
      <c r="R465" s="1">
        <v>46236.552083333336</v>
      </c>
      <c r="S465" s="1"/>
      <c r="T465" s="1" t="s">
        <v>490</v>
      </c>
      <c r="U465" s="1"/>
    </row>
    <row r="466" spans="1:21" ht="21" customHeight="1" x14ac:dyDescent="0.45">
      <c r="A466" s="14">
        <v>46236</v>
      </c>
      <c r="B466" s="1" t="s">
        <v>143</v>
      </c>
      <c r="C466" s="13">
        <v>46236.6875</v>
      </c>
      <c r="D466" s="13">
        <v>46236.697916666664</v>
      </c>
      <c r="E466" s="1" t="s">
        <v>144</v>
      </c>
      <c r="F466" s="12">
        <v>-2.8374356393544509</v>
      </c>
      <c r="G466" s="12">
        <v>100</v>
      </c>
      <c r="H466" s="18"/>
      <c r="I466" s="12"/>
      <c r="J466" s="12"/>
      <c r="K466" s="13">
        <v>46235.541666666664</v>
      </c>
      <c r="L466" s="13">
        <v>46235.583333333336</v>
      </c>
      <c r="M466" s="1" t="s">
        <v>145</v>
      </c>
      <c r="N466" s="1"/>
      <c r="O466" s="1"/>
      <c r="P466" s="1" t="s">
        <v>439</v>
      </c>
      <c r="Q466" s="1" t="s">
        <v>147</v>
      </c>
      <c r="R466" s="1">
        <v>46236.5625</v>
      </c>
      <c r="S466" s="1"/>
      <c r="T466" s="1" t="s">
        <v>490</v>
      </c>
      <c r="U466" s="1"/>
    </row>
    <row r="467" spans="1:21" ht="21" customHeight="1" x14ac:dyDescent="0.45">
      <c r="A467" s="14">
        <v>46236</v>
      </c>
      <c r="B467" s="1" t="s">
        <v>143</v>
      </c>
      <c r="C467" s="13">
        <v>46236.697916666664</v>
      </c>
      <c r="D467" s="13">
        <v>46236.708333333336</v>
      </c>
      <c r="E467" s="1" t="s">
        <v>144</v>
      </c>
      <c r="F467" s="12">
        <v>-0.47971414569927678</v>
      </c>
      <c r="G467" s="12">
        <v>100</v>
      </c>
      <c r="H467" s="18"/>
      <c r="I467" s="12"/>
      <c r="J467" s="12"/>
      <c r="K467" s="13">
        <v>46235.541666666664</v>
      </c>
      <c r="L467" s="13">
        <v>46235.583333333336</v>
      </c>
      <c r="M467" s="1" t="s">
        <v>145</v>
      </c>
      <c r="N467" s="1"/>
      <c r="O467" s="1"/>
      <c r="P467" s="1" t="s">
        <v>440</v>
      </c>
      <c r="Q467" s="1" t="s">
        <v>147</v>
      </c>
      <c r="R467" s="1">
        <v>46236.572916666664</v>
      </c>
      <c r="S467" s="1"/>
      <c r="T467" s="1" t="s">
        <v>490</v>
      </c>
      <c r="U467" s="1"/>
    </row>
    <row r="468" spans="1:21" ht="21" customHeight="1" x14ac:dyDescent="0.45">
      <c r="A468" s="14">
        <v>46236</v>
      </c>
      <c r="B468" s="1" t="s">
        <v>143</v>
      </c>
      <c r="C468" s="13">
        <v>46236.708333333336</v>
      </c>
      <c r="D468" s="13">
        <v>46236.71875</v>
      </c>
      <c r="E468" s="1" t="s">
        <v>144</v>
      </c>
      <c r="F468" s="12">
        <v>0.20654795542531273</v>
      </c>
      <c r="G468" s="12">
        <v>100</v>
      </c>
      <c r="H468" s="18"/>
      <c r="I468" s="12"/>
      <c r="J468" s="12"/>
      <c r="K468" s="13">
        <v>46235.541666666664</v>
      </c>
      <c r="L468" s="13">
        <v>46235.583333333336</v>
      </c>
      <c r="M468" s="1" t="s">
        <v>145</v>
      </c>
      <c r="N468" s="1"/>
      <c r="O468" s="1"/>
      <c r="P468" s="1" t="s">
        <v>441</v>
      </c>
      <c r="Q468" s="1" t="s">
        <v>147</v>
      </c>
      <c r="R468" s="1">
        <v>46236.583333333336</v>
      </c>
      <c r="S468" s="1"/>
      <c r="T468" s="1" t="s">
        <v>490</v>
      </c>
      <c r="U468" s="1"/>
    </row>
    <row r="469" spans="1:21" ht="21" customHeight="1" x14ac:dyDescent="0.45">
      <c r="A469" s="14">
        <v>46236</v>
      </c>
      <c r="B469" s="1" t="s">
        <v>149</v>
      </c>
      <c r="C469" s="13">
        <v>46236.708333333336</v>
      </c>
      <c r="D469" s="13">
        <v>46236.75</v>
      </c>
      <c r="E469" s="1" t="s">
        <v>144</v>
      </c>
      <c r="F469" s="12">
        <v>40</v>
      </c>
      <c r="G469" s="12">
        <v>40</v>
      </c>
      <c r="H469" s="18">
        <v>0.3125</v>
      </c>
      <c r="I469" s="12">
        <v>128</v>
      </c>
      <c r="J469" s="12">
        <v>40</v>
      </c>
      <c r="K469" s="13">
        <v>46235.375</v>
      </c>
      <c r="L469" s="13">
        <v>46235.416666666664</v>
      </c>
      <c r="M469" s="1" t="s">
        <v>145</v>
      </c>
      <c r="N469" s="1" t="s">
        <v>150</v>
      </c>
      <c r="O469" s="1" t="s">
        <v>151</v>
      </c>
      <c r="P469" s="1" t="s">
        <v>442</v>
      </c>
      <c r="Q469" s="1" t="s">
        <v>147</v>
      </c>
      <c r="R469" s="1">
        <v>46236.583333333336</v>
      </c>
      <c r="S469" s="1" t="s">
        <v>153</v>
      </c>
      <c r="T469" s="1" t="s">
        <v>490</v>
      </c>
      <c r="U469" s="1"/>
    </row>
    <row r="470" spans="1:21" ht="21" customHeight="1" x14ac:dyDescent="0.45">
      <c r="A470" s="14">
        <v>46236</v>
      </c>
      <c r="B470" s="1" t="s">
        <v>103</v>
      </c>
      <c r="C470" s="13">
        <v>46236.708333333336</v>
      </c>
      <c r="D470" s="13">
        <v>46236.75</v>
      </c>
      <c r="E470" s="1" t="s">
        <v>144</v>
      </c>
      <c r="F470" s="12">
        <v>24</v>
      </c>
      <c r="G470" s="12">
        <v>24</v>
      </c>
      <c r="H470" s="18">
        <v>0.13714285714285715</v>
      </c>
      <c r="I470" s="12">
        <v>175</v>
      </c>
      <c r="J470" s="12">
        <v>24</v>
      </c>
      <c r="K470" s="13">
        <v>46235.375</v>
      </c>
      <c r="L470" s="13">
        <v>46235.416666666664</v>
      </c>
      <c r="M470" s="1" t="s">
        <v>145</v>
      </c>
      <c r="N470" s="1" t="s">
        <v>154</v>
      </c>
      <c r="O470" s="1" t="s">
        <v>151</v>
      </c>
      <c r="P470" s="1" t="s">
        <v>443</v>
      </c>
      <c r="Q470" s="1" t="s">
        <v>147</v>
      </c>
      <c r="R470" s="1">
        <v>46236.583333333336</v>
      </c>
      <c r="S470" s="1"/>
      <c r="T470" s="1" t="s">
        <v>490</v>
      </c>
      <c r="U470" s="1"/>
    </row>
    <row r="471" spans="1:21" ht="21" customHeight="1" x14ac:dyDescent="0.45">
      <c r="A471" s="14">
        <v>46236</v>
      </c>
      <c r="B471" s="1" t="s">
        <v>101</v>
      </c>
      <c r="C471" s="13">
        <v>46236.708333333336</v>
      </c>
      <c r="D471" s="13">
        <v>46236.75</v>
      </c>
      <c r="E471" s="1" t="s">
        <v>144</v>
      </c>
      <c r="F471" s="12">
        <v>24</v>
      </c>
      <c r="G471" s="12">
        <v>24</v>
      </c>
      <c r="H471" s="18">
        <v>0.13714285714285715</v>
      </c>
      <c r="I471" s="12">
        <v>175</v>
      </c>
      <c r="J471" s="12">
        <v>24</v>
      </c>
      <c r="K471" s="13">
        <v>46235.375</v>
      </c>
      <c r="L471" s="13">
        <v>46235.416666666664</v>
      </c>
      <c r="M471" s="1" t="s">
        <v>145</v>
      </c>
      <c r="N471" s="1" t="s">
        <v>154</v>
      </c>
      <c r="O471" s="1" t="s">
        <v>151</v>
      </c>
      <c r="P471" s="1" t="s">
        <v>444</v>
      </c>
      <c r="Q471" s="1" t="s">
        <v>147</v>
      </c>
      <c r="R471" s="1">
        <v>46236.583333333336</v>
      </c>
      <c r="S471" s="1"/>
      <c r="T471" s="1" t="s">
        <v>490</v>
      </c>
      <c r="U471" s="1"/>
    </row>
    <row r="472" spans="1:21" ht="21" customHeight="1" x14ac:dyDescent="0.45">
      <c r="A472" s="14">
        <v>46236</v>
      </c>
      <c r="B472" s="1" t="s">
        <v>143</v>
      </c>
      <c r="C472" s="13">
        <v>46236.71875</v>
      </c>
      <c r="D472" s="13">
        <v>46236.729166666664</v>
      </c>
      <c r="E472" s="1" t="s">
        <v>144</v>
      </c>
      <c r="F472" s="12">
        <v>-3.195144646727063</v>
      </c>
      <c r="G472" s="12">
        <v>100</v>
      </c>
      <c r="H472" s="18"/>
      <c r="I472" s="12"/>
      <c r="J472" s="12"/>
      <c r="K472" s="13">
        <v>46235.541666666664</v>
      </c>
      <c r="L472" s="13">
        <v>46235.583333333336</v>
      </c>
      <c r="M472" s="1" t="s">
        <v>145</v>
      </c>
      <c r="N472" s="1"/>
      <c r="O472" s="1"/>
      <c r="P472" s="1" t="s">
        <v>445</v>
      </c>
      <c r="Q472" s="1" t="s">
        <v>147</v>
      </c>
      <c r="R472" s="1">
        <v>46236.59375</v>
      </c>
      <c r="S472" s="1"/>
      <c r="T472" s="1" t="s">
        <v>490</v>
      </c>
      <c r="U472" s="1"/>
    </row>
    <row r="473" spans="1:21" ht="21" customHeight="1" x14ac:dyDescent="0.45">
      <c r="A473" s="14">
        <v>46236</v>
      </c>
      <c r="B473" s="1" t="s">
        <v>143</v>
      </c>
      <c r="C473" s="13">
        <v>46236.729166666664</v>
      </c>
      <c r="D473" s="13">
        <v>46236.739583333336</v>
      </c>
      <c r="E473" s="1" t="s">
        <v>144</v>
      </c>
      <c r="F473" s="12">
        <v>-5.3278247767648477</v>
      </c>
      <c r="G473" s="12">
        <v>100</v>
      </c>
      <c r="H473" s="18"/>
      <c r="I473" s="12"/>
      <c r="J473" s="12"/>
      <c r="K473" s="13">
        <v>46235.541666666664</v>
      </c>
      <c r="L473" s="13">
        <v>46235.583333333336</v>
      </c>
      <c r="M473" s="1" t="s">
        <v>145</v>
      </c>
      <c r="N473" s="1"/>
      <c r="O473" s="1"/>
      <c r="P473" s="1" t="s">
        <v>446</v>
      </c>
      <c r="Q473" s="1" t="s">
        <v>147</v>
      </c>
      <c r="R473" s="1">
        <v>46236.604166666664</v>
      </c>
      <c r="S473" s="1"/>
      <c r="T473" s="1" t="s">
        <v>490</v>
      </c>
      <c r="U473" s="1"/>
    </row>
    <row r="474" spans="1:21" ht="21" customHeight="1" x14ac:dyDescent="0.45">
      <c r="A474" s="14">
        <v>46236</v>
      </c>
      <c r="B474" s="1" t="s">
        <v>143</v>
      </c>
      <c r="C474" s="13">
        <v>46236.739583333336</v>
      </c>
      <c r="D474" s="13">
        <v>46236.75</v>
      </c>
      <c r="E474" s="1" t="s">
        <v>144</v>
      </c>
      <c r="F474" s="12">
        <v>35.999999999999993</v>
      </c>
      <c r="G474" s="12">
        <v>100</v>
      </c>
      <c r="H474" s="18"/>
      <c r="I474" s="12"/>
      <c r="J474" s="12"/>
      <c r="K474" s="13">
        <v>46235.541666666664</v>
      </c>
      <c r="L474" s="13">
        <v>46235.583333333336</v>
      </c>
      <c r="M474" s="1" t="s">
        <v>145</v>
      </c>
      <c r="N474" s="1"/>
      <c r="O474" s="1"/>
      <c r="P474" s="1" t="s">
        <v>447</v>
      </c>
      <c r="Q474" s="1" t="s">
        <v>147</v>
      </c>
      <c r="R474" s="1">
        <v>46236.614583333336</v>
      </c>
      <c r="S474" s="1"/>
      <c r="T474" s="1" t="s">
        <v>490</v>
      </c>
      <c r="U474" s="1"/>
    </row>
    <row r="475" spans="1:21" ht="21" customHeight="1" x14ac:dyDescent="0.45">
      <c r="A475" s="14">
        <v>46236</v>
      </c>
      <c r="B475" s="1" t="s">
        <v>143</v>
      </c>
      <c r="C475" s="13">
        <v>46236.75</v>
      </c>
      <c r="D475" s="13">
        <v>46236.760416666664</v>
      </c>
      <c r="E475" s="1" t="s">
        <v>144</v>
      </c>
      <c r="F475" s="12">
        <v>-60</v>
      </c>
      <c r="G475" s="12">
        <v>100</v>
      </c>
      <c r="H475" s="18"/>
      <c r="I475" s="12"/>
      <c r="J475" s="12"/>
      <c r="K475" s="13">
        <v>46235.541666666664</v>
      </c>
      <c r="L475" s="13">
        <v>46235.583333333336</v>
      </c>
      <c r="M475" s="1" t="s">
        <v>145</v>
      </c>
      <c r="N475" s="1"/>
      <c r="O475" s="1"/>
      <c r="P475" s="1" t="s">
        <v>448</v>
      </c>
      <c r="Q475" s="1" t="s">
        <v>147</v>
      </c>
      <c r="R475" s="1">
        <v>46236.625</v>
      </c>
      <c r="S475" s="1"/>
      <c r="T475" s="1" t="s">
        <v>490</v>
      </c>
      <c r="U475" s="1"/>
    </row>
    <row r="476" spans="1:21" ht="21" customHeight="1" x14ac:dyDescent="0.45">
      <c r="A476" s="14">
        <v>46236</v>
      </c>
      <c r="B476" s="1" t="s">
        <v>149</v>
      </c>
      <c r="C476" s="13">
        <v>46236.75</v>
      </c>
      <c r="D476" s="13">
        <v>46236.791666666664</v>
      </c>
      <c r="E476" s="1" t="s">
        <v>144</v>
      </c>
      <c r="F476" s="12">
        <v>40</v>
      </c>
      <c r="G476" s="12">
        <v>40</v>
      </c>
      <c r="H476" s="18">
        <v>0.3125</v>
      </c>
      <c r="I476" s="12">
        <v>128</v>
      </c>
      <c r="J476" s="12">
        <v>40</v>
      </c>
      <c r="K476" s="13">
        <v>46235.375</v>
      </c>
      <c r="L476" s="13">
        <v>46235.416666666664</v>
      </c>
      <c r="M476" s="1" t="s">
        <v>145</v>
      </c>
      <c r="N476" s="1" t="s">
        <v>150</v>
      </c>
      <c r="O476" s="1" t="s">
        <v>151</v>
      </c>
      <c r="P476" s="1" t="s">
        <v>449</v>
      </c>
      <c r="Q476" s="1" t="s">
        <v>147</v>
      </c>
      <c r="R476" s="1">
        <v>46236.625</v>
      </c>
      <c r="S476" s="1" t="s">
        <v>153</v>
      </c>
      <c r="T476" s="1" t="s">
        <v>490</v>
      </c>
      <c r="U476" s="1"/>
    </row>
    <row r="477" spans="1:21" ht="21" customHeight="1" x14ac:dyDescent="0.45">
      <c r="A477" s="14">
        <v>46236</v>
      </c>
      <c r="B477" s="1" t="s">
        <v>103</v>
      </c>
      <c r="C477" s="13">
        <v>46236.75</v>
      </c>
      <c r="D477" s="13">
        <v>46236.791666666664</v>
      </c>
      <c r="E477" s="1" t="s">
        <v>144</v>
      </c>
      <c r="F477" s="12">
        <v>0</v>
      </c>
      <c r="G477" s="12">
        <v>24</v>
      </c>
      <c r="H477" s="18">
        <v>0.13714285714285715</v>
      </c>
      <c r="I477" s="12">
        <v>175</v>
      </c>
      <c r="J477" s="12">
        <v>24</v>
      </c>
      <c r="K477" s="13">
        <v>46235.375</v>
      </c>
      <c r="L477" s="13">
        <v>46235.416666666664</v>
      </c>
      <c r="M477" s="1" t="s">
        <v>145</v>
      </c>
      <c r="N477" s="1" t="s">
        <v>154</v>
      </c>
      <c r="O477" s="1" t="s">
        <v>151</v>
      </c>
      <c r="P477" s="1" t="s">
        <v>450</v>
      </c>
      <c r="Q477" s="1" t="s">
        <v>147</v>
      </c>
      <c r="R477" s="1">
        <v>46236.625</v>
      </c>
      <c r="S477" s="1"/>
      <c r="T477" s="1" t="s">
        <v>490</v>
      </c>
      <c r="U477" s="1"/>
    </row>
    <row r="478" spans="1:21" ht="21" customHeight="1" x14ac:dyDescent="0.45">
      <c r="A478" s="14">
        <v>46236</v>
      </c>
      <c r="B478" s="1" t="s">
        <v>101</v>
      </c>
      <c r="C478" s="13">
        <v>46236.75</v>
      </c>
      <c r="D478" s="13">
        <v>46236.791666666664</v>
      </c>
      <c r="E478" s="1" t="s">
        <v>144</v>
      </c>
      <c r="F478" s="12">
        <v>24</v>
      </c>
      <c r="G478" s="12">
        <v>24</v>
      </c>
      <c r="H478" s="18">
        <v>0.13714285714285715</v>
      </c>
      <c r="I478" s="12">
        <v>175</v>
      </c>
      <c r="J478" s="12">
        <v>24</v>
      </c>
      <c r="K478" s="13">
        <v>46235.375</v>
      </c>
      <c r="L478" s="13">
        <v>46235.416666666664</v>
      </c>
      <c r="M478" s="1" t="s">
        <v>145</v>
      </c>
      <c r="N478" s="1" t="s">
        <v>154</v>
      </c>
      <c r="O478" s="1" t="s">
        <v>151</v>
      </c>
      <c r="P478" s="1" t="s">
        <v>451</v>
      </c>
      <c r="Q478" s="1" t="s">
        <v>147</v>
      </c>
      <c r="R478" s="1">
        <v>46236.625</v>
      </c>
      <c r="S478" s="1"/>
      <c r="T478" s="1" t="s">
        <v>490</v>
      </c>
      <c r="U478" s="1"/>
    </row>
    <row r="479" spans="1:21" ht="21" customHeight="1" x14ac:dyDescent="0.45">
      <c r="A479" s="14">
        <v>46236</v>
      </c>
      <c r="B479" s="1" t="s">
        <v>143</v>
      </c>
      <c r="C479" s="13">
        <v>46236.760416666664</v>
      </c>
      <c r="D479" s="13">
        <v>46236.770833333336</v>
      </c>
      <c r="E479" s="1" t="s">
        <v>144</v>
      </c>
      <c r="F479" s="12">
        <v>-4.8734562237868522</v>
      </c>
      <c r="G479" s="12">
        <v>100</v>
      </c>
      <c r="H479" s="18"/>
      <c r="I479" s="12"/>
      <c r="J479" s="12"/>
      <c r="K479" s="13">
        <v>46235.541666666664</v>
      </c>
      <c r="L479" s="13">
        <v>46235.583333333336</v>
      </c>
      <c r="M479" s="1" t="s">
        <v>145</v>
      </c>
      <c r="N479" s="1"/>
      <c r="O479" s="1"/>
      <c r="P479" s="1" t="s">
        <v>452</v>
      </c>
      <c r="Q479" s="1" t="s">
        <v>147</v>
      </c>
      <c r="R479" s="1">
        <v>46236.635416666664</v>
      </c>
      <c r="S479" s="1"/>
      <c r="T479" s="1" t="s">
        <v>490</v>
      </c>
      <c r="U479" s="1"/>
    </row>
    <row r="480" spans="1:21" ht="21" customHeight="1" x14ac:dyDescent="0.45">
      <c r="A480" s="14">
        <v>46236</v>
      </c>
      <c r="B480" s="1" t="s">
        <v>143</v>
      </c>
      <c r="C480" s="13">
        <v>46236.770833333336</v>
      </c>
      <c r="D480" s="13">
        <v>46236.78125</v>
      </c>
      <c r="E480" s="1" t="s">
        <v>144</v>
      </c>
      <c r="F480" s="12">
        <v>-13.717014268942636</v>
      </c>
      <c r="G480" s="12">
        <v>100</v>
      </c>
      <c r="H480" s="18"/>
      <c r="I480" s="12"/>
      <c r="J480" s="12"/>
      <c r="K480" s="13">
        <v>46235.541666666664</v>
      </c>
      <c r="L480" s="13">
        <v>46235.583333333336</v>
      </c>
      <c r="M480" s="1" t="s">
        <v>145</v>
      </c>
      <c r="N480" s="1"/>
      <c r="O480" s="1"/>
      <c r="P480" s="1" t="s">
        <v>453</v>
      </c>
      <c r="Q480" s="1" t="s">
        <v>147</v>
      </c>
      <c r="R480" s="1">
        <v>46236.645833333336</v>
      </c>
      <c r="S480" s="1"/>
      <c r="T480" s="1" t="s">
        <v>490</v>
      </c>
      <c r="U480" s="1"/>
    </row>
    <row r="481" spans="1:21" ht="21" customHeight="1" x14ac:dyDescent="0.45">
      <c r="A481" s="14">
        <v>46236</v>
      </c>
      <c r="B481" s="1" t="s">
        <v>143</v>
      </c>
      <c r="C481" s="13">
        <v>46236.78125</v>
      </c>
      <c r="D481" s="13">
        <v>46236.791666666664</v>
      </c>
      <c r="E481" s="1" t="s">
        <v>144</v>
      </c>
      <c r="F481" s="12">
        <v>-7.5110131205901158</v>
      </c>
      <c r="G481" s="12">
        <v>100</v>
      </c>
      <c r="H481" s="18"/>
      <c r="I481" s="12"/>
      <c r="J481" s="12"/>
      <c r="K481" s="13">
        <v>46235.541666666664</v>
      </c>
      <c r="L481" s="13">
        <v>46235.583333333336</v>
      </c>
      <c r="M481" s="1" t="s">
        <v>145</v>
      </c>
      <c r="N481" s="1"/>
      <c r="O481" s="1"/>
      <c r="P481" s="1" t="s">
        <v>454</v>
      </c>
      <c r="Q481" s="1" t="s">
        <v>147</v>
      </c>
      <c r="R481" s="1">
        <v>46236.65625</v>
      </c>
      <c r="S481" s="1"/>
      <c r="T481" s="1" t="s">
        <v>490</v>
      </c>
      <c r="U481" s="1"/>
    </row>
    <row r="482" spans="1:21" ht="21" customHeight="1" x14ac:dyDescent="0.45">
      <c r="A482" s="14">
        <v>46236</v>
      </c>
      <c r="B482" s="1" t="s">
        <v>143</v>
      </c>
      <c r="C482" s="13">
        <v>46236.791666666664</v>
      </c>
      <c r="D482" s="13">
        <v>46236.802083333336</v>
      </c>
      <c r="E482" s="1" t="s">
        <v>144</v>
      </c>
      <c r="F482" s="12">
        <v>0</v>
      </c>
      <c r="G482" s="12">
        <v>100</v>
      </c>
      <c r="H482" s="18"/>
      <c r="I482" s="12"/>
      <c r="J482" s="12"/>
      <c r="K482" s="13">
        <v>46235.541666666664</v>
      </c>
      <c r="L482" s="13">
        <v>46235.583333333336</v>
      </c>
      <c r="M482" s="1" t="s">
        <v>145</v>
      </c>
      <c r="N482" s="1"/>
      <c r="O482" s="1"/>
      <c r="P482" s="1" t="s">
        <v>455</v>
      </c>
      <c r="Q482" s="1" t="s">
        <v>147</v>
      </c>
      <c r="R482" s="1">
        <v>46237</v>
      </c>
      <c r="S482" s="1"/>
      <c r="T482" s="1" t="s">
        <v>490</v>
      </c>
      <c r="U482" s="1"/>
    </row>
    <row r="483" spans="1:21" ht="21" customHeight="1" x14ac:dyDescent="0.45">
      <c r="A483" s="14">
        <v>46236</v>
      </c>
      <c r="B483" s="1" t="s">
        <v>149</v>
      </c>
      <c r="C483" s="13">
        <v>46236.791666666664</v>
      </c>
      <c r="D483" s="13">
        <v>46236.833333333336</v>
      </c>
      <c r="E483" s="1" t="s">
        <v>144</v>
      </c>
      <c r="F483" s="12">
        <v>40</v>
      </c>
      <c r="G483" s="12">
        <v>40</v>
      </c>
      <c r="H483" s="18">
        <v>0.3125</v>
      </c>
      <c r="I483" s="12">
        <v>128</v>
      </c>
      <c r="J483" s="12">
        <v>40</v>
      </c>
      <c r="K483" s="13">
        <v>46235.375</v>
      </c>
      <c r="L483" s="13">
        <v>46235.416666666664</v>
      </c>
      <c r="M483" s="1" t="s">
        <v>145</v>
      </c>
      <c r="N483" s="1" t="s">
        <v>150</v>
      </c>
      <c r="O483" s="1" t="s">
        <v>151</v>
      </c>
      <c r="P483" s="1" t="s">
        <v>456</v>
      </c>
      <c r="Q483" s="1" t="s">
        <v>147</v>
      </c>
      <c r="R483" s="1">
        <v>46237</v>
      </c>
      <c r="S483" s="1" t="s">
        <v>153</v>
      </c>
      <c r="T483" s="1" t="s">
        <v>490</v>
      </c>
      <c r="U483" s="1"/>
    </row>
    <row r="484" spans="1:21" ht="21" customHeight="1" x14ac:dyDescent="0.45">
      <c r="A484" s="14">
        <v>46236</v>
      </c>
      <c r="B484" s="1" t="s">
        <v>103</v>
      </c>
      <c r="C484" s="13">
        <v>46236.791666666664</v>
      </c>
      <c r="D484" s="13">
        <v>46236.833333333336</v>
      </c>
      <c r="E484" s="1" t="s">
        <v>144</v>
      </c>
      <c r="F484" s="12">
        <v>24</v>
      </c>
      <c r="G484" s="12">
        <v>24</v>
      </c>
      <c r="H484" s="18">
        <v>0.13714285714285715</v>
      </c>
      <c r="I484" s="12">
        <v>175</v>
      </c>
      <c r="J484" s="12">
        <v>24</v>
      </c>
      <c r="K484" s="13">
        <v>46235.375</v>
      </c>
      <c r="L484" s="13">
        <v>46235.416666666664</v>
      </c>
      <c r="M484" s="1" t="s">
        <v>145</v>
      </c>
      <c r="N484" s="1" t="s">
        <v>154</v>
      </c>
      <c r="O484" s="1" t="s">
        <v>151</v>
      </c>
      <c r="P484" s="1" t="s">
        <v>457</v>
      </c>
      <c r="Q484" s="1" t="s">
        <v>147</v>
      </c>
      <c r="R484" s="1">
        <v>46237</v>
      </c>
      <c r="S484" s="1"/>
      <c r="T484" s="1" t="s">
        <v>490</v>
      </c>
      <c r="U484" s="1"/>
    </row>
    <row r="485" spans="1:21" ht="21" customHeight="1" x14ac:dyDescent="0.45">
      <c r="A485" s="14">
        <v>46236</v>
      </c>
      <c r="B485" s="1" t="s">
        <v>101</v>
      </c>
      <c r="C485" s="13">
        <v>46236.791666666664</v>
      </c>
      <c r="D485" s="13">
        <v>46236.833333333336</v>
      </c>
      <c r="E485" s="1" t="s">
        <v>144</v>
      </c>
      <c r="F485" s="12">
        <v>24</v>
      </c>
      <c r="G485" s="12">
        <v>24</v>
      </c>
      <c r="H485" s="18">
        <v>0.13714285714285715</v>
      </c>
      <c r="I485" s="12">
        <v>175</v>
      </c>
      <c r="J485" s="12">
        <v>24</v>
      </c>
      <c r="K485" s="13">
        <v>46235.375</v>
      </c>
      <c r="L485" s="13">
        <v>46235.416666666664</v>
      </c>
      <c r="M485" s="1" t="s">
        <v>145</v>
      </c>
      <c r="N485" s="1" t="s">
        <v>154</v>
      </c>
      <c r="O485" s="1" t="s">
        <v>151</v>
      </c>
      <c r="P485" s="1" t="s">
        <v>458</v>
      </c>
      <c r="Q485" s="1" t="s">
        <v>147</v>
      </c>
      <c r="R485" s="1">
        <v>46237</v>
      </c>
      <c r="S485" s="1"/>
      <c r="T485" s="1" t="s">
        <v>490</v>
      </c>
      <c r="U485" s="1"/>
    </row>
    <row r="486" spans="1:21" ht="21" customHeight="1" x14ac:dyDescent="0.45">
      <c r="A486" s="14">
        <v>46236</v>
      </c>
      <c r="B486" s="1" t="s">
        <v>143</v>
      </c>
      <c r="C486" s="13">
        <v>46236.802083333336</v>
      </c>
      <c r="D486" s="13">
        <v>46236.8125</v>
      </c>
      <c r="E486" s="1" t="s">
        <v>144</v>
      </c>
      <c r="F486" s="12">
        <v>36</v>
      </c>
      <c r="G486" s="12">
        <v>100</v>
      </c>
      <c r="H486" s="18"/>
      <c r="I486" s="12"/>
      <c r="J486" s="12"/>
      <c r="K486" s="13">
        <v>46235.541666666664</v>
      </c>
      <c r="L486" s="13">
        <v>46235.583333333336</v>
      </c>
      <c r="M486" s="1" t="s">
        <v>145</v>
      </c>
      <c r="N486" s="1"/>
      <c r="O486" s="1"/>
      <c r="P486" s="1" t="s">
        <v>459</v>
      </c>
      <c r="Q486" s="1" t="s">
        <v>147</v>
      </c>
      <c r="R486" s="1">
        <v>46236.677083333336</v>
      </c>
      <c r="S486" s="1"/>
      <c r="T486" s="1" t="s">
        <v>490</v>
      </c>
      <c r="U486" s="1"/>
    </row>
    <row r="487" spans="1:21" ht="21" customHeight="1" x14ac:dyDescent="0.45">
      <c r="A487" s="14">
        <v>46236</v>
      </c>
      <c r="B487" s="1" t="s">
        <v>143</v>
      </c>
      <c r="C487" s="13">
        <v>46236.8125</v>
      </c>
      <c r="D487" s="13">
        <v>46236.822916666664</v>
      </c>
      <c r="E487" s="1" t="s">
        <v>144</v>
      </c>
      <c r="F487" s="12">
        <v>0</v>
      </c>
      <c r="G487" s="12">
        <v>100</v>
      </c>
      <c r="H487" s="18"/>
      <c r="I487" s="12"/>
      <c r="J487" s="12"/>
      <c r="K487" s="13">
        <v>46235.541666666664</v>
      </c>
      <c r="L487" s="13">
        <v>46235.583333333336</v>
      </c>
      <c r="M487" s="1" t="s">
        <v>145</v>
      </c>
      <c r="N487" s="1"/>
      <c r="O487" s="1"/>
      <c r="P487" s="1" t="s">
        <v>460</v>
      </c>
      <c r="Q487" s="1" t="s">
        <v>147</v>
      </c>
      <c r="R487" s="1">
        <v>46236.6875</v>
      </c>
      <c r="S487" s="1"/>
      <c r="T487" s="1" t="s">
        <v>490</v>
      </c>
      <c r="U487" s="1"/>
    </row>
    <row r="488" spans="1:21" ht="21" customHeight="1" x14ac:dyDescent="0.45">
      <c r="A488" s="14">
        <v>46236</v>
      </c>
      <c r="B488" s="1" t="s">
        <v>143</v>
      </c>
      <c r="C488" s="13">
        <v>46236.822916666664</v>
      </c>
      <c r="D488" s="13">
        <v>46236.833333333336</v>
      </c>
      <c r="E488" s="1" t="s">
        <v>144</v>
      </c>
      <c r="F488" s="12">
        <v>36</v>
      </c>
      <c r="G488" s="12">
        <v>100</v>
      </c>
      <c r="H488" s="18"/>
      <c r="I488" s="12"/>
      <c r="J488" s="12"/>
      <c r="K488" s="13">
        <v>46235.541666666664</v>
      </c>
      <c r="L488" s="13">
        <v>46235.583333333336</v>
      </c>
      <c r="M488" s="1" t="s">
        <v>145</v>
      </c>
      <c r="N488" s="1"/>
      <c r="O488" s="1"/>
      <c r="P488" s="1" t="s">
        <v>461</v>
      </c>
      <c r="Q488" s="1" t="s">
        <v>147</v>
      </c>
      <c r="R488" s="1">
        <v>46236.697916666664</v>
      </c>
      <c r="S488" s="1"/>
      <c r="T488" s="1" t="s">
        <v>490</v>
      </c>
      <c r="U488" s="1"/>
    </row>
    <row r="489" spans="1:21" ht="21" customHeight="1" x14ac:dyDescent="0.45">
      <c r="A489" s="14">
        <v>46236</v>
      </c>
      <c r="B489" s="1" t="s">
        <v>143</v>
      </c>
      <c r="C489" s="13">
        <v>46236.833333333336</v>
      </c>
      <c r="D489" s="13">
        <v>46236.84375</v>
      </c>
      <c r="E489" s="1" t="s">
        <v>144</v>
      </c>
      <c r="F489" s="12">
        <v>60</v>
      </c>
      <c r="G489" s="12">
        <v>100</v>
      </c>
      <c r="H489" s="18"/>
      <c r="I489" s="12"/>
      <c r="J489" s="12"/>
      <c r="K489" s="13">
        <v>46235.541666666664</v>
      </c>
      <c r="L489" s="13">
        <v>46235.583333333336</v>
      </c>
      <c r="M489" s="1" t="s">
        <v>145</v>
      </c>
      <c r="N489" s="1"/>
      <c r="O489" s="1"/>
      <c r="P489" s="1" t="s">
        <v>462</v>
      </c>
      <c r="Q489" s="1" t="s">
        <v>147</v>
      </c>
      <c r="R489" s="1">
        <v>46236.708333333336</v>
      </c>
      <c r="S489" s="1"/>
      <c r="T489" s="1" t="s">
        <v>490</v>
      </c>
      <c r="U489" s="1"/>
    </row>
    <row r="490" spans="1:21" ht="21" customHeight="1" x14ac:dyDescent="0.45">
      <c r="A490" s="14">
        <v>46236</v>
      </c>
      <c r="B490" s="1" t="s">
        <v>149</v>
      </c>
      <c r="C490" s="13">
        <v>46236.833333333336</v>
      </c>
      <c r="D490" s="13">
        <v>46236.875</v>
      </c>
      <c r="E490" s="1" t="s">
        <v>144</v>
      </c>
      <c r="F490" s="12">
        <v>40</v>
      </c>
      <c r="G490" s="12">
        <v>40</v>
      </c>
      <c r="H490" s="18">
        <v>0.3125</v>
      </c>
      <c r="I490" s="12">
        <v>128</v>
      </c>
      <c r="J490" s="12">
        <v>40</v>
      </c>
      <c r="K490" s="13">
        <v>46235.375</v>
      </c>
      <c r="L490" s="13">
        <v>46235.416666666664</v>
      </c>
      <c r="M490" s="1" t="s">
        <v>145</v>
      </c>
      <c r="N490" s="1" t="s">
        <v>150</v>
      </c>
      <c r="O490" s="1" t="s">
        <v>151</v>
      </c>
      <c r="P490" s="1" t="s">
        <v>463</v>
      </c>
      <c r="Q490" s="1" t="s">
        <v>147</v>
      </c>
      <c r="R490" s="1">
        <v>46236.708333333336</v>
      </c>
      <c r="S490" s="1" t="s">
        <v>153</v>
      </c>
      <c r="T490" s="1" t="s">
        <v>490</v>
      </c>
      <c r="U490" s="1"/>
    </row>
    <row r="491" spans="1:21" ht="21" customHeight="1" x14ac:dyDescent="0.45">
      <c r="A491" s="14">
        <v>46236</v>
      </c>
      <c r="B491" s="1" t="s">
        <v>103</v>
      </c>
      <c r="C491" s="13">
        <v>46236.833333333336</v>
      </c>
      <c r="D491" s="13">
        <v>46236.875</v>
      </c>
      <c r="E491" s="1" t="s">
        <v>144</v>
      </c>
      <c r="F491" s="12">
        <v>24</v>
      </c>
      <c r="G491" s="12">
        <v>24</v>
      </c>
      <c r="H491" s="18">
        <v>0.13714285714285715</v>
      </c>
      <c r="I491" s="12">
        <v>175</v>
      </c>
      <c r="J491" s="12">
        <v>24</v>
      </c>
      <c r="K491" s="13">
        <v>46235.375</v>
      </c>
      <c r="L491" s="13">
        <v>46235.416666666664</v>
      </c>
      <c r="M491" s="1" t="s">
        <v>145</v>
      </c>
      <c r="N491" s="1" t="s">
        <v>154</v>
      </c>
      <c r="O491" s="1" t="s">
        <v>151</v>
      </c>
      <c r="P491" s="1" t="s">
        <v>464</v>
      </c>
      <c r="Q491" s="1" t="s">
        <v>147</v>
      </c>
      <c r="R491" s="1">
        <v>46236.708333333336</v>
      </c>
      <c r="S491" s="1"/>
      <c r="T491" s="1" t="s">
        <v>490</v>
      </c>
      <c r="U491" s="1"/>
    </row>
    <row r="492" spans="1:21" ht="21" customHeight="1" x14ac:dyDescent="0.45">
      <c r="A492" s="14">
        <v>46236</v>
      </c>
      <c r="B492" s="1" t="s">
        <v>101</v>
      </c>
      <c r="C492" s="13">
        <v>46236.833333333336</v>
      </c>
      <c r="D492" s="13">
        <v>46236.875</v>
      </c>
      <c r="E492" s="1" t="s">
        <v>144</v>
      </c>
      <c r="F492" s="12">
        <v>0</v>
      </c>
      <c r="G492" s="12">
        <v>24</v>
      </c>
      <c r="H492" s="18">
        <v>0.13714285714285715</v>
      </c>
      <c r="I492" s="12">
        <v>175</v>
      </c>
      <c r="J492" s="12">
        <v>24</v>
      </c>
      <c r="K492" s="13">
        <v>46235.375</v>
      </c>
      <c r="L492" s="13">
        <v>46235.416666666664</v>
      </c>
      <c r="M492" s="1" t="s">
        <v>145</v>
      </c>
      <c r="N492" s="1" t="s">
        <v>154</v>
      </c>
      <c r="O492" s="1" t="s">
        <v>151</v>
      </c>
      <c r="P492" s="1" t="s">
        <v>465</v>
      </c>
      <c r="Q492" s="1" t="s">
        <v>147</v>
      </c>
      <c r="R492" s="1">
        <v>46236.708333333336</v>
      </c>
      <c r="S492" s="1"/>
      <c r="T492" s="1" t="s">
        <v>490</v>
      </c>
      <c r="U492" s="1"/>
    </row>
    <row r="493" spans="1:21" ht="21" customHeight="1" x14ac:dyDescent="0.45">
      <c r="A493" s="14">
        <v>46236</v>
      </c>
      <c r="B493" s="1" t="s">
        <v>143</v>
      </c>
      <c r="C493" s="13">
        <v>46236.84375</v>
      </c>
      <c r="D493" s="13">
        <v>46236.854166666664</v>
      </c>
      <c r="E493" s="1" t="s">
        <v>144</v>
      </c>
      <c r="F493" s="12">
        <v>60</v>
      </c>
      <c r="G493" s="12">
        <v>100</v>
      </c>
      <c r="H493" s="18"/>
      <c r="I493" s="12"/>
      <c r="J493" s="12"/>
      <c r="K493" s="13">
        <v>46235.541666666664</v>
      </c>
      <c r="L493" s="13">
        <v>46235.583333333336</v>
      </c>
      <c r="M493" s="1" t="s">
        <v>145</v>
      </c>
      <c r="N493" s="1"/>
      <c r="O493" s="1"/>
      <c r="P493" s="1" t="s">
        <v>466</v>
      </c>
      <c r="Q493" s="1" t="s">
        <v>147</v>
      </c>
      <c r="R493" s="1">
        <v>46236.71875</v>
      </c>
      <c r="S493" s="1"/>
      <c r="T493" s="1" t="s">
        <v>490</v>
      </c>
      <c r="U493" s="1"/>
    </row>
    <row r="494" spans="1:21" ht="21" customHeight="1" x14ac:dyDescent="0.45">
      <c r="A494" s="14">
        <v>46236</v>
      </c>
      <c r="B494" s="1" t="s">
        <v>143</v>
      </c>
      <c r="C494" s="13">
        <v>46236.854166666664</v>
      </c>
      <c r="D494" s="13">
        <v>46236.864583333336</v>
      </c>
      <c r="E494" s="1" t="s">
        <v>144</v>
      </c>
      <c r="F494" s="12">
        <v>60</v>
      </c>
      <c r="G494" s="12">
        <v>100</v>
      </c>
      <c r="H494" s="18"/>
      <c r="I494" s="12"/>
      <c r="J494" s="12"/>
      <c r="K494" s="13">
        <v>46235.541666666664</v>
      </c>
      <c r="L494" s="13">
        <v>46235.583333333336</v>
      </c>
      <c r="M494" s="1" t="s">
        <v>145</v>
      </c>
      <c r="N494" s="1"/>
      <c r="O494" s="1"/>
      <c r="P494" s="1" t="s">
        <v>467</v>
      </c>
      <c r="Q494" s="1" t="s">
        <v>147</v>
      </c>
      <c r="R494" s="1">
        <v>46236.729166666664</v>
      </c>
      <c r="S494" s="1"/>
      <c r="T494" s="1" t="s">
        <v>490</v>
      </c>
      <c r="U494" s="1"/>
    </row>
    <row r="495" spans="1:21" ht="21" customHeight="1" x14ac:dyDescent="0.45">
      <c r="A495" s="14">
        <v>46236</v>
      </c>
      <c r="B495" s="1" t="s">
        <v>143</v>
      </c>
      <c r="C495" s="13">
        <v>46236.864583333336</v>
      </c>
      <c r="D495" s="13">
        <v>46236.875</v>
      </c>
      <c r="E495" s="1" t="s">
        <v>144</v>
      </c>
      <c r="F495" s="12">
        <v>60</v>
      </c>
      <c r="G495" s="12">
        <v>100</v>
      </c>
      <c r="H495" s="18"/>
      <c r="I495" s="12"/>
      <c r="J495" s="12"/>
      <c r="K495" s="13">
        <v>46235.541666666664</v>
      </c>
      <c r="L495" s="13">
        <v>46235.583333333336</v>
      </c>
      <c r="M495" s="1" t="s">
        <v>145</v>
      </c>
      <c r="N495" s="1"/>
      <c r="O495" s="1"/>
      <c r="P495" s="1" t="s">
        <v>468</v>
      </c>
      <c r="Q495" s="1" t="s">
        <v>147</v>
      </c>
      <c r="R495" s="1">
        <v>46236.739583333336</v>
      </c>
      <c r="S495" s="1"/>
      <c r="T495" s="1" t="s">
        <v>490</v>
      </c>
      <c r="U495" s="1"/>
    </row>
    <row r="496" spans="1:21" ht="21" customHeight="1" x14ac:dyDescent="0.45">
      <c r="A496" s="14">
        <v>46236</v>
      </c>
      <c r="B496" s="1" t="s">
        <v>143</v>
      </c>
      <c r="C496" s="13">
        <v>46236.875</v>
      </c>
      <c r="D496" s="13">
        <v>46236.885416666664</v>
      </c>
      <c r="E496" s="1" t="s">
        <v>144</v>
      </c>
      <c r="F496" s="12">
        <v>36</v>
      </c>
      <c r="G496" s="12">
        <v>100</v>
      </c>
      <c r="H496" s="18"/>
      <c r="I496" s="12"/>
      <c r="J496" s="12"/>
      <c r="K496" s="13">
        <v>46235.541666666664</v>
      </c>
      <c r="L496" s="13">
        <v>46235.583333333336</v>
      </c>
      <c r="M496" s="1" t="s">
        <v>145</v>
      </c>
      <c r="N496" s="1"/>
      <c r="O496" s="1"/>
      <c r="P496" s="1" t="s">
        <v>469</v>
      </c>
      <c r="Q496" s="1" t="s">
        <v>147</v>
      </c>
      <c r="R496" s="1">
        <v>46236.75</v>
      </c>
      <c r="S496" s="1"/>
      <c r="T496" s="1" t="s">
        <v>490</v>
      </c>
      <c r="U496" s="1"/>
    </row>
    <row r="497" spans="1:21" ht="21" customHeight="1" x14ac:dyDescent="0.45">
      <c r="A497" s="14">
        <v>46236</v>
      </c>
      <c r="B497" s="1" t="s">
        <v>149</v>
      </c>
      <c r="C497" s="13">
        <v>46236.875</v>
      </c>
      <c r="D497" s="13">
        <v>46236.916666666664</v>
      </c>
      <c r="E497" s="1" t="s">
        <v>144</v>
      </c>
      <c r="F497" s="12">
        <v>40</v>
      </c>
      <c r="G497" s="12">
        <v>40</v>
      </c>
      <c r="H497" s="18">
        <v>0.3125</v>
      </c>
      <c r="I497" s="12">
        <v>128</v>
      </c>
      <c r="J497" s="12">
        <v>40</v>
      </c>
      <c r="K497" s="13">
        <v>46235.375</v>
      </c>
      <c r="L497" s="13">
        <v>46235.416666666664</v>
      </c>
      <c r="M497" s="1" t="s">
        <v>145</v>
      </c>
      <c r="N497" s="1" t="s">
        <v>150</v>
      </c>
      <c r="O497" s="1" t="s">
        <v>151</v>
      </c>
      <c r="P497" s="1" t="s">
        <v>470</v>
      </c>
      <c r="Q497" s="1" t="s">
        <v>147</v>
      </c>
      <c r="R497" s="1">
        <v>46236.75</v>
      </c>
      <c r="S497" s="1" t="s">
        <v>153</v>
      </c>
      <c r="T497" s="1" t="s">
        <v>490</v>
      </c>
      <c r="U497" s="1"/>
    </row>
    <row r="498" spans="1:21" ht="21" customHeight="1" x14ac:dyDescent="0.45">
      <c r="A498" s="14">
        <v>46236</v>
      </c>
      <c r="B498" s="1" t="s">
        <v>103</v>
      </c>
      <c r="C498" s="13">
        <v>46236.875</v>
      </c>
      <c r="D498" s="13">
        <v>46236.916666666664</v>
      </c>
      <c r="E498" s="1" t="s">
        <v>144</v>
      </c>
      <c r="F498" s="12">
        <v>24</v>
      </c>
      <c r="G498" s="12">
        <v>24</v>
      </c>
      <c r="H498" s="18">
        <v>0.13714285714285715</v>
      </c>
      <c r="I498" s="12">
        <v>175</v>
      </c>
      <c r="J498" s="12">
        <v>24</v>
      </c>
      <c r="K498" s="13">
        <v>46235.375</v>
      </c>
      <c r="L498" s="13">
        <v>46235.416666666664</v>
      </c>
      <c r="M498" s="1" t="s">
        <v>145</v>
      </c>
      <c r="N498" s="1" t="s">
        <v>154</v>
      </c>
      <c r="O498" s="1" t="s">
        <v>151</v>
      </c>
      <c r="P498" s="1" t="s">
        <v>471</v>
      </c>
      <c r="Q498" s="1" t="s">
        <v>147</v>
      </c>
      <c r="R498" s="1">
        <v>46236.75</v>
      </c>
      <c r="S498" s="1"/>
      <c r="T498" s="1" t="s">
        <v>490</v>
      </c>
      <c r="U498" s="1"/>
    </row>
    <row r="499" spans="1:21" ht="21" customHeight="1" x14ac:dyDescent="0.45">
      <c r="A499" s="14">
        <v>46236</v>
      </c>
      <c r="B499" s="1" t="s">
        <v>101</v>
      </c>
      <c r="C499" s="13">
        <v>46236.875</v>
      </c>
      <c r="D499" s="13">
        <v>46236.916666666664</v>
      </c>
      <c r="E499" s="1" t="s">
        <v>144</v>
      </c>
      <c r="F499" s="12">
        <v>24</v>
      </c>
      <c r="G499" s="12">
        <v>24</v>
      </c>
      <c r="H499" s="18">
        <v>0.13714285714285715</v>
      </c>
      <c r="I499" s="12">
        <v>175</v>
      </c>
      <c r="J499" s="12">
        <v>24</v>
      </c>
      <c r="K499" s="13">
        <v>46235.375</v>
      </c>
      <c r="L499" s="13">
        <v>46235.416666666664</v>
      </c>
      <c r="M499" s="1" t="s">
        <v>145</v>
      </c>
      <c r="N499" s="1" t="s">
        <v>154</v>
      </c>
      <c r="O499" s="1" t="s">
        <v>151</v>
      </c>
      <c r="P499" s="1" t="s">
        <v>472</v>
      </c>
      <c r="Q499" s="1" t="s">
        <v>147</v>
      </c>
      <c r="R499" s="1">
        <v>46236.75</v>
      </c>
      <c r="S499" s="1"/>
      <c r="T499" s="1" t="s">
        <v>490</v>
      </c>
      <c r="U499" s="1"/>
    </row>
    <row r="500" spans="1:21" ht="21" customHeight="1" x14ac:dyDescent="0.45">
      <c r="A500" s="14">
        <v>46236</v>
      </c>
      <c r="B500" s="1" t="s">
        <v>143</v>
      </c>
      <c r="C500" s="13">
        <v>46236.885416666664</v>
      </c>
      <c r="D500" s="13">
        <v>46236.895833333336</v>
      </c>
      <c r="E500" s="1" t="s">
        <v>144</v>
      </c>
      <c r="F500" s="12">
        <v>36</v>
      </c>
      <c r="G500" s="12">
        <v>100</v>
      </c>
      <c r="H500" s="18"/>
      <c r="I500" s="12"/>
      <c r="J500" s="12"/>
      <c r="K500" s="13">
        <v>46235.541666666664</v>
      </c>
      <c r="L500" s="13">
        <v>46235.583333333336</v>
      </c>
      <c r="M500" s="1" t="s">
        <v>145</v>
      </c>
      <c r="N500" s="1"/>
      <c r="O500" s="1"/>
      <c r="P500" s="1" t="s">
        <v>473</v>
      </c>
      <c r="Q500" s="1" t="s">
        <v>147</v>
      </c>
      <c r="R500" s="1">
        <v>46236.760416666664</v>
      </c>
      <c r="S500" s="1"/>
      <c r="T500" s="1" t="s">
        <v>490</v>
      </c>
      <c r="U500" s="1"/>
    </row>
    <row r="501" spans="1:21" ht="21" customHeight="1" x14ac:dyDescent="0.45">
      <c r="A501" s="14">
        <v>46236</v>
      </c>
      <c r="B501" s="1" t="s">
        <v>143</v>
      </c>
      <c r="C501" s="13">
        <v>46236.895833333336</v>
      </c>
      <c r="D501" s="13">
        <v>46236.90625</v>
      </c>
      <c r="E501" s="1" t="s">
        <v>144</v>
      </c>
      <c r="F501" s="12">
        <v>36</v>
      </c>
      <c r="G501" s="12">
        <v>100</v>
      </c>
      <c r="H501" s="18"/>
      <c r="I501" s="12"/>
      <c r="J501" s="12"/>
      <c r="K501" s="13">
        <v>46235.541666666664</v>
      </c>
      <c r="L501" s="13">
        <v>46235.583333333336</v>
      </c>
      <c r="M501" s="1" t="s">
        <v>145</v>
      </c>
      <c r="N501" s="1"/>
      <c r="O501" s="1"/>
      <c r="P501" s="1" t="s">
        <v>474</v>
      </c>
      <c r="Q501" s="1" t="s">
        <v>147</v>
      </c>
      <c r="R501" s="1">
        <v>46236.770833333336</v>
      </c>
      <c r="S501" s="1"/>
      <c r="T501" s="1" t="s">
        <v>490</v>
      </c>
      <c r="U501" s="1"/>
    </row>
    <row r="502" spans="1:21" ht="21" customHeight="1" x14ac:dyDescent="0.45">
      <c r="A502" s="14">
        <v>46236</v>
      </c>
      <c r="B502" s="1" t="s">
        <v>143</v>
      </c>
      <c r="C502" s="13">
        <v>46236.90625</v>
      </c>
      <c r="D502" s="13">
        <v>46236.916666666664</v>
      </c>
      <c r="E502" s="1" t="s">
        <v>144</v>
      </c>
      <c r="F502" s="12">
        <v>0</v>
      </c>
      <c r="G502" s="12">
        <v>100</v>
      </c>
      <c r="H502" s="18"/>
      <c r="I502" s="12"/>
      <c r="J502" s="12"/>
      <c r="K502" s="13">
        <v>46235.541666666664</v>
      </c>
      <c r="L502" s="13">
        <v>46235.583333333336</v>
      </c>
      <c r="M502" s="1" t="s">
        <v>145</v>
      </c>
      <c r="N502" s="1"/>
      <c r="O502" s="1"/>
      <c r="P502" s="1" t="s">
        <v>475</v>
      </c>
      <c r="Q502" s="1" t="s">
        <v>147</v>
      </c>
      <c r="R502" s="1">
        <v>46236.78125</v>
      </c>
      <c r="S502" s="1"/>
      <c r="T502" s="1" t="s">
        <v>490</v>
      </c>
      <c r="U502" s="1"/>
    </row>
    <row r="503" spans="1:21" ht="21" customHeight="1" x14ac:dyDescent="0.45">
      <c r="A503" s="14">
        <v>46236</v>
      </c>
      <c r="B503" s="1" t="s">
        <v>143</v>
      </c>
      <c r="C503" s="13">
        <v>46236.916666666664</v>
      </c>
      <c r="D503" s="13">
        <v>46236.927083333336</v>
      </c>
      <c r="E503" s="1" t="s">
        <v>144</v>
      </c>
      <c r="F503" s="12">
        <v>0</v>
      </c>
      <c r="G503" s="12">
        <v>100</v>
      </c>
      <c r="H503" s="18"/>
      <c r="I503" s="12"/>
      <c r="J503" s="12"/>
      <c r="K503" s="13">
        <v>46235.541666666664</v>
      </c>
      <c r="L503" s="13">
        <v>46235.583333333336</v>
      </c>
      <c r="M503" s="1" t="s">
        <v>145</v>
      </c>
      <c r="N503" s="1"/>
      <c r="O503" s="1"/>
      <c r="P503" s="1" t="s">
        <v>476</v>
      </c>
      <c r="Q503" s="1" t="s">
        <v>147</v>
      </c>
      <c r="R503" s="1">
        <v>46236.791666666664</v>
      </c>
      <c r="S503" s="1"/>
      <c r="T503" s="1" t="s">
        <v>490</v>
      </c>
      <c r="U503" s="1"/>
    </row>
    <row r="504" spans="1:21" ht="21" customHeight="1" x14ac:dyDescent="0.45">
      <c r="A504" s="14">
        <v>46236</v>
      </c>
      <c r="B504" s="1" t="s">
        <v>149</v>
      </c>
      <c r="C504" s="13">
        <v>46236.916666666664</v>
      </c>
      <c r="D504" s="13">
        <v>46236.958333333336</v>
      </c>
      <c r="E504" s="1" t="s">
        <v>144</v>
      </c>
      <c r="F504" s="12">
        <v>40</v>
      </c>
      <c r="G504" s="12">
        <v>40</v>
      </c>
      <c r="H504" s="18">
        <v>0.3125</v>
      </c>
      <c r="I504" s="12">
        <v>128</v>
      </c>
      <c r="J504" s="12">
        <v>40</v>
      </c>
      <c r="K504" s="13">
        <v>46235.375</v>
      </c>
      <c r="L504" s="13">
        <v>46235.416666666664</v>
      </c>
      <c r="M504" s="1" t="s">
        <v>145</v>
      </c>
      <c r="N504" s="1" t="s">
        <v>150</v>
      </c>
      <c r="O504" s="1" t="s">
        <v>151</v>
      </c>
      <c r="P504" s="1" t="s">
        <v>477</v>
      </c>
      <c r="Q504" s="1" t="s">
        <v>147</v>
      </c>
      <c r="R504" s="1">
        <v>46236.791666666664</v>
      </c>
      <c r="S504" s="1" t="s">
        <v>153</v>
      </c>
      <c r="T504" s="1" t="s">
        <v>490</v>
      </c>
      <c r="U504" s="1"/>
    </row>
    <row r="505" spans="1:21" ht="21" customHeight="1" x14ac:dyDescent="0.45">
      <c r="A505" s="14">
        <v>46236</v>
      </c>
      <c r="B505" s="1" t="s">
        <v>103</v>
      </c>
      <c r="C505" s="13">
        <v>46236.916666666664</v>
      </c>
      <c r="D505" s="13">
        <v>46236.958333333336</v>
      </c>
      <c r="E505" s="1" t="s">
        <v>144</v>
      </c>
      <c r="F505" s="12">
        <v>24</v>
      </c>
      <c r="G505" s="12">
        <v>24</v>
      </c>
      <c r="H505" s="18">
        <v>0.13714285714285715</v>
      </c>
      <c r="I505" s="12">
        <v>175</v>
      </c>
      <c r="J505" s="12">
        <v>24</v>
      </c>
      <c r="K505" s="13">
        <v>46235.375</v>
      </c>
      <c r="L505" s="13">
        <v>46235.416666666664</v>
      </c>
      <c r="M505" s="1" t="s">
        <v>145</v>
      </c>
      <c r="N505" s="1" t="s">
        <v>154</v>
      </c>
      <c r="O505" s="1" t="s">
        <v>151</v>
      </c>
      <c r="P505" s="1" t="s">
        <v>478</v>
      </c>
      <c r="Q505" s="1" t="s">
        <v>147</v>
      </c>
      <c r="R505" s="1">
        <v>46236.791666666664</v>
      </c>
      <c r="S505" s="1"/>
      <c r="T505" s="1" t="s">
        <v>490</v>
      </c>
      <c r="U505" s="1"/>
    </row>
    <row r="506" spans="1:21" ht="21" customHeight="1" x14ac:dyDescent="0.45">
      <c r="A506" s="14">
        <v>46236</v>
      </c>
      <c r="B506" s="1" t="s">
        <v>101</v>
      </c>
      <c r="C506" s="13">
        <v>46236.916666666664</v>
      </c>
      <c r="D506" s="13">
        <v>46236.958333333336</v>
      </c>
      <c r="E506" s="1" t="s">
        <v>144</v>
      </c>
      <c r="F506" s="12">
        <v>24</v>
      </c>
      <c r="G506" s="12">
        <v>24</v>
      </c>
      <c r="H506" s="18">
        <v>0.13714285714285715</v>
      </c>
      <c r="I506" s="12">
        <v>175</v>
      </c>
      <c r="J506" s="12">
        <v>24</v>
      </c>
      <c r="K506" s="13">
        <v>46235.375</v>
      </c>
      <c r="L506" s="13">
        <v>46235.416666666664</v>
      </c>
      <c r="M506" s="1" t="s">
        <v>145</v>
      </c>
      <c r="N506" s="1" t="s">
        <v>154</v>
      </c>
      <c r="O506" s="1" t="s">
        <v>151</v>
      </c>
      <c r="P506" s="1" t="s">
        <v>479</v>
      </c>
      <c r="Q506" s="1" t="s">
        <v>147</v>
      </c>
      <c r="R506" s="1">
        <v>46236.791666666664</v>
      </c>
      <c r="S506" s="1"/>
      <c r="T506" s="1" t="s">
        <v>490</v>
      </c>
      <c r="U506" s="1"/>
    </row>
    <row r="507" spans="1:21" ht="21" customHeight="1" x14ac:dyDescent="0.45">
      <c r="A507" s="14">
        <v>46236</v>
      </c>
      <c r="B507" s="1" t="s">
        <v>143</v>
      </c>
      <c r="C507" s="13">
        <v>46236.927083333336</v>
      </c>
      <c r="D507" s="13">
        <v>46236.9375</v>
      </c>
      <c r="E507" s="1" t="s">
        <v>144</v>
      </c>
      <c r="F507" s="12">
        <v>0</v>
      </c>
      <c r="G507" s="12">
        <v>100</v>
      </c>
      <c r="H507" s="18"/>
      <c r="I507" s="12"/>
      <c r="J507" s="12"/>
      <c r="K507" s="13">
        <v>46235.541666666664</v>
      </c>
      <c r="L507" s="13">
        <v>46235.583333333336</v>
      </c>
      <c r="M507" s="1" t="s">
        <v>145</v>
      </c>
      <c r="N507" s="1"/>
      <c r="O507" s="1"/>
      <c r="P507" s="1" t="s">
        <v>480</v>
      </c>
      <c r="Q507" s="1" t="s">
        <v>147</v>
      </c>
      <c r="R507" s="1">
        <v>46236.802083333336</v>
      </c>
      <c r="S507" s="1"/>
      <c r="T507" s="1" t="s">
        <v>490</v>
      </c>
      <c r="U507" s="1"/>
    </row>
    <row r="508" spans="1:21" ht="21" customHeight="1" x14ac:dyDescent="0.45">
      <c r="A508" s="14">
        <v>46236</v>
      </c>
      <c r="B508" s="1" t="s">
        <v>143</v>
      </c>
      <c r="C508" s="13">
        <v>46236.9375</v>
      </c>
      <c r="D508" s="13">
        <v>46236.947916666664</v>
      </c>
      <c r="E508" s="1" t="s">
        <v>144</v>
      </c>
      <c r="F508" s="12">
        <v>0</v>
      </c>
      <c r="G508" s="12">
        <v>100</v>
      </c>
      <c r="H508" s="18"/>
      <c r="I508" s="12"/>
      <c r="J508" s="12"/>
      <c r="K508" s="13">
        <v>46235.541666666664</v>
      </c>
      <c r="L508" s="13">
        <v>46235.583333333336</v>
      </c>
      <c r="M508" s="1" t="s">
        <v>145</v>
      </c>
      <c r="N508" s="1"/>
      <c r="O508" s="1"/>
      <c r="P508" s="1" t="s">
        <v>481</v>
      </c>
      <c r="Q508" s="1" t="s">
        <v>147</v>
      </c>
      <c r="R508" s="1">
        <v>46236.8125</v>
      </c>
      <c r="S508" s="1"/>
      <c r="T508" s="1" t="s">
        <v>490</v>
      </c>
      <c r="U508" s="1"/>
    </row>
    <row r="509" spans="1:21" ht="21" customHeight="1" x14ac:dyDescent="0.45">
      <c r="A509" s="14">
        <v>46236</v>
      </c>
      <c r="B509" s="1" t="s">
        <v>143</v>
      </c>
      <c r="C509" s="13">
        <v>46236.947916666664</v>
      </c>
      <c r="D509" s="13">
        <v>46236.958333333336</v>
      </c>
      <c r="E509" s="1" t="s">
        <v>144</v>
      </c>
      <c r="F509" s="12">
        <v>12.29386279910916</v>
      </c>
      <c r="G509" s="12">
        <v>100</v>
      </c>
      <c r="H509" s="18"/>
      <c r="I509" s="12"/>
      <c r="J509" s="12"/>
      <c r="K509" s="13">
        <v>46235.541666666664</v>
      </c>
      <c r="L509" s="13">
        <v>46235.583333333336</v>
      </c>
      <c r="M509" s="1" t="s">
        <v>145</v>
      </c>
      <c r="N509" s="1"/>
      <c r="O509" s="1"/>
      <c r="P509" s="1" t="s">
        <v>482</v>
      </c>
      <c r="Q509" s="1" t="s">
        <v>147</v>
      </c>
      <c r="R509" s="1">
        <v>46236.822916666664</v>
      </c>
      <c r="S509" s="1"/>
      <c r="T509" s="1" t="s">
        <v>490</v>
      </c>
      <c r="U509" s="1"/>
    </row>
    <row r="510" spans="1:21" ht="21" customHeight="1" x14ac:dyDescent="0.45">
      <c r="A510" s="14">
        <v>46236</v>
      </c>
      <c r="B510" s="1" t="s">
        <v>143</v>
      </c>
      <c r="C510" s="13">
        <v>46236.958333333336</v>
      </c>
      <c r="D510" s="13">
        <v>46236.96875</v>
      </c>
      <c r="E510" s="1" t="s">
        <v>144</v>
      </c>
      <c r="F510" s="12">
        <v>0</v>
      </c>
      <c r="G510" s="12">
        <v>100</v>
      </c>
      <c r="H510" s="18"/>
      <c r="I510" s="12"/>
      <c r="J510" s="12"/>
      <c r="K510" s="13">
        <v>46235.541666666664</v>
      </c>
      <c r="L510" s="13">
        <v>46235.583333333336</v>
      </c>
      <c r="M510" s="1" t="s">
        <v>145</v>
      </c>
      <c r="N510" s="1"/>
      <c r="O510" s="1"/>
      <c r="P510" s="1" t="s">
        <v>483</v>
      </c>
      <c r="Q510" s="1" t="s">
        <v>147</v>
      </c>
      <c r="R510" s="1">
        <v>46236.833333333336</v>
      </c>
      <c r="S510" s="1"/>
      <c r="T510" s="1" t="s">
        <v>490</v>
      </c>
      <c r="U510" s="1"/>
    </row>
    <row r="511" spans="1:21" ht="21" customHeight="1" x14ac:dyDescent="0.45">
      <c r="A511" s="14">
        <v>46236</v>
      </c>
      <c r="B511" s="1" t="s">
        <v>149</v>
      </c>
      <c r="C511" s="13">
        <v>46236.958333333336</v>
      </c>
      <c r="D511" s="13">
        <v>46237</v>
      </c>
      <c r="E511" s="1" t="s">
        <v>144</v>
      </c>
      <c r="F511" s="12">
        <v>40</v>
      </c>
      <c r="G511" s="12">
        <v>40</v>
      </c>
      <c r="H511" s="18">
        <v>0.3125</v>
      </c>
      <c r="I511" s="12">
        <v>128</v>
      </c>
      <c r="J511" s="12">
        <v>40</v>
      </c>
      <c r="K511" s="13">
        <v>46235.375</v>
      </c>
      <c r="L511" s="13">
        <v>46235.416666666664</v>
      </c>
      <c r="M511" s="1" t="s">
        <v>145</v>
      </c>
      <c r="N511" s="1" t="s">
        <v>150</v>
      </c>
      <c r="O511" s="1" t="s">
        <v>151</v>
      </c>
      <c r="P511" s="1" t="s">
        <v>484</v>
      </c>
      <c r="Q511" s="1" t="s">
        <v>147</v>
      </c>
      <c r="R511" s="1">
        <v>46236.833333333336</v>
      </c>
      <c r="S511" s="1" t="s">
        <v>153</v>
      </c>
      <c r="T511" s="1" t="s">
        <v>490</v>
      </c>
      <c r="U511" s="1"/>
    </row>
    <row r="512" spans="1:21" ht="21" customHeight="1" x14ac:dyDescent="0.45">
      <c r="A512" s="14">
        <v>46236</v>
      </c>
      <c r="B512" s="1" t="s">
        <v>103</v>
      </c>
      <c r="C512" s="13">
        <v>46236.958333333336</v>
      </c>
      <c r="D512" s="13">
        <v>46237</v>
      </c>
      <c r="E512" s="1" t="s">
        <v>144</v>
      </c>
      <c r="F512" s="12">
        <v>24</v>
      </c>
      <c r="G512" s="12">
        <v>24</v>
      </c>
      <c r="H512" s="18">
        <v>0.13714285714285715</v>
      </c>
      <c r="I512" s="12">
        <v>175</v>
      </c>
      <c r="J512" s="12">
        <v>24</v>
      </c>
      <c r="K512" s="13">
        <v>46235.375</v>
      </c>
      <c r="L512" s="13">
        <v>46235.416666666664</v>
      </c>
      <c r="M512" s="1" t="s">
        <v>145</v>
      </c>
      <c r="N512" s="1" t="s">
        <v>154</v>
      </c>
      <c r="O512" s="1" t="s">
        <v>151</v>
      </c>
      <c r="P512" s="1" t="s">
        <v>485</v>
      </c>
      <c r="Q512" s="1" t="s">
        <v>147</v>
      </c>
      <c r="R512" s="1">
        <v>46236.833333333336</v>
      </c>
      <c r="S512" s="1"/>
      <c r="T512" s="1" t="s">
        <v>490</v>
      </c>
      <c r="U512" s="1"/>
    </row>
    <row r="513" spans="1:21" ht="21" customHeight="1" x14ac:dyDescent="0.45">
      <c r="A513" s="14">
        <v>46236</v>
      </c>
      <c r="B513" s="1" t="s">
        <v>101</v>
      </c>
      <c r="C513" s="13">
        <v>46236.958333333336</v>
      </c>
      <c r="D513" s="13">
        <v>46237</v>
      </c>
      <c r="E513" s="1" t="s">
        <v>144</v>
      </c>
      <c r="F513" s="12">
        <v>24</v>
      </c>
      <c r="G513" s="12">
        <v>24</v>
      </c>
      <c r="H513" s="18">
        <v>0.13714285714285715</v>
      </c>
      <c r="I513" s="12">
        <v>175</v>
      </c>
      <c r="J513" s="12">
        <v>24</v>
      </c>
      <c r="K513" s="13">
        <v>46235.375</v>
      </c>
      <c r="L513" s="13">
        <v>46235.416666666664</v>
      </c>
      <c r="M513" s="1" t="s">
        <v>145</v>
      </c>
      <c r="N513" s="1" t="s">
        <v>154</v>
      </c>
      <c r="O513" s="1" t="s">
        <v>151</v>
      </c>
      <c r="P513" s="1" t="s">
        <v>486</v>
      </c>
      <c r="Q513" s="1" t="s">
        <v>147</v>
      </c>
      <c r="R513" s="1">
        <v>46236.833333333336</v>
      </c>
      <c r="S513" s="1"/>
      <c r="T513" s="1" t="s">
        <v>490</v>
      </c>
      <c r="U513" s="1"/>
    </row>
    <row r="514" spans="1:21" ht="21" customHeight="1" x14ac:dyDescent="0.45">
      <c r="A514" s="14">
        <v>46236</v>
      </c>
      <c r="B514" s="1" t="s">
        <v>143</v>
      </c>
      <c r="C514" s="13">
        <v>46236.96875</v>
      </c>
      <c r="D514" s="13">
        <v>46236.979166666664</v>
      </c>
      <c r="E514" s="1" t="s">
        <v>144</v>
      </c>
      <c r="F514" s="12">
        <v>36</v>
      </c>
      <c r="G514" s="12">
        <v>100</v>
      </c>
      <c r="H514" s="18"/>
      <c r="I514" s="12"/>
      <c r="J514" s="12"/>
      <c r="K514" s="13">
        <v>46235.541666666664</v>
      </c>
      <c r="L514" s="13">
        <v>46235.583333333336</v>
      </c>
      <c r="M514" s="1" t="s">
        <v>145</v>
      </c>
      <c r="N514" s="1"/>
      <c r="O514" s="1"/>
      <c r="P514" s="1" t="s">
        <v>487</v>
      </c>
      <c r="Q514" s="1" t="s">
        <v>147</v>
      </c>
      <c r="R514" s="1">
        <v>46236.84375</v>
      </c>
      <c r="S514" s="1"/>
      <c r="T514" s="1" t="s">
        <v>490</v>
      </c>
      <c r="U514" s="1"/>
    </row>
    <row r="515" spans="1:21" ht="21" customHeight="1" x14ac:dyDescent="0.45">
      <c r="A515" s="14">
        <v>46236</v>
      </c>
      <c r="B515" s="1" t="s">
        <v>143</v>
      </c>
      <c r="C515" s="13">
        <v>46236.979166666664</v>
      </c>
      <c r="D515" s="13">
        <v>46236.989583333336</v>
      </c>
      <c r="E515" s="1" t="s">
        <v>144</v>
      </c>
      <c r="F515" s="12">
        <v>0</v>
      </c>
      <c r="G515" s="12">
        <v>100</v>
      </c>
      <c r="H515" s="18"/>
      <c r="I515" s="12"/>
      <c r="J515" s="12"/>
      <c r="K515" s="13">
        <v>46235.541666666664</v>
      </c>
      <c r="L515" s="13">
        <v>46235.583333333336</v>
      </c>
      <c r="M515" s="1" t="s">
        <v>145</v>
      </c>
      <c r="N515" s="1"/>
      <c r="O515" s="1"/>
      <c r="P515" s="1" t="s">
        <v>488</v>
      </c>
      <c r="Q515" s="1" t="s">
        <v>147</v>
      </c>
      <c r="R515" s="1">
        <v>46236.854166666664</v>
      </c>
      <c r="S515" s="1"/>
      <c r="T515" s="1" t="s">
        <v>490</v>
      </c>
      <c r="U515" s="1"/>
    </row>
    <row r="516" spans="1:21" ht="21" customHeight="1" x14ac:dyDescent="0.45">
      <c r="A516" s="14">
        <v>46236</v>
      </c>
      <c r="B516" s="1" t="s">
        <v>143</v>
      </c>
      <c r="C516" s="13">
        <v>46236.989583333336</v>
      </c>
      <c r="D516" s="13">
        <v>46237</v>
      </c>
      <c r="E516" s="1" t="s">
        <v>144</v>
      </c>
      <c r="F516" s="12">
        <v>0</v>
      </c>
      <c r="G516" s="12">
        <v>100</v>
      </c>
      <c r="H516" s="18"/>
      <c r="I516" s="12"/>
      <c r="J516" s="12"/>
      <c r="K516" s="13">
        <v>46235.541666666664</v>
      </c>
      <c r="L516" s="13">
        <v>46235.583333333336</v>
      </c>
      <c r="M516" s="1" t="s">
        <v>145</v>
      </c>
      <c r="N516" s="1"/>
      <c r="O516" s="1"/>
      <c r="P516" s="1" t="s">
        <v>489</v>
      </c>
      <c r="Q516" s="1" t="s">
        <v>147</v>
      </c>
      <c r="R516" s="1">
        <v>46236.864583333336</v>
      </c>
      <c r="S516" s="1"/>
      <c r="T516" s="1" t="s">
        <v>490</v>
      </c>
      <c r="U516" s="1"/>
    </row>
    <row r="517" spans="1:21" ht="21" customHeight="1" x14ac:dyDescent="0.45">
      <c r="A517" s="14">
        <v>46236</v>
      </c>
      <c r="B517" s="1" t="s">
        <v>143</v>
      </c>
      <c r="C517" s="13">
        <v>46237</v>
      </c>
      <c r="D517" s="13">
        <v>46237.010416666664</v>
      </c>
      <c r="E517" s="1" t="s">
        <v>321</v>
      </c>
      <c r="F517" s="12">
        <v>-0.55953635405774615</v>
      </c>
      <c r="G517" s="12">
        <v>100</v>
      </c>
      <c r="H517" s="18"/>
      <c r="I517" s="12"/>
      <c r="J517" s="12"/>
      <c r="K517" s="13">
        <v>46236.541666666664</v>
      </c>
      <c r="L517" s="13">
        <v>46236.583333333336</v>
      </c>
      <c r="M517" s="1" t="s">
        <v>145</v>
      </c>
      <c r="N517" s="1"/>
      <c r="O517" s="1"/>
      <c r="P517" s="1" t="s">
        <v>491</v>
      </c>
      <c r="Q517" s="1" t="s">
        <v>147</v>
      </c>
      <c r="R517" s="1">
        <v>46236.875</v>
      </c>
      <c r="S517" s="1"/>
      <c r="T517" s="1" t="s">
        <v>490</v>
      </c>
      <c r="U517" s="1"/>
    </row>
    <row r="518" spans="1:21" ht="21" customHeight="1" x14ac:dyDescent="0.45">
      <c r="A518" s="14">
        <v>46236</v>
      </c>
      <c r="B518" s="1" t="s">
        <v>149</v>
      </c>
      <c r="C518" s="13">
        <v>46237</v>
      </c>
      <c r="D518" s="13">
        <v>46237.041666666664</v>
      </c>
      <c r="E518" s="1" t="s">
        <v>321</v>
      </c>
      <c r="F518" s="12">
        <v>38</v>
      </c>
      <c r="G518" s="12">
        <v>40</v>
      </c>
      <c r="H518" s="18">
        <v>0.3125</v>
      </c>
      <c r="I518" s="12">
        <v>128</v>
      </c>
      <c r="J518" s="12">
        <v>40</v>
      </c>
      <c r="K518" s="13">
        <v>46236.375</v>
      </c>
      <c r="L518" s="13">
        <v>46236.416666666664</v>
      </c>
      <c r="M518" s="1" t="s">
        <v>145</v>
      </c>
      <c r="N518" s="1" t="s">
        <v>150</v>
      </c>
      <c r="O518" s="1" t="s">
        <v>151</v>
      </c>
      <c r="P518" s="1" t="s">
        <v>492</v>
      </c>
      <c r="Q518" s="1" t="s">
        <v>147</v>
      </c>
      <c r="R518" s="1">
        <v>46236.875</v>
      </c>
      <c r="S518" s="1" t="s">
        <v>493</v>
      </c>
      <c r="T518" s="1" t="s">
        <v>490</v>
      </c>
      <c r="U518" s="1"/>
    </row>
    <row r="519" spans="1:21" ht="21" customHeight="1" x14ac:dyDescent="0.45">
      <c r="A519" s="14">
        <v>46236</v>
      </c>
      <c r="B519" s="1" t="s">
        <v>103</v>
      </c>
      <c r="C519" s="13">
        <v>46237</v>
      </c>
      <c r="D519" s="13">
        <v>46237.041666666664</v>
      </c>
      <c r="E519" s="1" t="s">
        <v>321</v>
      </c>
      <c r="F519" s="12">
        <v>24</v>
      </c>
      <c r="G519" s="12">
        <v>24</v>
      </c>
      <c r="H519" s="18">
        <v>0.13714285714285715</v>
      </c>
      <c r="I519" s="12">
        <v>175</v>
      </c>
      <c r="J519" s="12">
        <v>24</v>
      </c>
      <c r="K519" s="13">
        <v>46236.375</v>
      </c>
      <c r="L519" s="13">
        <v>46236.416666666664</v>
      </c>
      <c r="M519" s="1" t="s">
        <v>145</v>
      </c>
      <c r="N519" s="1" t="s">
        <v>154</v>
      </c>
      <c r="O519" s="1" t="s">
        <v>151</v>
      </c>
      <c r="P519" s="1" t="s">
        <v>494</v>
      </c>
      <c r="Q519" s="1" t="s">
        <v>147</v>
      </c>
      <c r="R519" s="1">
        <v>46236.875</v>
      </c>
      <c r="S519" s="1"/>
      <c r="T519" s="1" t="s">
        <v>490</v>
      </c>
      <c r="U519" s="1"/>
    </row>
    <row r="520" spans="1:21" ht="21" customHeight="1" x14ac:dyDescent="0.45">
      <c r="A520" s="14">
        <v>46236</v>
      </c>
      <c r="B520" s="1" t="s">
        <v>101</v>
      </c>
      <c r="C520" s="13">
        <v>46237</v>
      </c>
      <c r="D520" s="13">
        <v>46237.041666666664</v>
      </c>
      <c r="E520" s="1" t="s">
        <v>321</v>
      </c>
      <c r="F520" s="12">
        <v>19</v>
      </c>
      <c r="G520" s="12">
        <v>24</v>
      </c>
      <c r="H520" s="18">
        <v>0.13714285714285715</v>
      </c>
      <c r="I520" s="12">
        <v>175</v>
      </c>
      <c r="J520" s="12">
        <v>24</v>
      </c>
      <c r="K520" s="13">
        <v>46236.375</v>
      </c>
      <c r="L520" s="13">
        <v>46236.416666666664</v>
      </c>
      <c r="M520" s="1" t="s">
        <v>145</v>
      </c>
      <c r="N520" s="1" t="s">
        <v>154</v>
      </c>
      <c r="O520" s="1" t="s">
        <v>151</v>
      </c>
      <c r="P520" s="1" t="s">
        <v>495</v>
      </c>
      <c r="Q520" s="1" t="s">
        <v>147</v>
      </c>
      <c r="R520" s="1">
        <v>46236.875</v>
      </c>
      <c r="S520" s="1"/>
      <c r="T520" s="1" t="s">
        <v>490</v>
      </c>
      <c r="U520" s="1"/>
    </row>
    <row r="521" spans="1:21" ht="21" customHeight="1" x14ac:dyDescent="0.45">
      <c r="A521" s="14">
        <v>46236</v>
      </c>
      <c r="B521" s="1" t="s">
        <v>143</v>
      </c>
      <c r="C521" s="13">
        <v>46237.010416666664</v>
      </c>
      <c r="D521" s="13">
        <v>46237.020833333336</v>
      </c>
      <c r="E521" s="1" t="s">
        <v>321</v>
      </c>
      <c r="F521" s="12">
        <v>0</v>
      </c>
      <c r="G521" s="12">
        <v>100</v>
      </c>
      <c r="H521" s="18"/>
      <c r="I521" s="12"/>
      <c r="J521" s="12"/>
      <c r="K521" s="13">
        <v>46236.541666666664</v>
      </c>
      <c r="L521" s="13">
        <v>46236.583333333336</v>
      </c>
      <c r="M521" s="1" t="s">
        <v>145</v>
      </c>
      <c r="N521" s="1"/>
      <c r="O521" s="1"/>
      <c r="P521" s="1" t="s">
        <v>496</v>
      </c>
      <c r="Q521" s="1" t="s">
        <v>147</v>
      </c>
      <c r="R521" s="1">
        <v>46236.885416666664</v>
      </c>
      <c r="S521" s="1"/>
      <c r="T521" s="1" t="s">
        <v>490</v>
      </c>
      <c r="U521" s="1"/>
    </row>
    <row r="522" spans="1:21" ht="21" customHeight="1" x14ac:dyDescent="0.45">
      <c r="A522" s="14">
        <v>46236</v>
      </c>
      <c r="B522" s="1" t="s">
        <v>143</v>
      </c>
      <c r="C522" s="13">
        <v>46237.020833333336</v>
      </c>
      <c r="D522" s="13">
        <v>46237.03125</v>
      </c>
      <c r="E522" s="1" t="s">
        <v>321</v>
      </c>
      <c r="F522" s="12">
        <v>-17.755276847213757</v>
      </c>
      <c r="G522" s="12">
        <v>100</v>
      </c>
      <c r="H522" s="18"/>
      <c r="I522" s="12"/>
      <c r="J522" s="12"/>
      <c r="K522" s="13">
        <v>46236.541666666664</v>
      </c>
      <c r="L522" s="13">
        <v>46236.583333333336</v>
      </c>
      <c r="M522" s="1" t="s">
        <v>145</v>
      </c>
      <c r="N522" s="1"/>
      <c r="O522" s="1"/>
      <c r="P522" s="1" t="s">
        <v>497</v>
      </c>
      <c r="Q522" s="1" t="s">
        <v>147</v>
      </c>
      <c r="R522" s="1">
        <v>46236.895833333336</v>
      </c>
      <c r="S522" s="1"/>
      <c r="T522" s="1" t="s">
        <v>490</v>
      </c>
      <c r="U522" s="1"/>
    </row>
    <row r="523" spans="1:21" ht="21" customHeight="1" x14ac:dyDescent="0.45">
      <c r="A523" s="14">
        <v>46236</v>
      </c>
      <c r="B523" s="1" t="s">
        <v>143</v>
      </c>
      <c r="C523" s="13">
        <v>46237.03125</v>
      </c>
      <c r="D523" s="13">
        <v>46237.041666666664</v>
      </c>
      <c r="E523" s="1" t="s">
        <v>321</v>
      </c>
      <c r="F523" s="12">
        <v>0</v>
      </c>
      <c r="G523" s="12">
        <v>100</v>
      </c>
      <c r="H523" s="18"/>
      <c r="I523" s="12"/>
      <c r="J523" s="12"/>
      <c r="K523" s="13">
        <v>46236.541666666664</v>
      </c>
      <c r="L523" s="13">
        <v>46236.583333333336</v>
      </c>
      <c r="M523" s="1" t="s">
        <v>145</v>
      </c>
      <c r="N523" s="1"/>
      <c r="O523" s="1"/>
      <c r="P523" s="1" t="s">
        <v>498</v>
      </c>
      <c r="Q523" s="1" t="s">
        <v>147</v>
      </c>
      <c r="R523" s="1">
        <v>46236.90625</v>
      </c>
      <c r="S523" s="1"/>
      <c r="T523" s="1" t="s">
        <v>490</v>
      </c>
      <c r="U523" s="1"/>
    </row>
    <row r="524" spans="1:21" ht="21" customHeight="1" x14ac:dyDescent="0.45">
      <c r="A524" s="14">
        <v>46236</v>
      </c>
      <c r="B524" s="1" t="s">
        <v>143</v>
      </c>
      <c r="C524" s="13">
        <v>46237.041666666664</v>
      </c>
      <c r="D524" s="13">
        <v>46237.052083333336</v>
      </c>
      <c r="E524" s="1" t="s">
        <v>321</v>
      </c>
      <c r="F524" s="12">
        <v>0</v>
      </c>
      <c r="G524" s="12">
        <v>100</v>
      </c>
      <c r="H524" s="18"/>
      <c r="I524" s="12"/>
      <c r="J524" s="12"/>
      <c r="K524" s="13">
        <v>46236.541666666664</v>
      </c>
      <c r="L524" s="13">
        <v>46236.583333333336</v>
      </c>
      <c r="M524" s="1" t="s">
        <v>145</v>
      </c>
      <c r="N524" s="1"/>
      <c r="O524" s="1"/>
      <c r="P524" s="1" t="s">
        <v>499</v>
      </c>
      <c r="Q524" s="1" t="s">
        <v>147</v>
      </c>
      <c r="R524" s="1">
        <v>46236.916666666664</v>
      </c>
      <c r="S524" s="1"/>
      <c r="T524" s="1" t="s">
        <v>490</v>
      </c>
      <c r="U524" s="1"/>
    </row>
    <row r="525" spans="1:21" ht="21" customHeight="1" x14ac:dyDescent="0.45">
      <c r="A525" s="14">
        <v>46236</v>
      </c>
      <c r="B525" s="1" t="s">
        <v>149</v>
      </c>
      <c r="C525" s="13">
        <v>46237.041666666664</v>
      </c>
      <c r="D525" s="13">
        <v>46237.083333333336</v>
      </c>
      <c r="E525" s="1" t="s">
        <v>321</v>
      </c>
      <c r="F525" s="12">
        <v>40</v>
      </c>
      <c r="G525" s="12">
        <v>40</v>
      </c>
      <c r="H525" s="18">
        <v>0.3125</v>
      </c>
      <c r="I525" s="12">
        <v>128</v>
      </c>
      <c r="J525" s="12">
        <v>40</v>
      </c>
      <c r="K525" s="13">
        <v>46236.375</v>
      </c>
      <c r="L525" s="13">
        <v>46236.416666666664</v>
      </c>
      <c r="M525" s="1" t="s">
        <v>145</v>
      </c>
      <c r="N525" s="1" t="s">
        <v>150</v>
      </c>
      <c r="O525" s="1" t="s">
        <v>151</v>
      </c>
      <c r="P525" s="1" t="s">
        <v>500</v>
      </c>
      <c r="Q525" s="1" t="s">
        <v>147</v>
      </c>
      <c r="R525" s="1">
        <v>46236.916666666664</v>
      </c>
      <c r="S525" s="1" t="s">
        <v>153</v>
      </c>
      <c r="T525" s="1" t="s">
        <v>490</v>
      </c>
      <c r="U525" s="1"/>
    </row>
    <row r="526" spans="1:21" ht="21" customHeight="1" x14ac:dyDescent="0.45">
      <c r="A526" s="14">
        <v>46236</v>
      </c>
      <c r="B526" s="1" t="s">
        <v>103</v>
      </c>
      <c r="C526" s="13">
        <v>46237.041666666664</v>
      </c>
      <c r="D526" s="13">
        <v>46237.083333333336</v>
      </c>
      <c r="E526" s="1" t="s">
        <v>321</v>
      </c>
      <c r="F526" s="12">
        <v>24</v>
      </c>
      <c r="G526" s="12">
        <v>24</v>
      </c>
      <c r="H526" s="18">
        <v>0.13714285714285715</v>
      </c>
      <c r="I526" s="12">
        <v>175</v>
      </c>
      <c r="J526" s="12">
        <v>24</v>
      </c>
      <c r="K526" s="13">
        <v>46236.375</v>
      </c>
      <c r="L526" s="13">
        <v>46236.416666666664</v>
      </c>
      <c r="M526" s="1" t="s">
        <v>145</v>
      </c>
      <c r="N526" s="1" t="s">
        <v>154</v>
      </c>
      <c r="O526" s="1" t="s">
        <v>151</v>
      </c>
      <c r="P526" s="1" t="s">
        <v>501</v>
      </c>
      <c r="Q526" s="1" t="s">
        <v>147</v>
      </c>
      <c r="R526" s="1">
        <v>46236.916666666664</v>
      </c>
      <c r="S526" s="1"/>
      <c r="T526" s="1" t="s">
        <v>490</v>
      </c>
      <c r="U526" s="1"/>
    </row>
    <row r="527" spans="1:21" ht="21" customHeight="1" x14ac:dyDescent="0.45">
      <c r="A527" s="14">
        <v>46236</v>
      </c>
      <c r="B527" s="1" t="s">
        <v>101</v>
      </c>
      <c r="C527" s="13">
        <v>46237.041666666664</v>
      </c>
      <c r="D527" s="13">
        <v>46237.083333333336</v>
      </c>
      <c r="E527" s="1" t="s">
        <v>321</v>
      </c>
      <c r="F527" s="12">
        <v>24</v>
      </c>
      <c r="G527" s="12">
        <v>24</v>
      </c>
      <c r="H527" s="18">
        <v>0.13714285714285715</v>
      </c>
      <c r="I527" s="12">
        <v>175</v>
      </c>
      <c r="J527" s="12">
        <v>24</v>
      </c>
      <c r="K527" s="13">
        <v>46236.375</v>
      </c>
      <c r="L527" s="13">
        <v>46236.416666666664</v>
      </c>
      <c r="M527" s="1" t="s">
        <v>145</v>
      </c>
      <c r="N527" s="1" t="s">
        <v>154</v>
      </c>
      <c r="O527" s="1" t="s">
        <v>151</v>
      </c>
      <c r="P527" s="1" t="s">
        <v>502</v>
      </c>
      <c r="Q527" s="1" t="s">
        <v>147</v>
      </c>
      <c r="R527" s="1">
        <v>46236.916666666664</v>
      </c>
      <c r="S527" s="1"/>
      <c r="T527" s="1" t="s">
        <v>490</v>
      </c>
      <c r="U527" s="1"/>
    </row>
    <row r="528" spans="1:21" ht="21" customHeight="1" x14ac:dyDescent="0.45">
      <c r="A528" s="14">
        <v>46236</v>
      </c>
      <c r="B528" s="1" t="s">
        <v>143</v>
      </c>
      <c r="C528" s="13">
        <v>46237.052083333336</v>
      </c>
      <c r="D528" s="13">
        <v>46237.0625</v>
      </c>
      <c r="E528" s="1" t="s">
        <v>321</v>
      </c>
      <c r="F528" s="12">
        <v>0</v>
      </c>
      <c r="G528" s="12">
        <v>100</v>
      </c>
      <c r="H528" s="18"/>
      <c r="I528" s="12"/>
      <c r="J528" s="12"/>
      <c r="K528" s="13">
        <v>46236.541666666664</v>
      </c>
      <c r="L528" s="13">
        <v>46236.583333333336</v>
      </c>
      <c r="M528" s="1" t="s">
        <v>145</v>
      </c>
      <c r="N528" s="1"/>
      <c r="O528" s="1"/>
      <c r="P528" s="1" t="s">
        <v>503</v>
      </c>
      <c r="Q528" s="1" t="s">
        <v>147</v>
      </c>
      <c r="R528" s="1">
        <v>46236.927083333336</v>
      </c>
      <c r="S528" s="1"/>
      <c r="T528" s="1" t="s">
        <v>490</v>
      </c>
      <c r="U528" s="1"/>
    </row>
    <row r="529" spans="1:21" ht="21" customHeight="1" x14ac:dyDescent="0.45">
      <c r="A529" s="14">
        <v>46236</v>
      </c>
      <c r="B529" s="1" t="s">
        <v>143</v>
      </c>
      <c r="C529" s="13">
        <v>46237.0625</v>
      </c>
      <c r="D529" s="13">
        <v>46237.072916666664</v>
      </c>
      <c r="E529" s="1" t="s">
        <v>321</v>
      </c>
      <c r="F529" s="12">
        <v>0</v>
      </c>
      <c r="G529" s="12">
        <v>100</v>
      </c>
      <c r="H529" s="18"/>
      <c r="I529" s="12"/>
      <c r="J529" s="12"/>
      <c r="K529" s="13">
        <v>46236.541666666664</v>
      </c>
      <c r="L529" s="13">
        <v>46236.583333333336</v>
      </c>
      <c r="M529" s="1" t="s">
        <v>145</v>
      </c>
      <c r="N529" s="1"/>
      <c r="O529" s="1"/>
      <c r="P529" s="1" t="s">
        <v>504</v>
      </c>
      <c r="Q529" s="1" t="s">
        <v>147</v>
      </c>
      <c r="R529" s="1">
        <v>46236.9375</v>
      </c>
      <c r="S529" s="1"/>
      <c r="T529" s="1" t="s">
        <v>490</v>
      </c>
      <c r="U529" s="1"/>
    </row>
    <row r="530" spans="1:21" ht="21" customHeight="1" x14ac:dyDescent="0.45">
      <c r="A530" s="14">
        <v>46236</v>
      </c>
      <c r="B530" s="1" t="s">
        <v>143</v>
      </c>
      <c r="C530" s="13">
        <v>46237.072916666664</v>
      </c>
      <c r="D530" s="13">
        <v>46237.083333333336</v>
      </c>
      <c r="E530" s="1" t="s">
        <v>321</v>
      </c>
      <c r="F530" s="12">
        <v>-2.5850811894971497</v>
      </c>
      <c r="G530" s="12">
        <v>100</v>
      </c>
      <c r="H530" s="18"/>
      <c r="I530" s="12"/>
      <c r="J530" s="12"/>
      <c r="K530" s="13">
        <v>46236.541666666664</v>
      </c>
      <c r="L530" s="13">
        <v>46236.583333333336</v>
      </c>
      <c r="M530" s="1" t="s">
        <v>145</v>
      </c>
      <c r="N530" s="1"/>
      <c r="O530" s="1"/>
      <c r="P530" s="1" t="s">
        <v>505</v>
      </c>
      <c r="Q530" s="1" t="s">
        <v>147</v>
      </c>
      <c r="R530" s="1">
        <v>46236.947916666664</v>
      </c>
      <c r="S530" s="1"/>
      <c r="T530" s="1" t="s">
        <v>490</v>
      </c>
      <c r="U530" s="1"/>
    </row>
    <row r="531" spans="1:21" ht="21" customHeight="1" x14ac:dyDescent="0.45">
      <c r="A531" s="14">
        <v>46236</v>
      </c>
      <c r="B531" s="1" t="s">
        <v>143</v>
      </c>
      <c r="C531" s="13">
        <v>46237.083333333336</v>
      </c>
      <c r="D531" s="13">
        <v>46237.09375</v>
      </c>
      <c r="E531" s="1" t="s">
        <v>321</v>
      </c>
      <c r="F531" s="12">
        <v>-0.25211882506950212</v>
      </c>
      <c r="G531" s="12">
        <v>100</v>
      </c>
      <c r="H531" s="18"/>
      <c r="I531" s="12"/>
      <c r="J531" s="12"/>
      <c r="K531" s="13">
        <v>46236.541666666664</v>
      </c>
      <c r="L531" s="13">
        <v>46236.583333333336</v>
      </c>
      <c r="M531" s="1" t="s">
        <v>145</v>
      </c>
      <c r="N531" s="1"/>
      <c r="O531" s="1"/>
      <c r="P531" s="1" t="s">
        <v>506</v>
      </c>
      <c r="Q531" s="1" t="s">
        <v>147</v>
      </c>
      <c r="R531" s="1">
        <v>46236.958333333336</v>
      </c>
      <c r="S531" s="1"/>
      <c r="T531" s="1" t="s">
        <v>490</v>
      </c>
      <c r="U531" s="1"/>
    </row>
    <row r="532" spans="1:21" ht="21" customHeight="1" x14ac:dyDescent="0.45">
      <c r="A532" s="14">
        <v>46236</v>
      </c>
      <c r="B532" s="1" t="s">
        <v>149</v>
      </c>
      <c r="C532" s="13">
        <v>46237.083333333336</v>
      </c>
      <c r="D532" s="13">
        <v>46237.125</v>
      </c>
      <c r="E532" s="1" t="s">
        <v>321</v>
      </c>
      <c r="F532" s="12">
        <v>40</v>
      </c>
      <c r="G532" s="12">
        <v>40</v>
      </c>
      <c r="H532" s="18">
        <v>0.3125</v>
      </c>
      <c r="I532" s="12">
        <v>128</v>
      </c>
      <c r="J532" s="12">
        <v>40</v>
      </c>
      <c r="K532" s="13">
        <v>46236.375</v>
      </c>
      <c r="L532" s="13">
        <v>46236.416666666664</v>
      </c>
      <c r="M532" s="1" t="s">
        <v>145</v>
      </c>
      <c r="N532" s="1" t="s">
        <v>150</v>
      </c>
      <c r="O532" s="1" t="s">
        <v>151</v>
      </c>
      <c r="P532" s="1" t="s">
        <v>507</v>
      </c>
      <c r="Q532" s="1" t="s">
        <v>147</v>
      </c>
      <c r="R532" s="1">
        <v>46236.958333333336</v>
      </c>
      <c r="S532" s="1" t="s">
        <v>153</v>
      </c>
      <c r="T532" s="1" t="s">
        <v>490</v>
      </c>
      <c r="U532" s="1"/>
    </row>
    <row r="533" spans="1:21" ht="21" customHeight="1" x14ac:dyDescent="0.45">
      <c r="A533" s="14">
        <v>46236</v>
      </c>
      <c r="B533" s="1" t="s">
        <v>103</v>
      </c>
      <c r="C533" s="13">
        <v>46237.083333333336</v>
      </c>
      <c r="D533" s="13">
        <v>46237.125</v>
      </c>
      <c r="E533" s="1" t="s">
        <v>321</v>
      </c>
      <c r="F533" s="12">
        <v>24</v>
      </c>
      <c r="G533" s="12">
        <v>24</v>
      </c>
      <c r="H533" s="18">
        <v>0.13714285714285715</v>
      </c>
      <c r="I533" s="12">
        <v>175</v>
      </c>
      <c r="J533" s="12">
        <v>24</v>
      </c>
      <c r="K533" s="13">
        <v>46236.375</v>
      </c>
      <c r="L533" s="13">
        <v>46236.416666666664</v>
      </c>
      <c r="M533" s="1" t="s">
        <v>145</v>
      </c>
      <c r="N533" s="1" t="s">
        <v>154</v>
      </c>
      <c r="O533" s="1" t="s">
        <v>151</v>
      </c>
      <c r="P533" s="1" t="s">
        <v>508</v>
      </c>
      <c r="Q533" s="1" t="s">
        <v>147</v>
      </c>
      <c r="R533" s="1">
        <v>46236.958333333336</v>
      </c>
      <c r="S533" s="1"/>
      <c r="T533" s="1" t="s">
        <v>490</v>
      </c>
      <c r="U533" s="1"/>
    </row>
    <row r="534" spans="1:21" ht="21" customHeight="1" x14ac:dyDescent="0.45">
      <c r="A534" s="14">
        <v>46236</v>
      </c>
      <c r="B534" s="1" t="s">
        <v>101</v>
      </c>
      <c r="C534" s="13">
        <v>46237.083333333336</v>
      </c>
      <c r="D534" s="13">
        <v>46237.125</v>
      </c>
      <c r="E534" s="1" t="s">
        <v>321</v>
      </c>
      <c r="F534" s="12">
        <v>24</v>
      </c>
      <c r="G534" s="12">
        <v>24</v>
      </c>
      <c r="H534" s="18">
        <v>0.13714285714285715</v>
      </c>
      <c r="I534" s="12">
        <v>175</v>
      </c>
      <c r="J534" s="12">
        <v>24</v>
      </c>
      <c r="K534" s="13">
        <v>46236.375</v>
      </c>
      <c r="L534" s="13">
        <v>46236.416666666664</v>
      </c>
      <c r="M534" s="1" t="s">
        <v>145</v>
      </c>
      <c r="N534" s="1" t="s">
        <v>154</v>
      </c>
      <c r="O534" s="1" t="s">
        <v>151</v>
      </c>
      <c r="P534" s="1" t="s">
        <v>509</v>
      </c>
      <c r="Q534" s="1" t="s">
        <v>147</v>
      </c>
      <c r="R534" s="1">
        <v>46236.958333333336</v>
      </c>
      <c r="S534" s="1"/>
      <c r="T534" s="1" t="s">
        <v>490</v>
      </c>
      <c r="U534" s="1"/>
    </row>
    <row r="535" spans="1:21" ht="21" customHeight="1" x14ac:dyDescent="0.45">
      <c r="A535" s="14">
        <v>46236</v>
      </c>
      <c r="B535" s="1" t="s">
        <v>143</v>
      </c>
      <c r="C535" s="13">
        <v>46237.09375</v>
      </c>
      <c r="D535" s="13">
        <v>46237.104166666664</v>
      </c>
      <c r="E535" s="1" t="s">
        <v>321</v>
      </c>
      <c r="F535" s="12">
        <v>0</v>
      </c>
      <c r="G535" s="12">
        <v>100</v>
      </c>
      <c r="H535" s="18"/>
      <c r="I535" s="12"/>
      <c r="J535" s="12"/>
      <c r="K535" s="13">
        <v>46236.541666666664</v>
      </c>
      <c r="L535" s="13">
        <v>46236.583333333336</v>
      </c>
      <c r="M535" s="1" t="s">
        <v>145</v>
      </c>
      <c r="N535" s="1"/>
      <c r="O535" s="1"/>
      <c r="P535" s="1" t="s">
        <v>510</v>
      </c>
      <c r="Q535" s="1" t="s">
        <v>147</v>
      </c>
      <c r="R535" s="1">
        <v>46236.96875</v>
      </c>
      <c r="S535" s="1"/>
      <c r="T535" s="1" t="s">
        <v>490</v>
      </c>
      <c r="U535" s="1"/>
    </row>
    <row r="536" spans="1:21" ht="21" customHeight="1" x14ac:dyDescent="0.45">
      <c r="A536" s="14">
        <v>46236</v>
      </c>
      <c r="B536" s="1" t="s">
        <v>143</v>
      </c>
      <c r="C536" s="13">
        <v>46237.104166666664</v>
      </c>
      <c r="D536" s="13">
        <v>46237.114583333336</v>
      </c>
      <c r="E536" s="1" t="s">
        <v>321</v>
      </c>
      <c r="F536" s="12">
        <v>-0.18545338880325624</v>
      </c>
      <c r="G536" s="12">
        <v>100</v>
      </c>
      <c r="H536" s="18"/>
      <c r="I536" s="12"/>
      <c r="J536" s="12"/>
      <c r="K536" s="13">
        <v>46236.541666666664</v>
      </c>
      <c r="L536" s="13">
        <v>46236.583333333336</v>
      </c>
      <c r="M536" s="1" t="s">
        <v>145</v>
      </c>
      <c r="N536" s="1"/>
      <c r="O536" s="1"/>
      <c r="P536" s="1" t="s">
        <v>511</v>
      </c>
      <c r="Q536" s="1" t="s">
        <v>147</v>
      </c>
      <c r="R536" s="1">
        <v>46236.979166666664</v>
      </c>
      <c r="S536" s="1"/>
      <c r="T536" s="1" t="s">
        <v>490</v>
      </c>
      <c r="U536" s="1"/>
    </row>
    <row r="537" spans="1:21" ht="21" customHeight="1" x14ac:dyDescent="0.45">
      <c r="A537" s="14">
        <v>46236</v>
      </c>
      <c r="B537" s="1" t="s">
        <v>143</v>
      </c>
      <c r="C537" s="13">
        <v>46237.114583333336</v>
      </c>
      <c r="D537" s="13">
        <v>46237.125</v>
      </c>
      <c r="E537" s="1" t="s">
        <v>321</v>
      </c>
      <c r="F537" s="12">
        <v>-0.47501653307417124</v>
      </c>
      <c r="G537" s="12">
        <v>100</v>
      </c>
      <c r="H537" s="18"/>
      <c r="I537" s="12"/>
      <c r="J537" s="12"/>
      <c r="K537" s="13">
        <v>46236.541666666664</v>
      </c>
      <c r="L537" s="13">
        <v>46236.583333333336</v>
      </c>
      <c r="M537" s="1" t="s">
        <v>145</v>
      </c>
      <c r="N537" s="1"/>
      <c r="O537" s="1"/>
      <c r="P537" s="1" t="s">
        <v>512</v>
      </c>
      <c r="Q537" s="1" t="s">
        <v>147</v>
      </c>
      <c r="R537" s="1">
        <v>46236.989583333336</v>
      </c>
      <c r="S537" s="1"/>
      <c r="T537" s="1" t="s">
        <v>490</v>
      </c>
      <c r="U537" s="1"/>
    </row>
    <row r="538" spans="1:21" ht="21" customHeight="1" x14ac:dyDescent="0.45">
      <c r="A538" s="14">
        <v>46236</v>
      </c>
      <c r="B538" s="1" t="s">
        <v>143</v>
      </c>
      <c r="C538" s="13">
        <v>46237.125</v>
      </c>
      <c r="D538" s="13">
        <v>46237.135416666664</v>
      </c>
      <c r="E538" s="1" t="s">
        <v>321</v>
      </c>
      <c r="F538" s="12">
        <v>0</v>
      </c>
      <c r="G538" s="12">
        <v>100</v>
      </c>
      <c r="H538" s="18"/>
      <c r="I538" s="12"/>
      <c r="J538" s="12"/>
      <c r="K538" s="13">
        <v>46236.541666666664</v>
      </c>
      <c r="L538" s="13">
        <v>46236.583333333336</v>
      </c>
      <c r="M538" s="1" t="s">
        <v>145</v>
      </c>
      <c r="N538" s="1"/>
      <c r="O538" s="1"/>
      <c r="P538" s="1" t="s">
        <v>513</v>
      </c>
      <c r="Q538" s="1" t="s">
        <v>147</v>
      </c>
      <c r="R538" s="1">
        <v>46237</v>
      </c>
      <c r="S538" s="1"/>
      <c r="T538" s="1" t="s">
        <v>490</v>
      </c>
      <c r="U538" s="1"/>
    </row>
    <row r="539" spans="1:21" ht="21" customHeight="1" x14ac:dyDescent="0.45">
      <c r="A539" s="14">
        <v>46236</v>
      </c>
      <c r="B539" s="1" t="s">
        <v>149</v>
      </c>
      <c r="C539" s="13">
        <v>46237.125</v>
      </c>
      <c r="D539" s="13">
        <v>46237.166666666664</v>
      </c>
      <c r="E539" s="1" t="s">
        <v>321</v>
      </c>
      <c r="F539" s="12">
        <v>40</v>
      </c>
      <c r="G539" s="12">
        <v>40</v>
      </c>
      <c r="H539" s="18">
        <v>0.3125</v>
      </c>
      <c r="I539" s="12">
        <v>128</v>
      </c>
      <c r="J539" s="12">
        <v>40</v>
      </c>
      <c r="K539" s="13">
        <v>46236.375</v>
      </c>
      <c r="L539" s="13">
        <v>46236.416666666664</v>
      </c>
      <c r="M539" s="1" t="s">
        <v>145</v>
      </c>
      <c r="N539" s="1" t="s">
        <v>150</v>
      </c>
      <c r="O539" s="1" t="s">
        <v>151</v>
      </c>
      <c r="P539" s="1" t="s">
        <v>514</v>
      </c>
      <c r="Q539" s="1" t="s">
        <v>147</v>
      </c>
      <c r="R539" s="1">
        <v>46237</v>
      </c>
      <c r="S539" s="1" t="s">
        <v>153</v>
      </c>
      <c r="T539" s="1" t="s">
        <v>490</v>
      </c>
      <c r="U539" s="1"/>
    </row>
    <row r="540" spans="1:21" ht="21" customHeight="1" x14ac:dyDescent="0.45">
      <c r="A540" s="14">
        <v>46236</v>
      </c>
      <c r="B540" s="1" t="s">
        <v>103</v>
      </c>
      <c r="C540" s="13">
        <v>46237.125</v>
      </c>
      <c r="D540" s="13">
        <v>46237.166666666664</v>
      </c>
      <c r="E540" s="1" t="s">
        <v>321</v>
      </c>
      <c r="F540" s="12">
        <v>24</v>
      </c>
      <c r="G540" s="12">
        <v>24</v>
      </c>
      <c r="H540" s="18">
        <v>0.13714285714285715</v>
      </c>
      <c r="I540" s="12">
        <v>175</v>
      </c>
      <c r="J540" s="12">
        <v>24</v>
      </c>
      <c r="K540" s="13">
        <v>46236.375</v>
      </c>
      <c r="L540" s="13">
        <v>46236.416666666664</v>
      </c>
      <c r="M540" s="1" t="s">
        <v>145</v>
      </c>
      <c r="N540" s="1" t="s">
        <v>154</v>
      </c>
      <c r="O540" s="1" t="s">
        <v>151</v>
      </c>
      <c r="P540" s="1" t="s">
        <v>515</v>
      </c>
      <c r="Q540" s="1" t="s">
        <v>147</v>
      </c>
      <c r="R540" s="1">
        <v>46237</v>
      </c>
      <c r="S540" s="1"/>
      <c r="T540" s="1" t="s">
        <v>490</v>
      </c>
      <c r="U540" s="1"/>
    </row>
    <row r="541" spans="1:21" ht="21" customHeight="1" x14ac:dyDescent="0.45">
      <c r="A541" s="14">
        <v>46236</v>
      </c>
      <c r="B541" s="1" t="s">
        <v>101</v>
      </c>
      <c r="C541" s="13">
        <v>46237.125</v>
      </c>
      <c r="D541" s="13">
        <v>46237.166666666664</v>
      </c>
      <c r="E541" s="1" t="s">
        <v>321</v>
      </c>
      <c r="F541" s="12">
        <v>24</v>
      </c>
      <c r="G541" s="12">
        <v>24</v>
      </c>
      <c r="H541" s="18">
        <v>0.13714285714285715</v>
      </c>
      <c r="I541" s="12">
        <v>175</v>
      </c>
      <c r="J541" s="12">
        <v>24</v>
      </c>
      <c r="K541" s="13">
        <v>46236.375</v>
      </c>
      <c r="L541" s="13">
        <v>46236.416666666664</v>
      </c>
      <c r="M541" s="1" t="s">
        <v>145</v>
      </c>
      <c r="N541" s="1" t="s">
        <v>154</v>
      </c>
      <c r="O541" s="1" t="s">
        <v>151</v>
      </c>
      <c r="P541" s="1" t="s">
        <v>516</v>
      </c>
      <c r="Q541" s="1" t="s">
        <v>147</v>
      </c>
      <c r="R541" s="1">
        <v>46237</v>
      </c>
      <c r="S541" s="1"/>
      <c r="T541" s="1" t="s">
        <v>490</v>
      </c>
      <c r="U541" s="1"/>
    </row>
    <row r="542" spans="1:21" ht="21" customHeight="1" x14ac:dyDescent="0.45">
      <c r="A542" s="14">
        <v>46236</v>
      </c>
      <c r="B542" s="1" t="s">
        <v>143</v>
      </c>
      <c r="C542" s="13">
        <v>46237.135416666664</v>
      </c>
      <c r="D542" s="13">
        <v>46237.145833333336</v>
      </c>
      <c r="E542" s="1" t="s">
        <v>321</v>
      </c>
      <c r="F542" s="12">
        <v>0</v>
      </c>
      <c r="G542" s="12">
        <v>100</v>
      </c>
      <c r="H542" s="18"/>
      <c r="I542" s="12"/>
      <c r="J542" s="12"/>
      <c r="K542" s="13">
        <v>46236.541666666664</v>
      </c>
      <c r="L542" s="13">
        <v>46236.583333333336</v>
      </c>
      <c r="M542" s="1" t="s">
        <v>145</v>
      </c>
      <c r="N542" s="1"/>
      <c r="O542" s="1"/>
      <c r="P542" s="1" t="s">
        <v>517</v>
      </c>
      <c r="Q542" s="1" t="s">
        <v>147</v>
      </c>
      <c r="R542" s="1">
        <v>46237.010416666664</v>
      </c>
      <c r="S542" s="1"/>
      <c r="T542" s="1" t="s">
        <v>490</v>
      </c>
      <c r="U542" s="1"/>
    </row>
    <row r="543" spans="1:21" ht="21" customHeight="1" x14ac:dyDescent="0.45">
      <c r="A543" s="14">
        <v>46236</v>
      </c>
      <c r="B543" s="1" t="s">
        <v>143</v>
      </c>
      <c r="C543" s="13">
        <v>46237.145833333336</v>
      </c>
      <c r="D543" s="13">
        <v>46237.15625</v>
      </c>
      <c r="E543" s="1" t="s">
        <v>321</v>
      </c>
      <c r="F543" s="12">
        <v>0</v>
      </c>
      <c r="G543" s="12">
        <v>100</v>
      </c>
      <c r="H543" s="18"/>
      <c r="I543" s="12"/>
      <c r="J543" s="12"/>
      <c r="K543" s="13">
        <v>46236.541666666664</v>
      </c>
      <c r="L543" s="13">
        <v>46236.583333333336</v>
      </c>
      <c r="M543" s="1" t="s">
        <v>145</v>
      </c>
      <c r="N543" s="1"/>
      <c r="O543" s="1"/>
      <c r="P543" s="1" t="s">
        <v>518</v>
      </c>
      <c r="Q543" s="1" t="s">
        <v>147</v>
      </c>
      <c r="R543" s="1">
        <v>46237.020833333336</v>
      </c>
      <c r="S543" s="1"/>
      <c r="T543" s="1" t="s">
        <v>490</v>
      </c>
      <c r="U543" s="1"/>
    </row>
    <row r="544" spans="1:21" ht="21" customHeight="1" x14ac:dyDescent="0.45">
      <c r="A544" s="14">
        <v>46236</v>
      </c>
      <c r="B544" s="1" t="s">
        <v>143</v>
      </c>
      <c r="C544" s="13">
        <v>46237.15625</v>
      </c>
      <c r="D544" s="13">
        <v>46237.166666666664</v>
      </c>
      <c r="E544" s="1" t="s">
        <v>321</v>
      </c>
      <c r="F544" s="12">
        <v>0</v>
      </c>
      <c r="G544" s="12">
        <v>100</v>
      </c>
      <c r="H544" s="18"/>
      <c r="I544" s="12"/>
      <c r="J544" s="12"/>
      <c r="K544" s="13">
        <v>46236.541666666664</v>
      </c>
      <c r="L544" s="13">
        <v>46236.583333333336</v>
      </c>
      <c r="M544" s="1" t="s">
        <v>145</v>
      </c>
      <c r="N544" s="1"/>
      <c r="O544" s="1"/>
      <c r="P544" s="1" t="s">
        <v>519</v>
      </c>
      <c r="Q544" s="1" t="s">
        <v>147</v>
      </c>
      <c r="R544" s="1">
        <v>46237.03125</v>
      </c>
      <c r="S544" s="1"/>
      <c r="T544" s="1" t="s">
        <v>490</v>
      </c>
      <c r="U544" s="1"/>
    </row>
    <row r="545" spans="1:21" ht="21" customHeight="1" x14ac:dyDescent="0.45">
      <c r="A545" s="14">
        <v>46236</v>
      </c>
      <c r="B545" s="1" t="s">
        <v>143</v>
      </c>
      <c r="C545" s="13">
        <v>46237.166666666664</v>
      </c>
      <c r="D545" s="13">
        <v>46237.177083333336</v>
      </c>
      <c r="E545" s="1" t="s">
        <v>321</v>
      </c>
      <c r="F545" s="12">
        <v>0</v>
      </c>
      <c r="G545" s="12">
        <v>100</v>
      </c>
      <c r="H545" s="18"/>
      <c r="I545" s="12"/>
      <c r="J545" s="12"/>
      <c r="K545" s="13">
        <v>46236.541666666664</v>
      </c>
      <c r="L545" s="13">
        <v>46236.583333333336</v>
      </c>
      <c r="M545" s="1" t="s">
        <v>145</v>
      </c>
      <c r="N545" s="1"/>
      <c r="O545" s="1"/>
      <c r="P545" s="1" t="s">
        <v>520</v>
      </c>
      <c r="Q545" s="1" t="s">
        <v>147</v>
      </c>
      <c r="R545" s="1">
        <v>46237.041666666664</v>
      </c>
      <c r="S545" s="1"/>
      <c r="T545" s="1" t="s">
        <v>490</v>
      </c>
      <c r="U545" s="1"/>
    </row>
    <row r="546" spans="1:21" ht="21" customHeight="1" x14ac:dyDescent="0.45">
      <c r="A546" s="14">
        <v>46236</v>
      </c>
      <c r="B546" s="1" t="s">
        <v>149</v>
      </c>
      <c r="C546" s="13">
        <v>46237.166666666664</v>
      </c>
      <c r="D546" s="13">
        <v>46237.208333333336</v>
      </c>
      <c r="E546" s="1" t="s">
        <v>321</v>
      </c>
      <c r="F546" s="12">
        <v>40</v>
      </c>
      <c r="G546" s="12">
        <v>40</v>
      </c>
      <c r="H546" s="18">
        <v>0.3125</v>
      </c>
      <c r="I546" s="12">
        <v>128</v>
      </c>
      <c r="J546" s="12">
        <v>40</v>
      </c>
      <c r="K546" s="13">
        <v>46236.375</v>
      </c>
      <c r="L546" s="13">
        <v>46236.416666666664</v>
      </c>
      <c r="M546" s="1" t="s">
        <v>145</v>
      </c>
      <c r="N546" s="1" t="s">
        <v>150</v>
      </c>
      <c r="O546" s="1" t="s">
        <v>151</v>
      </c>
      <c r="P546" s="1" t="s">
        <v>521</v>
      </c>
      <c r="Q546" s="1" t="s">
        <v>147</v>
      </c>
      <c r="R546" s="1">
        <v>46237.041666666664</v>
      </c>
      <c r="S546" s="1" t="s">
        <v>153</v>
      </c>
      <c r="T546" s="1" t="s">
        <v>490</v>
      </c>
      <c r="U546" s="1"/>
    </row>
    <row r="547" spans="1:21" ht="21" customHeight="1" x14ac:dyDescent="0.45">
      <c r="A547" s="14">
        <v>46236</v>
      </c>
      <c r="B547" s="1" t="s">
        <v>103</v>
      </c>
      <c r="C547" s="13">
        <v>46237.166666666664</v>
      </c>
      <c r="D547" s="13">
        <v>46237.208333333336</v>
      </c>
      <c r="E547" s="1" t="s">
        <v>321</v>
      </c>
      <c r="F547" s="12">
        <v>24</v>
      </c>
      <c r="G547" s="12">
        <v>24</v>
      </c>
      <c r="H547" s="18">
        <v>0.13714285714285715</v>
      </c>
      <c r="I547" s="12">
        <v>175</v>
      </c>
      <c r="J547" s="12">
        <v>24</v>
      </c>
      <c r="K547" s="13">
        <v>46236.375</v>
      </c>
      <c r="L547" s="13">
        <v>46236.416666666664</v>
      </c>
      <c r="M547" s="1" t="s">
        <v>145</v>
      </c>
      <c r="N547" s="1" t="s">
        <v>154</v>
      </c>
      <c r="O547" s="1" t="s">
        <v>151</v>
      </c>
      <c r="P547" s="1" t="s">
        <v>522</v>
      </c>
      <c r="Q547" s="1" t="s">
        <v>147</v>
      </c>
      <c r="R547" s="1">
        <v>46237.041666666664</v>
      </c>
      <c r="S547" s="1"/>
      <c r="T547" s="1" t="s">
        <v>490</v>
      </c>
      <c r="U547" s="1"/>
    </row>
    <row r="548" spans="1:21" ht="21" customHeight="1" x14ac:dyDescent="0.45">
      <c r="A548" s="14">
        <v>46236</v>
      </c>
      <c r="B548" s="1" t="s">
        <v>101</v>
      </c>
      <c r="C548" s="13">
        <v>46237.166666666664</v>
      </c>
      <c r="D548" s="13">
        <v>46237.208333333336</v>
      </c>
      <c r="E548" s="1" t="s">
        <v>321</v>
      </c>
      <c r="F548" s="12">
        <v>24</v>
      </c>
      <c r="G548" s="12">
        <v>24</v>
      </c>
      <c r="H548" s="18">
        <v>0.13714285714285715</v>
      </c>
      <c r="I548" s="12">
        <v>175</v>
      </c>
      <c r="J548" s="12">
        <v>24</v>
      </c>
      <c r="K548" s="13">
        <v>46236.375</v>
      </c>
      <c r="L548" s="13">
        <v>46236.416666666664</v>
      </c>
      <c r="M548" s="1" t="s">
        <v>145</v>
      </c>
      <c r="N548" s="1" t="s">
        <v>154</v>
      </c>
      <c r="O548" s="1" t="s">
        <v>151</v>
      </c>
      <c r="P548" s="1" t="s">
        <v>523</v>
      </c>
      <c r="Q548" s="1" t="s">
        <v>147</v>
      </c>
      <c r="R548" s="1">
        <v>46237.041666666664</v>
      </c>
      <c r="S548" s="1"/>
      <c r="T548" s="1" t="s">
        <v>490</v>
      </c>
      <c r="U548" s="1"/>
    </row>
    <row r="549" spans="1:21" ht="21" customHeight="1" x14ac:dyDescent="0.45">
      <c r="A549" s="14">
        <v>46236</v>
      </c>
      <c r="B549" s="1" t="s">
        <v>143</v>
      </c>
      <c r="C549" s="13">
        <v>46237.177083333336</v>
      </c>
      <c r="D549" s="13">
        <v>46237.1875</v>
      </c>
      <c r="E549" s="1" t="s">
        <v>321</v>
      </c>
      <c r="F549" s="12">
        <v>0</v>
      </c>
      <c r="G549" s="12">
        <v>100</v>
      </c>
      <c r="H549" s="18"/>
      <c r="I549" s="12"/>
      <c r="J549" s="12"/>
      <c r="K549" s="13">
        <v>46236.541666666664</v>
      </c>
      <c r="L549" s="13">
        <v>46236.583333333336</v>
      </c>
      <c r="M549" s="1" t="s">
        <v>145</v>
      </c>
      <c r="N549" s="1"/>
      <c r="O549" s="1"/>
      <c r="P549" s="1" t="s">
        <v>524</v>
      </c>
      <c r="Q549" s="1" t="s">
        <v>147</v>
      </c>
      <c r="R549" s="1">
        <v>46237.052083333336</v>
      </c>
      <c r="S549" s="1"/>
      <c r="T549" s="1" t="s">
        <v>490</v>
      </c>
      <c r="U549" s="1"/>
    </row>
    <row r="550" spans="1:21" ht="21" customHeight="1" x14ac:dyDescent="0.45">
      <c r="A550" s="14">
        <v>46236</v>
      </c>
      <c r="B550" s="1" t="s">
        <v>143</v>
      </c>
      <c r="C550" s="13">
        <v>46237.1875</v>
      </c>
      <c r="D550" s="13">
        <v>46237.197916666664</v>
      </c>
      <c r="E550" s="1" t="s">
        <v>321</v>
      </c>
      <c r="F550" s="12">
        <v>-36</v>
      </c>
      <c r="G550" s="12">
        <v>100</v>
      </c>
      <c r="H550" s="18"/>
      <c r="I550" s="12"/>
      <c r="J550" s="12"/>
      <c r="K550" s="13">
        <v>46236.541666666664</v>
      </c>
      <c r="L550" s="13">
        <v>46236.583333333336</v>
      </c>
      <c r="M550" s="1" t="s">
        <v>145</v>
      </c>
      <c r="N550" s="1"/>
      <c r="O550" s="1"/>
      <c r="P550" s="1" t="s">
        <v>525</v>
      </c>
      <c r="Q550" s="1" t="s">
        <v>147</v>
      </c>
      <c r="R550" s="1">
        <v>46237.0625</v>
      </c>
      <c r="S550" s="1"/>
      <c r="T550" s="1" t="s">
        <v>490</v>
      </c>
      <c r="U550" s="1"/>
    </row>
    <row r="551" spans="1:21" ht="21" customHeight="1" x14ac:dyDescent="0.45">
      <c r="A551" s="14">
        <v>46236</v>
      </c>
      <c r="B551" s="1" t="s">
        <v>143</v>
      </c>
      <c r="C551" s="13">
        <v>46237.197916666664</v>
      </c>
      <c r="D551" s="13">
        <v>46237.208333333336</v>
      </c>
      <c r="E551" s="1" t="s">
        <v>321</v>
      </c>
      <c r="F551" s="12">
        <v>-36</v>
      </c>
      <c r="G551" s="12">
        <v>100</v>
      </c>
      <c r="H551" s="18"/>
      <c r="I551" s="12"/>
      <c r="J551" s="12"/>
      <c r="K551" s="13">
        <v>46236.541666666664</v>
      </c>
      <c r="L551" s="13">
        <v>46236.583333333336</v>
      </c>
      <c r="M551" s="1" t="s">
        <v>145</v>
      </c>
      <c r="N551" s="1"/>
      <c r="O551" s="1"/>
      <c r="P551" s="1" t="s">
        <v>526</v>
      </c>
      <c r="Q551" s="1" t="s">
        <v>147</v>
      </c>
      <c r="R551" s="1">
        <v>46237.072916666664</v>
      </c>
      <c r="S551" s="1"/>
      <c r="T551" s="1" t="s">
        <v>490</v>
      </c>
      <c r="U551" s="1"/>
    </row>
    <row r="552" spans="1:21" ht="21" customHeight="1" x14ac:dyDescent="0.45">
      <c r="A552" s="14">
        <v>46236</v>
      </c>
      <c r="B552" s="1" t="s">
        <v>143</v>
      </c>
      <c r="C552" s="13">
        <v>46237.208333333336</v>
      </c>
      <c r="D552" s="13">
        <v>46237.21875</v>
      </c>
      <c r="E552" s="1" t="s">
        <v>321</v>
      </c>
      <c r="F552" s="12">
        <v>-36</v>
      </c>
      <c r="G552" s="12">
        <v>100</v>
      </c>
      <c r="H552" s="18"/>
      <c r="I552" s="12"/>
      <c r="J552" s="12"/>
      <c r="K552" s="13">
        <v>46236.541666666664</v>
      </c>
      <c r="L552" s="13">
        <v>46236.583333333336</v>
      </c>
      <c r="M552" s="1" t="s">
        <v>145</v>
      </c>
      <c r="N552" s="1"/>
      <c r="O552" s="1"/>
      <c r="P552" s="1" t="s">
        <v>527</v>
      </c>
      <c r="Q552" s="1" t="s">
        <v>147</v>
      </c>
      <c r="R552" s="1">
        <v>46237.083333333336</v>
      </c>
      <c r="S552" s="1"/>
      <c r="T552" s="1" t="s">
        <v>490</v>
      </c>
      <c r="U552" s="1"/>
    </row>
    <row r="553" spans="1:21" ht="21" customHeight="1" x14ac:dyDescent="0.45">
      <c r="A553" s="14">
        <v>46236</v>
      </c>
      <c r="B553" s="1" t="s">
        <v>149</v>
      </c>
      <c r="C553" s="13">
        <v>46237.208333333336</v>
      </c>
      <c r="D553" s="13">
        <v>46237.25</v>
      </c>
      <c r="E553" s="1" t="s">
        <v>321</v>
      </c>
      <c r="F553" s="12">
        <v>40</v>
      </c>
      <c r="G553" s="12">
        <v>40</v>
      </c>
      <c r="H553" s="18">
        <v>0.3125</v>
      </c>
      <c r="I553" s="12">
        <v>128</v>
      </c>
      <c r="J553" s="12">
        <v>40</v>
      </c>
      <c r="K553" s="13">
        <v>46236.375</v>
      </c>
      <c r="L553" s="13">
        <v>46236.416666666664</v>
      </c>
      <c r="M553" s="1" t="s">
        <v>145</v>
      </c>
      <c r="N553" s="1" t="s">
        <v>150</v>
      </c>
      <c r="O553" s="1" t="s">
        <v>151</v>
      </c>
      <c r="P553" s="1" t="s">
        <v>528</v>
      </c>
      <c r="Q553" s="1" t="s">
        <v>147</v>
      </c>
      <c r="R553" s="1">
        <v>46237.083333333336</v>
      </c>
      <c r="S553" s="1" t="s">
        <v>153</v>
      </c>
      <c r="T553" s="1" t="s">
        <v>490</v>
      </c>
      <c r="U553" s="1"/>
    </row>
    <row r="554" spans="1:21" ht="21" customHeight="1" x14ac:dyDescent="0.45">
      <c r="A554" s="14">
        <v>46236</v>
      </c>
      <c r="B554" s="1" t="s">
        <v>103</v>
      </c>
      <c r="C554" s="13">
        <v>46237.208333333336</v>
      </c>
      <c r="D554" s="13">
        <v>46237.25</v>
      </c>
      <c r="E554" s="1" t="s">
        <v>321</v>
      </c>
      <c r="F554" s="12">
        <v>24</v>
      </c>
      <c r="G554" s="12">
        <v>24</v>
      </c>
      <c r="H554" s="18">
        <v>0.13714285714285715</v>
      </c>
      <c r="I554" s="12">
        <v>175</v>
      </c>
      <c r="J554" s="12">
        <v>24</v>
      </c>
      <c r="K554" s="13">
        <v>46236.375</v>
      </c>
      <c r="L554" s="13">
        <v>46236.416666666664</v>
      </c>
      <c r="M554" s="1" t="s">
        <v>145</v>
      </c>
      <c r="N554" s="1" t="s">
        <v>154</v>
      </c>
      <c r="O554" s="1" t="s">
        <v>151</v>
      </c>
      <c r="P554" s="1" t="s">
        <v>529</v>
      </c>
      <c r="Q554" s="1" t="s">
        <v>147</v>
      </c>
      <c r="R554" s="1">
        <v>46237.083333333336</v>
      </c>
      <c r="S554" s="1"/>
      <c r="T554" s="1" t="s">
        <v>490</v>
      </c>
      <c r="U554" s="1"/>
    </row>
    <row r="555" spans="1:21" ht="21" customHeight="1" x14ac:dyDescent="0.45">
      <c r="A555" s="14">
        <v>46236</v>
      </c>
      <c r="B555" s="1" t="s">
        <v>101</v>
      </c>
      <c r="C555" s="13">
        <v>46237.208333333336</v>
      </c>
      <c r="D555" s="13">
        <v>46237.25</v>
      </c>
      <c r="E555" s="1" t="s">
        <v>321</v>
      </c>
      <c r="F555" s="12">
        <v>24</v>
      </c>
      <c r="G555" s="12">
        <v>24</v>
      </c>
      <c r="H555" s="18">
        <v>0.13714285714285715</v>
      </c>
      <c r="I555" s="12">
        <v>175</v>
      </c>
      <c r="J555" s="12">
        <v>24</v>
      </c>
      <c r="K555" s="13">
        <v>46236.375</v>
      </c>
      <c r="L555" s="13">
        <v>46236.416666666664</v>
      </c>
      <c r="M555" s="1" t="s">
        <v>145</v>
      </c>
      <c r="N555" s="1" t="s">
        <v>154</v>
      </c>
      <c r="O555" s="1" t="s">
        <v>151</v>
      </c>
      <c r="P555" s="1" t="s">
        <v>530</v>
      </c>
      <c r="Q555" s="1" t="s">
        <v>147</v>
      </c>
      <c r="R555" s="1">
        <v>46237.083333333336</v>
      </c>
      <c r="S555" s="1"/>
      <c r="T555" s="1" t="s">
        <v>490</v>
      </c>
      <c r="U555" s="1"/>
    </row>
    <row r="556" spans="1:21" ht="21" customHeight="1" x14ac:dyDescent="0.45">
      <c r="A556" s="14">
        <v>46236</v>
      </c>
      <c r="B556" s="1" t="s">
        <v>143</v>
      </c>
      <c r="C556" s="13">
        <v>46237.21875</v>
      </c>
      <c r="D556" s="13">
        <v>46237.229166666664</v>
      </c>
      <c r="E556" s="1" t="s">
        <v>321</v>
      </c>
      <c r="F556" s="12">
        <v>0</v>
      </c>
      <c r="G556" s="12">
        <v>100</v>
      </c>
      <c r="H556" s="18"/>
      <c r="I556" s="12"/>
      <c r="J556" s="12"/>
      <c r="K556" s="13">
        <v>46236.541666666664</v>
      </c>
      <c r="L556" s="13">
        <v>46236.583333333336</v>
      </c>
      <c r="M556" s="1" t="s">
        <v>145</v>
      </c>
      <c r="N556" s="1"/>
      <c r="O556" s="1"/>
      <c r="P556" s="1" t="s">
        <v>531</v>
      </c>
      <c r="Q556" s="1" t="s">
        <v>147</v>
      </c>
      <c r="R556" s="1">
        <v>46237.09375</v>
      </c>
      <c r="S556" s="1"/>
      <c r="T556" s="1" t="s">
        <v>490</v>
      </c>
      <c r="U556" s="1"/>
    </row>
    <row r="557" spans="1:21" ht="21" customHeight="1" x14ac:dyDescent="0.45">
      <c r="A557" s="14">
        <v>46236</v>
      </c>
      <c r="B557" s="1" t="s">
        <v>143</v>
      </c>
      <c r="C557" s="13">
        <v>46237.229166666664</v>
      </c>
      <c r="D557" s="13">
        <v>46237.239583333336</v>
      </c>
      <c r="E557" s="1" t="s">
        <v>321</v>
      </c>
      <c r="F557" s="12">
        <v>0</v>
      </c>
      <c r="G557" s="12">
        <v>100</v>
      </c>
      <c r="H557" s="18"/>
      <c r="I557" s="12"/>
      <c r="J557" s="12"/>
      <c r="K557" s="13">
        <v>46236.541666666664</v>
      </c>
      <c r="L557" s="13">
        <v>46236.583333333336</v>
      </c>
      <c r="M557" s="1" t="s">
        <v>145</v>
      </c>
      <c r="N557" s="1"/>
      <c r="O557" s="1"/>
      <c r="P557" s="1" t="s">
        <v>532</v>
      </c>
      <c r="Q557" s="1" t="s">
        <v>147</v>
      </c>
      <c r="R557" s="1">
        <v>46237.104166666664</v>
      </c>
      <c r="S557" s="1"/>
      <c r="T557" s="1" t="s">
        <v>490</v>
      </c>
      <c r="U557" s="1"/>
    </row>
    <row r="558" spans="1:21" ht="21" customHeight="1" x14ac:dyDescent="0.45">
      <c r="A558" s="14">
        <v>46236</v>
      </c>
      <c r="B558" s="1" t="s">
        <v>143</v>
      </c>
      <c r="C558" s="13">
        <v>46237.239583333336</v>
      </c>
      <c r="D558" s="13">
        <v>46237.25</v>
      </c>
      <c r="E558" s="1" t="s">
        <v>321</v>
      </c>
      <c r="F558" s="12">
        <v>0</v>
      </c>
      <c r="G558" s="12">
        <v>100</v>
      </c>
      <c r="H558" s="18"/>
      <c r="I558" s="12"/>
      <c r="J558" s="12"/>
      <c r="K558" s="13">
        <v>46236.541666666664</v>
      </c>
      <c r="L558" s="13">
        <v>46236.583333333336</v>
      </c>
      <c r="M558" s="1" t="s">
        <v>145</v>
      </c>
      <c r="N558" s="1"/>
      <c r="O558" s="1"/>
      <c r="P558" s="1" t="s">
        <v>533</v>
      </c>
      <c r="Q558" s="1" t="s">
        <v>147</v>
      </c>
      <c r="R558" s="1">
        <v>46237.114583333336</v>
      </c>
      <c r="S558" s="1"/>
      <c r="T558" s="1" t="s">
        <v>490</v>
      </c>
      <c r="U558" s="1"/>
    </row>
    <row r="559" spans="1:21" ht="21" customHeight="1" x14ac:dyDescent="0.45">
      <c r="A559" s="14">
        <v>46236</v>
      </c>
      <c r="B559" s="1" t="s">
        <v>143</v>
      </c>
      <c r="C559" s="13">
        <v>46237.25</v>
      </c>
      <c r="D559" s="13">
        <v>46237.260416666664</v>
      </c>
      <c r="E559" s="1" t="s">
        <v>321</v>
      </c>
      <c r="F559" s="12">
        <v>0</v>
      </c>
      <c r="G559" s="12">
        <v>100</v>
      </c>
      <c r="H559" s="18"/>
      <c r="I559" s="12"/>
      <c r="J559" s="12"/>
      <c r="K559" s="13">
        <v>46236.541666666664</v>
      </c>
      <c r="L559" s="13">
        <v>46236.583333333336</v>
      </c>
      <c r="M559" s="1" t="s">
        <v>145</v>
      </c>
      <c r="N559" s="1"/>
      <c r="O559" s="1"/>
      <c r="P559" s="1" t="s">
        <v>534</v>
      </c>
      <c r="Q559" s="1" t="s">
        <v>147</v>
      </c>
      <c r="R559" s="1">
        <v>46237.125</v>
      </c>
      <c r="S559" s="1"/>
      <c r="T559" s="1" t="s">
        <v>490</v>
      </c>
      <c r="U559" s="1"/>
    </row>
    <row r="560" spans="1:21" ht="21" customHeight="1" x14ac:dyDescent="0.45">
      <c r="A560" s="14">
        <v>46236</v>
      </c>
      <c r="B560" s="1" t="s">
        <v>149</v>
      </c>
      <c r="C560" s="13">
        <v>46237.25</v>
      </c>
      <c r="D560" s="13">
        <v>46237.291666666664</v>
      </c>
      <c r="E560" s="1" t="s">
        <v>321</v>
      </c>
      <c r="F560" s="12">
        <v>40</v>
      </c>
      <c r="G560" s="12">
        <v>40</v>
      </c>
      <c r="H560" s="18">
        <v>0.3125</v>
      </c>
      <c r="I560" s="12">
        <v>128</v>
      </c>
      <c r="J560" s="12">
        <v>40</v>
      </c>
      <c r="K560" s="13">
        <v>46236.375</v>
      </c>
      <c r="L560" s="13">
        <v>46236.416666666664</v>
      </c>
      <c r="M560" s="1" t="s">
        <v>145</v>
      </c>
      <c r="N560" s="1" t="s">
        <v>150</v>
      </c>
      <c r="O560" s="1" t="s">
        <v>151</v>
      </c>
      <c r="P560" s="1" t="s">
        <v>535</v>
      </c>
      <c r="Q560" s="1" t="s">
        <v>147</v>
      </c>
      <c r="R560" s="1">
        <v>46237.125</v>
      </c>
      <c r="S560" s="1" t="s">
        <v>153</v>
      </c>
      <c r="T560" s="1" t="s">
        <v>490</v>
      </c>
      <c r="U560" s="1"/>
    </row>
    <row r="561" spans="1:21" ht="21" customHeight="1" x14ac:dyDescent="0.45">
      <c r="A561" s="14">
        <v>46236</v>
      </c>
      <c r="B561" s="1" t="s">
        <v>103</v>
      </c>
      <c r="C561" s="13">
        <v>46237.25</v>
      </c>
      <c r="D561" s="13">
        <v>46237.291666666664</v>
      </c>
      <c r="E561" s="1" t="s">
        <v>321</v>
      </c>
      <c r="F561" s="12">
        <v>24</v>
      </c>
      <c r="G561" s="12">
        <v>24</v>
      </c>
      <c r="H561" s="18">
        <v>0.13714285714285715</v>
      </c>
      <c r="I561" s="12">
        <v>175</v>
      </c>
      <c r="J561" s="12">
        <v>24</v>
      </c>
      <c r="K561" s="13">
        <v>46236.375</v>
      </c>
      <c r="L561" s="13">
        <v>46236.416666666664</v>
      </c>
      <c r="M561" s="1" t="s">
        <v>145</v>
      </c>
      <c r="N561" s="1" t="s">
        <v>154</v>
      </c>
      <c r="O561" s="1" t="s">
        <v>151</v>
      </c>
      <c r="P561" s="1" t="s">
        <v>536</v>
      </c>
      <c r="Q561" s="1" t="s">
        <v>147</v>
      </c>
      <c r="R561" s="1">
        <v>46237.125</v>
      </c>
      <c r="S561" s="1"/>
      <c r="T561" s="1" t="s">
        <v>490</v>
      </c>
      <c r="U561" s="1"/>
    </row>
    <row r="562" spans="1:21" ht="21" customHeight="1" x14ac:dyDescent="0.45">
      <c r="A562" s="14">
        <v>46236</v>
      </c>
      <c r="B562" s="1" t="s">
        <v>101</v>
      </c>
      <c r="C562" s="13">
        <v>46237.25</v>
      </c>
      <c r="D562" s="13">
        <v>46237.291666666664</v>
      </c>
      <c r="E562" s="1" t="s">
        <v>321</v>
      </c>
      <c r="F562" s="12">
        <v>24</v>
      </c>
      <c r="G562" s="12">
        <v>24</v>
      </c>
      <c r="H562" s="18">
        <v>0.13714285714285715</v>
      </c>
      <c r="I562" s="12">
        <v>175</v>
      </c>
      <c r="J562" s="12">
        <v>24</v>
      </c>
      <c r="K562" s="13">
        <v>46236.375</v>
      </c>
      <c r="L562" s="13">
        <v>46236.416666666664</v>
      </c>
      <c r="M562" s="1" t="s">
        <v>145</v>
      </c>
      <c r="N562" s="1" t="s">
        <v>154</v>
      </c>
      <c r="O562" s="1" t="s">
        <v>151</v>
      </c>
      <c r="P562" s="1" t="s">
        <v>537</v>
      </c>
      <c r="Q562" s="1" t="s">
        <v>147</v>
      </c>
      <c r="R562" s="1">
        <v>46237.125</v>
      </c>
      <c r="S562" s="1"/>
      <c r="T562" s="1" t="s">
        <v>490</v>
      </c>
      <c r="U562" s="1"/>
    </row>
    <row r="563" spans="1:21" ht="21" customHeight="1" x14ac:dyDescent="0.45">
      <c r="A563" s="14">
        <v>46236</v>
      </c>
      <c r="B563" s="1" t="s">
        <v>143</v>
      </c>
      <c r="C563" s="13">
        <v>46237.260416666664</v>
      </c>
      <c r="D563" s="13">
        <v>46237.270833333336</v>
      </c>
      <c r="E563" s="1" t="s">
        <v>321</v>
      </c>
      <c r="F563" s="12">
        <v>24</v>
      </c>
      <c r="G563" s="12">
        <v>100</v>
      </c>
      <c r="H563" s="18"/>
      <c r="I563" s="12"/>
      <c r="J563" s="12"/>
      <c r="K563" s="13">
        <v>46236.541666666664</v>
      </c>
      <c r="L563" s="13">
        <v>46236.583333333336</v>
      </c>
      <c r="M563" s="1" t="s">
        <v>145</v>
      </c>
      <c r="N563" s="1"/>
      <c r="O563" s="1"/>
      <c r="P563" s="1" t="s">
        <v>538</v>
      </c>
      <c r="Q563" s="1" t="s">
        <v>147</v>
      </c>
      <c r="R563" s="1">
        <v>46237.135416666664</v>
      </c>
      <c r="S563" s="1"/>
      <c r="T563" s="1" t="s">
        <v>490</v>
      </c>
      <c r="U563" s="1"/>
    </row>
    <row r="564" spans="1:21" ht="21" customHeight="1" x14ac:dyDescent="0.45">
      <c r="A564" s="14">
        <v>46236</v>
      </c>
      <c r="B564" s="1" t="s">
        <v>143</v>
      </c>
      <c r="C564" s="13">
        <v>46237.270833333336</v>
      </c>
      <c r="D564" s="13">
        <v>46237.28125</v>
      </c>
      <c r="E564" s="1" t="s">
        <v>321</v>
      </c>
      <c r="F564" s="12">
        <v>0</v>
      </c>
      <c r="G564" s="12">
        <v>100</v>
      </c>
      <c r="H564" s="18"/>
      <c r="I564" s="12"/>
      <c r="J564" s="12"/>
      <c r="K564" s="13">
        <v>46236.541666666664</v>
      </c>
      <c r="L564" s="13">
        <v>46236.583333333336</v>
      </c>
      <c r="M564" s="1" t="s">
        <v>145</v>
      </c>
      <c r="N564" s="1"/>
      <c r="O564" s="1"/>
      <c r="P564" s="1" t="s">
        <v>539</v>
      </c>
      <c r="Q564" s="1" t="s">
        <v>147</v>
      </c>
      <c r="R564" s="1">
        <v>46237.145833333336</v>
      </c>
      <c r="S564" s="1"/>
      <c r="T564" s="1" t="s">
        <v>490</v>
      </c>
      <c r="U564" s="1"/>
    </row>
    <row r="565" spans="1:21" ht="21" customHeight="1" x14ac:dyDescent="0.45">
      <c r="A565" s="14">
        <v>46236</v>
      </c>
      <c r="B565" s="1" t="s">
        <v>143</v>
      </c>
      <c r="C565" s="13">
        <v>46237.28125</v>
      </c>
      <c r="D565" s="13">
        <v>46237.291666666664</v>
      </c>
      <c r="E565" s="1" t="s">
        <v>321</v>
      </c>
      <c r="F565" s="12">
        <v>24</v>
      </c>
      <c r="G565" s="12">
        <v>100</v>
      </c>
      <c r="H565" s="18"/>
      <c r="I565" s="12"/>
      <c r="J565" s="12"/>
      <c r="K565" s="13">
        <v>46236.541666666664</v>
      </c>
      <c r="L565" s="13">
        <v>46236.583333333336</v>
      </c>
      <c r="M565" s="1" t="s">
        <v>145</v>
      </c>
      <c r="N565" s="1"/>
      <c r="O565" s="1"/>
      <c r="P565" s="1" t="s">
        <v>540</v>
      </c>
      <c r="Q565" s="1" t="s">
        <v>147</v>
      </c>
      <c r="R565" s="1">
        <v>46237.15625</v>
      </c>
      <c r="S565" s="1"/>
      <c r="T565" s="1" t="s">
        <v>490</v>
      </c>
      <c r="U565" s="1"/>
    </row>
    <row r="566" spans="1:21" ht="21" customHeight="1" x14ac:dyDescent="0.45">
      <c r="A566" s="14">
        <v>46236</v>
      </c>
      <c r="B566" s="1" t="s">
        <v>143</v>
      </c>
      <c r="C566" s="13">
        <v>46237.291666666664</v>
      </c>
      <c r="D566" s="13">
        <v>46237.302083333336</v>
      </c>
      <c r="E566" s="1" t="s">
        <v>321</v>
      </c>
      <c r="F566" s="12">
        <v>59.999999999999993</v>
      </c>
      <c r="G566" s="12">
        <v>100</v>
      </c>
      <c r="H566" s="18"/>
      <c r="I566" s="12"/>
      <c r="J566" s="12"/>
      <c r="K566" s="13">
        <v>46236.541666666664</v>
      </c>
      <c r="L566" s="13">
        <v>46236.583333333336</v>
      </c>
      <c r="M566" s="1" t="s">
        <v>145</v>
      </c>
      <c r="N566" s="1"/>
      <c r="O566" s="1"/>
      <c r="P566" s="1" t="s">
        <v>541</v>
      </c>
      <c r="Q566" s="1" t="s">
        <v>147</v>
      </c>
      <c r="R566" s="1">
        <v>46237.166666666664</v>
      </c>
      <c r="S566" s="1"/>
      <c r="T566" s="1" t="s">
        <v>490</v>
      </c>
      <c r="U566" s="1"/>
    </row>
    <row r="567" spans="1:21" ht="21" customHeight="1" x14ac:dyDescent="0.45">
      <c r="A567" s="14">
        <v>46236</v>
      </c>
      <c r="B567" s="1" t="s">
        <v>149</v>
      </c>
      <c r="C567" s="13">
        <v>46237.291666666664</v>
      </c>
      <c r="D567" s="13">
        <v>46237.333333333336</v>
      </c>
      <c r="E567" s="1" t="s">
        <v>321</v>
      </c>
      <c r="F567" s="12">
        <v>40</v>
      </c>
      <c r="G567" s="12">
        <v>40</v>
      </c>
      <c r="H567" s="18">
        <v>0.3125</v>
      </c>
      <c r="I567" s="12">
        <v>128</v>
      </c>
      <c r="J567" s="12">
        <v>40</v>
      </c>
      <c r="K567" s="13">
        <v>46236.375</v>
      </c>
      <c r="L567" s="13">
        <v>46236.416666666664</v>
      </c>
      <c r="M567" s="1" t="s">
        <v>145</v>
      </c>
      <c r="N567" s="1" t="s">
        <v>150</v>
      </c>
      <c r="O567" s="1" t="s">
        <v>151</v>
      </c>
      <c r="P567" s="1" t="s">
        <v>542</v>
      </c>
      <c r="Q567" s="1" t="s">
        <v>147</v>
      </c>
      <c r="R567" s="1">
        <v>46237.166666666664</v>
      </c>
      <c r="S567" s="1" t="s">
        <v>153</v>
      </c>
      <c r="T567" s="1" t="s">
        <v>490</v>
      </c>
      <c r="U567" s="1"/>
    </row>
    <row r="568" spans="1:21" ht="21" customHeight="1" x14ac:dyDescent="0.45">
      <c r="A568" s="14">
        <v>46236</v>
      </c>
      <c r="B568" s="1" t="s">
        <v>103</v>
      </c>
      <c r="C568" s="13">
        <v>46237.291666666664</v>
      </c>
      <c r="D568" s="13">
        <v>46237.333333333336</v>
      </c>
      <c r="E568" s="1" t="s">
        <v>321</v>
      </c>
      <c r="F568" s="12">
        <v>0</v>
      </c>
      <c r="G568" s="12">
        <v>0</v>
      </c>
      <c r="H568" s="18">
        <v>0.13714285714285715</v>
      </c>
      <c r="I568" s="12">
        <v>175</v>
      </c>
      <c r="J568" s="12">
        <v>24</v>
      </c>
      <c r="K568" s="13">
        <v>46236.375</v>
      </c>
      <c r="L568" s="13">
        <v>46236.416666666664</v>
      </c>
      <c r="M568" s="1" t="s">
        <v>543</v>
      </c>
      <c r="N568" s="1" t="s">
        <v>154</v>
      </c>
      <c r="O568" s="1" t="s">
        <v>151</v>
      </c>
      <c r="P568" s="1" t="s">
        <v>544</v>
      </c>
      <c r="Q568" s="1" t="s">
        <v>147</v>
      </c>
      <c r="R568" s="1">
        <v>46237.166666666664</v>
      </c>
      <c r="S568" s="1"/>
      <c r="T568" s="1" t="s">
        <v>490</v>
      </c>
      <c r="U568" s="1"/>
    </row>
    <row r="569" spans="1:21" ht="21" customHeight="1" x14ac:dyDescent="0.45">
      <c r="A569" s="14">
        <v>46236</v>
      </c>
      <c r="B569" s="1" t="s">
        <v>101</v>
      </c>
      <c r="C569" s="13">
        <v>46237.291666666664</v>
      </c>
      <c r="D569" s="13">
        <v>46237.333333333336</v>
      </c>
      <c r="E569" s="1" t="s">
        <v>321</v>
      </c>
      <c r="F569" s="12">
        <v>0</v>
      </c>
      <c r="G569" s="12">
        <v>0</v>
      </c>
      <c r="H569" s="18">
        <v>0.13714285714285715</v>
      </c>
      <c r="I569" s="12">
        <v>175</v>
      </c>
      <c r="J569" s="12">
        <v>24</v>
      </c>
      <c r="K569" s="13">
        <v>46236.375</v>
      </c>
      <c r="L569" s="13">
        <v>46236.416666666664</v>
      </c>
      <c r="M569" s="1" t="s">
        <v>543</v>
      </c>
      <c r="N569" s="1" t="s">
        <v>154</v>
      </c>
      <c r="O569" s="1" t="s">
        <v>151</v>
      </c>
      <c r="P569" s="1" t="s">
        <v>545</v>
      </c>
      <c r="Q569" s="1" t="s">
        <v>147</v>
      </c>
      <c r="R569" s="1">
        <v>46237.166666666664</v>
      </c>
      <c r="S569" s="1"/>
      <c r="T569" s="1" t="s">
        <v>490</v>
      </c>
      <c r="U569" s="1"/>
    </row>
    <row r="570" spans="1:21" ht="21" customHeight="1" x14ac:dyDescent="0.45">
      <c r="A570" s="14">
        <v>46236</v>
      </c>
      <c r="B570" s="1" t="s">
        <v>143</v>
      </c>
      <c r="C570" s="13">
        <v>46237.302083333336</v>
      </c>
      <c r="D570" s="13">
        <v>46237.3125</v>
      </c>
      <c r="E570" s="1" t="s">
        <v>321</v>
      </c>
      <c r="F570" s="12">
        <v>27.745808091428653</v>
      </c>
      <c r="G570" s="12">
        <v>100</v>
      </c>
      <c r="H570" s="18"/>
      <c r="I570" s="12"/>
      <c r="J570" s="12"/>
      <c r="K570" s="13">
        <v>46236.541666666664</v>
      </c>
      <c r="L570" s="13">
        <v>46236.583333333336</v>
      </c>
      <c r="M570" s="1" t="s">
        <v>145</v>
      </c>
      <c r="N570" s="1"/>
      <c r="O570" s="1"/>
      <c r="P570" s="1" t="s">
        <v>546</v>
      </c>
      <c r="Q570" s="1" t="s">
        <v>147</v>
      </c>
      <c r="R570" s="1">
        <v>46237.177083333336</v>
      </c>
      <c r="S570" s="1"/>
      <c r="T570" s="1" t="s">
        <v>490</v>
      </c>
      <c r="U570" s="1"/>
    </row>
    <row r="571" spans="1:21" ht="21" customHeight="1" x14ac:dyDescent="0.45">
      <c r="A571" s="14">
        <v>46236</v>
      </c>
      <c r="B571" s="1" t="s">
        <v>143</v>
      </c>
      <c r="C571" s="13">
        <v>46237.3125</v>
      </c>
      <c r="D571" s="13">
        <v>46237.322916666664</v>
      </c>
      <c r="E571" s="1" t="s">
        <v>321</v>
      </c>
      <c r="F571" s="12">
        <v>0</v>
      </c>
      <c r="G571" s="12">
        <v>100</v>
      </c>
      <c r="H571" s="18"/>
      <c r="I571" s="12"/>
      <c r="J571" s="12"/>
      <c r="K571" s="13">
        <v>46236.541666666664</v>
      </c>
      <c r="L571" s="13">
        <v>46236.583333333336</v>
      </c>
      <c r="M571" s="1" t="s">
        <v>145</v>
      </c>
      <c r="N571" s="1"/>
      <c r="O571" s="1"/>
      <c r="P571" s="1" t="s">
        <v>547</v>
      </c>
      <c r="Q571" s="1" t="s">
        <v>147</v>
      </c>
      <c r="R571" s="1">
        <v>46237.1875</v>
      </c>
      <c r="S571" s="1"/>
      <c r="T571" s="1" t="s">
        <v>490</v>
      </c>
      <c r="U571" s="1"/>
    </row>
    <row r="572" spans="1:21" ht="21" customHeight="1" x14ac:dyDescent="0.45">
      <c r="A572" s="14">
        <v>46236</v>
      </c>
      <c r="B572" s="1" t="s">
        <v>143</v>
      </c>
      <c r="C572" s="13">
        <v>46237.322916666664</v>
      </c>
      <c r="D572" s="13">
        <v>46237.333333333336</v>
      </c>
      <c r="E572" s="1" t="s">
        <v>321</v>
      </c>
      <c r="F572" s="12">
        <v>0</v>
      </c>
      <c r="G572" s="12">
        <v>100</v>
      </c>
      <c r="H572" s="18"/>
      <c r="I572" s="12"/>
      <c r="J572" s="12"/>
      <c r="K572" s="13">
        <v>46236.541666666664</v>
      </c>
      <c r="L572" s="13">
        <v>46236.583333333336</v>
      </c>
      <c r="M572" s="1" t="s">
        <v>145</v>
      </c>
      <c r="N572" s="1"/>
      <c r="O572" s="1"/>
      <c r="P572" s="1" t="s">
        <v>548</v>
      </c>
      <c r="Q572" s="1" t="s">
        <v>147</v>
      </c>
      <c r="R572" s="1">
        <v>46237.197916666664</v>
      </c>
      <c r="S572" s="1"/>
      <c r="T572" s="1" t="s">
        <v>490</v>
      </c>
      <c r="U572" s="1"/>
    </row>
    <row r="573" spans="1:21" ht="21" customHeight="1" x14ac:dyDescent="0.45">
      <c r="A573" s="14">
        <v>46236</v>
      </c>
      <c r="B573" s="1" t="s">
        <v>143</v>
      </c>
      <c r="C573" s="13">
        <v>46237.333333333336</v>
      </c>
      <c r="D573" s="13">
        <v>46237.34375</v>
      </c>
      <c r="E573" s="1" t="s">
        <v>321</v>
      </c>
      <c r="F573" s="12">
        <v>0</v>
      </c>
      <c r="G573" s="12">
        <v>100</v>
      </c>
      <c r="H573" s="18"/>
      <c r="I573" s="12"/>
      <c r="J573" s="12"/>
      <c r="K573" s="13">
        <v>46236.541666666664</v>
      </c>
      <c r="L573" s="13">
        <v>46236.583333333336</v>
      </c>
      <c r="M573" s="1" t="s">
        <v>145</v>
      </c>
      <c r="N573" s="1"/>
      <c r="O573" s="1"/>
      <c r="P573" s="1" t="s">
        <v>549</v>
      </c>
      <c r="Q573" s="1" t="s">
        <v>147</v>
      </c>
      <c r="R573" s="1">
        <v>46237.208333333336</v>
      </c>
      <c r="S573" s="1"/>
      <c r="T573" s="1" t="s">
        <v>490</v>
      </c>
      <c r="U573" s="1"/>
    </row>
    <row r="574" spans="1:21" ht="21" customHeight="1" x14ac:dyDescent="0.45">
      <c r="A574" s="14">
        <v>46236</v>
      </c>
      <c r="B574" s="1" t="s">
        <v>149</v>
      </c>
      <c r="C574" s="13">
        <v>46237.333333333336</v>
      </c>
      <c r="D574" s="13">
        <v>46237.375</v>
      </c>
      <c r="E574" s="1" t="s">
        <v>321</v>
      </c>
      <c r="F574" s="12">
        <v>40</v>
      </c>
      <c r="G574" s="12">
        <v>40</v>
      </c>
      <c r="H574" s="18">
        <v>0.3125</v>
      </c>
      <c r="I574" s="12">
        <v>128</v>
      </c>
      <c r="J574" s="12">
        <v>40</v>
      </c>
      <c r="K574" s="13">
        <v>46236.375</v>
      </c>
      <c r="L574" s="13">
        <v>46236.416666666664</v>
      </c>
      <c r="M574" s="1" t="s">
        <v>145</v>
      </c>
      <c r="N574" s="1" t="s">
        <v>150</v>
      </c>
      <c r="O574" s="1" t="s">
        <v>151</v>
      </c>
      <c r="P574" s="1" t="s">
        <v>550</v>
      </c>
      <c r="Q574" s="1" t="s">
        <v>147</v>
      </c>
      <c r="R574" s="1">
        <v>46237.208333333336</v>
      </c>
      <c r="S574" s="1" t="s">
        <v>153</v>
      </c>
      <c r="T574" s="1" t="s">
        <v>490</v>
      </c>
      <c r="U574" s="1"/>
    </row>
    <row r="575" spans="1:21" ht="21" customHeight="1" x14ac:dyDescent="0.45">
      <c r="A575" s="14">
        <v>46236</v>
      </c>
      <c r="B575" s="1" t="s">
        <v>103</v>
      </c>
      <c r="C575" s="13">
        <v>46237.333333333336</v>
      </c>
      <c r="D575" s="13">
        <v>46237.375</v>
      </c>
      <c r="E575" s="1" t="s">
        <v>321</v>
      </c>
      <c r="F575" s="12">
        <v>24</v>
      </c>
      <c r="G575" s="12">
        <v>24</v>
      </c>
      <c r="H575" s="18">
        <v>0.13714285714285715</v>
      </c>
      <c r="I575" s="12">
        <v>175</v>
      </c>
      <c r="J575" s="12">
        <v>24</v>
      </c>
      <c r="K575" s="13">
        <v>46236.375</v>
      </c>
      <c r="L575" s="13">
        <v>46236.416666666664</v>
      </c>
      <c r="M575" s="1" t="s">
        <v>145</v>
      </c>
      <c r="N575" s="1" t="s">
        <v>154</v>
      </c>
      <c r="O575" s="1" t="s">
        <v>151</v>
      </c>
      <c r="P575" s="1" t="s">
        <v>551</v>
      </c>
      <c r="Q575" s="1" t="s">
        <v>147</v>
      </c>
      <c r="R575" s="1">
        <v>46237.208333333336</v>
      </c>
      <c r="S575" s="1"/>
      <c r="T575" s="1" t="s">
        <v>490</v>
      </c>
      <c r="U575" s="1"/>
    </row>
    <row r="576" spans="1:21" ht="21" customHeight="1" x14ac:dyDescent="0.45">
      <c r="A576" s="14">
        <v>46236</v>
      </c>
      <c r="B576" s="1" t="s">
        <v>101</v>
      </c>
      <c r="C576" s="13">
        <v>46237.333333333336</v>
      </c>
      <c r="D576" s="13">
        <v>46237.375</v>
      </c>
      <c r="E576" s="1" t="s">
        <v>321</v>
      </c>
      <c r="F576" s="12">
        <v>24</v>
      </c>
      <c r="G576" s="12">
        <v>24</v>
      </c>
      <c r="H576" s="18">
        <v>0.13714285714285715</v>
      </c>
      <c r="I576" s="12">
        <v>175</v>
      </c>
      <c r="J576" s="12">
        <v>24</v>
      </c>
      <c r="K576" s="13">
        <v>46236.375</v>
      </c>
      <c r="L576" s="13">
        <v>46236.416666666664</v>
      </c>
      <c r="M576" s="1" t="s">
        <v>145</v>
      </c>
      <c r="N576" s="1" t="s">
        <v>154</v>
      </c>
      <c r="O576" s="1" t="s">
        <v>151</v>
      </c>
      <c r="P576" s="1" t="s">
        <v>552</v>
      </c>
      <c r="Q576" s="1" t="s">
        <v>147</v>
      </c>
      <c r="R576" s="1">
        <v>46237.208333333336</v>
      </c>
      <c r="S576" s="1"/>
      <c r="T576" s="1" t="s">
        <v>490</v>
      </c>
      <c r="U576" s="1"/>
    </row>
    <row r="577" spans="1:21" ht="21" customHeight="1" x14ac:dyDescent="0.45">
      <c r="A577" s="14">
        <v>46236</v>
      </c>
      <c r="B577" s="1" t="s">
        <v>143</v>
      </c>
      <c r="C577" s="13">
        <v>46237.34375</v>
      </c>
      <c r="D577" s="13">
        <v>46237.354166666664</v>
      </c>
      <c r="E577" s="1" t="s">
        <v>321</v>
      </c>
      <c r="F577" s="12">
        <v>0</v>
      </c>
      <c r="G577" s="12">
        <v>100</v>
      </c>
      <c r="H577" s="18"/>
      <c r="I577" s="12"/>
      <c r="J577" s="12"/>
      <c r="K577" s="13">
        <v>46236.541666666664</v>
      </c>
      <c r="L577" s="13">
        <v>46236.583333333336</v>
      </c>
      <c r="M577" s="1" t="s">
        <v>145</v>
      </c>
      <c r="N577" s="1"/>
      <c r="O577" s="1"/>
      <c r="P577" s="1" t="s">
        <v>553</v>
      </c>
      <c r="Q577" s="1" t="s">
        <v>147</v>
      </c>
      <c r="R577" s="1">
        <v>46237.21875</v>
      </c>
      <c r="S577" s="1"/>
      <c r="T577" s="1" t="s">
        <v>490</v>
      </c>
      <c r="U577" s="1"/>
    </row>
    <row r="578" spans="1:21" ht="21" customHeight="1" x14ac:dyDescent="0.45">
      <c r="A578" s="14">
        <v>46236</v>
      </c>
      <c r="B578" s="1" t="s">
        <v>143</v>
      </c>
      <c r="C578" s="13">
        <v>46237.354166666664</v>
      </c>
      <c r="D578" s="13">
        <v>46237.364583333336</v>
      </c>
      <c r="E578" s="1" t="s">
        <v>321</v>
      </c>
      <c r="F578" s="12">
        <v>0</v>
      </c>
      <c r="G578" s="12">
        <v>100</v>
      </c>
      <c r="H578" s="18"/>
      <c r="I578" s="12"/>
      <c r="J578" s="12"/>
      <c r="K578" s="13">
        <v>46236.541666666664</v>
      </c>
      <c r="L578" s="13">
        <v>46236.583333333336</v>
      </c>
      <c r="M578" s="1" t="s">
        <v>145</v>
      </c>
      <c r="N578" s="1"/>
      <c r="O578" s="1"/>
      <c r="P578" s="1" t="s">
        <v>554</v>
      </c>
      <c r="Q578" s="1" t="s">
        <v>147</v>
      </c>
      <c r="R578" s="1">
        <v>46237.229166666664</v>
      </c>
      <c r="S578" s="1"/>
      <c r="T578" s="1" t="s">
        <v>490</v>
      </c>
      <c r="U578" s="1"/>
    </row>
    <row r="579" spans="1:21" ht="21" customHeight="1" x14ac:dyDescent="0.45">
      <c r="A579" s="14">
        <v>46236</v>
      </c>
      <c r="B579" s="1" t="s">
        <v>143</v>
      </c>
      <c r="C579" s="13">
        <v>46237.364583333336</v>
      </c>
      <c r="D579" s="13">
        <v>46237.375</v>
      </c>
      <c r="E579" s="1" t="s">
        <v>321</v>
      </c>
      <c r="F579" s="12">
        <v>0</v>
      </c>
      <c r="G579" s="12">
        <v>100</v>
      </c>
      <c r="H579" s="18"/>
      <c r="I579" s="12"/>
      <c r="J579" s="12"/>
      <c r="K579" s="13">
        <v>46236.541666666664</v>
      </c>
      <c r="L579" s="13">
        <v>46236.583333333336</v>
      </c>
      <c r="M579" s="1" t="s">
        <v>145</v>
      </c>
      <c r="N579" s="1"/>
      <c r="O579" s="1"/>
      <c r="P579" s="1" t="s">
        <v>555</v>
      </c>
      <c r="Q579" s="1" t="s">
        <v>147</v>
      </c>
      <c r="R579" s="1">
        <v>46237.239583333336</v>
      </c>
      <c r="S579" s="1"/>
      <c r="T579" s="1" t="s">
        <v>490</v>
      </c>
      <c r="U579" s="1"/>
    </row>
    <row r="580" spans="1:21" ht="21" customHeight="1" x14ac:dyDescent="0.45">
      <c r="A580" s="14">
        <v>46236</v>
      </c>
      <c r="B580" s="1" t="s">
        <v>143</v>
      </c>
      <c r="C580" s="13">
        <v>46237.375</v>
      </c>
      <c r="D580" s="13">
        <v>46237.385416666664</v>
      </c>
      <c r="E580" s="1" t="s">
        <v>321</v>
      </c>
      <c r="F580" s="12">
        <v>0</v>
      </c>
      <c r="G580" s="12">
        <v>100</v>
      </c>
      <c r="H580" s="18"/>
      <c r="I580" s="12"/>
      <c r="J580" s="12"/>
      <c r="K580" s="13">
        <v>46236.541666666664</v>
      </c>
      <c r="L580" s="13">
        <v>46236.583333333336</v>
      </c>
      <c r="M580" s="1" t="s">
        <v>145</v>
      </c>
      <c r="N580" s="1"/>
      <c r="O580" s="1"/>
      <c r="P580" s="1" t="s">
        <v>556</v>
      </c>
      <c r="Q580" s="1" t="s">
        <v>147</v>
      </c>
      <c r="R580" s="1">
        <v>46237.25</v>
      </c>
      <c r="S580" s="1"/>
      <c r="T580" s="1" t="s">
        <v>490</v>
      </c>
      <c r="U580" s="1"/>
    </row>
    <row r="581" spans="1:21" ht="21" customHeight="1" x14ac:dyDescent="0.45">
      <c r="A581" s="14">
        <v>46236</v>
      </c>
      <c r="B581" s="1" t="s">
        <v>149</v>
      </c>
      <c r="C581" s="13">
        <v>46237.375</v>
      </c>
      <c r="D581" s="13">
        <v>46237.416666666664</v>
      </c>
      <c r="E581" s="1" t="s">
        <v>321</v>
      </c>
      <c r="F581" s="12">
        <v>40</v>
      </c>
      <c r="G581" s="12">
        <v>40</v>
      </c>
      <c r="H581" s="18">
        <v>0.3125</v>
      </c>
      <c r="I581" s="12">
        <v>128</v>
      </c>
      <c r="J581" s="12">
        <v>40</v>
      </c>
      <c r="K581" s="13">
        <v>46236.375</v>
      </c>
      <c r="L581" s="13">
        <v>46236.416666666664</v>
      </c>
      <c r="M581" s="1" t="s">
        <v>145</v>
      </c>
      <c r="N581" s="1" t="s">
        <v>150</v>
      </c>
      <c r="O581" s="1" t="s">
        <v>151</v>
      </c>
      <c r="P581" s="1" t="s">
        <v>557</v>
      </c>
      <c r="Q581" s="1" t="s">
        <v>147</v>
      </c>
      <c r="R581" s="1">
        <v>46237.25</v>
      </c>
      <c r="S581" s="1" t="s">
        <v>153</v>
      </c>
      <c r="T581" s="1" t="s">
        <v>490</v>
      </c>
      <c r="U581" s="1"/>
    </row>
    <row r="582" spans="1:21" ht="21" customHeight="1" x14ac:dyDescent="0.45">
      <c r="A582" s="14">
        <v>46236</v>
      </c>
      <c r="B582" s="1" t="s">
        <v>103</v>
      </c>
      <c r="C582" s="13">
        <v>46237.375</v>
      </c>
      <c r="D582" s="13">
        <v>46237.416666666664</v>
      </c>
      <c r="E582" s="1" t="s">
        <v>321</v>
      </c>
      <c r="F582" s="12">
        <v>24</v>
      </c>
      <c r="G582" s="12">
        <v>24</v>
      </c>
      <c r="H582" s="18">
        <v>0.13714285714285715</v>
      </c>
      <c r="I582" s="12">
        <v>175</v>
      </c>
      <c r="J582" s="12">
        <v>24</v>
      </c>
      <c r="K582" s="13">
        <v>46236.375</v>
      </c>
      <c r="L582" s="13">
        <v>46236.416666666664</v>
      </c>
      <c r="M582" s="1" t="s">
        <v>145</v>
      </c>
      <c r="N582" s="1" t="s">
        <v>154</v>
      </c>
      <c r="O582" s="1" t="s">
        <v>151</v>
      </c>
      <c r="P582" s="1" t="s">
        <v>558</v>
      </c>
      <c r="Q582" s="1" t="s">
        <v>147</v>
      </c>
      <c r="R582" s="1">
        <v>46237.25</v>
      </c>
      <c r="S582" s="1"/>
      <c r="T582" s="1" t="s">
        <v>490</v>
      </c>
      <c r="U582" s="1"/>
    </row>
    <row r="583" spans="1:21" ht="21" customHeight="1" x14ac:dyDescent="0.45">
      <c r="A583" s="14">
        <v>46236</v>
      </c>
      <c r="B583" s="1" t="s">
        <v>101</v>
      </c>
      <c r="C583" s="13">
        <v>46237.375</v>
      </c>
      <c r="D583" s="13">
        <v>46237.416666666664</v>
      </c>
      <c r="E583" s="1" t="s">
        <v>321</v>
      </c>
      <c r="F583" s="12">
        <v>24</v>
      </c>
      <c r="G583" s="12">
        <v>24</v>
      </c>
      <c r="H583" s="18">
        <v>0.13714285714285715</v>
      </c>
      <c r="I583" s="12">
        <v>175</v>
      </c>
      <c r="J583" s="12">
        <v>24</v>
      </c>
      <c r="K583" s="13">
        <v>46236.375</v>
      </c>
      <c r="L583" s="13">
        <v>46236.416666666664</v>
      </c>
      <c r="M583" s="1" t="s">
        <v>145</v>
      </c>
      <c r="N583" s="1" t="s">
        <v>154</v>
      </c>
      <c r="O583" s="1" t="s">
        <v>151</v>
      </c>
      <c r="P583" s="1" t="s">
        <v>559</v>
      </c>
      <c r="Q583" s="1" t="s">
        <v>147</v>
      </c>
      <c r="R583" s="1">
        <v>46237.25</v>
      </c>
      <c r="S583" s="1"/>
      <c r="T583" s="1" t="s">
        <v>490</v>
      </c>
      <c r="U583" s="1"/>
    </row>
    <row r="584" spans="1:21" ht="21" customHeight="1" x14ac:dyDescent="0.45">
      <c r="A584" s="14">
        <v>46236</v>
      </c>
      <c r="B584" s="1" t="s">
        <v>143</v>
      </c>
      <c r="C584" s="13">
        <v>46237.385416666664</v>
      </c>
      <c r="D584" s="13">
        <v>46237.395833333336</v>
      </c>
      <c r="E584" s="1" t="s">
        <v>321</v>
      </c>
      <c r="F584" s="12">
        <v>-1.7882285719252473</v>
      </c>
      <c r="G584" s="12">
        <v>100</v>
      </c>
      <c r="H584" s="18"/>
      <c r="I584" s="12"/>
      <c r="J584" s="12"/>
      <c r="K584" s="13">
        <v>46236.541666666664</v>
      </c>
      <c r="L584" s="13">
        <v>46236.583333333336</v>
      </c>
      <c r="M584" s="1" t="s">
        <v>145</v>
      </c>
      <c r="N584" s="1"/>
      <c r="O584" s="1"/>
      <c r="P584" s="1" t="s">
        <v>560</v>
      </c>
      <c r="Q584" s="1" t="s">
        <v>147</v>
      </c>
      <c r="R584" s="1">
        <v>46237.260416666664</v>
      </c>
      <c r="S584" s="1"/>
      <c r="T584" s="1" t="s">
        <v>490</v>
      </c>
      <c r="U584" s="1"/>
    </row>
    <row r="585" spans="1:21" ht="21" customHeight="1" x14ac:dyDescent="0.45">
      <c r="A585" s="14">
        <v>46236</v>
      </c>
      <c r="B585" s="1" t="s">
        <v>143</v>
      </c>
      <c r="C585" s="13">
        <v>46237.395833333336</v>
      </c>
      <c r="D585" s="13">
        <v>46237.40625</v>
      </c>
      <c r="E585" s="1" t="s">
        <v>321</v>
      </c>
      <c r="F585" s="12">
        <v>-8.1965928270460129</v>
      </c>
      <c r="G585" s="12">
        <v>100</v>
      </c>
      <c r="H585" s="18"/>
      <c r="I585" s="12"/>
      <c r="J585" s="12"/>
      <c r="K585" s="13">
        <v>46236.541666666664</v>
      </c>
      <c r="L585" s="13">
        <v>46236.583333333336</v>
      </c>
      <c r="M585" s="1" t="s">
        <v>145</v>
      </c>
      <c r="N585" s="1"/>
      <c r="O585" s="1"/>
      <c r="P585" s="1" t="s">
        <v>561</v>
      </c>
      <c r="Q585" s="1" t="s">
        <v>147</v>
      </c>
      <c r="R585" s="1">
        <v>46237.270833333336</v>
      </c>
      <c r="S585" s="1"/>
      <c r="T585" s="1" t="s">
        <v>490</v>
      </c>
      <c r="U585" s="1"/>
    </row>
    <row r="586" spans="1:21" ht="21" customHeight="1" x14ac:dyDescent="0.45">
      <c r="A586" s="14">
        <v>46236</v>
      </c>
      <c r="B586" s="1" t="s">
        <v>143</v>
      </c>
      <c r="C586" s="13">
        <v>46237.40625</v>
      </c>
      <c r="D586" s="13">
        <v>46237.416666666664</v>
      </c>
      <c r="E586" s="1" t="s">
        <v>321</v>
      </c>
      <c r="F586" s="12">
        <v>-36</v>
      </c>
      <c r="G586" s="12">
        <v>100</v>
      </c>
      <c r="H586" s="18"/>
      <c r="I586" s="12"/>
      <c r="J586" s="12"/>
      <c r="K586" s="13">
        <v>46236.541666666664</v>
      </c>
      <c r="L586" s="13">
        <v>46236.583333333336</v>
      </c>
      <c r="M586" s="1" t="s">
        <v>145</v>
      </c>
      <c r="N586" s="1"/>
      <c r="O586" s="1"/>
      <c r="P586" s="1" t="s">
        <v>562</v>
      </c>
      <c r="Q586" s="1" t="s">
        <v>147</v>
      </c>
      <c r="R586" s="1">
        <v>46237.28125</v>
      </c>
      <c r="S586" s="1"/>
      <c r="T586" s="1" t="s">
        <v>490</v>
      </c>
      <c r="U586" s="1"/>
    </row>
    <row r="587" spans="1:21" ht="21" customHeight="1" x14ac:dyDescent="0.45">
      <c r="A587" s="14">
        <v>46236</v>
      </c>
      <c r="B587" s="1" t="s">
        <v>143</v>
      </c>
      <c r="C587" s="13">
        <v>46237.416666666664</v>
      </c>
      <c r="D587" s="13">
        <v>46237.427083333336</v>
      </c>
      <c r="E587" s="1" t="s">
        <v>321</v>
      </c>
      <c r="F587" s="12">
        <v>36</v>
      </c>
      <c r="G587" s="12">
        <v>100</v>
      </c>
      <c r="H587" s="18"/>
      <c r="I587" s="12"/>
      <c r="J587" s="12"/>
      <c r="K587" s="13">
        <v>46236.541666666664</v>
      </c>
      <c r="L587" s="13">
        <v>46236.583333333336</v>
      </c>
      <c r="M587" s="1" t="s">
        <v>145</v>
      </c>
      <c r="N587" s="1"/>
      <c r="O587" s="1"/>
      <c r="P587" s="1" t="s">
        <v>563</v>
      </c>
      <c r="Q587" s="1" t="s">
        <v>147</v>
      </c>
      <c r="R587" s="1">
        <v>46237.291666666664</v>
      </c>
      <c r="S587" s="1"/>
      <c r="T587" s="1" t="s">
        <v>490</v>
      </c>
      <c r="U587" s="1"/>
    </row>
    <row r="588" spans="1:21" ht="21" customHeight="1" x14ac:dyDescent="0.45">
      <c r="A588" s="14">
        <v>46236</v>
      </c>
      <c r="B588" s="1" t="s">
        <v>149</v>
      </c>
      <c r="C588" s="13">
        <v>46237.416666666664</v>
      </c>
      <c r="D588" s="13">
        <v>46237.458333333336</v>
      </c>
      <c r="E588" s="1" t="s">
        <v>321</v>
      </c>
      <c r="F588" s="12">
        <v>40</v>
      </c>
      <c r="G588" s="12">
        <v>40</v>
      </c>
      <c r="H588" s="18">
        <v>0.3125</v>
      </c>
      <c r="I588" s="12">
        <v>128</v>
      </c>
      <c r="J588" s="12">
        <v>40</v>
      </c>
      <c r="K588" s="13">
        <v>46236.375</v>
      </c>
      <c r="L588" s="13">
        <v>46236.416666666664</v>
      </c>
      <c r="M588" s="1" t="s">
        <v>145</v>
      </c>
      <c r="N588" s="1" t="s">
        <v>150</v>
      </c>
      <c r="O588" s="1" t="s">
        <v>151</v>
      </c>
      <c r="P588" s="1" t="s">
        <v>564</v>
      </c>
      <c r="Q588" s="1" t="s">
        <v>147</v>
      </c>
      <c r="R588" s="1">
        <v>46237.291666666664</v>
      </c>
      <c r="S588" s="1" t="s">
        <v>153</v>
      </c>
      <c r="T588" s="1" t="s">
        <v>490</v>
      </c>
      <c r="U588" s="1"/>
    </row>
    <row r="589" spans="1:21" ht="21" customHeight="1" x14ac:dyDescent="0.45">
      <c r="A589" s="14">
        <v>46236</v>
      </c>
      <c r="B589" s="1" t="s">
        <v>103</v>
      </c>
      <c r="C589" s="13">
        <v>46237.416666666664</v>
      </c>
      <c r="D589" s="13">
        <v>46237.458333333336</v>
      </c>
      <c r="E589" s="1" t="s">
        <v>321</v>
      </c>
      <c r="F589" s="12">
        <v>24</v>
      </c>
      <c r="G589" s="12">
        <v>24</v>
      </c>
      <c r="H589" s="18">
        <v>0.13714285714285715</v>
      </c>
      <c r="I589" s="12">
        <v>175</v>
      </c>
      <c r="J589" s="12">
        <v>24</v>
      </c>
      <c r="K589" s="13">
        <v>46236.375</v>
      </c>
      <c r="L589" s="13">
        <v>46236.416666666664</v>
      </c>
      <c r="M589" s="1" t="s">
        <v>145</v>
      </c>
      <c r="N589" s="1" t="s">
        <v>154</v>
      </c>
      <c r="O589" s="1" t="s">
        <v>151</v>
      </c>
      <c r="P589" s="1" t="s">
        <v>565</v>
      </c>
      <c r="Q589" s="1" t="s">
        <v>147</v>
      </c>
      <c r="R589" s="1">
        <v>46237.291666666664</v>
      </c>
      <c r="S589" s="1"/>
      <c r="T589" s="1" t="s">
        <v>490</v>
      </c>
      <c r="U589" s="1"/>
    </row>
    <row r="590" spans="1:21" ht="21" customHeight="1" x14ac:dyDescent="0.45">
      <c r="A590" s="14">
        <v>46236</v>
      </c>
      <c r="B590" s="1" t="s">
        <v>101</v>
      </c>
      <c r="C590" s="13">
        <v>46237.416666666664</v>
      </c>
      <c r="D590" s="13">
        <v>46237.458333333336</v>
      </c>
      <c r="E590" s="1" t="s">
        <v>321</v>
      </c>
      <c r="F590" s="12">
        <v>24</v>
      </c>
      <c r="G590" s="12">
        <v>24</v>
      </c>
      <c r="H590" s="18">
        <v>0.13714285714285715</v>
      </c>
      <c r="I590" s="12">
        <v>175</v>
      </c>
      <c r="J590" s="12">
        <v>24</v>
      </c>
      <c r="K590" s="13">
        <v>46236.375</v>
      </c>
      <c r="L590" s="13">
        <v>46236.416666666664</v>
      </c>
      <c r="M590" s="1" t="s">
        <v>145</v>
      </c>
      <c r="N590" s="1" t="s">
        <v>154</v>
      </c>
      <c r="O590" s="1" t="s">
        <v>151</v>
      </c>
      <c r="P590" s="1" t="s">
        <v>566</v>
      </c>
      <c r="Q590" s="1" t="s">
        <v>147</v>
      </c>
      <c r="R590" s="1">
        <v>46237.291666666664</v>
      </c>
      <c r="S590" s="1"/>
      <c r="T590" s="1" t="s">
        <v>490</v>
      </c>
      <c r="U590" s="1"/>
    </row>
    <row r="591" spans="1:21" ht="21" customHeight="1" x14ac:dyDescent="0.45">
      <c r="A591" s="14">
        <v>46236</v>
      </c>
      <c r="B591" s="1" t="s">
        <v>143</v>
      </c>
      <c r="C591" s="13">
        <v>46237.427083333336</v>
      </c>
      <c r="D591" s="13">
        <v>46237.4375</v>
      </c>
      <c r="E591" s="1" t="s">
        <v>321</v>
      </c>
      <c r="F591" s="12">
        <v>8.9012845657029107</v>
      </c>
      <c r="G591" s="12">
        <v>100</v>
      </c>
      <c r="H591" s="18"/>
      <c r="I591" s="12"/>
      <c r="J591" s="12"/>
      <c r="K591" s="13">
        <v>46236.541666666664</v>
      </c>
      <c r="L591" s="13">
        <v>46236.583333333336</v>
      </c>
      <c r="M591" s="1" t="s">
        <v>145</v>
      </c>
      <c r="N591" s="1"/>
      <c r="O591" s="1"/>
      <c r="P591" s="1" t="s">
        <v>567</v>
      </c>
      <c r="Q591" s="1" t="s">
        <v>147</v>
      </c>
      <c r="R591" s="1">
        <v>46237.302083333336</v>
      </c>
      <c r="S591" s="1"/>
      <c r="T591" s="1" t="s">
        <v>490</v>
      </c>
      <c r="U591" s="1"/>
    </row>
    <row r="592" spans="1:21" ht="21" customHeight="1" x14ac:dyDescent="0.45">
      <c r="A592" s="14">
        <v>46236</v>
      </c>
      <c r="B592" s="1" t="s">
        <v>143</v>
      </c>
      <c r="C592" s="13">
        <v>46237.4375</v>
      </c>
      <c r="D592" s="13">
        <v>46237.447916666664</v>
      </c>
      <c r="E592" s="1" t="s">
        <v>321</v>
      </c>
      <c r="F592" s="12">
        <v>0</v>
      </c>
      <c r="G592" s="12">
        <v>100</v>
      </c>
      <c r="H592" s="18"/>
      <c r="I592" s="12"/>
      <c r="J592" s="12"/>
      <c r="K592" s="13">
        <v>46236.541666666664</v>
      </c>
      <c r="L592" s="13">
        <v>46236.583333333336</v>
      </c>
      <c r="M592" s="1" t="s">
        <v>145</v>
      </c>
      <c r="N592" s="1"/>
      <c r="O592" s="1"/>
      <c r="P592" s="1" t="s">
        <v>568</v>
      </c>
      <c r="Q592" s="1" t="s">
        <v>147</v>
      </c>
      <c r="R592" s="1">
        <v>46237.3125</v>
      </c>
      <c r="S592" s="1"/>
      <c r="T592" s="1" t="s">
        <v>490</v>
      </c>
      <c r="U592" s="1"/>
    </row>
    <row r="593" spans="1:21" ht="21" customHeight="1" x14ac:dyDescent="0.45">
      <c r="A593" s="14">
        <v>46236</v>
      </c>
      <c r="B593" s="1" t="s">
        <v>143</v>
      </c>
      <c r="C593" s="13">
        <v>46237.447916666664</v>
      </c>
      <c r="D593" s="13">
        <v>46237.458333333336</v>
      </c>
      <c r="E593" s="1" t="s">
        <v>321</v>
      </c>
      <c r="F593" s="12">
        <v>-36</v>
      </c>
      <c r="G593" s="12">
        <v>100</v>
      </c>
      <c r="H593" s="18"/>
      <c r="I593" s="12"/>
      <c r="J593" s="12"/>
      <c r="K593" s="13">
        <v>46236.541666666664</v>
      </c>
      <c r="L593" s="13">
        <v>46236.583333333336</v>
      </c>
      <c r="M593" s="1" t="s">
        <v>145</v>
      </c>
      <c r="N593" s="1"/>
      <c r="O593" s="1"/>
      <c r="P593" s="1" t="s">
        <v>569</v>
      </c>
      <c r="Q593" s="1" t="s">
        <v>147</v>
      </c>
      <c r="R593" s="1">
        <v>46237.322916666664</v>
      </c>
      <c r="S593" s="1"/>
      <c r="T593" s="1" t="s">
        <v>490</v>
      </c>
      <c r="U593" s="1"/>
    </row>
    <row r="594" spans="1:21" ht="21" customHeight="1" x14ac:dyDescent="0.45">
      <c r="A594" s="14">
        <v>46236</v>
      </c>
      <c r="B594" s="1" t="s">
        <v>143</v>
      </c>
      <c r="C594" s="13">
        <v>46237.458333333336</v>
      </c>
      <c r="D594" s="13">
        <v>46237.46875</v>
      </c>
      <c r="E594" s="1" t="s">
        <v>321</v>
      </c>
      <c r="F594" s="12">
        <v>-36</v>
      </c>
      <c r="G594" s="12">
        <v>100</v>
      </c>
      <c r="H594" s="18"/>
      <c r="I594" s="12"/>
      <c r="J594" s="12"/>
      <c r="K594" s="13">
        <v>46236.541666666664</v>
      </c>
      <c r="L594" s="13">
        <v>46236.583333333336</v>
      </c>
      <c r="M594" s="1" t="s">
        <v>145</v>
      </c>
      <c r="N594" s="1"/>
      <c r="O594" s="1"/>
      <c r="P594" s="1" t="s">
        <v>570</v>
      </c>
      <c r="Q594" s="1" t="s">
        <v>147</v>
      </c>
      <c r="R594" s="1">
        <v>46237.333333333336</v>
      </c>
      <c r="S594" s="1"/>
      <c r="T594" s="1" t="s">
        <v>490</v>
      </c>
      <c r="U594" s="1"/>
    </row>
    <row r="595" spans="1:21" ht="21" customHeight="1" x14ac:dyDescent="0.45">
      <c r="A595" s="14">
        <v>46236</v>
      </c>
      <c r="B595" s="1" t="s">
        <v>149</v>
      </c>
      <c r="C595" s="13">
        <v>46237.458333333336</v>
      </c>
      <c r="D595" s="13">
        <v>46237.5</v>
      </c>
      <c r="E595" s="1" t="s">
        <v>321</v>
      </c>
      <c r="F595" s="12">
        <v>40</v>
      </c>
      <c r="G595" s="12">
        <v>40</v>
      </c>
      <c r="H595" s="18">
        <v>0.3125</v>
      </c>
      <c r="I595" s="12">
        <v>128</v>
      </c>
      <c r="J595" s="12">
        <v>40</v>
      </c>
      <c r="K595" s="13">
        <v>46236.375</v>
      </c>
      <c r="L595" s="13">
        <v>46236.416666666664</v>
      </c>
      <c r="M595" s="1" t="s">
        <v>145</v>
      </c>
      <c r="N595" s="1" t="s">
        <v>150</v>
      </c>
      <c r="O595" s="1" t="s">
        <v>151</v>
      </c>
      <c r="P595" s="1" t="s">
        <v>571</v>
      </c>
      <c r="Q595" s="1" t="s">
        <v>147</v>
      </c>
      <c r="R595" s="1">
        <v>46237.333333333336</v>
      </c>
      <c r="S595" s="1" t="s">
        <v>153</v>
      </c>
      <c r="T595" s="1" t="s">
        <v>490</v>
      </c>
      <c r="U595" s="1"/>
    </row>
    <row r="596" spans="1:21" ht="21" customHeight="1" x14ac:dyDescent="0.45">
      <c r="A596" s="14">
        <v>46236</v>
      </c>
      <c r="B596" s="1" t="s">
        <v>103</v>
      </c>
      <c r="C596" s="13">
        <v>46237.458333333336</v>
      </c>
      <c r="D596" s="13">
        <v>46237.5</v>
      </c>
      <c r="E596" s="1" t="s">
        <v>321</v>
      </c>
      <c r="F596" s="12">
        <v>24</v>
      </c>
      <c r="G596" s="12">
        <v>24</v>
      </c>
      <c r="H596" s="18">
        <v>0.13714285714285715</v>
      </c>
      <c r="I596" s="12">
        <v>175</v>
      </c>
      <c r="J596" s="12">
        <v>24</v>
      </c>
      <c r="K596" s="13">
        <v>46236.375</v>
      </c>
      <c r="L596" s="13">
        <v>46236.416666666664</v>
      </c>
      <c r="M596" s="1" t="s">
        <v>145</v>
      </c>
      <c r="N596" s="1" t="s">
        <v>154</v>
      </c>
      <c r="O596" s="1" t="s">
        <v>151</v>
      </c>
      <c r="P596" s="1" t="s">
        <v>572</v>
      </c>
      <c r="Q596" s="1" t="s">
        <v>147</v>
      </c>
      <c r="R596" s="1">
        <v>46237.333333333336</v>
      </c>
      <c r="S596" s="1"/>
      <c r="T596" s="1" t="s">
        <v>490</v>
      </c>
      <c r="U596" s="1"/>
    </row>
    <row r="597" spans="1:21" ht="21" customHeight="1" x14ac:dyDescent="0.45">
      <c r="A597" s="14">
        <v>46236</v>
      </c>
      <c r="B597" s="1" t="s">
        <v>101</v>
      </c>
      <c r="C597" s="13">
        <v>46237.458333333336</v>
      </c>
      <c r="D597" s="13">
        <v>46237.5</v>
      </c>
      <c r="E597" s="1" t="s">
        <v>321</v>
      </c>
      <c r="F597" s="12">
        <v>24</v>
      </c>
      <c r="G597" s="12">
        <v>24</v>
      </c>
      <c r="H597" s="18">
        <v>0.13714285714285715</v>
      </c>
      <c r="I597" s="12">
        <v>175</v>
      </c>
      <c r="J597" s="12">
        <v>24</v>
      </c>
      <c r="K597" s="13">
        <v>46236.375</v>
      </c>
      <c r="L597" s="13">
        <v>46236.416666666664</v>
      </c>
      <c r="M597" s="1" t="s">
        <v>145</v>
      </c>
      <c r="N597" s="1" t="s">
        <v>154</v>
      </c>
      <c r="O597" s="1" t="s">
        <v>151</v>
      </c>
      <c r="P597" s="1" t="s">
        <v>573</v>
      </c>
      <c r="Q597" s="1" t="s">
        <v>147</v>
      </c>
      <c r="R597" s="1">
        <v>46237.333333333336</v>
      </c>
      <c r="S597" s="1"/>
      <c r="T597" s="1" t="s">
        <v>490</v>
      </c>
      <c r="U597" s="1"/>
    </row>
    <row r="598" spans="1:21" ht="21" customHeight="1" x14ac:dyDescent="0.45">
      <c r="A598" s="14">
        <v>46236</v>
      </c>
      <c r="B598" s="1" t="s">
        <v>143</v>
      </c>
      <c r="C598" s="13">
        <v>46237.46875</v>
      </c>
      <c r="D598" s="13">
        <v>46237.479166666664</v>
      </c>
      <c r="E598" s="1" t="s">
        <v>321</v>
      </c>
      <c r="F598" s="12">
        <v>0</v>
      </c>
      <c r="G598" s="12">
        <v>100</v>
      </c>
      <c r="H598" s="18"/>
      <c r="I598" s="12"/>
      <c r="J598" s="12"/>
      <c r="K598" s="13">
        <v>46236.541666666664</v>
      </c>
      <c r="L598" s="13">
        <v>46236.583333333336</v>
      </c>
      <c r="M598" s="1" t="s">
        <v>145</v>
      </c>
      <c r="N598" s="1"/>
      <c r="O598" s="1"/>
      <c r="P598" s="1" t="s">
        <v>574</v>
      </c>
      <c r="Q598" s="1" t="s">
        <v>147</v>
      </c>
      <c r="R598" s="1">
        <v>46237.34375</v>
      </c>
      <c r="S598" s="1"/>
      <c r="T598" s="1" t="s">
        <v>490</v>
      </c>
      <c r="U598" s="1"/>
    </row>
    <row r="599" spans="1:21" ht="21" customHeight="1" x14ac:dyDescent="0.45">
      <c r="A599" s="14">
        <v>46236</v>
      </c>
      <c r="B599" s="1" t="s">
        <v>143</v>
      </c>
      <c r="C599" s="13">
        <v>46237.479166666664</v>
      </c>
      <c r="D599" s="13">
        <v>46237.489583333336</v>
      </c>
      <c r="E599" s="1" t="s">
        <v>321</v>
      </c>
      <c r="F599" s="12">
        <v>0</v>
      </c>
      <c r="G599" s="12">
        <v>100</v>
      </c>
      <c r="H599" s="18"/>
      <c r="I599" s="12"/>
      <c r="J599" s="12"/>
      <c r="K599" s="13">
        <v>46236.541666666664</v>
      </c>
      <c r="L599" s="13">
        <v>46236.583333333336</v>
      </c>
      <c r="M599" s="1" t="s">
        <v>145</v>
      </c>
      <c r="N599" s="1"/>
      <c r="O599" s="1"/>
      <c r="P599" s="1" t="s">
        <v>575</v>
      </c>
      <c r="Q599" s="1" t="s">
        <v>147</v>
      </c>
      <c r="R599" s="1">
        <v>46237.354166666664</v>
      </c>
      <c r="S599" s="1"/>
      <c r="T599" s="1" t="s">
        <v>490</v>
      </c>
      <c r="U599" s="1"/>
    </row>
    <row r="600" spans="1:21" ht="21" customHeight="1" x14ac:dyDescent="0.45">
      <c r="A600" s="14">
        <v>46236</v>
      </c>
      <c r="B600" s="1" t="s">
        <v>143</v>
      </c>
      <c r="C600" s="13">
        <v>46237.489583333336</v>
      </c>
      <c r="D600" s="13">
        <v>46237.5</v>
      </c>
      <c r="E600" s="1" t="s">
        <v>321</v>
      </c>
      <c r="F600" s="12">
        <v>-36</v>
      </c>
      <c r="G600" s="12">
        <v>100</v>
      </c>
      <c r="H600" s="18"/>
      <c r="I600" s="12"/>
      <c r="J600" s="12"/>
      <c r="K600" s="13">
        <v>46236.541666666664</v>
      </c>
      <c r="L600" s="13">
        <v>46236.583333333336</v>
      </c>
      <c r="M600" s="1" t="s">
        <v>145</v>
      </c>
      <c r="N600" s="1"/>
      <c r="O600" s="1"/>
      <c r="P600" s="1" t="s">
        <v>576</v>
      </c>
      <c r="Q600" s="1" t="s">
        <v>147</v>
      </c>
      <c r="R600" s="1">
        <v>46237.364583333336</v>
      </c>
      <c r="S600" s="1"/>
      <c r="T600" s="1" t="s">
        <v>490</v>
      </c>
      <c r="U600" s="1"/>
    </row>
    <row r="601" spans="1:21" ht="21" customHeight="1" x14ac:dyDescent="0.45">
      <c r="A601" s="14">
        <v>46236</v>
      </c>
      <c r="B601" s="1" t="s">
        <v>143</v>
      </c>
      <c r="C601" s="13">
        <v>46237.5</v>
      </c>
      <c r="D601" s="13">
        <v>46237.510416666664</v>
      </c>
      <c r="E601" s="1" t="s">
        <v>321</v>
      </c>
      <c r="F601" s="12">
        <v>35.999999999999993</v>
      </c>
      <c r="G601" s="12">
        <v>100</v>
      </c>
      <c r="H601" s="18"/>
      <c r="I601" s="12"/>
      <c r="J601" s="12"/>
      <c r="K601" s="13">
        <v>46236.541666666664</v>
      </c>
      <c r="L601" s="13">
        <v>46236.583333333336</v>
      </c>
      <c r="M601" s="1" t="s">
        <v>145</v>
      </c>
      <c r="N601" s="1"/>
      <c r="O601" s="1"/>
      <c r="P601" s="1" t="s">
        <v>577</v>
      </c>
      <c r="Q601" s="1" t="s">
        <v>147</v>
      </c>
      <c r="R601" s="1">
        <v>46237.375</v>
      </c>
      <c r="S601" s="1"/>
      <c r="T601" s="1" t="s">
        <v>490</v>
      </c>
      <c r="U601" s="1"/>
    </row>
    <row r="602" spans="1:21" ht="21" customHeight="1" x14ac:dyDescent="0.45">
      <c r="A602" s="14">
        <v>46236</v>
      </c>
      <c r="B602" s="1" t="s">
        <v>149</v>
      </c>
      <c r="C602" s="13">
        <v>46237.5</v>
      </c>
      <c r="D602" s="13">
        <v>46237.541666666664</v>
      </c>
      <c r="E602" s="1" t="s">
        <v>321</v>
      </c>
      <c r="F602" s="12">
        <v>40</v>
      </c>
      <c r="G602" s="12">
        <v>40</v>
      </c>
      <c r="H602" s="18">
        <v>0.3125</v>
      </c>
      <c r="I602" s="12">
        <v>128</v>
      </c>
      <c r="J602" s="12">
        <v>40</v>
      </c>
      <c r="K602" s="13">
        <v>46236.375</v>
      </c>
      <c r="L602" s="13">
        <v>46236.416666666664</v>
      </c>
      <c r="M602" s="1" t="s">
        <v>145</v>
      </c>
      <c r="N602" s="1" t="s">
        <v>150</v>
      </c>
      <c r="O602" s="1" t="s">
        <v>151</v>
      </c>
      <c r="P602" s="1" t="s">
        <v>578</v>
      </c>
      <c r="Q602" s="1" t="s">
        <v>147</v>
      </c>
      <c r="R602" s="1">
        <v>46237.375</v>
      </c>
      <c r="S602" s="1" t="s">
        <v>153</v>
      </c>
      <c r="T602" s="1" t="s">
        <v>490</v>
      </c>
      <c r="U602" s="1"/>
    </row>
    <row r="603" spans="1:21" ht="21" customHeight="1" x14ac:dyDescent="0.45">
      <c r="A603" s="14">
        <v>46236</v>
      </c>
      <c r="B603" s="1" t="s">
        <v>103</v>
      </c>
      <c r="C603" s="13">
        <v>46237.5</v>
      </c>
      <c r="D603" s="13">
        <v>46237.541666666664</v>
      </c>
      <c r="E603" s="1" t="s">
        <v>321</v>
      </c>
      <c r="F603" s="12">
        <v>24</v>
      </c>
      <c r="G603" s="12">
        <v>24</v>
      </c>
      <c r="H603" s="18">
        <v>0.13714285714285715</v>
      </c>
      <c r="I603" s="12">
        <v>175</v>
      </c>
      <c r="J603" s="12">
        <v>24</v>
      </c>
      <c r="K603" s="13">
        <v>46236.375</v>
      </c>
      <c r="L603" s="13">
        <v>46236.416666666664</v>
      </c>
      <c r="M603" s="1" t="s">
        <v>145</v>
      </c>
      <c r="N603" s="1" t="s">
        <v>154</v>
      </c>
      <c r="O603" s="1" t="s">
        <v>151</v>
      </c>
      <c r="P603" s="1" t="s">
        <v>579</v>
      </c>
      <c r="Q603" s="1" t="s">
        <v>147</v>
      </c>
      <c r="R603" s="1">
        <v>46237.375</v>
      </c>
      <c r="S603" s="1"/>
      <c r="T603" s="1" t="s">
        <v>490</v>
      </c>
      <c r="U603" s="1"/>
    </row>
    <row r="604" spans="1:21" ht="21" customHeight="1" x14ac:dyDescent="0.45">
      <c r="A604" s="14">
        <v>46236</v>
      </c>
      <c r="B604" s="1" t="s">
        <v>101</v>
      </c>
      <c r="C604" s="13">
        <v>46237.5</v>
      </c>
      <c r="D604" s="13">
        <v>46237.541666666664</v>
      </c>
      <c r="E604" s="1" t="s">
        <v>321</v>
      </c>
      <c r="F604" s="12">
        <v>24</v>
      </c>
      <c r="G604" s="12">
        <v>24</v>
      </c>
      <c r="H604" s="18">
        <v>0.13714285714285715</v>
      </c>
      <c r="I604" s="12">
        <v>175</v>
      </c>
      <c r="J604" s="12">
        <v>24</v>
      </c>
      <c r="K604" s="13">
        <v>46236.375</v>
      </c>
      <c r="L604" s="13">
        <v>46236.416666666664</v>
      </c>
      <c r="M604" s="1" t="s">
        <v>145</v>
      </c>
      <c r="N604" s="1" t="s">
        <v>154</v>
      </c>
      <c r="O604" s="1" t="s">
        <v>151</v>
      </c>
      <c r="P604" s="1" t="s">
        <v>580</v>
      </c>
      <c r="Q604" s="1" t="s">
        <v>147</v>
      </c>
      <c r="R604" s="1">
        <v>46237.375</v>
      </c>
      <c r="S604" s="1"/>
      <c r="T604" s="1" t="s">
        <v>490</v>
      </c>
      <c r="U604" s="1"/>
    </row>
    <row r="605" spans="1:21" ht="21" customHeight="1" x14ac:dyDescent="0.45">
      <c r="A605" s="14">
        <v>46236</v>
      </c>
      <c r="B605" s="1" t="s">
        <v>143</v>
      </c>
      <c r="C605" s="13">
        <v>46237.510416666664</v>
      </c>
      <c r="D605" s="13">
        <v>46237.520833333336</v>
      </c>
      <c r="E605" s="1" t="s">
        <v>321</v>
      </c>
      <c r="F605" s="12">
        <v>0</v>
      </c>
      <c r="G605" s="12">
        <v>100</v>
      </c>
      <c r="H605" s="18"/>
      <c r="I605" s="12"/>
      <c r="J605" s="12"/>
      <c r="K605" s="13">
        <v>46236.541666666664</v>
      </c>
      <c r="L605" s="13">
        <v>46236.583333333336</v>
      </c>
      <c r="M605" s="1" t="s">
        <v>145</v>
      </c>
      <c r="N605" s="1"/>
      <c r="O605" s="1"/>
      <c r="P605" s="1" t="s">
        <v>581</v>
      </c>
      <c r="Q605" s="1" t="s">
        <v>147</v>
      </c>
      <c r="R605" s="1">
        <v>46237.385416666664</v>
      </c>
      <c r="S605" s="1"/>
      <c r="T605" s="1" t="s">
        <v>490</v>
      </c>
      <c r="U605" s="1"/>
    </row>
    <row r="606" spans="1:21" ht="21" customHeight="1" x14ac:dyDescent="0.45">
      <c r="A606" s="14">
        <v>46236</v>
      </c>
      <c r="B606" s="1" t="s">
        <v>143</v>
      </c>
      <c r="C606" s="13">
        <v>46237.520833333336</v>
      </c>
      <c r="D606" s="13">
        <v>46237.53125</v>
      </c>
      <c r="E606" s="1" t="s">
        <v>321</v>
      </c>
      <c r="F606" s="12">
        <v>-36</v>
      </c>
      <c r="G606" s="12">
        <v>100</v>
      </c>
      <c r="H606" s="18"/>
      <c r="I606" s="12"/>
      <c r="J606" s="12"/>
      <c r="K606" s="13">
        <v>46236.541666666664</v>
      </c>
      <c r="L606" s="13">
        <v>46236.583333333336</v>
      </c>
      <c r="M606" s="1" t="s">
        <v>145</v>
      </c>
      <c r="N606" s="1"/>
      <c r="O606" s="1"/>
      <c r="P606" s="1" t="s">
        <v>582</v>
      </c>
      <c r="Q606" s="1" t="s">
        <v>147</v>
      </c>
      <c r="R606" s="1">
        <v>46237.395833333336</v>
      </c>
      <c r="S606" s="1"/>
      <c r="T606" s="1" t="s">
        <v>490</v>
      </c>
      <c r="U606" s="1"/>
    </row>
    <row r="607" spans="1:21" ht="21" customHeight="1" x14ac:dyDescent="0.45">
      <c r="A607" s="14">
        <v>46236</v>
      </c>
      <c r="B607" s="1" t="s">
        <v>143</v>
      </c>
      <c r="C607" s="13">
        <v>46237.53125</v>
      </c>
      <c r="D607" s="13">
        <v>46237.541666666664</v>
      </c>
      <c r="E607" s="1" t="s">
        <v>321</v>
      </c>
      <c r="F607" s="12">
        <v>-36</v>
      </c>
      <c r="G607" s="12">
        <v>100</v>
      </c>
      <c r="H607" s="18"/>
      <c r="I607" s="12"/>
      <c r="J607" s="12"/>
      <c r="K607" s="13">
        <v>46236.541666666664</v>
      </c>
      <c r="L607" s="13">
        <v>46236.583333333336</v>
      </c>
      <c r="M607" s="1" t="s">
        <v>145</v>
      </c>
      <c r="N607" s="1"/>
      <c r="O607" s="1"/>
      <c r="P607" s="1" t="s">
        <v>583</v>
      </c>
      <c r="Q607" s="1" t="s">
        <v>147</v>
      </c>
      <c r="R607" s="1">
        <v>46237.40625</v>
      </c>
      <c r="S607" s="1"/>
      <c r="T607" s="1" t="s">
        <v>490</v>
      </c>
      <c r="U607" s="1"/>
    </row>
    <row r="608" spans="1:21" ht="21" customHeight="1" x14ac:dyDescent="0.45">
      <c r="A608" s="14">
        <v>46236</v>
      </c>
      <c r="B608" s="1" t="s">
        <v>143</v>
      </c>
      <c r="C608" s="13">
        <v>46237.541666666664</v>
      </c>
      <c r="D608" s="13">
        <v>46237.552083333336</v>
      </c>
      <c r="E608" s="1" t="s">
        <v>321</v>
      </c>
      <c r="F608" s="12">
        <v>-60</v>
      </c>
      <c r="G608" s="12">
        <v>100</v>
      </c>
      <c r="H608" s="18"/>
      <c r="I608" s="12"/>
      <c r="J608" s="12"/>
      <c r="K608" s="13">
        <v>46236.541666666664</v>
      </c>
      <c r="L608" s="13">
        <v>46236.583333333336</v>
      </c>
      <c r="M608" s="1" t="s">
        <v>145</v>
      </c>
      <c r="N608" s="1"/>
      <c r="O608" s="1"/>
      <c r="P608" s="1" t="s">
        <v>584</v>
      </c>
      <c r="Q608" s="1" t="s">
        <v>147</v>
      </c>
      <c r="R608" s="1">
        <v>46237.416666666664</v>
      </c>
      <c r="S608" s="1"/>
      <c r="T608" s="1" t="s">
        <v>490</v>
      </c>
      <c r="U608" s="1"/>
    </row>
    <row r="609" spans="1:21" ht="21" customHeight="1" x14ac:dyDescent="0.45">
      <c r="A609" s="14">
        <v>46236</v>
      </c>
      <c r="B609" s="1" t="s">
        <v>149</v>
      </c>
      <c r="C609" s="13">
        <v>46237.541666666664</v>
      </c>
      <c r="D609" s="13">
        <v>46237.583333333336</v>
      </c>
      <c r="E609" s="1" t="s">
        <v>321</v>
      </c>
      <c r="F609" s="12">
        <v>40</v>
      </c>
      <c r="G609" s="12">
        <v>40</v>
      </c>
      <c r="H609" s="18">
        <v>0.3125</v>
      </c>
      <c r="I609" s="12">
        <v>128</v>
      </c>
      <c r="J609" s="12">
        <v>40</v>
      </c>
      <c r="K609" s="13">
        <v>46236.375</v>
      </c>
      <c r="L609" s="13">
        <v>46236.416666666664</v>
      </c>
      <c r="M609" s="1" t="s">
        <v>145</v>
      </c>
      <c r="N609" s="1" t="s">
        <v>150</v>
      </c>
      <c r="O609" s="1" t="s">
        <v>151</v>
      </c>
      <c r="P609" s="1" t="s">
        <v>585</v>
      </c>
      <c r="Q609" s="1" t="s">
        <v>147</v>
      </c>
      <c r="R609" s="1">
        <v>46237.416666666664</v>
      </c>
      <c r="S609" s="1" t="s">
        <v>153</v>
      </c>
      <c r="T609" s="1" t="s">
        <v>490</v>
      </c>
      <c r="U609" s="1"/>
    </row>
    <row r="610" spans="1:21" ht="21" customHeight="1" x14ac:dyDescent="0.45">
      <c r="A610" s="14">
        <v>46236</v>
      </c>
      <c r="B610" s="1" t="s">
        <v>103</v>
      </c>
      <c r="C610" s="13">
        <v>46237.541666666664</v>
      </c>
      <c r="D610" s="13">
        <v>46237.583333333336</v>
      </c>
      <c r="E610" s="1" t="s">
        <v>321</v>
      </c>
      <c r="F610" s="12">
        <v>0</v>
      </c>
      <c r="G610" s="12">
        <v>24</v>
      </c>
      <c r="H610" s="18">
        <v>0.13714285714285715</v>
      </c>
      <c r="I610" s="12">
        <v>175</v>
      </c>
      <c r="J610" s="12">
        <v>24</v>
      </c>
      <c r="K610" s="13">
        <v>46236.375</v>
      </c>
      <c r="L610" s="13">
        <v>46236.416666666664</v>
      </c>
      <c r="M610" s="1" t="s">
        <v>145</v>
      </c>
      <c r="N610" s="1" t="s">
        <v>154</v>
      </c>
      <c r="O610" s="1" t="s">
        <v>151</v>
      </c>
      <c r="P610" s="1" t="s">
        <v>586</v>
      </c>
      <c r="Q610" s="1" t="s">
        <v>147</v>
      </c>
      <c r="R610" s="1">
        <v>46237.416666666664</v>
      </c>
      <c r="S610" s="1"/>
      <c r="T610" s="1" t="s">
        <v>490</v>
      </c>
      <c r="U610" s="1"/>
    </row>
    <row r="611" spans="1:21" ht="21" customHeight="1" x14ac:dyDescent="0.45">
      <c r="A611" s="14">
        <v>46236</v>
      </c>
      <c r="B611" s="1" t="s">
        <v>101</v>
      </c>
      <c r="C611" s="13">
        <v>46237.541666666664</v>
      </c>
      <c r="D611" s="13">
        <v>46237.583333333336</v>
      </c>
      <c r="E611" s="1" t="s">
        <v>321</v>
      </c>
      <c r="F611" s="12">
        <v>24</v>
      </c>
      <c r="G611" s="12">
        <v>24</v>
      </c>
      <c r="H611" s="18">
        <v>0.13714285714285715</v>
      </c>
      <c r="I611" s="12">
        <v>175</v>
      </c>
      <c r="J611" s="12">
        <v>24</v>
      </c>
      <c r="K611" s="13">
        <v>46236.375</v>
      </c>
      <c r="L611" s="13">
        <v>46236.416666666664</v>
      </c>
      <c r="M611" s="1" t="s">
        <v>145</v>
      </c>
      <c r="N611" s="1" t="s">
        <v>154</v>
      </c>
      <c r="O611" s="1" t="s">
        <v>151</v>
      </c>
      <c r="P611" s="1" t="s">
        <v>587</v>
      </c>
      <c r="Q611" s="1" t="s">
        <v>147</v>
      </c>
      <c r="R611" s="1">
        <v>46237.416666666664</v>
      </c>
      <c r="S611" s="1"/>
      <c r="T611" s="1" t="s">
        <v>490</v>
      </c>
      <c r="U611" s="1"/>
    </row>
    <row r="612" spans="1:21" ht="21" customHeight="1" x14ac:dyDescent="0.45">
      <c r="A612" s="14">
        <v>46236</v>
      </c>
      <c r="B612" s="1" t="s">
        <v>143</v>
      </c>
      <c r="C612" s="13">
        <v>46237.552083333336</v>
      </c>
      <c r="D612" s="13">
        <v>46237.5625</v>
      </c>
      <c r="E612" s="1" t="s">
        <v>321</v>
      </c>
      <c r="F612" s="12">
        <v>-60</v>
      </c>
      <c r="G612" s="12">
        <v>100</v>
      </c>
      <c r="H612" s="18"/>
      <c r="I612" s="12"/>
      <c r="J612" s="12"/>
      <c r="K612" s="13">
        <v>46236.541666666664</v>
      </c>
      <c r="L612" s="13">
        <v>46236.583333333336</v>
      </c>
      <c r="M612" s="1" t="s">
        <v>145</v>
      </c>
      <c r="N612" s="1"/>
      <c r="O612" s="1"/>
      <c r="P612" s="1" t="s">
        <v>588</v>
      </c>
      <c r="Q612" s="1" t="s">
        <v>147</v>
      </c>
      <c r="R612" s="1">
        <v>46237.427083333336</v>
      </c>
      <c r="S612" s="1"/>
      <c r="T612" s="1" t="s">
        <v>490</v>
      </c>
      <c r="U612" s="1"/>
    </row>
    <row r="613" spans="1:21" ht="21" customHeight="1" x14ac:dyDescent="0.45">
      <c r="A613" s="14">
        <v>46236</v>
      </c>
      <c r="B613" s="1" t="s">
        <v>143</v>
      </c>
      <c r="C613" s="13">
        <v>46237.5625</v>
      </c>
      <c r="D613" s="13">
        <v>46237.572916666664</v>
      </c>
      <c r="E613" s="1" t="s">
        <v>321</v>
      </c>
      <c r="F613" s="12">
        <v>-60</v>
      </c>
      <c r="G613" s="12">
        <v>100</v>
      </c>
      <c r="H613" s="18"/>
      <c r="I613" s="12"/>
      <c r="J613" s="12"/>
      <c r="K613" s="13">
        <v>46236.541666666664</v>
      </c>
      <c r="L613" s="13">
        <v>46236.583333333336</v>
      </c>
      <c r="M613" s="1" t="s">
        <v>145</v>
      </c>
      <c r="N613" s="1"/>
      <c r="O613" s="1"/>
      <c r="P613" s="1" t="s">
        <v>589</v>
      </c>
      <c r="Q613" s="1" t="s">
        <v>147</v>
      </c>
      <c r="R613" s="1">
        <v>46237.4375</v>
      </c>
      <c r="S613" s="1"/>
      <c r="T613" s="1" t="s">
        <v>490</v>
      </c>
      <c r="U613" s="1"/>
    </row>
    <row r="614" spans="1:21" ht="21" customHeight="1" x14ac:dyDescent="0.45">
      <c r="A614" s="14">
        <v>46236</v>
      </c>
      <c r="B614" s="1" t="s">
        <v>143</v>
      </c>
      <c r="C614" s="13">
        <v>46237.572916666664</v>
      </c>
      <c r="D614" s="13">
        <v>46237.583333333336</v>
      </c>
      <c r="E614" s="1" t="s">
        <v>321</v>
      </c>
      <c r="F614" s="12">
        <v>-60</v>
      </c>
      <c r="G614" s="12">
        <v>100</v>
      </c>
      <c r="H614" s="18"/>
      <c r="I614" s="12"/>
      <c r="J614" s="12"/>
      <c r="K614" s="13">
        <v>46236.541666666664</v>
      </c>
      <c r="L614" s="13">
        <v>46236.583333333336</v>
      </c>
      <c r="M614" s="1" t="s">
        <v>145</v>
      </c>
      <c r="N614" s="1"/>
      <c r="O614" s="1"/>
      <c r="P614" s="1" t="s">
        <v>590</v>
      </c>
      <c r="Q614" s="1" t="s">
        <v>147</v>
      </c>
      <c r="R614" s="1">
        <v>46237.447916666664</v>
      </c>
      <c r="S614" s="1"/>
      <c r="T614" s="1" t="s">
        <v>490</v>
      </c>
      <c r="U614" s="1"/>
    </row>
    <row r="615" spans="1:21" ht="21" customHeight="1" x14ac:dyDescent="0.45">
      <c r="A615" s="14">
        <v>46236</v>
      </c>
      <c r="B615" s="1" t="s">
        <v>143</v>
      </c>
      <c r="C615" s="13">
        <v>46237.583333333336</v>
      </c>
      <c r="D615" s="13">
        <v>46237.59375</v>
      </c>
      <c r="E615" s="1" t="s">
        <v>321</v>
      </c>
      <c r="F615" s="12">
        <v>-36</v>
      </c>
      <c r="G615" s="12">
        <v>100</v>
      </c>
      <c r="H615" s="18"/>
      <c r="I615" s="12"/>
      <c r="J615" s="12"/>
      <c r="K615" s="13">
        <v>46236.541666666664</v>
      </c>
      <c r="L615" s="13">
        <v>46236.583333333336</v>
      </c>
      <c r="M615" s="1" t="s">
        <v>145</v>
      </c>
      <c r="N615" s="1"/>
      <c r="O615" s="1"/>
      <c r="P615" s="1" t="s">
        <v>591</v>
      </c>
      <c r="Q615" s="1" t="s">
        <v>147</v>
      </c>
      <c r="R615" s="1">
        <v>46237.458333333336</v>
      </c>
      <c r="S615" s="1"/>
      <c r="T615" s="1" t="s">
        <v>490</v>
      </c>
      <c r="U615" s="1"/>
    </row>
    <row r="616" spans="1:21" ht="21" customHeight="1" x14ac:dyDescent="0.45">
      <c r="A616" s="14">
        <v>46236</v>
      </c>
      <c r="B616" s="1" t="s">
        <v>149</v>
      </c>
      <c r="C616" s="13">
        <v>46237.583333333336</v>
      </c>
      <c r="D616" s="13">
        <v>46237.625</v>
      </c>
      <c r="E616" s="1" t="s">
        <v>321</v>
      </c>
      <c r="F616" s="12">
        <v>40</v>
      </c>
      <c r="G616" s="12">
        <v>40</v>
      </c>
      <c r="H616" s="18">
        <v>0.3125</v>
      </c>
      <c r="I616" s="12">
        <v>128</v>
      </c>
      <c r="J616" s="12">
        <v>40</v>
      </c>
      <c r="K616" s="13">
        <v>46236.375</v>
      </c>
      <c r="L616" s="13">
        <v>46236.416666666664</v>
      </c>
      <c r="M616" s="1" t="s">
        <v>145</v>
      </c>
      <c r="N616" s="1" t="s">
        <v>150</v>
      </c>
      <c r="O616" s="1" t="s">
        <v>151</v>
      </c>
      <c r="P616" s="1" t="s">
        <v>592</v>
      </c>
      <c r="Q616" s="1" t="s">
        <v>147</v>
      </c>
      <c r="R616" s="1">
        <v>46237.458333333336</v>
      </c>
      <c r="S616" s="1" t="s">
        <v>153</v>
      </c>
      <c r="T616" s="1" t="s">
        <v>490</v>
      </c>
      <c r="U616" s="1"/>
    </row>
    <row r="617" spans="1:21" ht="21" customHeight="1" x14ac:dyDescent="0.45">
      <c r="A617" s="14">
        <v>46236</v>
      </c>
      <c r="B617" s="1" t="s">
        <v>103</v>
      </c>
      <c r="C617" s="13">
        <v>46237.583333333336</v>
      </c>
      <c r="D617" s="13">
        <v>46237.625</v>
      </c>
      <c r="E617" s="1" t="s">
        <v>321</v>
      </c>
      <c r="F617" s="12">
        <v>24</v>
      </c>
      <c r="G617" s="12">
        <v>24</v>
      </c>
      <c r="H617" s="18">
        <v>0.13714285714285715</v>
      </c>
      <c r="I617" s="12">
        <v>175</v>
      </c>
      <c r="J617" s="12">
        <v>24</v>
      </c>
      <c r="K617" s="13">
        <v>46236.375</v>
      </c>
      <c r="L617" s="13">
        <v>46236.416666666664</v>
      </c>
      <c r="M617" s="1" t="s">
        <v>145</v>
      </c>
      <c r="N617" s="1" t="s">
        <v>154</v>
      </c>
      <c r="O617" s="1" t="s">
        <v>151</v>
      </c>
      <c r="P617" s="1" t="s">
        <v>593</v>
      </c>
      <c r="Q617" s="1" t="s">
        <v>147</v>
      </c>
      <c r="R617" s="1">
        <v>46237.458333333336</v>
      </c>
      <c r="S617" s="1"/>
      <c r="T617" s="1" t="s">
        <v>490</v>
      </c>
      <c r="U617" s="1"/>
    </row>
    <row r="618" spans="1:21" ht="21" customHeight="1" x14ac:dyDescent="0.45">
      <c r="A618" s="14">
        <v>46236</v>
      </c>
      <c r="B618" s="1" t="s">
        <v>101</v>
      </c>
      <c r="C618" s="13">
        <v>46237.583333333336</v>
      </c>
      <c r="D618" s="13">
        <v>46237.625</v>
      </c>
      <c r="E618" s="1" t="s">
        <v>321</v>
      </c>
      <c r="F618" s="12">
        <v>24</v>
      </c>
      <c r="G618" s="12">
        <v>24</v>
      </c>
      <c r="H618" s="18">
        <v>0.13714285714285715</v>
      </c>
      <c r="I618" s="12">
        <v>175</v>
      </c>
      <c r="J618" s="12">
        <v>24</v>
      </c>
      <c r="K618" s="13">
        <v>46236.375</v>
      </c>
      <c r="L618" s="13">
        <v>46236.416666666664</v>
      </c>
      <c r="M618" s="1" t="s">
        <v>145</v>
      </c>
      <c r="N618" s="1" t="s">
        <v>154</v>
      </c>
      <c r="O618" s="1" t="s">
        <v>151</v>
      </c>
      <c r="P618" s="1" t="s">
        <v>594</v>
      </c>
      <c r="Q618" s="1" t="s">
        <v>147</v>
      </c>
      <c r="R618" s="1">
        <v>46237.458333333336</v>
      </c>
      <c r="S618" s="1"/>
      <c r="T618" s="1" t="s">
        <v>490</v>
      </c>
      <c r="U618" s="1"/>
    </row>
    <row r="619" spans="1:21" ht="21" customHeight="1" x14ac:dyDescent="0.45">
      <c r="A619" s="14">
        <v>46236</v>
      </c>
      <c r="B619" s="1" t="s">
        <v>143</v>
      </c>
      <c r="C619" s="13">
        <v>46237.59375</v>
      </c>
      <c r="D619" s="13">
        <v>46237.604166666664</v>
      </c>
      <c r="E619" s="1" t="s">
        <v>321</v>
      </c>
      <c r="F619" s="12">
        <v>0</v>
      </c>
      <c r="G619" s="12">
        <v>100</v>
      </c>
      <c r="H619" s="18"/>
      <c r="I619" s="12"/>
      <c r="J619" s="12"/>
      <c r="K619" s="13">
        <v>46236.541666666664</v>
      </c>
      <c r="L619" s="13">
        <v>46236.583333333336</v>
      </c>
      <c r="M619" s="1" t="s">
        <v>145</v>
      </c>
      <c r="N619" s="1"/>
      <c r="O619" s="1"/>
      <c r="P619" s="1" t="s">
        <v>595</v>
      </c>
      <c r="Q619" s="1" t="s">
        <v>147</v>
      </c>
      <c r="R619" s="1">
        <v>46237.46875</v>
      </c>
      <c r="S619" s="1"/>
      <c r="T619" s="1" t="s">
        <v>490</v>
      </c>
      <c r="U619" s="1"/>
    </row>
    <row r="620" spans="1:21" ht="21" customHeight="1" x14ac:dyDescent="0.45">
      <c r="A620" s="14">
        <v>46236</v>
      </c>
      <c r="B620" s="1" t="s">
        <v>143</v>
      </c>
      <c r="C620" s="13">
        <v>46237.604166666664</v>
      </c>
      <c r="D620" s="13">
        <v>46237.614583333336</v>
      </c>
      <c r="E620" s="1" t="s">
        <v>321</v>
      </c>
      <c r="F620" s="12">
        <v>-36</v>
      </c>
      <c r="G620" s="12">
        <v>100</v>
      </c>
      <c r="H620" s="18"/>
      <c r="I620" s="12"/>
      <c r="J620" s="12"/>
      <c r="K620" s="13">
        <v>46236.541666666664</v>
      </c>
      <c r="L620" s="13">
        <v>46236.583333333336</v>
      </c>
      <c r="M620" s="1" t="s">
        <v>145</v>
      </c>
      <c r="N620" s="1"/>
      <c r="O620" s="1"/>
      <c r="P620" s="1" t="s">
        <v>596</v>
      </c>
      <c r="Q620" s="1" t="s">
        <v>147</v>
      </c>
      <c r="R620" s="1">
        <v>46237.479166666664</v>
      </c>
      <c r="S620" s="1"/>
      <c r="T620" s="1" t="s">
        <v>490</v>
      </c>
      <c r="U620" s="1"/>
    </row>
    <row r="621" spans="1:21" ht="21" customHeight="1" x14ac:dyDescent="0.45">
      <c r="A621" s="14">
        <v>46236</v>
      </c>
      <c r="B621" s="1" t="s">
        <v>143</v>
      </c>
      <c r="C621" s="13">
        <v>46237.614583333336</v>
      </c>
      <c r="D621" s="13">
        <v>46237.625</v>
      </c>
      <c r="E621" s="1" t="s">
        <v>321</v>
      </c>
      <c r="F621" s="12">
        <v>-36</v>
      </c>
      <c r="G621" s="12">
        <v>100</v>
      </c>
      <c r="H621" s="18"/>
      <c r="I621" s="12"/>
      <c r="J621" s="12"/>
      <c r="K621" s="13">
        <v>46236.541666666664</v>
      </c>
      <c r="L621" s="13">
        <v>46236.583333333336</v>
      </c>
      <c r="M621" s="1" t="s">
        <v>145</v>
      </c>
      <c r="N621" s="1"/>
      <c r="O621" s="1"/>
      <c r="P621" s="1" t="s">
        <v>597</v>
      </c>
      <c r="Q621" s="1" t="s">
        <v>147</v>
      </c>
      <c r="R621" s="1">
        <v>46237.489583333336</v>
      </c>
      <c r="S621" s="1"/>
      <c r="T621" s="1" t="s">
        <v>490</v>
      </c>
      <c r="U621" s="1"/>
    </row>
    <row r="622" spans="1:21" ht="21" customHeight="1" x14ac:dyDescent="0.45">
      <c r="A622" s="14">
        <v>46236</v>
      </c>
      <c r="B622" s="1" t="s">
        <v>143</v>
      </c>
      <c r="C622" s="13">
        <v>46237.625</v>
      </c>
      <c r="D622" s="13">
        <v>46237.635416666664</v>
      </c>
      <c r="E622" s="1" t="s">
        <v>321</v>
      </c>
      <c r="F622" s="12">
        <v>-7.4878065877872357</v>
      </c>
      <c r="G622" s="12">
        <v>100</v>
      </c>
      <c r="H622" s="18"/>
      <c r="I622" s="12"/>
      <c r="J622" s="12"/>
      <c r="K622" s="13">
        <v>46236.541666666664</v>
      </c>
      <c r="L622" s="13">
        <v>46236.583333333336</v>
      </c>
      <c r="M622" s="1" t="s">
        <v>145</v>
      </c>
      <c r="N622" s="1"/>
      <c r="O622" s="1"/>
      <c r="P622" s="1" t="s">
        <v>598</v>
      </c>
      <c r="Q622" s="1" t="s">
        <v>147</v>
      </c>
      <c r="R622" s="1">
        <v>46237.5</v>
      </c>
      <c r="S622" s="1"/>
      <c r="T622" s="1" t="s">
        <v>490</v>
      </c>
      <c r="U622" s="1"/>
    </row>
    <row r="623" spans="1:21" ht="21" customHeight="1" x14ac:dyDescent="0.45">
      <c r="A623" s="14">
        <v>46236</v>
      </c>
      <c r="B623" s="1" t="s">
        <v>149</v>
      </c>
      <c r="C623" s="13">
        <v>46237.625</v>
      </c>
      <c r="D623" s="13">
        <v>46237.666666666664</v>
      </c>
      <c r="E623" s="1" t="s">
        <v>321</v>
      </c>
      <c r="F623" s="12">
        <v>40</v>
      </c>
      <c r="G623" s="12">
        <v>40</v>
      </c>
      <c r="H623" s="18">
        <v>0.3125</v>
      </c>
      <c r="I623" s="12">
        <v>128</v>
      </c>
      <c r="J623" s="12">
        <v>40</v>
      </c>
      <c r="K623" s="13">
        <v>46236.375</v>
      </c>
      <c r="L623" s="13">
        <v>46236.416666666664</v>
      </c>
      <c r="M623" s="1" t="s">
        <v>145</v>
      </c>
      <c r="N623" s="1" t="s">
        <v>150</v>
      </c>
      <c r="O623" s="1" t="s">
        <v>151</v>
      </c>
      <c r="P623" s="1" t="s">
        <v>599</v>
      </c>
      <c r="Q623" s="1" t="s">
        <v>147</v>
      </c>
      <c r="R623" s="1">
        <v>46237.5</v>
      </c>
      <c r="S623" s="1" t="s">
        <v>153</v>
      </c>
      <c r="T623" s="1" t="s">
        <v>490</v>
      </c>
      <c r="U623" s="1"/>
    </row>
    <row r="624" spans="1:21" ht="21" customHeight="1" x14ac:dyDescent="0.45">
      <c r="A624" s="14">
        <v>46236</v>
      </c>
      <c r="B624" s="1" t="s">
        <v>103</v>
      </c>
      <c r="C624" s="13">
        <v>46237.625</v>
      </c>
      <c r="D624" s="13">
        <v>46237.666666666664</v>
      </c>
      <c r="E624" s="1" t="s">
        <v>321</v>
      </c>
      <c r="F624" s="12">
        <v>24</v>
      </c>
      <c r="G624" s="12">
        <v>24</v>
      </c>
      <c r="H624" s="18">
        <v>0.13714285714285715</v>
      </c>
      <c r="I624" s="12">
        <v>175</v>
      </c>
      <c r="J624" s="12">
        <v>24</v>
      </c>
      <c r="K624" s="13">
        <v>46236.375</v>
      </c>
      <c r="L624" s="13">
        <v>46236.416666666664</v>
      </c>
      <c r="M624" s="1" t="s">
        <v>145</v>
      </c>
      <c r="N624" s="1" t="s">
        <v>154</v>
      </c>
      <c r="O624" s="1" t="s">
        <v>151</v>
      </c>
      <c r="P624" s="1" t="s">
        <v>600</v>
      </c>
      <c r="Q624" s="1" t="s">
        <v>147</v>
      </c>
      <c r="R624" s="1">
        <v>46237.5</v>
      </c>
      <c r="S624" s="1"/>
      <c r="T624" s="1" t="s">
        <v>490</v>
      </c>
      <c r="U624" s="1"/>
    </row>
    <row r="625" spans="1:21" ht="21" customHeight="1" x14ac:dyDescent="0.45">
      <c r="A625" s="14">
        <v>46236</v>
      </c>
      <c r="B625" s="1" t="s">
        <v>101</v>
      </c>
      <c r="C625" s="13">
        <v>46237.625</v>
      </c>
      <c r="D625" s="13">
        <v>46237.666666666664</v>
      </c>
      <c r="E625" s="1" t="s">
        <v>321</v>
      </c>
      <c r="F625" s="12">
        <v>24</v>
      </c>
      <c r="G625" s="12">
        <v>24</v>
      </c>
      <c r="H625" s="18">
        <v>0.13714285714285715</v>
      </c>
      <c r="I625" s="12">
        <v>175</v>
      </c>
      <c r="J625" s="12">
        <v>24</v>
      </c>
      <c r="K625" s="13">
        <v>46236.375</v>
      </c>
      <c r="L625" s="13">
        <v>46236.416666666664</v>
      </c>
      <c r="M625" s="1" t="s">
        <v>145</v>
      </c>
      <c r="N625" s="1" t="s">
        <v>154</v>
      </c>
      <c r="O625" s="1" t="s">
        <v>151</v>
      </c>
      <c r="P625" s="1" t="s">
        <v>601</v>
      </c>
      <c r="Q625" s="1" t="s">
        <v>147</v>
      </c>
      <c r="R625" s="1">
        <v>46237.5</v>
      </c>
      <c r="S625" s="1"/>
      <c r="T625" s="1" t="s">
        <v>490</v>
      </c>
      <c r="U625" s="1"/>
    </row>
    <row r="626" spans="1:21" ht="21" customHeight="1" x14ac:dyDescent="0.45">
      <c r="A626" s="14">
        <v>46236</v>
      </c>
      <c r="B626" s="1" t="s">
        <v>143</v>
      </c>
      <c r="C626" s="13">
        <v>46237.635416666664</v>
      </c>
      <c r="D626" s="13">
        <v>46237.645833333336</v>
      </c>
      <c r="E626" s="1" t="s">
        <v>321</v>
      </c>
      <c r="F626" s="12">
        <v>0.21685336230970481</v>
      </c>
      <c r="G626" s="12">
        <v>100</v>
      </c>
      <c r="H626" s="18"/>
      <c r="I626" s="12"/>
      <c r="J626" s="12"/>
      <c r="K626" s="13">
        <v>46236.541666666664</v>
      </c>
      <c r="L626" s="13">
        <v>46236.583333333336</v>
      </c>
      <c r="M626" s="1" t="s">
        <v>145</v>
      </c>
      <c r="N626" s="1"/>
      <c r="O626" s="1"/>
      <c r="P626" s="1" t="s">
        <v>602</v>
      </c>
      <c r="Q626" s="1" t="s">
        <v>147</v>
      </c>
      <c r="R626" s="1">
        <v>46237.510416666664</v>
      </c>
      <c r="S626" s="1"/>
      <c r="T626" s="1" t="s">
        <v>490</v>
      </c>
      <c r="U626" s="1"/>
    </row>
    <row r="627" spans="1:21" ht="21" customHeight="1" x14ac:dyDescent="0.45">
      <c r="A627" s="14">
        <v>46236</v>
      </c>
      <c r="B627" s="1" t="s">
        <v>143</v>
      </c>
      <c r="C627" s="13">
        <v>46237.645833333336</v>
      </c>
      <c r="D627" s="13">
        <v>46237.65625</v>
      </c>
      <c r="E627" s="1" t="s">
        <v>321</v>
      </c>
      <c r="F627" s="12">
        <v>0</v>
      </c>
      <c r="G627" s="12">
        <v>100</v>
      </c>
      <c r="H627" s="18"/>
      <c r="I627" s="12"/>
      <c r="J627" s="12"/>
      <c r="K627" s="13">
        <v>46236.541666666664</v>
      </c>
      <c r="L627" s="13">
        <v>46236.583333333336</v>
      </c>
      <c r="M627" s="1" t="s">
        <v>145</v>
      </c>
      <c r="N627" s="1"/>
      <c r="O627" s="1"/>
      <c r="P627" s="1" t="s">
        <v>603</v>
      </c>
      <c r="Q627" s="1" t="s">
        <v>147</v>
      </c>
      <c r="R627" s="1">
        <v>46237.520833333336</v>
      </c>
      <c r="S627" s="1"/>
      <c r="T627" s="1" t="s">
        <v>490</v>
      </c>
      <c r="U627" s="1"/>
    </row>
    <row r="628" spans="1:21" ht="21" customHeight="1" x14ac:dyDescent="0.45">
      <c r="A628" s="14">
        <v>46236</v>
      </c>
      <c r="B628" s="1" t="s">
        <v>143</v>
      </c>
      <c r="C628" s="13">
        <v>46237.65625</v>
      </c>
      <c r="D628" s="13">
        <v>46237.666666666664</v>
      </c>
      <c r="E628" s="1" t="s">
        <v>321</v>
      </c>
      <c r="F628" s="12">
        <v>0</v>
      </c>
      <c r="G628" s="12">
        <v>100</v>
      </c>
      <c r="H628" s="18"/>
      <c r="I628" s="12"/>
      <c r="J628" s="12"/>
      <c r="K628" s="13">
        <v>46236.541666666664</v>
      </c>
      <c r="L628" s="13">
        <v>46236.583333333336</v>
      </c>
      <c r="M628" s="1" t="s">
        <v>145</v>
      </c>
      <c r="N628" s="1"/>
      <c r="O628" s="1"/>
      <c r="P628" s="1" t="s">
        <v>604</v>
      </c>
      <c r="Q628" s="1" t="s">
        <v>147</v>
      </c>
      <c r="R628" s="1">
        <v>46237.53125</v>
      </c>
      <c r="S628" s="1"/>
      <c r="T628" s="1" t="s">
        <v>490</v>
      </c>
      <c r="U628" s="1"/>
    </row>
    <row r="629" spans="1:21" ht="21" customHeight="1" x14ac:dyDescent="0.45">
      <c r="A629" s="14">
        <v>46236</v>
      </c>
      <c r="B629" s="1" t="s">
        <v>143</v>
      </c>
      <c r="C629" s="13">
        <v>46237.666666666664</v>
      </c>
      <c r="D629" s="13">
        <v>46237.677083333336</v>
      </c>
      <c r="E629" s="1" t="s">
        <v>321</v>
      </c>
      <c r="F629" s="12">
        <v>-0.6945669568299605</v>
      </c>
      <c r="G629" s="12">
        <v>100</v>
      </c>
      <c r="H629" s="18"/>
      <c r="I629" s="12"/>
      <c r="J629" s="12"/>
      <c r="K629" s="13">
        <v>46236.541666666664</v>
      </c>
      <c r="L629" s="13">
        <v>46236.583333333336</v>
      </c>
      <c r="M629" s="1" t="s">
        <v>145</v>
      </c>
      <c r="N629" s="1"/>
      <c r="O629" s="1"/>
      <c r="P629" s="1" t="s">
        <v>605</v>
      </c>
      <c r="Q629" s="1" t="s">
        <v>147</v>
      </c>
      <c r="R629" s="1">
        <v>46237.541666666664</v>
      </c>
      <c r="S629" s="1"/>
      <c r="T629" s="1" t="s">
        <v>490</v>
      </c>
      <c r="U629" s="1"/>
    </row>
    <row r="630" spans="1:21" ht="21" customHeight="1" x14ac:dyDescent="0.45">
      <c r="A630" s="14">
        <v>46236</v>
      </c>
      <c r="B630" s="1" t="s">
        <v>149</v>
      </c>
      <c r="C630" s="13">
        <v>46237.666666666664</v>
      </c>
      <c r="D630" s="13">
        <v>46237.708333333336</v>
      </c>
      <c r="E630" s="1" t="s">
        <v>321</v>
      </c>
      <c r="F630" s="12">
        <v>40</v>
      </c>
      <c r="G630" s="12">
        <v>40</v>
      </c>
      <c r="H630" s="18">
        <v>0.3125</v>
      </c>
      <c r="I630" s="12">
        <v>128</v>
      </c>
      <c r="J630" s="12">
        <v>40</v>
      </c>
      <c r="K630" s="13">
        <v>46236.375</v>
      </c>
      <c r="L630" s="13">
        <v>46236.416666666664</v>
      </c>
      <c r="M630" s="1" t="s">
        <v>145</v>
      </c>
      <c r="N630" s="1" t="s">
        <v>150</v>
      </c>
      <c r="O630" s="1" t="s">
        <v>151</v>
      </c>
      <c r="P630" s="1" t="s">
        <v>606</v>
      </c>
      <c r="Q630" s="1" t="s">
        <v>147</v>
      </c>
      <c r="R630" s="1">
        <v>46237.541666666664</v>
      </c>
      <c r="S630" s="1" t="s">
        <v>153</v>
      </c>
      <c r="T630" s="1" t="s">
        <v>490</v>
      </c>
      <c r="U630" s="1"/>
    </row>
    <row r="631" spans="1:21" ht="21" customHeight="1" x14ac:dyDescent="0.45">
      <c r="A631" s="14">
        <v>46236</v>
      </c>
      <c r="B631" s="1" t="s">
        <v>103</v>
      </c>
      <c r="C631" s="13">
        <v>46237.666666666664</v>
      </c>
      <c r="D631" s="13">
        <v>46237.708333333336</v>
      </c>
      <c r="E631" s="1" t="s">
        <v>321</v>
      </c>
      <c r="F631" s="12">
        <v>24</v>
      </c>
      <c r="G631" s="12">
        <v>24</v>
      </c>
      <c r="H631" s="18">
        <v>0.13714285714285715</v>
      </c>
      <c r="I631" s="12">
        <v>175</v>
      </c>
      <c r="J631" s="12">
        <v>24</v>
      </c>
      <c r="K631" s="13">
        <v>46236.375</v>
      </c>
      <c r="L631" s="13">
        <v>46236.416666666664</v>
      </c>
      <c r="M631" s="1" t="s">
        <v>145</v>
      </c>
      <c r="N631" s="1" t="s">
        <v>154</v>
      </c>
      <c r="O631" s="1" t="s">
        <v>151</v>
      </c>
      <c r="P631" s="1" t="s">
        <v>607</v>
      </c>
      <c r="Q631" s="1" t="s">
        <v>147</v>
      </c>
      <c r="R631" s="1">
        <v>46237.541666666664</v>
      </c>
      <c r="S631" s="1"/>
      <c r="T631" s="1" t="s">
        <v>490</v>
      </c>
      <c r="U631" s="1"/>
    </row>
    <row r="632" spans="1:21" ht="21" customHeight="1" x14ac:dyDescent="0.45">
      <c r="A632" s="14">
        <v>46236</v>
      </c>
      <c r="B632" s="1" t="s">
        <v>101</v>
      </c>
      <c r="C632" s="13">
        <v>46237.666666666664</v>
      </c>
      <c r="D632" s="13">
        <v>46237.708333333336</v>
      </c>
      <c r="E632" s="1" t="s">
        <v>321</v>
      </c>
      <c r="F632" s="12">
        <v>0</v>
      </c>
      <c r="G632" s="12">
        <v>24</v>
      </c>
      <c r="H632" s="18">
        <v>0.13714285714285715</v>
      </c>
      <c r="I632" s="12">
        <v>175</v>
      </c>
      <c r="J632" s="12">
        <v>24</v>
      </c>
      <c r="K632" s="13">
        <v>46236.375</v>
      </c>
      <c r="L632" s="13">
        <v>46236.416666666664</v>
      </c>
      <c r="M632" s="1" t="s">
        <v>145</v>
      </c>
      <c r="N632" s="1" t="s">
        <v>154</v>
      </c>
      <c r="O632" s="1" t="s">
        <v>151</v>
      </c>
      <c r="P632" s="1" t="s">
        <v>608</v>
      </c>
      <c r="Q632" s="1" t="s">
        <v>147</v>
      </c>
      <c r="R632" s="1">
        <v>46237.541666666664</v>
      </c>
      <c r="S632" s="1"/>
      <c r="T632" s="1" t="s">
        <v>490</v>
      </c>
      <c r="U632" s="1"/>
    </row>
    <row r="633" spans="1:21" ht="21" customHeight="1" x14ac:dyDescent="0.45">
      <c r="A633" s="14">
        <v>46236</v>
      </c>
      <c r="B633" s="1" t="s">
        <v>143</v>
      </c>
      <c r="C633" s="13">
        <v>46237.677083333336</v>
      </c>
      <c r="D633" s="13">
        <v>46237.6875</v>
      </c>
      <c r="E633" s="1" t="s">
        <v>321</v>
      </c>
      <c r="F633" s="12">
        <v>4.0694016890247555</v>
      </c>
      <c r="G633" s="12">
        <v>100</v>
      </c>
      <c r="H633" s="18"/>
      <c r="I633" s="12"/>
      <c r="J633" s="12"/>
      <c r="K633" s="13">
        <v>46236.541666666664</v>
      </c>
      <c r="L633" s="13">
        <v>46236.583333333336</v>
      </c>
      <c r="M633" s="1" t="s">
        <v>145</v>
      </c>
      <c r="N633" s="1"/>
      <c r="O633" s="1"/>
      <c r="P633" s="1" t="s">
        <v>609</v>
      </c>
      <c r="Q633" s="1" t="s">
        <v>147</v>
      </c>
      <c r="R633" s="1">
        <v>46237.552083333336</v>
      </c>
      <c r="S633" s="1"/>
      <c r="T633" s="1" t="s">
        <v>490</v>
      </c>
      <c r="U633" s="1"/>
    </row>
    <row r="634" spans="1:21" ht="21" customHeight="1" x14ac:dyDescent="0.45">
      <c r="A634" s="14">
        <v>46236</v>
      </c>
      <c r="B634" s="1" t="s">
        <v>143</v>
      </c>
      <c r="C634" s="13">
        <v>46237.6875</v>
      </c>
      <c r="D634" s="13">
        <v>46237.697916666664</v>
      </c>
      <c r="E634" s="1" t="s">
        <v>321</v>
      </c>
      <c r="F634" s="12">
        <v>8.8225530724520489</v>
      </c>
      <c r="G634" s="12">
        <v>100</v>
      </c>
      <c r="H634" s="18"/>
      <c r="I634" s="12"/>
      <c r="J634" s="12"/>
      <c r="K634" s="13">
        <v>46236.541666666664</v>
      </c>
      <c r="L634" s="13">
        <v>46236.583333333336</v>
      </c>
      <c r="M634" s="1" t="s">
        <v>145</v>
      </c>
      <c r="N634" s="1"/>
      <c r="O634" s="1"/>
      <c r="P634" s="1" t="s">
        <v>610</v>
      </c>
      <c r="Q634" s="1" t="s">
        <v>147</v>
      </c>
      <c r="R634" s="1">
        <v>46237.5625</v>
      </c>
      <c r="S634" s="1"/>
      <c r="T634" s="1" t="s">
        <v>490</v>
      </c>
      <c r="U634" s="1"/>
    </row>
    <row r="635" spans="1:21" ht="21" customHeight="1" x14ac:dyDescent="0.45">
      <c r="A635" s="14">
        <v>46236</v>
      </c>
      <c r="B635" s="1" t="s">
        <v>143</v>
      </c>
      <c r="C635" s="13">
        <v>46237.697916666664</v>
      </c>
      <c r="D635" s="13">
        <v>46237.708333333336</v>
      </c>
      <c r="E635" s="1" t="s">
        <v>321</v>
      </c>
      <c r="F635" s="12">
        <v>60</v>
      </c>
      <c r="G635" s="12">
        <v>100</v>
      </c>
      <c r="H635" s="18"/>
      <c r="I635" s="12"/>
      <c r="J635" s="12"/>
      <c r="K635" s="13">
        <v>46236.541666666664</v>
      </c>
      <c r="L635" s="13">
        <v>46236.583333333336</v>
      </c>
      <c r="M635" s="1" t="s">
        <v>145</v>
      </c>
      <c r="N635" s="1"/>
      <c r="O635" s="1"/>
      <c r="P635" s="1" t="s">
        <v>611</v>
      </c>
      <c r="Q635" s="1" t="s">
        <v>147</v>
      </c>
      <c r="R635" s="1">
        <v>46237.572916666664</v>
      </c>
      <c r="S635" s="1"/>
      <c r="T635" s="1" t="s">
        <v>490</v>
      </c>
      <c r="U635" s="1"/>
    </row>
    <row r="636" spans="1:21" ht="21" customHeight="1" x14ac:dyDescent="0.45">
      <c r="A636" s="14">
        <v>46236</v>
      </c>
      <c r="B636" s="1" t="s">
        <v>143</v>
      </c>
      <c r="C636" s="13">
        <v>46237.708333333336</v>
      </c>
      <c r="D636" s="13">
        <v>46237.71875</v>
      </c>
      <c r="E636" s="1" t="s">
        <v>321</v>
      </c>
      <c r="F636" s="12">
        <v>-60</v>
      </c>
      <c r="G636" s="12">
        <v>100</v>
      </c>
      <c r="H636" s="18"/>
      <c r="I636" s="12"/>
      <c r="J636" s="12"/>
      <c r="K636" s="13">
        <v>46236.541666666664</v>
      </c>
      <c r="L636" s="13">
        <v>46236.583333333336</v>
      </c>
      <c r="M636" s="1" t="s">
        <v>145</v>
      </c>
      <c r="N636" s="1"/>
      <c r="O636" s="1"/>
      <c r="P636" s="1" t="s">
        <v>612</v>
      </c>
      <c r="Q636" s="1" t="s">
        <v>147</v>
      </c>
      <c r="R636" s="1">
        <v>46237.583333333336</v>
      </c>
      <c r="S636" s="1"/>
      <c r="T636" s="1" t="s">
        <v>490</v>
      </c>
      <c r="U636" s="1"/>
    </row>
    <row r="637" spans="1:21" ht="21" customHeight="1" x14ac:dyDescent="0.45">
      <c r="A637" s="14">
        <v>46236</v>
      </c>
      <c r="B637" s="1" t="s">
        <v>149</v>
      </c>
      <c r="C637" s="13">
        <v>46237.708333333336</v>
      </c>
      <c r="D637" s="13">
        <v>46237.75</v>
      </c>
      <c r="E637" s="1" t="s">
        <v>321</v>
      </c>
      <c r="F637" s="12">
        <v>40</v>
      </c>
      <c r="G637" s="12">
        <v>40</v>
      </c>
      <c r="H637" s="18">
        <v>0.3125</v>
      </c>
      <c r="I637" s="12">
        <v>128</v>
      </c>
      <c r="J637" s="12">
        <v>40</v>
      </c>
      <c r="K637" s="13">
        <v>46236.375</v>
      </c>
      <c r="L637" s="13">
        <v>46236.416666666664</v>
      </c>
      <c r="M637" s="1" t="s">
        <v>145</v>
      </c>
      <c r="N637" s="1" t="s">
        <v>150</v>
      </c>
      <c r="O637" s="1" t="s">
        <v>151</v>
      </c>
      <c r="P637" s="1" t="s">
        <v>613</v>
      </c>
      <c r="Q637" s="1" t="s">
        <v>147</v>
      </c>
      <c r="R637" s="1">
        <v>46237.583333333336</v>
      </c>
      <c r="S637" s="1" t="s">
        <v>153</v>
      </c>
      <c r="T637" s="1" t="s">
        <v>490</v>
      </c>
      <c r="U637" s="1"/>
    </row>
    <row r="638" spans="1:21" ht="21" customHeight="1" x14ac:dyDescent="0.45">
      <c r="A638" s="14">
        <v>46236</v>
      </c>
      <c r="B638" s="1" t="s">
        <v>103</v>
      </c>
      <c r="C638" s="13">
        <v>46237.708333333336</v>
      </c>
      <c r="D638" s="13">
        <v>46237.75</v>
      </c>
      <c r="E638" s="1" t="s">
        <v>321</v>
      </c>
      <c r="F638" s="12">
        <v>0</v>
      </c>
      <c r="G638" s="12">
        <v>0</v>
      </c>
      <c r="H638" s="18">
        <v>0.13714285714285715</v>
      </c>
      <c r="I638" s="12">
        <v>175</v>
      </c>
      <c r="J638" s="12">
        <v>24</v>
      </c>
      <c r="K638" s="13">
        <v>46236.375</v>
      </c>
      <c r="L638" s="13">
        <v>46236.416666666664</v>
      </c>
      <c r="M638" s="1" t="s">
        <v>543</v>
      </c>
      <c r="N638" s="1" t="s">
        <v>154</v>
      </c>
      <c r="O638" s="1" t="s">
        <v>151</v>
      </c>
      <c r="P638" s="1" t="s">
        <v>614</v>
      </c>
      <c r="Q638" s="1" t="s">
        <v>147</v>
      </c>
      <c r="R638" s="1">
        <v>46237.583333333336</v>
      </c>
      <c r="S638" s="1"/>
      <c r="T638" s="1" t="s">
        <v>490</v>
      </c>
      <c r="U638" s="1"/>
    </row>
    <row r="639" spans="1:21" ht="21" customHeight="1" x14ac:dyDescent="0.45">
      <c r="A639" s="14">
        <v>46236</v>
      </c>
      <c r="B639" s="1" t="s">
        <v>101</v>
      </c>
      <c r="C639" s="13">
        <v>46237.708333333336</v>
      </c>
      <c r="D639" s="13">
        <v>46237.75</v>
      </c>
      <c r="E639" s="1" t="s">
        <v>321</v>
      </c>
      <c r="F639" s="12">
        <v>0</v>
      </c>
      <c r="G639" s="12">
        <v>0</v>
      </c>
      <c r="H639" s="18">
        <v>0.13714285714285715</v>
      </c>
      <c r="I639" s="12">
        <v>175</v>
      </c>
      <c r="J639" s="12">
        <v>24</v>
      </c>
      <c r="K639" s="13">
        <v>46236.375</v>
      </c>
      <c r="L639" s="13">
        <v>46236.416666666664</v>
      </c>
      <c r="M639" s="1" t="s">
        <v>543</v>
      </c>
      <c r="N639" s="1" t="s">
        <v>154</v>
      </c>
      <c r="O639" s="1" t="s">
        <v>151</v>
      </c>
      <c r="P639" s="1" t="s">
        <v>615</v>
      </c>
      <c r="Q639" s="1" t="s">
        <v>147</v>
      </c>
      <c r="R639" s="1">
        <v>46237.583333333336</v>
      </c>
      <c r="S639" s="1"/>
      <c r="T639" s="1" t="s">
        <v>490</v>
      </c>
      <c r="U639" s="1"/>
    </row>
    <row r="640" spans="1:21" ht="21" customHeight="1" x14ac:dyDescent="0.45">
      <c r="A640" s="14">
        <v>46236</v>
      </c>
      <c r="B640" s="1" t="s">
        <v>143</v>
      </c>
      <c r="C640" s="13">
        <v>46237.71875</v>
      </c>
      <c r="D640" s="13">
        <v>46237.729166666664</v>
      </c>
      <c r="E640" s="1" t="s">
        <v>321</v>
      </c>
      <c r="F640" s="12">
        <v>0</v>
      </c>
      <c r="G640" s="12">
        <v>100</v>
      </c>
      <c r="H640" s="18"/>
      <c r="I640" s="12"/>
      <c r="J640" s="12"/>
      <c r="K640" s="13">
        <v>46236.541666666664</v>
      </c>
      <c r="L640" s="13">
        <v>46236.583333333336</v>
      </c>
      <c r="M640" s="1" t="s">
        <v>145</v>
      </c>
      <c r="N640" s="1"/>
      <c r="O640" s="1"/>
      <c r="P640" s="1" t="s">
        <v>616</v>
      </c>
      <c r="Q640" s="1" t="s">
        <v>147</v>
      </c>
      <c r="R640" s="1">
        <v>46237.59375</v>
      </c>
      <c r="S640" s="1"/>
      <c r="T640" s="1" t="s">
        <v>490</v>
      </c>
      <c r="U640" s="1"/>
    </row>
    <row r="641" spans="1:21" ht="21" customHeight="1" x14ac:dyDescent="0.45">
      <c r="A641" s="14">
        <v>46236</v>
      </c>
      <c r="B641" s="1" t="s">
        <v>143</v>
      </c>
      <c r="C641" s="13">
        <v>46237.729166666664</v>
      </c>
      <c r="D641" s="13">
        <v>46237.739583333336</v>
      </c>
      <c r="E641" s="1" t="s">
        <v>321</v>
      </c>
      <c r="F641" s="12">
        <v>0</v>
      </c>
      <c r="G641" s="12">
        <v>100</v>
      </c>
      <c r="H641" s="18"/>
      <c r="I641" s="12"/>
      <c r="J641" s="12"/>
      <c r="K641" s="13">
        <v>46236.541666666664</v>
      </c>
      <c r="L641" s="13">
        <v>46236.583333333336</v>
      </c>
      <c r="M641" s="1" t="s">
        <v>145</v>
      </c>
      <c r="N641" s="1"/>
      <c r="O641" s="1"/>
      <c r="P641" s="1" t="s">
        <v>617</v>
      </c>
      <c r="Q641" s="1" t="s">
        <v>147</v>
      </c>
      <c r="R641" s="1">
        <v>46237.604166666664</v>
      </c>
      <c r="S641" s="1"/>
      <c r="T641" s="1" t="s">
        <v>490</v>
      </c>
      <c r="U641" s="1"/>
    </row>
    <row r="642" spans="1:21" ht="21" customHeight="1" x14ac:dyDescent="0.45">
      <c r="A642" s="14">
        <v>46236</v>
      </c>
      <c r="B642" s="1" t="s">
        <v>143</v>
      </c>
      <c r="C642" s="13">
        <v>46237.739583333336</v>
      </c>
      <c r="D642" s="13">
        <v>46237.75</v>
      </c>
      <c r="E642" s="1" t="s">
        <v>321</v>
      </c>
      <c r="F642" s="12">
        <v>38.349912807459155</v>
      </c>
      <c r="G642" s="12">
        <v>100</v>
      </c>
      <c r="H642" s="18"/>
      <c r="I642" s="12"/>
      <c r="J642" s="12"/>
      <c r="K642" s="13">
        <v>46236.541666666664</v>
      </c>
      <c r="L642" s="13">
        <v>46236.583333333336</v>
      </c>
      <c r="M642" s="1" t="s">
        <v>145</v>
      </c>
      <c r="N642" s="1"/>
      <c r="O642" s="1"/>
      <c r="P642" s="1" t="s">
        <v>618</v>
      </c>
      <c r="Q642" s="1" t="s">
        <v>147</v>
      </c>
      <c r="R642" s="1">
        <v>46237.614583333336</v>
      </c>
      <c r="S642" s="1"/>
      <c r="T642" s="1" t="s">
        <v>490</v>
      </c>
      <c r="U642" s="1"/>
    </row>
    <row r="643" spans="1:21" ht="21" customHeight="1" x14ac:dyDescent="0.45">
      <c r="A643" s="14">
        <v>46236</v>
      </c>
      <c r="B643" s="1" t="s">
        <v>143</v>
      </c>
      <c r="C643" s="13">
        <v>46237.75</v>
      </c>
      <c r="D643" s="13">
        <v>46237.760416666664</v>
      </c>
      <c r="E643" s="1" t="s">
        <v>321</v>
      </c>
      <c r="F643" s="12">
        <v>-36</v>
      </c>
      <c r="G643" s="12">
        <v>100</v>
      </c>
      <c r="H643" s="18"/>
      <c r="I643" s="12"/>
      <c r="J643" s="12"/>
      <c r="K643" s="13">
        <v>46236.541666666664</v>
      </c>
      <c r="L643" s="13">
        <v>46236.583333333336</v>
      </c>
      <c r="M643" s="1" t="s">
        <v>145</v>
      </c>
      <c r="N643" s="1"/>
      <c r="O643" s="1"/>
      <c r="P643" s="1" t="s">
        <v>619</v>
      </c>
      <c r="Q643" s="1" t="s">
        <v>147</v>
      </c>
      <c r="R643" s="1">
        <v>46237.625</v>
      </c>
      <c r="S643" s="1"/>
      <c r="T643" s="1" t="s">
        <v>490</v>
      </c>
      <c r="U643" s="1"/>
    </row>
    <row r="644" spans="1:21" ht="21" customHeight="1" x14ac:dyDescent="0.45">
      <c r="A644" s="14">
        <v>46236</v>
      </c>
      <c r="B644" s="1" t="s">
        <v>149</v>
      </c>
      <c r="C644" s="13">
        <v>46237.75</v>
      </c>
      <c r="D644" s="13">
        <v>46237.791666666664</v>
      </c>
      <c r="E644" s="1" t="s">
        <v>321</v>
      </c>
      <c r="F644" s="12">
        <v>40</v>
      </c>
      <c r="G644" s="12">
        <v>40</v>
      </c>
      <c r="H644" s="18">
        <v>0.3125</v>
      </c>
      <c r="I644" s="12">
        <v>128</v>
      </c>
      <c r="J644" s="12">
        <v>40</v>
      </c>
      <c r="K644" s="13">
        <v>46236.375</v>
      </c>
      <c r="L644" s="13">
        <v>46236.416666666664</v>
      </c>
      <c r="M644" s="1" t="s">
        <v>145</v>
      </c>
      <c r="N644" s="1" t="s">
        <v>150</v>
      </c>
      <c r="O644" s="1" t="s">
        <v>151</v>
      </c>
      <c r="P644" s="1" t="s">
        <v>620</v>
      </c>
      <c r="Q644" s="1" t="s">
        <v>147</v>
      </c>
      <c r="R644" s="1">
        <v>46237.625</v>
      </c>
      <c r="S644" s="1" t="s">
        <v>153</v>
      </c>
      <c r="T644" s="1" t="s">
        <v>490</v>
      </c>
      <c r="U644" s="1"/>
    </row>
    <row r="645" spans="1:21" ht="21" customHeight="1" x14ac:dyDescent="0.45">
      <c r="A645" s="14">
        <v>46236</v>
      </c>
      <c r="B645" s="1" t="s">
        <v>103</v>
      </c>
      <c r="C645" s="13">
        <v>46237.75</v>
      </c>
      <c r="D645" s="13">
        <v>46237.791666666664</v>
      </c>
      <c r="E645" s="1" t="s">
        <v>321</v>
      </c>
      <c r="F645" s="12">
        <v>24</v>
      </c>
      <c r="G645" s="12">
        <v>24</v>
      </c>
      <c r="H645" s="18">
        <v>0.13714285714285715</v>
      </c>
      <c r="I645" s="12">
        <v>175</v>
      </c>
      <c r="J645" s="12">
        <v>24</v>
      </c>
      <c r="K645" s="13">
        <v>46236.375</v>
      </c>
      <c r="L645" s="13">
        <v>46236.416666666664</v>
      </c>
      <c r="M645" s="1" t="s">
        <v>145</v>
      </c>
      <c r="N645" s="1" t="s">
        <v>154</v>
      </c>
      <c r="O645" s="1" t="s">
        <v>151</v>
      </c>
      <c r="P645" s="1" t="s">
        <v>621</v>
      </c>
      <c r="Q645" s="1" t="s">
        <v>147</v>
      </c>
      <c r="R645" s="1">
        <v>46237.625</v>
      </c>
      <c r="S645" s="1"/>
      <c r="T645" s="1" t="s">
        <v>490</v>
      </c>
      <c r="U645" s="1"/>
    </row>
    <row r="646" spans="1:21" ht="21" customHeight="1" x14ac:dyDescent="0.45">
      <c r="A646" s="14">
        <v>46236</v>
      </c>
      <c r="B646" s="1" t="s">
        <v>101</v>
      </c>
      <c r="C646" s="13">
        <v>46237.75</v>
      </c>
      <c r="D646" s="13">
        <v>46237.791666666664</v>
      </c>
      <c r="E646" s="1" t="s">
        <v>321</v>
      </c>
      <c r="F646" s="12">
        <v>24</v>
      </c>
      <c r="G646" s="12">
        <v>24</v>
      </c>
      <c r="H646" s="18">
        <v>0.13714285714285715</v>
      </c>
      <c r="I646" s="12">
        <v>175</v>
      </c>
      <c r="J646" s="12">
        <v>24</v>
      </c>
      <c r="K646" s="13">
        <v>46236.375</v>
      </c>
      <c r="L646" s="13">
        <v>46236.416666666664</v>
      </c>
      <c r="M646" s="1" t="s">
        <v>145</v>
      </c>
      <c r="N646" s="1" t="s">
        <v>154</v>
      </c>
      <c r="O646" s="1" t="s">
        <v>151</v>
      </c>
      <c r="P646" s="1" t="s">
        <v>622</v>
      </c>
      <c r="Q646" s="1" t="s">
        <v>147</v>
      </c>
      <c r="R646" s="1">
        <v>46237.625</v>
      </c>
      <c r="S646" s="1"/>
      <c r="T646" s="1" t="s">
        <v>490</v>
      </c>
      <c r="U646" s="1"/>
    </row>
    <row r="647" spans="1:21" ht="21" customHeight="1" x14ac:dyDescent="0.45">
      <c r="A647" s="14">
        <v>46236</v>
      </c>
      <c r="B647" s="1" t="s">
        <v>143</v>
      </c>
      <c r="C647" s="13">
        <v>46237.760416666664</v>
      </c>
      <c r="D647" s="13">
        <v>46237.770833333336</v>
      </c>
      <c r="E647" s="1" t="s">
        <v>321</v>
      </c>
      <c r="F647" s="12">
        <v>-1.1412831675311623</v>
      </c>
      <c r="G647" s="12">
        <v>100</v>
      </c>
      <c r="H647" s="18"/>
      <c r="I647" s="12"/>
      <c r="J647" s="12"/>
      <c r="K647" s="13">
        <v>46236.541666666664</v>
      </c>
      <c r="L647" s="13">
        <v>46236.583333333336</v>
      </c>
      <c r="M647" s="1" t="s">
        <v>145</v>
      </c>
      <c r="N647" s="1"/>
      <c r="O647" s="1"/>
      <c r="P647" s="1" t="s">
        <v>623</v>
      </c>
      <c r="Q647" s="1" t="s">
        <v>147</v>
      </c>
      <c r="R647" s="1">
        <v>46237.635416666664</v>
      </c>
      <c r="S647" s="1"/>
      <c r="T647" s="1" t="s">
        <v>490</v>
      </c>
      <c r="U647" s="1"/>
    </row>
    <row r="648" spans="1:21" ht="21" customHeight="1" x14ac:dyDescent="0.45">
      <c r="A648" s="14">
        <v>46236</v>
      </c>
      <c r="B648" s="1" t="s">
        <v>143</v>
      </c>
      <c r="C648" s="13">
        <v>46237.770833333336</v>
      </c>
      <c r="D648" s="13">
        <v>46237.78125</v>
      </c>
      <c r="E648" s="1" t="s">
        <v>321</v>
      </c>
      <c r="F648" s="12">
        <v>-5.909780142456837</v>
      </c>
      <c r="G648" s="12">
        <v>100</v>
      </c>
      <c r="H648" s="18"/>
      <c r="I648" s="12"/>
      <c r="J648" s="12"/>
      <c r="K648" s="13">
        <v>46236.541666666664</v>
      </c>
      <c r="L648" s="13">
        <v>46236.583333333336</v>
      </c>
      <c r="M648" s="1" t="s">
        <v>145</v>
      </c>
      <c r="N648" s="1"/>
      <c r="O648" s="1"/>
      <c r="P648" s="1" t="s">
        <v>624</v>
      </c>
      <c r="Q648" s="1" t="s">
        <v>147</v>
      </c>
      <c r="R648" s="1">
        <v>46237.645833333336</v>
      </c>
      <c r="S648" s="1"/>
      <c r="T648" s="1" t="s">
        <v>490</v>
      </c>
      <c r="U648" s="1"/>
    </row>
    <row r="649" spans="1:21" ht="21" customHeight="1" x14ac:dyDescent="0.45">
      <c r="A649" s="14">
        <v>46236</v>
      </c>
      <c r="B649" s="1" t="s">
        <v>143</v>
      </c>
      <c r="C649" s="13">
        <v>46237.78125</v>
      </c>
      <c r="D649" s="13">
        <v>46237.791666666664</v>
      </c>
      <c r="E649" s="1" t="s">
        <v>321</v>
      </c>
      <c r="F649" s="12">
        <v>-9.8820098810040093</v>
      </c>
      <c r="G649" s="12">
        <v>100</v>
      </c>
      <c r="H649" s="18"/>
      <c r="I649" s="12"/>
      <c r="J649" s="12"/>
      <c r="K649" s="13">
        <v>46236.541666666664</v>
      </c>
      <c r="L649" s="13">
        <v>46236.583333333336</v>
      </c>
      <c r="M649" s="1" t="s">
        <v>145</v>
      </c>
      <c r="N649" s="1"/>
      <c r="O649" s="1"/>
      <c r="P649" s="1" t="s">
        <v>625</v>
      </c>
      <c r="Q649" s="1" t="s">
        <v>147</v>
      </c>
      <c r="R649" s="1">
        <v>46237.65625</v>
      </c>
      <c r="S649" s="1"/>
      <c r="T649" s="1" t="s">
        <v>490</v>
      </c>
      <c r="U649" s="1"/>
    </row>
    <row r="650" spans="1:21" ht="21" customHeight="1" x14ac:dyDescent="0.45">
      <c r="A650" s="14">
        <v>46236</v>
      </c>
      <c r="B650" s="1" t="s">
        <v>143</v>
      </c>
      <c r="C650" s="13">
        <v>46237.791666666664</v>
      </c>
      <c r="D650" s="13">
        <v>46237.802083333336</v>
      </c>
      <c r="E650" s="1" t="s">
        <v>321</v>
      </c>
      <c r="F650" s="12">
        <v>0</v>
      </c>
      <c r="G650" s="12">
        <v>100</v>
      </c>
      <c r="H650" s="18"/>
      <c r="I650" s="12"/>
      <c r="J650" s="12"/>
      <c r="K650" s="13">
        <v>46236.541666666664</v>
      </c>
      <c r="L650" s="13">
        <v>46236.583333333336</v>
      </c>
      <c r="M650" s="1" t="s">
        <v>145</v>
      </c>
      <c r="N650" s="1"/>
      <c r="O650" s="1"/>
      <c r="P650" s="1" t="s">
        <v>626</v>
      </c>
      <c r="Q650" s="1" t="s">
        <v>147</v>
      </c>
      <c r="R650" s="1">
        <v>46238</v>
      </c>
      <c r="S650" s="1"/>
      <c r="T650" s="1" t="s">
        <v>490</v>
      </c>
      <c r="U650" s="1"/>
    </row>
    <row r="651" spans="1:21" ht="21" customHeight="1" x14ac:dyDescent="0.45">
      <c r="A651" s="14">
        <v>46236</v>
      </c>
      <c r="B651" s="1" t="s">
        <v>149</v>
      </c>
      <c r="C651" s="13">
        <v>46237.791666666664</v>
      </c>
      <c r="D651" s="13">
        <v>46237.833333333336</v>
      </c>
      <c r="E651" s="1" t="s">
        <v>321</v>
      </c>
      <c r="F651" s="12">
        <v>40</v>
      </c>
      <c r="G651" s="12">
        <v>40</v>
      </c>
      <c r="H651" s="18">
        <v>0.3125</v>
      </c>
      <c r="I651" s="12">
        <v>128</v>
      </c>
      <c r="J651" s="12">
        <v>40</v>
      </c>
      <c r="K651" s="13">
        <v>46236.375</v>
      </c>
      <c r="L651" s="13">
        <v>46236.416666666664</v>
      </c>
      <c r="M651" s="1" t="s">
        <v>145</v>
      </c>
      <c r="N651" s="1" t="s">
        <v>150</v>
      </c>
      <c r="O651" s="1" t="s">
        <v>151</v>
      </c>
      <c r="P651" s="1" t="s">
        <v>627</v>
      </c>
      <c r="Q651" s="1" t="s">
        <v>147</v>
      </c>
      <c r="R651" s="1">
        <v>46238</v>
      </c>
      <c r="S651" s="1" t="s">
        <v>153</v>
      </c>
      <c r="T651" s="1" t="s">
        <v>490</v>
      </c>
      <c r="U651" s="1"/>
    </row>
    <row r="652" spans="1:21" ht="21" customHeight="1" x14ac:dyDescent="0.45">
      <c r="A652" s="14">
        <v>46236</v>
      </c>
      <c r="B652" s="1" t="s">
        <v>103</v>
      </c>
      <c r="C652" s="13">
        <v>46237.791666666664</v>
      </c>
      <c r="D652" s="13">
        <v>46237.833333333336</v>
      </c>
      <c r="E652" s="1" t="s">
        <v>321</v>
      </c>
      <c r="F652" s="12">
        <v>24</v>
      </c>
      <c r="G652" s="12">
        <v>24</v>
      </c>
      <c r="H652" s="18">
        <v>0.13714285714285715</v>
      </c>
      <c r="I652" s="12">
        <v>175</v>
      </c>
      <c r="J652" s="12">
        <v>24</v>
      </c>
      <c r="K652" s="13">
        <v>46236.375</v>
      </c>
      <c r="L652" s="13">
        <v>46236.416666666664</v>
      </c>
      <c r="M652" s="1" t="s">
        <v>145</v>
      </c>
      <c r="N652" s="1" t="s">
        <v>154</v>
      </c>
      <c r="O652" s="1" t="s">
        <v>151</v>
      </c>
      <c r="P652" s="1" t="s">
        <v>628</v>
      </c>
      <c r="Q652" s="1" t="s">
        <v>147</v>
      </c>
      <c r="R652" s="1">
        <v>46238</v>
      </c>
      <c r="S652" s="1"/>
      <c r="T652" s="1" t="s">
        <v>490</v>
      </c>
      <c r="U652" s="1"/>
    </row>
    <row r="653" spans="1:21" ht="21" customHeight="1" x14ac:dyDescent="0.45">
      <c r="A653" s="14">
        <v>46236</v>
      </c>
      <c r="B653" s="1" t="s">
        <v>101</v>
      </c>
      <c r="C653" s="13">
        <v>46237.791666666664</v>
      </c>
      <c r="D653" s="13">
        <v>46237.833333333336</v>
      </c>
      <c r="E653" s="1" t="s">
        <v>321</v>
      </c>
      <c r="F653" s="12">
        <v>24</v>
      </c>
      <c r="G653" s="12">
        <v>24</v>
      </c>
      <c r="H653" s="18">
        <v>0.13714285714285715</v>
      </c>
      <c r="I653" s="12">
        <v>175</v>
      </c>
      <c r="J653" s="12">
        <v>24</v>
      </c>
      <c r="K653" s="13">
        <v>46236.375</v>
      </c>
      <c r="L653" s="13">
        <v>46236.416666666664</v>
      </c>
      <c r="M653" s="1" t="s">
        <v>145</v>
      </c>
      <c r="N653" s="1" t="s">
        <v>154</v>
      </c>
      <c r="O653" s="1" t="s">
        <v>151</v>
      </c>
      <c r="P653" s="1" t="s">
        <v>629</v>
      </c>
      <c r="Q653" s="1" t="s">
        <v>147</v>
      </c>
      <c r="R653" s="1">
        <v>46238</v>
      </c>
      <c r="S653" s="1"/>
      <c r="T653" s="1" t="s">
        <v>490</v>
      </c>
      <c r="U653" s="1"/>
    </row>
    <row r="654" spans="1:21" ht="21" customHeight="1" x14ac:dyDescent="0.45">
      <c r="A654" s="14">
        <v>46236</v>
      </c>
      <c r="B654" s="1" t="s">
        <v>143</v>
      </c>
      <c r="C654" s="13">
        <v>46237.802083333336</v>
      </c>
      <c r="D654" s="13">
        <v>46237.8125</v>
      </c>
      <c r="E654" s="1" t="s">
        <v>321</v>
      </c>
      <c r="F654" s="12">
        <v>0</v>
      </c>
      <c r="G654" s="12">
        <v>100</v>
      </c>
      <c r="H654" s="18"/>
      <c r="I654" s="12"/>
      <c r="J654" s="12"/>
      <c r="K654" s="13">
        <v>46236.541666666664</v>
      </c>
      <c r="L654" s="13">
        <v>46236.583333333336</v>
      </c>
      <c r="M654" s="1" t="s">
        <v>145</v>
      </c>
      <c r="N654" s="1"/>
      <c r="O654" s="1"/>
      <c r="P654" s="1" t="s">
        <v>630</v>
      </c>
      <c r="Q654" s="1" t="s">
        <v>147</v>
      </c>
      <c r="R654" s="1">
        <v>46237.677083333336</v>
      </c>
      <c r="S654" s="1"/>
      <c r="T654" s="1" t="s">
        <v>490</v>
      </c>
      <c r="U654" s="1"/>
    </row>
    <row r="655" spans="1:21" ht="21" customHeight="1" x14ac:dyDescent="0.45">
      <c r="A655" s="14">
        <v>46236</v>
      </c>
      <c r="B655" s="1" t="s">
        <v>143</v>
      </c>
      <c r="C655" s="13">
        <v>46237.8125</v>
      </c>
      <c r="D655" s="13">
        <v>46237.822916666664</v>
      </c>
      <c r="E655" s="1" t="s">
        <v>321</v>
      </c>
      <c r="F655" s="12">
        <v>-24</v>
      </c>
      <c r="G655" s="12">
        <v>100</v>
      </c>
      <c r="H655" s="18"/>
      <c r="I655" s="12"/>
      <c r="J655" s="12"/>
      <c r="K655" s="13">
        <v>46236.541666666664</v>
      </c>
      <c r="L655" s="13">
        <v>46236.583333333336</v>
      </c>
      <c r="M655" s="1" t="s">
        <v>145</v>
      </c>
      <c r="N655" s="1"/>
      <c r="O655" s="1"/>
      <c r="P655" s="1" t="s">
        <v>631</v>
      </c>
      <c r="Q655" s="1" t="s">
        <v>147</v>
      </c>
      <c r="R655" s="1">
        <v>46237.6875</v>
      </c>
      <c r="S655" s="1"/>
      <c r="T655" s="1" t="s">
        <v>490</v>
      </c>
      <c r="U655" s="1"/>
    </row>
    <row r="656" spans="1:21" ht="21" customHeight="1" x14ac:dyDescent="0.45">
      <c r="A656" s="14">
        <v>46236</v>
      </c>
      <c r="B656" s="1" t="s">
        <v>143</v>
      </c>
      <c r="C656" s="13">
        <v>46237.822916666664</v>
      </c>
      <c r="D656" s="13">
        <v>46237.833333333336</v>
      </c>
      <c r="E656" s="1" t="s">
        <v>321</v>
      </c>
      <c r="F656" s="12">
        <v>36</v>
      </c>
      <c r="G656" s="12">
        <v>100</v>
      </c>
      <c r="H656" s="18"/>
      <c r="I656" s="12"/>
      <c r="J656" s="12"/>
      <c r="K656" s="13">
        <v>46236.541666666664</v>
      </c>
      <c r="L656" s="13">
        <v>46236.583333333336</v>
      </c>
      <c r="M656" s="1" t="s">
        <v>145</v>
      </c>
      <c r="N656" s="1"/>
      <c r="O656" s="1"/>
      <c r="P656" s="1" t="s">
        <v>632</v>
      </c>
      <c r="Q656" s="1" t="s">
        <v>147</v>
      </c>
      <c r="R656" s="1">
        <v>46237.697916666664</v>
      </c>
      <c r="S656" s="1"/>
      <c r="T656" s="1" t="s">
        <v>490</v>
      </c>
      <c r="U656" s="1"/>
    </row>
    <row r="657" spans="1:21" ht="21" customHeight="1" x14ac:dyDescent="0.45">
      <c r="A657" s="14">
        <v>46236</v>
      </c>
      <c r="B657" s="1" t="s">
        <v>143</v>
      </c>
      <c r="C657" s="13">
        <v>46237.833333333336</v>
      </c>
      <c r="D657" s="13">
        <v>46237.84375</v>
      </c>
      <c r="E657" s="1" t="s">
        <v>321</v>
      </c>
      <c r="F657" s="12">
        <v>-76</v>
      </c>
      <c r="G657" s="12">
        <v>100</v>
      </c>
      <c r="H657" s="18"/>
      <c r="I657" s="12"/>
      <c r="J657" s="12"/>
      <c r="K657" s="13">
        <v>46236.541666666664</v>
      </c>
      <c r="L657" s="13">
        <v>46236.583333333336</v>
      </c>
      <c r="M657" s="1" t="s">
        <v>145</v>
      </c>
      <c r="N657" s="1"/>
      <c r="O657" s="1"/>
      <c r="P657" s="1" t="s">
        <v>633</v>
      </c>
      <c r="Q657" s="1" t="s">
        <v>147</v>
      </c>
      <c r="R657" s="1">
        <v>46237.708333333336</v>
      </c>
      <c r="S657" s="1"/>
      <c r="T657" s="1" t="s">
        <v>490</v>
      </c>
      <c r="U657" s="1"/>
    </row>
    <row r="658" spans="1:21" ht="21" customHeight="1" x14ac:dyDescent="0.45">
      <c r="A658" s="14">
        <v>46236</v>
      </c>
      <c r="B658" s="1" t="s">
        <v>149</v>
      </c>
      <c r="C658" s="13">
        <v>46237.833333333336</v>
      </c>
      <c r="D658" s="13">
        <v>46237.875</v>
      </c>
      <c r="E658" s="1" t="s">
        <v>321</v>
      </c>
      <c r="F658" s="12">
        <v>0</v>
      </c>
      <c r="G658" s="12">
        <v>40</v>
      </c>
      <c r="H658" s="18">
        <v>0.3125</v>
      </c>
      <c r="I658" s="12">
        <v>128</v>
      </c>
      <c r="J658" s="12">
        <v>40</v>
      </c>
      <c r="K658" s="13">
        <v>46236.375</v>
      </c>
      <c r="L658" s="13">
        <v>46236.416666666664</v>
      </c>
      <c r="M658" s="1" t="s">
        <v>145</v>
      </c>
      <c r="N658" s="1" t="s">
        <v>150</v>
      </c>
      <c r="O658" s="1" t="s">
        <v>151</v>
      </c>
      <c r="P658" s="1" t="s">
        <v>634</v>
      </c>
      <c r="Q658" s="1" t="s">
        <v>147</v>
      </c>
      <c r="R658" s="1">
        <v>46237.708333333336</v>
      </c>
      <c r="S658" s="1" t="s">
        <v>635</v>
      </c>
      <c r="T658" s="1" t="s">
        <v>490</v>
      </c>
      <c r="U658" s="1"/>
    </row>
    <row r="659" spans="1:21" ht="21" customHeight="1" x14ac:dyDescent="0.45">
      <c r="A659" s="14">
        <v>46236</v>
      </c>
      <c r="B659" s="1" t="s">
        <v>103</v>
      </c>
      <c r="C659" s="13">
        <v>46237.833333333336</v>
      </c>
      <c r="D659" s="13">
        <v>46237.875</v>
      </c>
      <c r="E659" s="1" t="s">
        <v>321</v>
      </c>
      <c r="F659" s="12">
        <v>24</v>
      </c>
      <c r="G659" s="12">
        <v>24</v>
      </c>
      <c r="H659" s="18">
        <v>0.13714285714285715</v>
      </c>
      <c r="I659" s="12">
        <v>175</v>
      </c>
      <c r="J659" s="12">
        <v>24</v>
      </c>
      <c r="K659" s="13">
        <v>46236.375</v>
      </c>
      <c r="L659" s="13">
        <v>46236.416666666664</v>
      </c>
      <c r="M659" s="1" t="s">
        <v>145</v>
      </c>
      <c r="N659" s="1" t="s">
        <v>154</v>
      </c>
      <c r="O659" s="1" t="s">
        <v>151</v>
      </c>
      <c r="P659" s="1" t="s">
        <v>636</v>
      </c>
      <c r="Q659" s="1" t="s">
        <v>147</v>
      </c>
      <c r="R659" s="1">
        <v>46237.708333333336</v>
      </c>
      <c r="S659" s="1"/>
      <c r="T659" s="1" t="s">
        <v>490</v>
      </c>
      <c r="U659" s="1"/>
    </row>
    <row r="660" spans="1:21" ht="21" customHeight="1" x14ac:dyDescent="0.45">
      <c r="A660" s="14">
        <v>46236</v>
      </c>
      <c r="B660" s="1" t="s">
        <v>101</v>
      </c>
      <c r="C660" s="13">
        <v>46237.833333333336</v>
      </c>
      <c r="D660" s="13">
        <v>46237.875</v>
      </c>
      <c r="E660" s="1" t="s">
        <v>321</v>
      </c>
      <c r="F660" s="12">
        <v>0</v>
      </c>
      <c r="G660" s="12">
        <v>24</v>
      </c>
      <c r="H660" s="18">
        <v>0.13714285714285715</v>
      </c>
      <c r="I660" s="12">
        <v>175</v>
      </c>
      <c r="J660" s="12">
        <v>24</v>
      </c>
      <c r="K660" s="13">
        <v>46236.375</v>
      </c>
      <c r="L660" s="13">
        <v>46236.416666666664</v>
      </c>
      <c r="M660" s="1" t="s">
        <v>145</v>
      </c>
      <c r="N660" s="1" t="s">
        <v>154</v>
      </c>
      <c r="O660" s="1" t="s">
        <v>151</v>
      </c>
      <c r="P660" s="1" t="s">
        <v>637</v>
      </c>
      <c r="Q660" s="1" t="s">
        <v>147</v>
      </c>
      <c r="R660" s="1">
        <v>46237.708333333336</v>
      </c>
      <c r="S660" s="1"/>
      <c r="T660" s="1" t="s">
        <v>490</v>
      </c>
      <c r="U660" s="1"/>
    </row>
    <row r="661" spans="1:21" ht="21" customHeight="1" x14ac:dyDescent="0.45">
      <c r="A661" s="14">
        <v>46236</v>
      </c>
      <c r="B661" s="1" t="s">
        <v>143</v>
      </c>
      <c r="C661" s="13">
        <v>46237.84375</v>
      </c>
      <c r="D661" s="13">
        <v>46237.854166666664</v>
      </c>
      <c r="E661" s="1" t="s">
        <v>321</v>
      </c>
      <c r="F661" s="12">
        <v>37.804068571428665</v>
      </c>
      <c r="G661" s="12">
        <v>100</v>
      </c>
      <c r="H661" s="18"/>
      <c r="I661" s="12"/>
      <c r="J661" s="12"/>
      <c r="K661" s="13">
        <v>46236.541666666664</v>
      </c>
      <c r="L661" s="13">
        <v>46236.583333333336</v>
      </c>
      <c r="M661" s="1" t="s">
        <v>145</v>
      </c>
      <c r="N661" s="1"/>
      <c r="O661" s="1"/>
      <c r="P661" s="1" t="s">
        <v>638</v>
      </c>
      <c r="Q661" s="1" t="s">
        <v>147</v>
      </c>
      <c r="R661" s="1">
        <v>46237.71875</v>
      </c>
      <c r="S661" s="1"/>
      <c r="T661" s="1" t="s">
        <v>490</v>
      </c>
      <c r="U661" s="1"/>
    </row>
    <row r="662" spans="1:21" ht="21" customHeight="1" x14ac:dyDescent="0.45">
      <c r="A662" s="14">
        <v>46236</v>
      </c>
      <c r="B662" s="1" t="s">
        <v>143</v>
      </c>
      <c r="C662" s="13">
        <v>46237.854166666664</v>
      </c>
      <c r="D662" s="13">
        <v>46237.864583333336</v>
      </c>
      <c r="E662" s="1" t="s">
        <v>321</v>
      </c>
      <c r="F662" s="12">
        <v>100</v>
      </c>
      <c r="G662" s="12">
        <v>100</v>
      </c>
      <c r="H662" s="18"/>
      <c r="I662" s="12"/>
      <c r="J662" s="12"/>
      <c r="K662" s="13">
        <v>46236.541666666664</v>
      </c>
      <c r="L662" s="13">
        <v>46236.583333333336</v>
      </c>
      <c r="M662" s="1" t="s">
        <v>145</v>
      </c>
      <c r="N662" s="1"/>
      <c r="O662" s="1"/>
      <c r="P662" s="1" t="s">
        <v>639</v>
      </c>
      <c r="Q662" s="1" t="s">
        <v>147</v>
      </c>
      <c r="R662" s="1">
        <v>46237.729166666664</v>
      </c>
      <c r="S662" s="1"/>
      <c r="T662" s="1" t="s">
        <v>490</v>
      </c>
      <c r="U662" s="1"/>
    </row>
    <row r="663" spans="1:21" ht="21" customHeight="1" x14ac:dyDescent="0.45">
      <c r="A663" s="14">
        <v>46236</v>
      </c>
      <c r="B663" s="1" t="s">
        <v>143</v>
      </c>
      <c r="C663" s="13">
        <v>46237.864583333336</v>
      </c>
      <c r="D663" s="13">
        <v>46237.875</v>
      </c>
      <c r="E663" s="1" t="s">
        <v>321</v>
      </c>
      <c r="F663" s="12">
        <v>100</v>
      </c>
      <c r="G663" s="12">
        <v>100</v>
      </c>
      <c r="H663" s="18"/>
      <c r="I663" s="12"/>
      <c r="J663" s="12"/>
      <c r="K663" s="13">
        <v>46236.541666666664</v>
      </c>
      <c r="L663" s="13">
        <v>46236.583333333336</v>
      </c>
      <c r="M663" s="1" t="s">
        <v>145</v>
      </c>
      <c r="N663" s="1"/>
      <c r="O663" s="1"/>
      <c r="P663" s="1" t="s">
        <v>640</v>
      </c>
      <c r="Q663" s="1" t="s">
        <v>147</v>
      </c>
      <c r="R663" s="1">
        <v>46237.739583333336</v>
      </c>
      <c r="S663" s="1"/>
      <c r="T663" s="1" t="s">
        <v>490</v>
      </c>
      <c r="U663" s="1"/>
    </row>
    <row r="664" spans="1:21" ht="21" customHeight="1" x14ac:dyDescent="0.45">
      <c r="A664" s="14">
        <v>46236</v>
      </c>
      <c r="B664" s="1" t="s">
        <v>143</v>
      </c>
      <c r="C664" s="13">
        <v>46237.875</v>
      </c>
      <c r="D664" s="13">
        <v>46237.885416666664</v>
      </c>
      <c r="E664" s="1" t="s">
        <v>321</v>
      </c>
      <c r="F664" s="12">
        <v>100</v>
      </c>
      <c r="G664" s="12">
        <v>100</v>
      </c>
      <c r="H664" s="18"/>
      <c r="I664" s="12"/>
      <c r="J664" s="12"/>
      <c r="K664" s="13">
        <v>46236.541666666664</v>
      </c>
      <c r="L664" s="13">
        <v>46236.583333333336</v>
      </c>
      <c r="M664" s="1" t="s">
        <v>145</v>
      </c>
      <c r="N664" s="1"/>
      <c r="O664" s="1"/>
      <c r="P664" s="1" t="s">
        <v>641</v>
      </c>
      <c r="Q664" s="1" t="s">
        <v>147</v>
      </c>
      <c r="R664" s="1">
        <v>46237.75</v>
      </c>
      <c r="S664" s="1"/>
      <c r="T664" s="1" t="s">
        <v>490</v>
      </c>
      <c r="U664" s="1"/>
    </row>
    <row r="665" spans="1:21" ht="21" customHeight="1" x14ac:dyDescent="0.45">
      <c r="A665" s="14">
        <v>46236</v>
      </c>
      <c r="B665" s="1" t="s">
        <v>149</v>
      </c>
      <c r="C665" s="13">
        <v>46237.875</v>
      </c>
      <c r="D665" s="13">
        <v>46237.916666666664</v>
      </c>
      <c r="E665" s="1" t="s">
        <v>321</v>
      </c>
      <c r="F665" s="12">
        <v>0</v>
      </c>
      <c r="G665" s="12">
        <v>40</v>
      </c>
      <c r="H665" s="18">
        <v>0.3125</v>
      </c>
      <c r="I665" s="12">
        <v>128</v>
      </c>
      <c r="J665" s="12">
        <v>40</v>
      </c>
      <c r="K665" s="13">
        <v>46236.375</v>
      </c>
      <c r="L665" s="13">
        <v>46236.416666666664</v>
      </c>
      <c r="M665" s="1" t="s">
        <v>145</v>
      </c>
      <c r="N665" s="1" t="s">
        <v>150</v>
      </c>
      <c r="O665" s="1" t="s">
        <v>151</v>
      </c>
      <c r="P665" s="1" t="s">
        <v>642</v>
      </c>
      <c r="Q665" s="1" t="s">
        <v>147</v>
      </c>
      <c r="R665" s="1">
        <v>46237.75</v>
      </c>
      <c r="S665" s="1" t="s">
        <v>635</v>
      </c>
      <c r="T665" s="1" t="s">
        <v>490</v>
      </c>
      <c r="U665" s="1"/>
    </row>
    <row r="666" spans="1:21" ht="21" customHeight="1" x14ac:dyDescent="0.45">
      <c r="A666" s="14">
        <v>46236</v>
      </c>
      <c r="B666" s="1" t="s">
        <v>103</v>
      </c>
      <c r="C666" s="13">
        <v>46237.875</v>
      </c>
      <c r="D666" s="13">
        <v>46237.916666666664</v>
      </c>
      <c r="E666" s="1" t="s">
        <v>321</v>
      </c>
      <c r="F666" s="12">
        <v>24</v>
      </c>
      <c r="G666" s="12">
        <v>24</v>
      </c>
      <c r="H666" s="18">
        <v>0.13714285714285715</v>
      </c>
      <c r="I666" s="12">
        <v>175</v>
      </c>
      <c r="J666" s="12">
        <v>24</v>
      </c>
      <c r="K666" s="13">
        <v>46236.375</v>
      </c>
      <c r="L666" s="13">
        <v>46236.416666666664</v>
      </c>
      <c r="M666" s="1" t="s">
        <v>145</v>
      </c>
      <c r="N666" s="1" t="s">
        <v>154</v>
      </c>
      <c r="O666" s="1" t="s">
        <v>151</v>
      </c>
      <c r="P666" s="1" t="s">
        <v>643</v>
      </c>
      <c r="Q666" s="1" t="s">
        <v>147</v>
      </c>
      <c r="R666" s="1">
        <v>46237.75</v>
      </c>
      <c r="S666" s="1"/>
      <c r="T666" s="1" t="s">
        <v>490</v>
      </c>
      <c r="U666" s="1"/>
    </row>
    <row r="667" spans="1:21" ht="21" customHeight="1" x14ac:dyDescent="0.45">
      <c r="A667" s="14">
        <v>46236</v>
      </c>
      <c r="B667" s="1" t="s">
        <v>101</v>
      </c>
      <c r="C667" s="13">
        <v>46237.875</v>
      </c>
      <c r="D667" s="13">
        <v>46237.916666666664</v>
      </c>
      <c r="E667" s="1" t="s">
        <v>321</v>
      </c>
      <c r="F667" s="12">
        <v>0</v>
      </c>
      <c r="G667" s="12">
        <v>24</v>
      </c>
      <c r="H667" s="18">
        <v>0.13714285714285715</v>
      </c>
      <c r="I667" s="12">
        <v>175</v>
      </c>
      <c r="J667" s="12">
        <v>24</v>
      </c>
      <c r="K667" s="13">
        <v>46236.375</v>
      </c>
      <c r="L667" s="13">
        <v>46236.416666666664</v>
      </c>
      <c r="M667" s="1" t="s">
        <v>145</v>
      </c>
      <c r="N667" s="1" t="s">
        <v>154</v>
      </c>
      <c r="O667" s="1" t="s">
        <v>151</v>
      </c>
      <c r="P667" s="1" t="s">
        <v>644</v>
      </c>
      <c r="Q667" s="1" t="s">
        <v>147</v>
      </c>
      <c r="R667" s="1">
        <v>46237.75</v>
      </c>
      <c r="S667" s="1"/>
      <c r="T667" s="1" t="s">
        <v>490</v>
      </c>
      <c r="U667" s="1"/>
    </row>
    <row r="668" spans="1:21" ht="21" customHeight="1" x14ac:dyDescent="0.45">
      <c r="A668" s="14">
        <v>46236</v>
      </c>
      <c r="B668" s="1" t="s">
        <v>143</v>
      </c>
      <c r="C668" s="13">
        <v>46237.885416666664</v>
      </c>
      <c r="D668" s="13">
        <v>46237.895833333336</v>
      </c>
      <c r="E668" s="1" t="s">
        <v>321</v>
      </c>
      <c r="F668" s="12">
        <v>100</v>
      </c>
      <c r="G668" s="12">
        <v>100</v>
      </c>
      <c r="H668" s="18"/>
      <c r="I668" s="12"/>
      <c r="J668" s="12"/>
      <c r="K668" s="13">
        <v>46236.541666666664</v>
      </c>
      <c r="L668" s="13">
        <v>46236.583333333336</v>
      </c>
      <c r="M668" s="1" t="s">
        <v>145</v>
      </c>
      <c r="N668" s="1"/>
      <c r="O668" s="1"/>
      <c r="P668" s="1" t="s">
        <v>645</v>
      </c>
      <c r="Q668" s="1" t="s">
        <v>147</v>
      </c>
      <c r="R668" s="1">
        <v>46237.760416666664</v>
      </c>
      <c r="S668" s="1"/>
      <c r="T668" s="1" t="s">
        <v>490</v>
      </c>
      <c r="U668" s="1"/>
    </row>
    <row r="669" spans="1:21" ht="21" customHeight="1" x14ac:dyDescent="0.45">
      <c r="A669" s="14">
        <v>46236</v>
      </c>
      <c r="B669" s="1" t="s">
        <v>143</v>
      </c>
      <c r="C669" s="13">
        <v>46237.895833333336</v>
      </c>
      <c r="D669" s="13">
        <v>46237.90625</v>
      </c>
      <c r="E669" s="1" t="s">
        <v>321</v>
      </c>
      <c r="F669" s="12">
        <v>100</v>
      </c>
      <c r="G669" s="12">
        <v>100</v>
      </c>
      <c r="H669" s="18"/>
      <c r="I669" s="12"/>
      <c r="J669" s="12"/>
      <c r="K669" s="13">
        <v>46236.541666666664</v>
      </c>
      <c r="L669" s="13">
        <v>46236.583333333336</v>
      </c>
      <c r="M669" s="1" t="s">
        <v>145</v>
      </c>
      <c r="N669" s="1"/>
      <c r="O669" s="1"/>
      <c r="P669" s="1" t="s">
        <v>646</v>
      </c>
      <c r="Q669" s="1" t="s">
        <v>147</v>
      </c>
      <c r="R669" s="1">
        <v>46237.770833333336</v>
      </c>
      <c r="S669" s="1"/>
      <c r="T669" s="1" t="s">
        <v>490</v>
      </c>
      <c r="U669" s="1"/>
    </row>
    <row r="670" spans="1:21" ht="21" customHeight="1" x14ac:dyDescent="0.45">
      <c r="A670" s="14">
        <v>46236</v>
      </c>
      <c r="B670" s="1" t="s">
        <v>143</v>
      </c>
      <c r="C670" s="13">
        <v>46237.90625</v>
      </c>
      <c r="D670" s="13">
        <v>46237.916666666664</v>
      </c>
      <c r="E670" s="1" t="s">
        <v>321</v>
      </c>
      <c r="F670" s="12">
        <v>0</v>
      </c>
      <c r="G670" s="12">
        <v>100</v>
      </c>
      <c r="H670" s="18"/>
      <c r="I670" s="12"/>
      <c r="J670" s="12"/>
      <c r="K670" s="13">
        <v>46236.541666666664</v>
      </c>
      <c r="L670" s="13">
        <v>46236.583333333336</v>
      </c>
      <c r="M670" s="1" t="s">
        <v>145</v>
      </c>
      <c r="N670" s="1"/>
      <c r="O670" s="1"/>
      <c r="P670" s="1" t="s">
        <v>647</v>
      </c>
      <c r="Q670" s="1" t="s">
        <v>147</v>
      </c>
      <c r="R670" s="1">
        <v>46237.78125</v>
      </c>
      <c r="S670" s="1"/>
      <c r="T670" s="1" t="s">
        <v>490</v>
      </c>
      <c r="U670" s="1"/>
    </row>
    <row r="671" spans="1:21" ht="21" customHeight="1" x14ac:dyDescent="0.45">
      <c r="A671" s="14">
        <v>46236</v>
      </c>
      <c r="B671" s="1" t="s">
        <v>143</v>
      </c>
      <c r="C671" s="13">
        <v>46237.916666666664</v>
      </c>
      <c r="D671" s="13">
        <v>46237.927083333336</v>
      </c>
      <c r="E671" s="1" t="s">
        <v>321</v>
      </c>
      <c r="F671" s="12">
        <v>0</v>
      </c>
      <c r="G671" s="12">
        <v>100</v>
      </c>
      <c r="H671" s="18"/>
      <c r="I671" s="12"/>
      <c r="J671" s="12"/>
      <c r="K671" s="13">
        <v>46236.541666666664</v>
      </c>
      <c r="L671" s="13">
        <v>46236.583333333336</v>
      </c>
      <c r="M671" s="1" t="s">
        <v>145</v>
      </c>
      <c r="N671" s="1"/>
      <c r="O671" s="1"/>
      <c r="P671" s="1" t="s">
        <v>648</v>
      </c>
      <c r="Q671" s="1" t="s">
        <v>147</v>
      </c>
      <c r="R671" s="1">
        <v>46237.791666666664</v>
      </c>
      <c r="S671" s="1"/>
      <c r="T671" s="1" t="s">
        <v>490</v>
      </c>
      <c r="U671" s="1"/>
    </row>
    <row r="672" spans="1:21" ht="21" customHeight="1" x14ac:dyDescent="0.45">
      <c r="A672" s="14">
        <v>46236</v>
      </c>
      <c r="B672" s="1" t="s">
        <v>149</v>
      </c>
      <c r="C672" s="13">
        <v>46237.916666666664</v>
      </c>
      <c r="D672" s="13">
        <v>46237.958333333336</v>
      </c>
      <c r="E672" s="1" t="s">
        <v>321</v>
      </c>
      <c r="F672" s="12">
        <v>40</v>
      </c>
      <c r="G672" s="12">
        <v>40</v>
      </c>
      <c r="H672" s="18">
        <v>0.3125</v>
      </c>
      <c r="I672" s="12">
        <v>128</v>
      </c>
      <c r="J672" s="12">
        <v>40</v>
      </c>
      <c r="K672" s="13">
        <v>46236.375</v>
      </c>
      <c r="L672" s="13">
        <v>46236.416666666664</v>
      </c>
      <c r="M672" s="1" t="s">
        <v>145</v>
      </c>
      <c r="N672" s="1" t="s">
        <v>150</v>
      </c>
      <c r="O672" s="1" t="s">
        <v>151</v>
      </c>
      <c r="P672" s="1" t="s">
        <v>649</v>
      </c>
      <c r="Q672" s="1" t="s">
        <v>147</v>
      </c>
      <c r="R672" s="1">
        <v>46237.791666666664</v>
      </c>
      <c r="S672" s="1" t="s">
        <v>153</v>
      </c>
      <c r="T672" s="1" t="s">
        <v>490</v>
      </c>
      <c r="U672" s="1"/>
    </row>
    <row r="673" spans="1:21" ht="21" customHeight="1" x14ac:dyDescent="0.45">
      <c r="A673" s="14">
        <v>46236</v>
      </c>
      <c r="B673" s="1" t="s">
        <v>103</v>
      </c>
      <c r="C673" s="13">
        <v>46237.916666666664</v>
      </c>
      <c r="D673" s="13">
        <v>46237.958333333336</v>
      </c>
      <c r="E673" s="1" t="s">
        <v>321</v>
      </c>
      <c r="F673" s="12">
        <v>24</v>
      </c>
      <c r="G673" s="12">
        <v>24</v>
      </c>
      <c r="H673" s="18">
        <v>0.13714285714285715</v>
      </c>
      <c r="I673" s="12">
        <v>175</v>
      </c>
      <c r="J673" s="12">
        <v>24</v>
      </c>
      <c r="K673" s="13">
        <v>46236.375</v>
      </c>
      <c r="L673" s="13">
        <v>46236.416666666664</v>
      </c>
      <c r="M673" s="1" t="s">
        <v>145</v>
      </c>
      <c r="N673" s="1" t="s">
        <v>154</v>
      </c>
      <c r="O673" s="1" t="s">
        <v>151</v>
      </c>
      <c r="P673" s="1" t="s">
        <v>650</v>
      </c>
      <c r="Q673" s="1" t="s">
        <v>147</v>
      </c>
      <c r="R673" s="1">
        <v>46237.791666666664</v>
      </c>
      <c r="S673" s="1"/>
      <c r="T673" s="1" t="s">
        <v>490</v>
      </c>
      <c r="U673" s="1"/>
    </row>
    <row r="674" spans="1:21" ht="21" customHeight="1" x14ac:dyDescent="0.45">
      <c r="A674" s="14">
        <v>46236</v>
      </c>
      <c r="B674" s="1" t="s">
        <v>101</v>
      </c>
      <c r="C674" s="13">
        <v>46237.916666666664</v>
      </c>
      <c r="D674" s="13">
        <v>46237.958333333336</v>
      </c>
      <c r="E674" s="1" t="s">
        <v>321</v>
      </c>
      <c r="F674" s="12">
        <v>0</v>
      </c>
      <c r="G674" s="12">
        <v>24</v>
      </c>
      <c r="H674" s="18">
        <v>0.13714285714285715</v>
      </c>
      <c r="I674" s="12">
        <v>175</v>
      </c>
      <c r="J674" s="12">
        <v>24</v>
      </c>
      <c r="K674" s="13">
        <v>46236.375</v>
      </c>
      <c r="L674" s="13">
        <v>46236.416666666664</v>
      </c>
      <c r="M674" s="1" t="s">
        <v>145</v>
      </c>
      <c r="N674" s="1" t="s">
        <v>154</v>
      </c>
      <c r="O674" s="1" t="s">
        <v>151</v>
      </c>
      <c r="P674" s="1" t="s">
        <v>651</v>
      </c>
      <c r="Q674" s="1" t="s">
        <v>147</v>
      </c>
      <c r="R674" s="1">
        <v>46237.791666666664</v>
      </c>
      <c r="S674" s="1"/>
      <c r="T674" s="1" t="s">
        <v>490</v>
      </c>
      <c r="U674" s="1"/>
    </row>
    <row r="675" spans="1:21" ht="21" customHeight="1" x14ac:dyDescent="0.45">
      <c r="A675" s="14">
        <v>46236</v>
      </c>
      <c r="B675" s="1" t="s">
        <v>143</v>
      </c>
      <c r="C675" s="13">
        <v>46237.927083333336</v>
      </c>
      <c r="D675" s="13">
        <v>46237.9375</v>
      </c>
      <c r="E675" s="1" t="s">
        <v>321</v>
      </c>
      <c r="F675" s="12">
        <v>0</v>
      </c>
      <c r="G675" s="12">
        <v>100</v>
      </c>
      <c r="H675" s="18"/>
      <c r="I675" s="12"/>
      <c r="J675" s="12"/>
      <c r="K675" s="13">
        <v>46236.541666666664</v>
      </c>
      <c r="L675" s="13">
        <v>46236.583333333336</v>
      </c>
      <c r="M675" s="1" t="s">
        <v>145</v>
      </c>
      <c r="N675" s="1"/>
      <c r="O675" s="1"/>
      <c r="P675" s="1" t="s">
        <v>652</v>
      </c>
      <c r="Q675" s="1" t="s">
        <v>147</v>
      </c>
      <c r="R675" s="1">
        <v>46237.802083333336</v>
      </c>
      <c r="S675" s="1"/>
      <c r="T675" s="1" t="s">
        <v>490</v>
      </c>
      <c r="U675" s="1"/>
    </row>
    <row r="676" spans="1:21" ht="21" customHeight="1" x14ac:dyDescent="0.45">
      <c r="A676" s="14">
        <v>46236</v>
      </c>
      <c r="B676" s="1" t="s">
        <v>143</v>
      </c>
      <c r="C676" s="13">
        <v>46237.9375</v>
      </c>
      <c r="D676" s="13">
        <v>46237.947916666664</v>
      </c>
      <c r="E676" s="1" t="s">
        <v>321</v>
      </c>
      <c r="F676" s="12">
        <v>0</v>
      </c>
      <c r="G676" s="12">
        <v>100</v>
      </c>
      <c r="H676" s="18"/>
      <c r="I676" s="12"/>
      <c r="J676" s="12"/>
      <c r="K676" s="13">
        <v>46236.541666666664</v>
      </c>
      <c r="L676" s="13">
        <v>46236.583333333336</v>
      </c>
      <c r="M676" s="1" t="s">
        <v>145</v>
      </c>
      <c r="N676" s="1"/>
      <c r="O676" s="1"/>
      <c r="P676" s="1" t="s">
        <v>653</v>
      </c>
      <c r="Q676" s="1" t="s">
        <v>147</v>
      </c>
      <c r="R676" s="1">
        <v>46237.8125</v>
      </c>
      <c r="S676" s="1"/>
      <c r="T676" s="1" t="s">
        <v>490</v>
      </c>
      <c r="U676" s="1"/>
    </row>
    <row r="677" spans="1:21" ht="21" customHeight="1" x14ac:dyDescent="0.45">
      <c r="A677" s="14">
        <v>46236</v>
      </c>
      <c r="B677" s="1" t="s">
        <v>143</v>
      </c>
      <c r="C677" s="13">
        <v>46237.947916666664</v>
      </c>
      <c r="D677" s="13">
        <v>46237.958333333336</v>
      </c>
      <c r="E677" s="1" t="s">
        <v>321</v>
      </c>
      <c r="F677" s="12">
        <v>0</v>
      </c>
      <c r="G677" s="12">
        <v>100</v>
      </c>
      <c r="H677" s="18"/>
      <c r="I677" s="12"/>
      <c r="J677" s="12"/>
      <c r="K677" s="13">
        <v>46236.541666666664</v>
      </c>
      <c r="L677" s="13">
        <v>46236.583333333336</v>
      </c>
      <c r="M677" s="1" t="s">
        <v>145</v>
      </c>
      <c r="N677" s="1"/>
      <c r="O677" s="1"/>
      <c r="P677" s="1" t="s">
        <v>654</v>
      </c>
      <c r="Q677" s="1" t="s">
        <v>147</v>
      </c>
      <c r="R677" s="1">
        <v>46237.822916666664</v>
      </c>
      <c r="S677" s="1"/>
      <c r="T677" s="1" t="s">
        <v>490</v>
      </c>
      <c r="U677" s="1"/>
    </row>
    <row r="678" spans="1:21" ht="21" customHeight="1" x14ac:dyDescent="0.45">
      <c r="A678" s="14">
        <v>46236</v>
      </c>
      <c r="B678" s="1" t="s">
        <v>143</v>
      </c>
      <c r="C678" s="13">
        <v>46237.958333333336</v>
      </c>
      <c r="D678" s="13">
        <v>46237.96875</v>
      </c>
      <c r="E678" s="1" t="s">
        <v>321</v>
      </c>
      <c r="F678" s="12">
        <v>-24</v>
      </c>
      <c r="G678" s="12">
        <v>100</v>
      </c>
      <c r="H678" s="18"/>
      <c r="I678" s="12"/>
      <c r="J678" s="12"/>
      <c r="K678" s="13">
        <v>46236.541666666664</v>
      </c>
      <c r="L678" s="13">
        <v>46236.583333333336</v>
      </c>
      <c r="M678" s="1" t="s">
        <v>145</v>
      </c>
      <c r="N678" s="1"/>
      <c r="O678" s="1"/>
      <c r="P678" s="1" t="s">
        <v>655</v>
      </c>
      <c r="Q678" s="1" t="s">
        <v>147</v>
      </c>
      <c r="R678" s="1">
        <v>46237.833333333336</v>
      </c>
      <c r="S678" s="1"/>
      <c r="T678" s="1" t="s">
        <v>490</v>
      </c>
      <c r="U678" s="1"/>
    </row>
    <row r="679" spans="1:21" ht="21" customHeight="1" x14ac:dyDescent="0.45">
      <c r="A679" s="14">
        <v>46236</v>
      </c>
      <c r="B679" s="1" t="s">
        <v>149</v>
      </c>
      <c r="C679" s="13">
        <v>46237.958333333336</v>
      </c>
      <c r="D679" s="13">
        <v>46238</v>
      </c>
      <c r="E679" s="1" t="s">
        <v>321</v>
      </c>
      <c r="F679" s="12">
        <v>40</v>
      </c>
      <c r="G679" s="12">
        <v>40</v>
      </c>
      <c r="H679" s="18">
        <v>0.3125</v>
      </c>
      <c r="I679" s="12">
        <v>128</v>
      </c>
      <c r="J679" s="12">
        <v>40</v>
      </c>
      <c r="K679" s="13">
        <v>46236.375</v>
      </c>
      <c r="L679" s="13">
        <v>46236.416666666664</v>
      </c>
      <c r="M679" s="1" t="s">
        <v>145</v>
      </c>
      <c r="N679" s="1" t="s">
        <v>150</v>
      </c>
      <c r="O679" s="1" t="s">
        <v>151</v>
      </c>
      <c r="P679" s="1" t="s">
        <v>656</v>
      </c>
      <c r="Q679" s="1" t="s">
        <v>147</v>
      </c>
      <c r="R679" s="1">
        <v>46237.833333333336</v>
      </c>
      <c r="S679" s="1" t="s">
        <v>153</v>
      </c>
      <c r="T679" s="1" t="s">
        <v>490</v>
      </c>
      <c r="U679" s="1"/>
    </row>
    <row r="680" spans="1:21" ht="21" customHeight="1" x14ac:dyDescent="0.45">
      <c r="A680" s="14">
        <v>46236</v>
      </c>
      <c r="B680" s="1" t="s">
        <v>103</v>
      </c>
      <c r="C680" s="13">
        <v>46237.958333333336</v>
      </c>
      <c r="D680" s="13">
        <v>46238</v>
      </c>
      <c r="E680" s="1" t="s">
        <v>321</v>
      </c>
      <c r="F680" s="12">
        <v>24</v>
      </c>
      <c r="G680" s="12">
        <v>24</v>
      </c>
      <c r="H680" s="18">
        <v>0.13714285714285715</v>
      </c>
      <c r="I680" s="12">
        <v>175</v>
      </c>
      <c r="J680" s="12">
        <v>24</v>
      </c>
      <c r="K680" s="13">
        <v>46236.375</v>
      </c>
      <c r="L680" s="13">
        <v>46236.416666666664</v>
      </c>
      <c r="M680" s="1" t="s">
        <v>145</v>
      </c>
      <c r="N680" s="1" t="s">
        <v>154</v>
      </c>
      <c r="O680" s="1" t="s">
        <v>151</v>
      </c>
      <c r="P680" s="1" t="s">
        <v>657</v>
      </c>
      <c r="Q680" s="1" t="s">
        <v>147</v>
      </c>
      <c r="R680" s="1">
        <v>46237.833333333336</v>
      </c>
      <c r="S680" s="1"/>
      <c r="T680" s="1" t="s">
        <v>490</v>
      </c>
      <c r="U680" s="1"/>
    </row>
    <row r="681" spans="1:21" ht="21" customHeight="1" x14ac:dyDescent="0.45">
      <c r="A681" s="14">
        <v>46236</v>
      </c>
      <c r="B681" s="1" t="s">
        <v>101</v>
      </c>
      <c r="C681" s="13">
        <v>46237.958333333336</v>
      </c>
      <c r="D681" s="13">
        <v>46238</v>
      </c>
      <c r="E681" s="1" t="s">
        <v>321</v>
      </c>
      <c r="F681" s="12">
        <v>24</v>
      </c>
      <c r="G681" s="12">
        <v>24</v>
      </c>
      <c r="H681" s="18">
        <v>0.13714285714285715</v>
      </c>
      <c r="I681" s="12">
        <v>175</v>
      </c>
      <c r="J681" s="12">
        <v>24</v>
      </c>
      <c r="K681" s="13">
        <v>46236.375</v>
      </c>
      <c r="L681" s="13">
        <v>46236.416666666664</v>
      </c>
      <c r="M681" s="1" t="s">
        <v>145</v>
      </c>
      <c r="N681" s="1" t="s">
        <v>154</v>
      </c>
      <c r="O681" s="1" t="s">
        <v>151</v>
      </c>
      <c r="P681" s="1" t="s">
        <v>658</v>
      </c>
      <c r="Q681" s="1" t="s">
        <v>147</v>
      </c>
      <c r="R681" s="1">
        <v>46237.833333333336</v>
      </c>
      <c r="S681" s="1"/>
      <c r="T681" s="1" t="s">
        <v>490</v>
      </c>
      <c r="U681" s="1"/>
    </row>
    <row r="682" spans="1:21" ht="21" customHeight="1" x14ac:dyDescent="0.45">
      <c r="A682" s="14">
        <v>46236</v>
      </c>
      <c r="B682" s="1" t="s">
        <v>143</v>
      </c>
      <c r="C682" s="13">
        <v>46237.96875</v>
      </c>
      <c r="D682" s="13">
        <v>46237.979166666664</v>
      </c>
      <c r="E682" s="1" t="s">
        <v>321</v>
      </c>
      <c r="F682" s="12">
        <v>-0.89166961782914911</v>
      </c>
      <c r="G682" s="12">
        <v>100</v>
      </c>
      <c r="H682" s="18"/>
      <c r="I682" s="12"/>
      <c r="J682" s="12"/>
      <c r="K682" s="13">
        <v>46236.541666666664</v>
      </c>
      <c r="L682" s="13">
        <v>46236.583333333336</v>
      </c>
      <c r="M682" s="1" t="s">
        <v>145</v>
      </c>
      <c r="N682" s="1"/>
      <c r="O682" s="1"/>
      <c r="P682" s="1" t="s">
        <v>659</v>
      </c>
      <c r="Q682" s="1" t="s">
        <v>147</v>
      </c>
      <c r="R682" s="1">
        <v>46237.84375</v>
      </c>
      <c r="S682" s="1"/>
      <c r="T682" s="1" t="s">
        <v>490</v>
      </c>
      <c r="U682" s="1"/>
    </row>
    <row r="683" spans="1:21" ht="21" customHeight="1" x14ac:dyDescent="0.45">
      <c r="A683" s="14">
        <v>46236</v>
      </c>
      <c r="B683" s="1" t="s">
        <v>143</v>
      </c>
      <c r="C683" s="13">
        <v>46237.979166666664</v>
      </c>
      <c r="D683" s="13">
        <v>46237.989583333336</v>
      </c>
      <c r="E683" s="1" t="s">
        <v>321</v>
      </c>
      <c r="F683" s="12">
        <v>-1.8358554115129444</v>
      </c>
      <c r="G683" s="12">
        <v>100</v>
      </c>
      <c r="H683" s="18"/>
      <c r="I683" s="12"/>
      <c r="J683" s="12"/>
      <c r="K683" s="13">
        <v>46236.541666666664</v>
      </c>
      <c r="L683" s="13">
        <v>46236.583333333336</v>
      </c>
      <c r="M683" s="1" t="s">
        <v>145</v>
      </c>
      <c r="N683" s="1"/>
      <c r="O683" s="1"/>
      <c r="P683" s="1" t="s">
        <v>660</v>
      </c>
      <c r="Q683" s="1" t="s">
        <v>147</v>
      </c>
      <c r="R683" s="1">
        <v>46237.854166666664</v>
      </c>
      <c r="S683" s="1"/>
      <c r="T683" s="1" t="s">
        <v>490</v>
      </c>
      <c r="U683" s="1"/>
    </row>
    <row r="684" spans="1:21" ht="21" customHeight="1" x14ac:dyDescent="0.45">
      <c r="A684" s="14">
        <v>46236</v>
      </c>
      <c r="B684" s="1" t="s">
        <v>143</v>
      </c>
      <c r="C684" s="13">
        <v>46237.989583333336</v>
      </c>
      <c r="D684" s="13">
        <v>46238</v>
      </c>
      <c r="E684" s="1" t="s">
        <v>321</v>
      </c>
      <c r="F684" s="12">
        <v>0</v>
      </c>
      <c r="G684" s="12">
        <v>100</v>
      </c>
      <c r="H684" s="18"/>
      <c r="I684" s="12"/>
      <c r="J684" s="12"/>
      <c r="K684" s="13">
        <v>46236.541666666664</v>
      </c>
      <c r="L684" s="13">
        <v>46236.583333333336</v>
      </c>
      <c r="M684" s="1" t="s">
        <v>145</v>
      </c>
      <c r="N684" s="1"/>
      <c r="O684" s="1"/>
      <c r="P684" s="1" t="s">
        <v>661</v>
      </c>
      <c r="Q684" s="1" t="s">
        <v>147</v>
      </c>
      <c r="R684" s="1">
        <v>46237.864583333336</v>
      </c>
      <c r="S684" s="1"/>
      <c r="T684" s="1" t="s">
        <v>490</v>
      </c>
      <c r="U684" s="1"/>
    </row>
    <row r="685" spans="1:21" ht="21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21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21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21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</sheetData>
  <phoneticPr fontId="9" type="noConversion"/>
  <conditionalFormatting sqref="J6:J7">
    <cfRule type="expression" dxfId="8" priority="1">
      <formula>ABS(J6)&gt;0.00001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35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B9" sqref="B9"/>
    </sheetView>
  </sheetViews>
  <sheetFormatPr defaultRowHeight="14.25" x14ac:dyDescent="0.45"/>
  <cols>
    <col min="1" max="1" width="27" customWidth="1"/>
    <col min="2" max="2" width="25" customWidth="1"/>
    <col min="3" max="4" width="27" customWidth="1"/>
    <col min="5" max="6" width="19" customWidth="1"/>
    <col min="7" max="7" width="27" customWidth="1"/>
    <col min="8" max="11" width="19" customWidth="1"/>
    <col min="12" max="12" width="27" customWidth="1"/>
    <col min="13" max="94" width="19" customWidth="1"/>
  </cols>
  <sheetData>
    <row r="1" spans="1:94" ht="21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ht="21" customHeight="1" x14ac:dyDescent="0.45">
      <c r="A2" s="2" t="s">
        <v>662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ht="21" customHeight="1" x14ac:dyDescent="0.45">
      <c r="A3" s="3" t="s">
        <v>663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ht="21" customHeight="1" x14ac:dyDescent="0.45">
      <c r="A4" s="3" t="s">
        <v>664</v>
      </c>
      <c r="B4" s="4">
        <v>31.73913043478267</v>
      </c>
      <c r="C4" s="4" t="s">
        <v>665</v>
      </c>
      <c r="D4" s="4">
        <v>100</v>
      </c>
      <c r="E4" s="4" t="s">
        <v>32</v>
      </c>
      <c r="F4" s="5">
        <v>0.3125</v>
      </c>
      <c r="G4" s="5" t="s">
        <v>33</v>
      </c>
      <c r="H4" s="5">
        <v>0.13714285714285715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21" customHeight="1" x14ac:dyDescent="0.45">
      <c r="A5" s="3" t="s">
        <v>666</v>
      </c>
      <c r="B5" s="4">
        <v>0.92</v>
      </c>
      <c r="C5" s="4" t="s">
        <v>667</v>
      </c>
      <c r="D5" s="4">
        <v>200</v>
      </c>
      <c r="E5" s="4" t="s">
        <v>668</v>
      </c>
      <c r="F5" s="4">
        <v>0.25</v>
      </c>
      <c r="G5" s="4" t="s">
        <v>669</v>
      </c>
      <c r="H5" s="4">
        <v>360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ht="21" customHeight="1" x14ac:dyDescent="0.45">
      <c r="A6" s="1" t="s">
        <v>670</v>
      </c>
      <c r="B6" s="4">
        <v>10</v>
      </c>
      <c r="C6" s="4" t="s">
        <v>671</v>
      </c>
      <c r="D6" s="4">
        <v>190</v>
      </c>
      <c r="E6" s="4" t="s">
        <v>672</v>
      </c>
      <c r="F6" s="4" t="s">
        <v>673</v>
      </c>
      <c r="G6" s="4" t="s">
        <v>674</v>
      </c>
      <c r="H6" s="4" t="s">
        <v>675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ht="21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94" ht="55.05" customHeight="1" x14ac:dyDescent="0.45">
      <c r="A8" s="6" t="s">
        <v>676</v>
      </c>
      <c r="B8" s="6" t="s">
        <v>677</v>
      </c>
      <c r="C8" s="6" t="s">
        <v>678</v>
      </c>
      <c r="D8" s="6" t="s">
        <v>679</v>
      </c>
      <c r="E8" s="6" t="s">
        <v>680</v>
      </c>
      <c r="F8" s="6" t="s">
        <v>681</v>
      </c>
      <c r="G8" s="6" t="s">
        <v>682</v>
      </c>
      <c r="H8" s="6" t="s">
        <v>683</v>
      </c>
      <c r="I8" s="6" t="s">
        <v>684</v>
      </c>
      <c r="J8" s="6" t="s">
        <v>685</v>
      </c>
      <c r="K8" s="6" t="s">
        <v>686</v>
      </c>
      <c r="L8" s="6" t="s">
        <v>687</v>
      </c>
      <c r="M8" s="6" t="s">
        <v>688</v>
      </c>
      <c r="N8" s="6" t="s">
        <v>689</v>
      </c>
      <c r="O8" s="6" t="s">
        <v>690</v>
      </c>
      <c r="P8" s="6" t="s">
        <v>691</v>
      </c>
      <c r="Q8" s="6" t="s">
        <v>692</v>
      </c>
      <c r="R8" s="6" t="s">
        <v>693</v>
      </c>
      <c r="S8" s="6" t="s">
        <v>694</v>
      </c>
      <c r="T8" s="6" t="s">
        <v>695</v>
      </c>
      <c r="U8" s="6" t="s">
        <v>696</v>
      </c>
      <c r="V8" s="6" t="s">
        <v>697</v>
      </c>
      <c r="W8" s="6" t="s">
        <v>698</v>
      </c>
      <c r="X8" s="6" t="s">
        <v>699</v>
      </c>
      <c r="Y8" s="6" t="s">
        <v>700</v>
      </c>
      <c r="Z8" s="6" t="s">
        <v>701</v>
      </c>
      <c r="AA8" s="6" t="s">
        <v>702</v>
      </c>
      <c r="AB8" s="6" t="s">
        <v>703</v>
      </c>
      <c r="AC8" s="6" t="s">
        <v>704</v>
      </c>
      <c r="AD8" s="6" t="s">
        <v>705</v>
      </c>
      <c r="AE8" s="6" t="s">
        <v>706</v>
      </c>
      <c r="AF8" s="6" t="s">
        <v>707</v>
      </c>
      <c r="AG8" s="6" t="s">
        <v>708</v>
      </c>
      <c r="AH8" s="6" t="s">
        <v>709</v>
      </c>
      <c r="AI8" s="6" t="s">
        <v>710</v>
      </c>
      <c r="AJ8" s="6" t="s">
        <v>711</v>
      </c>
      <c r="AK8" s="6" t="s">
        <v>712</v>
      </c>
      <c r="AL8" s="6" t="s">
        <v>713</v>
      </c>
      <c r="AM8" s="6" t="s">
        <v>714</v>
      </c>
      <c r="AN8" s="6" t="s">
        <v>715</v>
      </c>
      <c r="AO8" s="6" t="s">
        <v>716</v>
      </c>
      <c r="AP8" s="6" t="s">
        <v>717</v>
      </c>
      <c r="AQ8" s="6" t="s">
        <v>718</v>
      </c>
      <c r="AR8" s="6" t="s">
        <v>719</v>
      </c>
      <c r="AS8" s="6" t="s">
        <v>720</v>
      </c>
      <c r="AT8" s="6" t="s">
        <v>721</v>
      </c>
      <c r="AU8" s="6" t="s">
        <v>722</v>
      </c>
      <c r="AV8" s="6" t="s">
        <v>723</v>
      </c>
      <c r="AW8" s="6" t="s">
        <v>724</v>
      </c>
      <c r="AX8" s="6" t="s">
        <v>725</v>
      </c>
      <c r="AY8" s="6" t="s">
        <v>726</v>
      </c>
      <c r="AZ8" s="6" t="s">
        <v>727</v>
      </c>
      <c r="BA8" s="6" t="s">
        <v>728</v>
      </c>
      <c r="BB8" s="6" t="s">
        <v>729</v>
      </c>
      <c r="BC8" s="6" t="s">
        <v>730</v>
      </c>
      <c r="BD8" s="6" t="s">
        <v>731</v>
      </c>
      <c r="BE8" s="6" t="s">
        <v>732</v>
      </c>
      <c r="BF8" s="6" t="s">
        <v>733</v>
      </c>
      <c r="BG8" s="6" t="s">
        <v>734</v>
      </c>
      <c r="BH8" s="6" t="s">
        <v>735</v>
      </c>
      <c r="BI8" s="6" t="s">
        <v>736</v>
      </c>
      <c r="BJ8" s="6" t="s">
        <v>737</v>
      </c>
      <c r="BK8" s="6" t="s">
        <v>738</v>
      </c>
      <c r="BL8" s="6" t="s">
        <v>739</v>
      </c>
      <c r="BM8" s="6" t="s">
        <v>740</v>
      </c>
      <c r="BN8" s="6" t="s">
        <v>741</v>
      </c>
      <c r="BO8" s="6" t="s">
        <v>742</v>
      </c>
      <c r="BP8" s="6" t="s">
        <v>743</v>
      </c>
      <c r="BQ8" s="6" t="s">
        <v>744</v>
      </c>
      <c r="BR8" s="6" t="s">
        <v>745</v>
      </c>
      <c r="BS8" s="6" t="s">
        <v>746</v>
      </c>
      <c r="BT8" s="6" t="s">
        <v>747</v>
      </c>
      <c r="BU8" s="6" t="s">
        <v>748</v>
      </c>
      <c r="BV8" s="6" t="s">
        <v>749</v>
      </c>
      <c r="BW8" s="6" t="s">
        <v>750</v>
      </c>
      <c r="BX8" s="6" t="s">
        <v>751</v>
      </c>
      <c r="BY8" s="6" t="s">
        <v>752</v>
      </c>
      <c r="BZ8" s="6" t="s">
        <v>753</v>
      </c>
      <c r="CA8" s="6" t="s">
        <v>754</v>
      </c>
      <c r="CB8" s="6" t="s">
        <v>755</v>
      </c>
      <c r="CC8" s="6" t="s">
        <v>756</v>
      </c>
      <c r="CD8" s="6" t="s">
        <v>757</v>
      </c>
      <c r="CE8" s="6" t="s">
        <v>758</v>
      </c>
      <c r="CF8" s="6" t="s">
        <v>759</v>
      </c>
      <c r="CG8" s="6" t="s">
        <v>760</v>
      </c>
      <c r="CH8" s="6" t="s">
        <v>761</v>
      </c>
      <c r="CI8" s="6" t="s">
        <v>762</v>
      </c>
      <c r="CJ8" s="6" t="s">
        <v>763</v>
      </c>
      <c r="CK8" s="6" t="s">
        <v>764</v>
      </c>
      <c r="CL8" s="6" t="s">
        <v>765</v>
      </c>
      <c r="CM8" s="6" t="s">
        <v>766</v>
      </c>
      <c r="CN8" s="6" t="s">
        <v>767</v>
      </c>
      <c r="CO8" s="6" t="s">
        <v>768</v>
      </c>
      <c r="CP8" s="6" t="s">
        <v>769</v>
      </c>
    </row>
    <row r="9" spans="1:94" ht="21" customHeight="1" x14ac:dyDescent="0.45">
      <c r="A9" s="9">
        <v>46234.875</v>
      </c>
      <c r="B9" s="9">
        <v>46234.885416666664</v>
      </c>
      <c r="C9" s="9">
        <v>46235</v>
      </c>
      <c r="D9" s="10">
        <v>46235</v>
      </c>
      <c r="E9" s="7">
        <v>0.25</v>
      </c>
      <c r="F9" s="7" t="s">
        <v>770</v>
      </c>
      <c r="G9" s="9">
        <v>46234.875</v>
      </c>
      <c r="H9" s="7">
        <v>179.01</v>
      </c>
      <c r="I9" s="7" t="s">
        <v>771</v>
      </c>
      <c r="J9" s="7">
        <v>15</v>
      </c>
      <c r="K9" s="7" t="s">
        <v>772</v>
      </c>
      <c r="L9" s="10">
        <v>46234</v>
      </c>
      <c r="M9" s="7">
        <v>5.2473000000000001</v>
      </c>
      <c r="N9" s="7" t="s">
        <v>773</v>
      </c>
      <c r="O9" s="7">
        <v>131.96799999999999</v>
      </c>
      <c r="P9" s="7" t="s">
        <v>774</v>
      </c>
      <c r="Q9" s="7" t="s">
        <v>775</v>
      </c>
      <c r="R9" s="7">
        <v>66.224534522516336</v>
      </c>
      <c r="S9" s="7" t="s">
        <v>776</v>
      </c>
      <c r="T9" s="7">
        <v>175</v>
      </c>
      <c r="U9" s="7" t="s">
        <v>777</v>
      </c>
      <c r="V9" s="7" t="s">
        <v>775</v>
      </c>
      <c r="W9" s="7">
        <v>7.1274750824233415</v>
      </c>
      <c r="X9" s="7" t="s">
        <v>776</v>
      </c>
      <c r="Y9" s="7">
        <v>175</v>
      </c>
      <c r="Z9" s="7" t="s">
        <v>778</v>
      </c>
      <c r="AA9" s="7" t="s">
        <v>775</v>
      </c>
      <c r="AB9" s="7">
        <v>2.7061536409200921</v>
      </c>
      <c r="AC9" s="7" t="s">
        <v>776</v>
      </c>
      <c r="AD9" s="7"/>
      <c r="AE9" s="7" t="s">
        <v>779</v>
      </c>
      <c r="AF9" s="7"/>
      <c r="AG9" s="7">
        <v>391.83580126922413</v>
      </c>
      <c r="AH9" s="7" t="s">
        <v>776</v>
      </c>
      <c r="AI9" s="7">
        <v>18.422999999999998</v>
      </c>
      <c r="AJ9" s="7">
        <v>0</v>
      </c>
      <c r="AK9" s="7" t="s">
        <v>776</v>
      </c>
      <c r="AL9" s="7">
        <v>0</v>
      </c>
      <c r="AM9" s="7" t="s">
        <v>780</v>
      </c>
      <c r="AN9" s="7" t="s">
        <v>781</v>
      </c>
      <c r="AO9" s="7" t="s">
        <v>782</v>
      </c>
      <c r="AP9" s="7">
        <v>0.42109714285714278</v>
      </c>
      <c r="AQ9" s="7">
        <v>0</v>
      </c>
      <c r="AR9" s="7">
        <v>0.42109714285714278</v>
      </c>
      <c r="AS9" s="8" t="b">
        <v>1</v>
      </c>
      <c r="AT9" s="8" t="b">
        <v>1</v>
      </c>
      <c r="AU9" s="8" t="b">
        <v>1</v>
      </c>
      <c r="AV9" s="8" t="b">
        <v>1</v>
      </c>
      <c r="AW9" s="8" t="b">
        <v>1</v>
      </c>
      <c r="AX9" s="8" t="b">
        <v>1</v>
      </c>
      <c r="AY9" s="8" t="b">
        <v>1</v>
      </c>
      <c r="AZ9" s="8" t="b">
        <v>1</v>
      </c>
      <c r="BA9" s="7" t="s">
        <v>783</v>
      </c>
      <c r="BB9" s="7" t="s">
        <v>783</v>
      </c>
      <c r="BC9" s="7" t="s">
        <v>784</v>
      </c>
      <c r="BD9" s="7">
        <v>0</v>
      </c>
      <c r="BE9" s="7">
        <v>0</v>
      </c>
      <c r="BF9" s="7">
        <v>16.236921845520552</v>
      </c>
      <c r="BG9" s="7">
        <v>0.13714285714285715</v>
      </c>
      <c r="BH9" s="7" t="s">
        <v>154</v>
      </c>
      <c r="BI9" s="7">
        <v>175</v>
      </c>
      <c r="BJ9" s="7">
        <v>24</v>
      </c>
      <c r="BK9" s="7">
        <v>24</v>
      </c>
      <c r="BL9" s="7">
        <v>24</v>
      </c>
      <c r="BM9" s="8" t="b">
        <v>1</v>
      </c>
      <c r="BN9" s="7">
        <v>990.00561830165702</v>
      </c>
      <c r="BO9" s="7">
        <v>2.526582857142857</v>
      </c>
      <c r="BP9" s="7">
        <v>42.764850494540049</v>
      </c>
      <c r="BQ9" s="7">
        <v>0.13714285714285715</v>
      </c>
      <c r="BR9" s="7" t="s">
        <v>154</v>
      </c>
      <c r="BS9" s="7">
        <v>175</v>
      </c>
      <c r="BT9" s="7">
        <v>24</v>
      </c>
      <c r="BU9" s="7">
        <v>24</v>
      </c>
      <c r="BV9" s="7">
        <v>24</v>
      </c>
      <c r="BW9" s="7" t="s">
        <v>771</v>
      </c>
      <c r="BX9" s="8" t="b">
        <v>1</v>
      </c>
      <c r="BY9" s="7">
        <v>-1074.0599999999915</v>
      </c>
      <c r="BZ9" s="7">
        <v>-23.999999999999812</v>
      </c>
      <c r="CA9" s="7">
        <v>46234.885416666664</v>
      </c>
      <c r="CB9" s="7">
        <v>46234.875</v>
      </c>
      <c r="CC9" s="7">
        <v>8.8765104761904679E-3</v>
      </c>
      <c r="CD9" s="7">
        <v>31.73913043478267</v>
      </c>
      <c r="CE9" s="7">
        <v>34.934674206211199</v>
      </c>
      <c r="CF9" s="7">
        <v>662.24534522516342</v>
      </c>
      <c r="CG9" s="7">
        <v>0.3125</v>
      </c>
      <c r="CH9" s="7" t="s">
        <v>150</v>
      </c>
      <c r="CI9" s="7">
        <v>128</v>
      </c>
      <c r="CJ9" s="8" t="b">
        <v>1</v>
      </c>
      <c r="CK9" s="7">
        <v>40</v>
      </c>
      <c r="CL9" s="7">
        <v>40</v>
      </c>
      <c r="CM9" s="7">
        <v>40</v>
      </c>
      <c r="CN9" s="8" t="b">
        <v>0</v>
      </c>
      <c r="CO9" s="7" t="s">
        <v>785</v>
      </c>
      <c r="CP9" s="7">
        <v>637.19273586688951</v>
      </c>
    </row>
    <row r="10" spans="1:94" ht="21" customHeight="1" x14ac:dyDescent="0.45">
      <c r="A10" s="9">
        <v>46234.885416666664</v>
      </c>
      <c r="B10" s="9">
        <v>46234.895833333336</v>
      </c>
      <c r="C10" s="9">
        <v>46235.010416666664</v>
      </c>
      <c r="D10" s="10">
        <v>46235</v>
      </c>
      <c r="E10" s="7">
        <v>0.25</v>
      </c>
      <c r="F10" s="7" t="s">
        <v>770</v>
      </c>
      <c r="G10" s="9">
        <v>46234.875</v>
      </c>
      <c r="H10" s="7">
        <v>170.12</v>
      </c>
      <c r="I10" s="7" t="s">
        <v>786</v>
      </c>
      <c r="J10" s="7">
        <v>15</v>
      </c>
      <c r="K10" s="7" t="s">
        <v>772</v>
      </c>
      <c r="L10" s="10">
        <v>46234</v>
      </c>
      <c r="M10" s="7">
        <v>5.2473000000000001</v>
      </c>
      <c r="N10" s="7" t="s">
        <v>773</v>
      </c>
      <c r="O10" s="7">
        <v>131.96799999999999</v>
      </c>
      <c r="P10" s="7" t="s">
        <v>774</v>
      </c>
      <c r="Q10" s="7" t="s">
        <v>775</v>
      </c>
      <c r="R10" s="7">
        <v>66.224534522516336</v>
      </c>
      <c r="S10" s="7" t="s">
        <v>776</v>
      </c>
      <c r="T10" s="7">
        <v>175</v>
      </c>
      <c r="U10" s="7" t="s">
        <v>777</v>
      </c>
      <c r="V10" s="7" t="s">
        <v>775</v>
      </c>
      <c r="W10" s="7">
        <v>7.1274750824233415</v>
      </c>
      <c r="X10" s="7" t="s">
        <v>776</v>
      </c>
      <c r="Y10" s="7">
        <v>175</v>
      </c>
      <c r="Z10" s="7" t="s">
        <v>778</v>
      </c>
      <c r="AA10" s="7" t="s">
        <v>775</v>
      </c>
      <c r="AB10" s="7">
        <v>2.7061536409200921</v>
      </c>
      <c r="AC10" s="7" t="s">
        <v>776</v>
      </c>
      <c r="AD10" s="7"/>
      <c r="AE10" s="7" t="s">
        <v>779</v>
      </c>
      <c r="AF10" s="7"/>
      <c r="AG10" s="7">
        <v>264.63514569397591</v>
      </c>
      <c r="AH10" s="7" t="s">
        <v>776</v>
      </c>
      <c r="AI10" s="7">
        <v>15.439</v>
      </c>
      <c r="AJ10" s="7">
        <v>0</v>
      </c>
      <c r="AK10" s="7" t="s">
        <v>776</v>
      </c>
      <c r="AL10" s="7">
        <v>0</v>
      </c>
      <c r="AM10" s="7" t="s">
        <v>780</v>
      </c>
      <c r="AN10" s="7" t="s">
        <v>781</v>
      </c>
      <c r="AO10" s="7" t="s">
        <v>782</v>
      </c>
      <c r="AP10" s="7">
        <v>0.35289142857142858</v>
      </c>
      <c r="AQ10" s="7">
        <v>0</v>
      </c>
      <c r="AR10" s="7">
        <v>0.35289142857142858</v>
      </c>
      <c r="AS10" s="8" t="b">
        <v>1</v>
      </c>
      <c r="AT10" s="8" t="b">
        <v>1</v>
      </c>
      <c r="AU10" s="8" t="b">
        <v>1</v>
      </c>
      <c r="AV10" s="8" t="b">
        <v>1</v>
      </c>
      <c r="AW10" s="8" t="b">
        <v>1</v>
      </c>
      <c r="AX10" s="8" t="b">
        <v>1</v>
      </c>
      <c r="AY10" s="8" t="b">
        <v>1</v>
      </c>
      <c r="AZ10" s="8" t="b">
        <v>1</v>
      </c>
      <c r="BA10" s="7" t="s">
        <v>783</v>
      </c>
      <c r="BB10" s="7" t="s">
        <v>783</v>
      </c>
      <c r="BC10" s="7" t="s">
        <v>784</v>
      </c>
      <c r="BD10" s="7">
        <v>0</v>
      </c>
      <c r="BE10" s="7">
        <v>0</v>
      </c>
      <c r="BF10" s="7">
        <v>16.236921845520552</v>
      </c>
      <c r="BG10" s="7">
        <v>0.13714285714285715</v>
      </c>
      <c r="BH10" s="7" t="s">
        <v>154</v>
      </c>
      <c r="BI10" s="7">
        <v>175</v>
      </c>
      <c r="BJ10" s="7">
        <v>24</v>
      </c>
      <c r="BK10" s="7">
        <v>24</v>
      </c>
      <c r="BL10" s="7">
        <v>24</v>
      </c>
      <c r="BM10" s="8" t="b">
        <v>1</v>
      </c>
      <c r="BN10" s="7">
        <v>560.3248476849318</v>
      </c>
      <c r="BO10" s="7">
        <v>2.1173485714285714</v>
      </c>
      <c r="BP10" s="7">
        <v>42.764850494540049</v>
      </c>
      <c r="BQ10" s="7">
        <v>0.13714285714285715</v>
      </c>
      <c r="BR10" s="7" t="s">
        <v>154</v>
      </c>
      <c r="BS10" s="7">
        <v>175</v>
      </c>
      <c r="BT10" s="7">
        <v>24</v>
      </c>
      <c r="BU10" s="7">
        <v>24</v>
      </c>
      <c r="BV10" s="7">
        <v>24</v>
      </c>
      <c r="BW10" s="7" t="s">
        <v>786</v>
      </c>
      <c r="BX10" s="8" t="b">
        <v>1</v>
      </c>
      <c r="BY10" s="7">
        <v>0</v>
      </c>
      <c r="BZ10" s="7">
        <v>0</v>
      </c>
      <c r="CA10" s="7">
        <v>46234.895833333336</v>
      </c>
      <c r="CB10" s="7">
        <v>46234.885416666664</v>
      </c>
      <c r="CC10" s="7">
        <v>6.3929606625258793E-3</v>
      </c>
      <c r="CD10" s="7">
        <v>34.934674206211199</v>
      </c>
      <c r="CE10" s="7">
        <v>32.633208367701883</v>
      </c>
      <c r="CF10" s="7">
        <v>662.24534522516342</v>
      </c>
      <c r="CG10" s="7">
        <v>0.3125</v>
      </c>
      <c r="CH10" s="7" t="s">
        <v>150</v>
      </c>
      <c r="CI10" s="7">
        <v>128</v>
      </c>
      <c r="CJ10" s="8" t="b">
        <v>1</v>
      </c>
      <c r="CK10" s="7">
        <v>40</v>
      </c>
      <c r="CL10" s="7">
        <v>40</v>
      </c>
      <c r="CM10" s="7">
        <v>40</v>
      </c>
      <c r="CN10" s="8" t="b">
        <v>0</v>
      </c>
      <c r="CO10" s="7" t="s">
        <v>785</v>
      </c>
      <c r="CP10" s="7">
        <v>1281.5719652501559</v>
      </c>
    </row>
    <row r="11" spans="1:94" ht="21" customHeight="1" x14ac:dyDescent="0.45">
      <c r="A11" s="9">
        <v>46234.895833333336</v>
      </c>
      <c r="B11" s="9">
        <v>46234.90625</v>
      </c>
      <c r="C11" s="9">
        <v>46235.020833333336</v>
      </c>
      <c r="D11" s="10">
        <v>46235</v>
      </c>
      <c r="E11" s="7">
        <v>0.25</v>
      </c>
      <c r="F11" s="7" t="s">
        <v>770</v>
      </c>
      <c r="G11" s="9">
        <v>46234.875</v>
      </c>
      <c r="H11" s="7">
        <v>167.36</v>
      </c>
      <c r="I11" s="7" t="s">
        <v>787</v>
      </c>
      <c r="J11" s="7">
        <v>15</v>
      </c>
      <c r="K11" s="7" t="s">
        <v>772</v>
      </c>
      <c r="L11" s="10">
        <v>46234</v>
      </c>
      <c r="M11" s="7">
        <v>5.2473000000000001</v>
      </c>
      <c r="N11" s="7" t="s">
        <v>773</v>
      </c>
      <c r="O11" s="7">
        <v>131.96799999999999</v>
      </c>
      <c r="P11" s="7" t="s">
        <v>774</v>
      </c>
      <c r="Q11" s="7" t="s">
        <v>775</v>
      </c>
      <c r="R11" s="7">
        <v>66.224534522516336</v>
      </c>
      <c r="S11" s="7" t="s">
        <v>776</v>
      </c>
      <c r="T11" s="7">
        <v>175</v>
      </c>
      <c r="U11" s="7" t="s">
        <v>777</v>
      </c>
      <c r="V11" s="7" t="s">
        <v>775</v>
      </c>
      <c r="W11" s="7">
        <v>7.1274750824233415</v>
      </c>
      <c r="X11" s="7" t="s">
        <v>776</v>
      </c>
      <c r="Y11" s="7">
        <v>175</v>
      </c>
      <c r="Z11" s="7" t="s">
        <v>778</v>
      </c>
      <c r="AA11" s="7" t="s">
        <v>775</v>
      </c>
      <c r="AB11" s="7">
        <v>2.7061536409200921</v>
      </c>
      <c r="AC11" s="7" t="s">
        <v>776</v>
      </c>
      <c r="AD11" s="7"/>
      <c r="AE11" s="7" t="s">
        <v>779</v>
      </c>
      <c r="AF11" s="7"/>
      <c r="AG11" s="7">
        <v>422.70215158271873</v>
      </c>
      <c r="AH11" s="7" t="s">
        <v>776</v>
      </c>
      <c r="AI11" s="7">
        <v>23.855</v>
      </c>
      <c r="AJ11" s="7">
        <v>0</v>
      </c>
      <c r="AK11" s="7" t="s">
        <v>776</v>
      </c>
      <c r="AL11" s="7">
        <v>0</v>
      </c>
      <c r="AM11" s="7" t="s">
        <v>780</v>
      </c>
      <c r="AN11" s="7" t="s">
        <v>781</v>
      </c>
      <c r="AO11" s="7" t="s">
        <v>782</v>
      </c>
      <c r="AP11" s="7">
        <v>0.54525714285714288</v>
      </c>
      <c r="AQ11" s="7">
        <v>0</v>
      </c>
      <c r="AR11" s="7">
        <v>0.54525714285714288</v>
      </c>
      <c r="AS11" s="8" t="b">
        <v>1</v>
      </c>
      <c r="AT11" s="8" t="b">
        <v>1</v>
      </c>
      <c r="AU11" s="8" t="b">
        <v>1</v>
      </c>
      <c r="AV11" s="8" t="b">
        <v>1</v>
      </c>
      <c r="AW11" s="8" t="b">
        <v>1</v>
      </c>
      <c r="AX11" s="8" t="b">
        <v>1</v>
      </c>
      <c r="AY11" s="8" t="b">
        <v>1</v>
      </c>
      <c r="AZ11" s="8" t="b">
        <v>1</v>
      </c>
      <c r="BA11" s="7" t="s">
        <v>783</v>
      </c>
      <c r="BB11" s="7" t="s">
        <v>783</v>
      </c>
      <c r="BC11" s="7" t="s">
        <v>784</v>
      </c>
      <c r="BD11" s="7">
        <v>0</v>
      </c>
      <c r="BE11" s="7">
        <v>0</v>
      </c>
      <c r="BF11" s="7">
        <v>16.236921845520552</v>
      </c>
      <c r="BG11" s="7">
        <v>0.13714285714285715</v>
      </c>
      <c r="BH11" s="7" t="s">
        <v>154</v>
      </c>
      <c r="BI11" s="7">
        <v>175</v>
      </c>
      <c r="BJ11" s="7">
        <v>24</v>
      </c>
      <c r="BK11" s="7">
        <v>24</v>
      </c>
      <c r="BL11" s="7">
        <v>24</v>
      </c>
      <c r="BM11" s="8" t="b">
        <v>1</v>
      </c>
      <c r="BN11" s="7">
        <v>1382.8882047093607</v>
      </c>
      <c r="BO11" s="7">
        <v>3.2715428571428573</v>
      </c>
      <c r="BP11" s="7">
        <v>42.764850494540049</v>
      </c>
      <c r="BQ11" s="7">
        <v>0.13714285714285715</v>
      </c>
      <c r="BR11" s="7" t="s">
        <v>154</v>
      </c>
      <c r="BS11" s="7">
        <v>175</v>
      </c>
      <c r="BT11" s="7">
        <v>24</v>
      </c>
      <c r="BU11" s="7">
        <v>24</v>
      </c>
      <c r="BV11" s="7">
        <v>24</v>
      </c>
      <c r="BW11" s="7" t="s">
        <v>787</v>
      </c>
      <c r="BX11" s="8" t="b">
        <v>1</v>
      </c>
      <c r="BY11" s="7">
        <v>-1004.1600000000001</v>
      </c>
      <c r="BZ11" s="7">
        <v>-24</v>
      </c>
      <c r="CA11" s="7">
        <v>46234.90625</v>
      </c>
      <c r="CB11" s="7">
        <v>46234.895833333336</v>
      </c>
      <c r="CC11" s="7">
        <v>6.9727238095238092E-3</v>
      </c>
      <c r="CD11" s="7">
        <v>32.633208367701883</v>
      </c>
      <c r="CE11" s="7">
        <v>35.143388939130453</v>
      </c>
      <c r="CF11" s="7">
        <v>662.24534522516342</v>
      </c>
      <c r="CG11" s="7">
        <v>0.3125</v>
      </c>
      <c r="CH11" s="7" t="s">
        <v>150</v>
      </c>
      <c r="CI11" s="7">
        <v>128</v>
      </c>
      <c r="CJ11" s="8" t="b">
        <v>1</v>
      </c>
      <c r="CK11" s="7">
        <v>40</v>
      </c>
      <c r="CL11" s="7">
        <v>40</v>
      </c>
      <c r="CM11" s="7">
        <v>40</v>
      </c>
      <c r="CN11" s="8" t="b">
        <v>0</v>
      </c>
      <c r="CO11" s="7" t="s">
        <v>785</v>
      </c>
      <c r="CP11" s="7">
        <v>1099.9753222745846</v>
      </c>
    </row>
    <row r="12" spans="1:94" ht="21" customHeight="1" x14ac:dyDescent="0.45">
      <c r="A12" s="9">
        <v>46234.90625</v>
      </c>
      <c r="B12" s="9">
        <v>46234.916666666664</v>
      </c>
      <c r="C12" s="9">
        <v>46235.03125</v>
      </c>
      <c r="D12" s="10">
        <v>46235</v>
      </c>
      <c r="E12" s="7">
        <v>0.25</v>
      </c>
      <c r="F12" s="7" t="s">
        <v>770</v>
      </c>
      <c r="G12" s="9">
        <v>46234.875</v>
      </c>
      <c r="H12" s="7">
        <v>165.13</v>
      </c>
      <c r="I12" s="7" t="s">
        <v>788</v>
      </c>
      <c r="J12" s="7">
        <v>15</v>
      </c>
      <c r="K12" s="7" t="s">
        <v>772</v>
      </c>
      <c r="L12" s="10">
        <v>46234</v>
      </c>
      <c r="M12" s="7">
        <v>5.2473000000000001</v>
      </c>
      <c r="N12" s="7" t="s">
        <v>773</v>
      </c>
      <c r="O12" s="7">
        <v>131.96799999999999</v>
      </c>
      <c r="P12" s="7" t="s">
        <v>774</v>
      </c>
      <c r="Q12" s="7" t="s">
        <v>775</v>
      </c>
      <c r="R12" s="7">
        <v>66.224534522516336</v>
      </c>
      <c r="S12" s="7" t="s">
        <v>776</v>
      </c>
      <c r="T12" s="7">
        <v>175</v>
      </c>
      <c r="U12" s="7" t="s">
        <v>777</v>
      </c>
      <c r="V12" s="7" t="s">
        <v>775</v>
      </c>
      <c r="W12" s="7">
        <v>7.1274750824233415</v>
      </c>
      <c r="X12" s="7" t="s">
        <v>776</v>
      </c>
      <c r="Y12" s="7">
        <v>175</v>
      </c>
      <c r="Z12" s="7" t="s">
        <v>778</v>
      </c>
      <c r="AA12" s="7" t="s">
        <v>775</v>
      </c>
      <c r="AB12" s="7">
        <v>2.7061536409200921</v>
      </c>
      <c r="AC12" s="7" t="s">
        <v>776</v>
      </c>
      <c r="AD12" s="7"/>
      <c r="AE12" s="7" t="s">
        <v>779</v>
      </c>
      <c r="AF12" s="7"/>
      <c r="AG12" s="7">
        <v>260.51455034017494</v>
      </c>
      <c r="AH12" s="7" t="s">
        <v>776</v>
      </c>
      <c r="AI12" s="7">
        <v>13.756</v>
      </c>
      <c r="AJ12" s="7">
        <v>76.261124768928781</v>
      </c>
      <c r="AK12" s="7" t="s">
        <v>776</v>
      </c>
      <c r="AL12" s="7">
        <v>0.496</v>
      </c>
      <c r="AM12" s="7" t="s">
        <v>780</v>
      </c>
      <c r="AN12" s="7" t="s">
        <v>781</v>
      </c>
      <c r="AO12" s="7" t="s">
        <v>782</v>
      </c>
      <c r="AP12" s="7">
        <v>0.31442285714285712</v>
      </c>
      <c r="AQ12" s="7">
        <v>1.1337142857142799E-2</v>
      </c>
      <c r="AR12" s="7">
        <v>0.32575999999999999</v>
      </c>
      <c r="AS12" s="8" t="b">
        <v>1</v>
      </c>
      <c r="AT12" s="8" t="b">
        <v>1</v>
      </c>
      <c r="AU12" s="8" t="b">
        <v>1</v>
      </c>
      <c r="AV12" s="8" t="b">
        <v>1</v>
      </c>
      <c r="AW12" s="8" t="b">
        <v>1</v>
      </c>
      <c r="AX12" s="8" t="b">
        <v>1</v>
      </c>
      <c r="AY12" s="8" t="b">
        <v>1</v>
      </c>
      <c r="AZ12" s="8" t="b">
        <v>1</v>
      </c>
      <c r="BA12" s="7" t="s">
        <v>783</v>
      </c>
      <c r="BB12" s="7" t="s">
        <v>783</v>
      </c>
      <c r="BC12" s="7" t="s">
        <v>784</v>
      </c>
      <c r="BD12" s="7">
        <v>-5.1874995957104462</v>
      </c>
      <c r="BE12" s="7">
        <v>6.8022857142857135E-2</v>
      </c>
      <c r="BF12" s="7">
        <v>16.236921845520552</v>
      </c>
      <c r="BG12" s="7">
        <v>0.13714285714285715</v>
      </c>
      <c r="BH12" s="7" t="s">
        <v>154</v>
      </c>
      <c r="BI12" s="7">
        <v>175</v>
      </c>
      <c r="BJ12" s="7">
        <v>24</v>
      </c>
      <c r="BK12" s="7">
        <v>24</v>
      </c>
      <c r="BL12" s="7">
        <v>24</v>
      </c>
      <c r="BM12" s="8" t="b">
        <v>1</v>
      </c>
      <c r="BN12" s="7">
        <v>491.47037547146698</v>
      </c>
      <c r="BO12" s="7">
        <v>1.8865371428571431</v>
      </c>
      <c r="BP12" s="7">
        <v>42.764850494540049</v>
      </c>
      <c r="BQ12" s="7">
        <v>0.13714285714285715</v>
      </c>
      <c r="BR12" s="7" t="s">
        <v>154</v>
      </c>
      <c r="BS12" s="7">
        <v>175</v>
      </c>
      <c r="BT12" s="7">
        <v>24</v>
      </c>
      <c r="BU12" s="7">
        <v>24</v>
      </c>
      <c r="BV12" s="7">
        <v>24</v>
      </c>
      <c r="BW12" s="7" t="s">
        <v>788</v>
      </c>
      <c r="BX12" s="8" t="b">
        <v>1</v>
      </c>
      <c r="BY12" s="7">
        <v>-990.78</v>
      </c>
      <c r="BZ12" s="7">
        <v>-24</v>
      </c>
      <c r="CA12" s="7">
        <v>46234.916666666664</v>
      </c>
      <c r="CB12" s="7">
        <v>46234.90625</v>
      </c>
      <c r="CC12" s="7">
        <v>1.0686019047619047E-2</v>
      </c>
      <c r="CD12" s="7">
        <v>35.143388939130453</v>
      </c>
      <c r="CE12" s="7">
        <v>38.990355796273313</v>
      </c>
      <c r="CF12" s="7">
        <v>662.24534522516342</v>
      </c>
      <c r="CG12" s="7">
        <v>0.3125</v>
      </c>
      <c r="CH12" s="7" t="s">
        <v>150</v>
      </c>
      <c r="CI12" s="7">
        <v>128</v>
      </c>
      <c r="CJ12" s="8" t="b">
        <v>1</v>
      </c>
      <c r="CK12" s="7">
        <v>40</v>
      </c>
      <c r="CL12" s="7">
        <v>40</v>
      </c>
      <c r="CM12" s="7">
        <v>40</v>
      </c>
      <c r="CN12" s="8" t="b">
        <v>0</v>
      </c>
      <c r="CO12" s="7" t="s">
        <v>785</v>
      </c>
      <c r="CP12" s="7">
        <v>216.74999344098057</v>
      </c>
    </row>
    <row r="13" spans="1:94" ht="21" customHeight="1" x14ac:dyDescent="0.45">
      <c r="A13" s="9">
        <v>46234.916666666664</v>
      </c>
      <c r="B13" s="9">
        <v>46234.927083333336</v>
      </c>
      <c r="C13" s="9">
        <v>46235.041666666664</v>
      </c>
      <c r="D13" s="10">
        <v>46235</v>
      </c>
      <c r="E13" s="7">
        <v>0.25</v>
      </c>
      <c r="F13" s="7" t="s">
        <v>770</v>
      </c>
      <c r="G13" s="9">
        <v>46234.916666666664</v>
      </c>
      <c r="H13" s="7">
        <v>184.32</v>
      </c>
      <c r="I13" s="7" t="s">
        <v>789</v>
      </c>
      <c r="J13" s="7">
        <v>15</v>
      </c>
      <c r="K13" s="7" t="s">
        <v>790</v>
      </c>
      <c r="L13" s="10">
        <v>46234</v>
      </c>
      <c r="M13" s="7">
        <v>5.2473000000000001</v>
      </c>
      <c r="N13" s="7" t="s">
        <v>773</v>
      </c>
      <c r="O13" s="7">
        <v>128</v>
      </c>
      <c r="P13" s="7" t="s">
        <v>791</v>
      </c>
      <c r="Q13" s="7" t="s">
        <v>775</v>
      </c>
      <c r="R13" s="7">
        <v>66.224534522516336</v>
      </c>
      <c r="S13" s="7" t="s">
        <v>776</v>
      </c>
      <c r="T13" s="7">
        <v>175</v>
      </c>
      <c r="U13" s="7" t="s">
        <v>792</v>
      </c>
      <c r="V13" s="7" t="s">
        <v>775</v>
      </c>
      <c r="W13" s="7">
        <v>7.1274750824233415</v>
      </c>
      <c r="X13" s="7" t="s">
        <v>776</v>
      </c>
      <c r="Y13" s="7">
        <v>175</v>
      </c>
      <c r="Z13" s="7" t="s">
        <v>793</v>
      </c>
      <c r="AA13" s="7" t="s">
        <v>775</v>
      </c>
      <c r="AB13" s="7">
        <v>2.7061536409200921</v>
      </c>
      <c r="AC13" s="7" t="s">
        <v>776</v>
      </c>
      <c r="AD13" s="7"/>
      <c r="AE13" s="7" t="s">
        <v>779</v>
      </c>
      <c r="AF13" s="7"/>
      <c r="AG13" s="7">
        <v>171.08894097917025</v>
      </c>
      <c r="AH13" s="7" t="s">
        <v>776</v>
      </c>
      <c r="AI13" s="7">
        <v>1.069</v>
      </c>
      <c r="AJ13" s="7">
        <v>74.70946963200123</v>
      </c>
      <c r="AK13" s="7" t="s">
        <v>776</v>
      </c>
      <c r="AL13" s="7">
        <v>1.7649999999999999</v>
      </c>
      <c r="AM13" s="7" t="s">
        <v>780</v>
      </c>
      <c r="AN13" s="7" t="s">
        <v>781</v>
      </c>
      <c r="AO13" s="7" t="s">
        <v>782</v>
      </c>
      <c r="AP13" s="7">
        <v>2.44342857142857E-2</v>
      </c>
      <c r="AQ13" s="7">
        <v>4.0342857142857097E-2</v>
      </c>
      <c r="AR13" s="7">
        <v>6.4777142857142797E-2</v>
      </c>
      <c r="AS13" s="8" t="b">
        <v>1</v>
      </c>
      <c r="AT13" s="8" t="b">
        <v>1</v>
      </c>
      <c r="AU13" s="8" t="b">
        <v>1</v>
      </c>
      <c r="AV13" s="8" t="b">
        <v>1</v>
      </c>
      <c r="AW13" s="8" t="b">
        <v>1</v>
      </c>
      <c r="AX13" s="8" t="b">
        <v>1</v>
      </c>
      <c r="AY13" s="8" t="b">
        <v>1</v>
      </c>
      <c r="AZ13" s="8" t="b">
        <v>1</v>
      </c>
      <c r="BA13" s="7" t="s">
        <v>783</v>
      </c>
      <c r="BB13" s="7" t="s">
        <v>783</v>
      </c>
      <c r="BC13" s="7" t="s">
        <v>784</v>
      </c>
      <c r="BD13" s="7">
        <v>-18.083960763494694</v>
      </c>
      <c r="BE13" s="7">
        <v>0.24205714285714283</v>
      </c>
      <c r="BF13" s="7">
        <v>16.236921845520552</v>
      </c>
      <c r="BG13" s="7">
        <v>0.13714285714285715</v>
      </c>
      <c r="BH13" s="7" t="s">
        <v>154</v>
      </c>
      <c r="BI13" s="7">
        <v>175</v>
      </c>
      <c r="BJ13" s="7">
        <v>24</v>
      </c>
      <c r="BK13" s="7">
        <v>24</v>
      </c>
      <c r="BL13" s="7">
        <v>24</v>
      </c>
      <c r="BM13" s="8" t="b">
        <v>1</v>
      </c>
      <c r="BN13" s="7">
        <v>25.082616398637668</v>
      </c>
      <c r="BO13" s="7">
        <v>0.14660571428571428</v>
      </c>
      <c r="BP13" s="7">
        <v>42.764850494540049</v>
      </c>
      <c r="BQ13" s="7">
        <v>0.13714285714285715</v>
      </c>
      <c r="BR13" s="7" t="s">
        <v>154</v>
      </c>
      <c r="BS13" s="7">
        <v>175</v>
      </c>
      <c r="BT13" s="7">
        <v>24</v>
      </c>
      <c r="BU13" s="7">
        <v>24</v>
      </c>
      <c r="BV13" s="7">
        <v>24</v>
      </c>
      <c r="BW13" s="7" t="s">
        <v>789</v>
      </c>
      <c r="BX13" s="8" t="b">
        <v>1</v>
      </c>
      <c r="BY13" s="7">
        <v>937.19403334716594</v>
      </c>
      <c r="BZ13" s="7">
        <v>20.338412182013151</v>
      </c>
      <c r="CA13" s="7">
        <v>46234.927083333336</v>
      </c>
      <c r="CB13" s="7">
        <v>46234.916666666664</v>
      </c>
      <c r="CC13" s="7">
        <v>1.5269742354326453E-2</v>
      </c>
      <c r="CD13" s="7">
        <v>38.990355796273313</v>
      </c>
      <c r="CE13" s="7">
        <v>33.561199249274047</v>
      </c>
      <c r="CF13" s="7">
        <v>662.24534522516342</v>
      </c>
      <c r="CG13" s="7">
        <v>0.3125</v>
      </c>
      <c r="CH13" s="7" t="s">
        <v>150</v>
      </c>
      <c r="CI13" s="7">
        <v>128</v>
      </c>
      <c r="CJ13" s="8" t="b">
        <v>1</v>
      </c>
      <c r="CK13" s="7">
        <v>40</v>
      </c>
      <c r="CL13" s="7">
        <v>40</v>
      </c>
      <c r="CM13" s="7">
        <v>40</v>
      </c>
      <c r="CN13" s="8" t="b">
        <v>0</v>
      </c>
      <c r="CO13" s="7" t="s">
        <v>785</v>
      </c>
      <c r="CP13" s="7">
        <v>1665.439806547533</v>
      </c>
    </row>
    <row r="14" spans="1:94" ht="21" customHeight="1" x14ac:dyDescent="0.45">
      <c r="A14" s="9">
        <v>46234.927083333336</v>
      </c>
      <c r="B14" s="9">
        <v>46234.9375</v>
      </c>
      <c r="C14" s="9">
        <v>46235.052083333336</v>
      </c>
      <c r="D14" s="10">
        <v>46235</v>
      </c>
      <c r="E14" s="7">
        <v>0.25</v>
      </c>
      <c r="F14" s="7" t="s">
        <v>770</v>
      </c>
      <c r="G14" s="9">
        <v>46234.916666666664</v>
      </c>
      <c r="H14" s="7">
        <v>174.23</v>
      </c>
      <c r="I14" s="7" t="s">
        <v>794</v>
      </c>
      <c r="J14" s="7">
        <v>15</v>
      </c>
      <c r="K14" s="7" t="s">
        <v>790</v>
      </c>
      <c r="L14" s="10">
        <v>46234</v>
      </c>
      <c r="M14" s="7">
        <v>5.2473000000000001</v>
      </c>
      <c r="N14" s="7" t="s">
        <v>773</v>
      </c>
      <c r="O14" s="7">
        <v>128</v>
      </c>
      <c r="P14" s="7" t="s">
        <v>791</v>
      </c>
      <c r="Q14" s="7" t="s">
        <v>775</v>
      </c>
      <c r="R14" s="7">
        <v>66.224534522516336</v>
      </c>
      <c r="S14" s="7" t="s">
        <v>776</v>
      </c>
      <c r="T14" s="7">
        <v>175</v>
      </c>
      <c r="U14" s="7" t="s">
        <v>792</v>
      </c>
      <c r="V14" s="7" t="s">
        <v>775</v>
      </c>
      <c r="W14" s="7">
        <v>7.1274750824233415</v>
      </c>
      <c r="X14" s="7" t="s">
        <v>776</v>
      </c>
      <c r="Y14" s="7">
        <v>175</v>
      </c>
      <c r="Z14" s="7" t="s">
        <v>793</v>
      </c>
      <c r="AA14" s="7" t="s">
        <v>775</v>
      </c>
      <c r="AB14" s="7">
        <v>2.7061536409200921</v>
      </c>
      <c r="AC14" s="7" t="s">
        <v>776</v>
      </c>
      <c r="AD14" s="7"/>
      <c r="AE14" s="7" t="s">
        <v>779</v>
      </c>
      <c r="AF14" s="7"/>
      <c r="AG14" s="7">
        <v>190.53684752158253</v>
      </c>
      <c r="AH14" s="7" t="s">
        <v>776</v>
      </c>
      <c r="AI14" s="7">
        <v>5.6470000000000002</v>
      </c>
      <c r="AJ14" s="7">
        <v>0</v>
      </c>
      <c r="AK14" s="7" t="s">
        <v>776</v>
      </c>
      <c r="AL14" s="7">
        <v>0</v>
      </c>
      <c r="AM14" s="7" t="s">
        <v>780</v>
      </c>
      <c r="AN14" s="7" t="s">
        <v>781</v>
      </c>
      <c r="AO14" s="7" t="s">
        <v>782</v>
      </c>
      <c r="AP14" s="7">
        <v>0.1290742857142857</v>
      </c>
      <c r="AQ14" s="7">
        <v>0</v>
      </c>
      <c r="AR14" s="7">
        <v>0.1290742857142857</v>
      </c>
      <c r="AS14" s="8" t="b">
        <v>1</v>
      </c>
      <c r="AT14" s="8" t="b">
        <v>1</v>
      </c>
      <c r="AU14" s="8" t="b">
        <v>1</v>
      </c>
      <c r="AV14" s="8" t="b">
        <v>1</v>
      </c>
      <c r="AW14" s="8" t="b">
        <v>1</v>
      </c>
      <c r="AX14" s="8" t="b">
        <v>1</v>
      </c>
      <c r="AY14" s="8" t="b">
        <v>1</v>
      </c>
      <c r="AZ14" s="8" t="b">
        <v>1</v>
      </c>
      <c r="BA14" s="7" t="s">
        <v>783</v>
      </c>
      <c r="BB14" s="7" t="s">
        <v>783</v>
      </c>
      <c r="BC14" s="7" t="s">
        <v>784</v>
      </c>
      <c r="BD14" s="7">
        <v>0</v>
      </c>
      <c r="BE14" s="7">
        <v>0</v>
      </c>
      <c r="BF14" s="7">
        <v>16.236921845520552</v>
      </c>
      <c r="BG14" s="7">
        <v>0.13714285714285715</v>
      </c>
      <c r="BH14" s="7" t="s">
        <v>154</v>
      </c>
      <c r="BI14" s="7">
        <v>175</v>
      </c>
      <c r="BJ14" s="7">
        <v>24</v>
      </c>
      <c r="BK14" s="7">
        <v>24</v>
      </c>
      <c r="BL14" s="7">
        <v>24</v>
      </c>
      <c r="BM14" s="8" t="b">
        <v>1</v>
      </c>
      <c r="BN14" s="7">
        <v>147.56044497660022</v>
      </c>
      <c r="BO14" s="7">
        <v>0.7744457142857144</v>
      </c>
      <c r="BP14" s="7">
        <v>42.764850494540049</v>
      </c>
      <c r="BQ14" s="7">
        <v>0.13714285714285715</v>
      </c>
      <c r="BR14" s="7" t="s">
        <v>154</v>
      </c>
      <c r="BS14" s="7">
        <v>175</v>
      </c>
      <c r="BT14" s="7">
        <v>24</v>
      </c>
      <c r="BU14" s="7">
        <v>24</v>
      </c>
      <c r="BV14" s="7">
        <v>24</v>
      </c>
      <c r="BW14" s="7" t="s">
        <v>794</v>
      </c>
      <c r="BX14" s="8" t="b">
        <v>1</v>
      </c>
      <c r="BY14" s="7">
        <v>0</v>
      </c>
      <c r="BZ14" s="7">
        <v>0</v>
      </c>
      <c r="CA14" s="7">
        <v>46234.9375</v>
      </c>
      <c r="CB14" s="7">
        <v>46234.927083333336</v>
      </c>
      <c r="CC14" s="7">
        <v>2.3383022774327122E-3</v>
      </c>
      <c r="CD14" s="7">
        <v>33.561199249274047</v>
      </c>
      <c r="CE14" s="7">
        <v>32.719410429398273</v>
      </c>
      <c r="CF14" s="7">
        <v>662.24534522516342</v>
      </c>
      <c r="CG14" s="7">
        <v>0.3125</v>
      </c>
      <c r="CH14" s="7" t="s">
        <v>150</v>
      </c>
      <c r="CI14" s="7">
        <v>128</v>
      </c>
      <c r="CJ14" s="8" t="b">
        <v>1</v>
      </c>
      <c r="CK14" s="7">
        <v>40</v>
      </c>
      <c r="CL14" s="7">
        <v>40</v>
      </c>
      <c r="CM14" s="7">
        <v>40</v>
      </c>
      <c r="CN14" s="8" t="b">
        <v>0</v>
      </c>
      <c r="CO14" s="7" t="s">
        <v>785</v>
      </c>
      <c r="CP14" s="7">
        <v>868.80756254182427</v>
      </c>
    </row>
    <row r="15" spans="1:94" ht="21" customHeight="1" x14ac:dyDescent="0.45">
      <c r="A15" s="9">
        <v>46234.9375</v>
      </c>
      <c r="B15" s="9">
        <v>46234.947916666664</v>
      </c>
      <c r="C15" s="9">
        <v>46235.0625</v>
      </c>
      <c r="D15" s="10">
        <v>46235</v>
      </c>
      <c r="E15" s="7">
        <v>0.25</v>
      </c>
      <c r="F15" s="7" t="s">
        <v>770</v>
      </c>
      <c r="G15" s="9">
        <v>46234.916666666664</v>
      </c>
      <c r="H15" s="7">
        <v>165.3</v>
      </c>
      <c r="I15" s="7" t="s">
        <v>795</v>
      </c>
      <c r="J15" s="7">
        <v>15</v>
      </c>
      <c r="K15" s="7" t="s">
        <v>790</v>
      </c>
      <c r="L15" s="10">
        <v>46234</v>
      </c>
      <c r="M15" s="7">
        <v>5.2473000000000001</v>
      </c>
      <c r="N15" s="7" t="s">
        <v>773</v>
      </c>
      <c r="O15" s="7">
        <v>128</v>
      </c>
      <c r="P15" s="7" t="s">
        <v>791</v>
      </c>
      <c r="Q15" s="7" t="s">
        <v>775</v>
      </c>
      <c r="R15" s="7">
        <v>66.224534522516336</v>
      </c>
      <c r="S15" s="7" t="s">
        <v>776</v>
      </c>
      <c r="T15" s="7">
        <v>175</v>
      </c>
      <c r="U15" s="7" t="s">
        <v>792</v>
      </c>
      <c r="V15" s="7" t="s">
        <v>775</v>
      </c>
      <c r="W15" s="7">
        <v>7.1274750824233415</v>
      </c>
      <c r="X15" s="7" t="s">
        <v>776</v>
      </c>
      <c r="Y15" s="7">
        <v>175</v>
      </c>
      <c r="Z15" s="7" t="s">
        <v>793</v>
      </c>
      <c r="AA15" s="7" t="s">
        <v>775</v>
      </c>
      <c r="AB15" s="7">
        <v>2.7061536409200921</v>
      </c>
      <c r="AC15" s="7" t="s">
        <v>776</v>
      </c>
      <c r="AD15" s="7"/>
      <c r="AE15" s="7" t="s">
        <v>779</v>
      </c>
      <c r="AF15" s="7"/>
      <c r="AG15" s="7">
        <v>181.55184571112764</v>
      </c>
      <c r="AH15" s="7" t="s">
        <v>776</v>
      </c>
      <c r="AI15" s="7">
        <v>6.36</v>
      </c>
      <c r="AJ15" s="7">
        <v>0</v>
      </c>
      <c r="AK15" s="7" t="s">
        <v>776</v>
      </c>
      <c r="AL15" s="7">
        <v>0</v>
      </c>
      <c r="AM15" s="7" t="s">
        <v>780</v>
      </c>
      <c r="AN15" s="7" t="s">
        <v>781</v>
      </c>
      <c r="AO15" s="7" t="s">
        <v>782</v>
      </c>
      <c r="AP15" s="7">
        <v>0.14537142857142851</v>
      </c>
      <c r="AQ15" s="7">
        <v>0</v>
      </c>
      <c r="AR15" s="7">
        <v>0.14537142857142851</v>
      </c>
      <c r="AS15" s="8" t="b">
        <v>1</v>
      </c>
      <c r="AT15" s="8" t="b">
        <v>1</v>
      </c>
      <c r="AU15" s="8" t="b">
        <v>1</v>
      </c>
      <c r="AV15" s="8" t="b">
        <v>1</v>
      </c>
      <c r="AW15" s="8" t="b">
        <v>1</v>
      </c>
      <c r="AX15" s="8" t="b">
        <v>1</v>
      </c>
      <c r="AY15" s="8" t="b">
        <v>1</v>
      </c>
      <c r="AZ15" s="8" t="b">
        <v>1</v>
      </c>
      <c r="BA15" s="7" t="s">
        <v>783</v>
      </c>
      <c r="BB15" s="7" t="s">
        <v>783</v>
      </c>
      <c r="BC15" s="7" t="s">
        <v>784</v>
      </c>
      <c r="BD15" s="7">
        <v>0</v>
      </c>
      <c r="BE15" s="7">
        <v>0</v>
      </c>
      <c r="BF15" s="7">
        <v>16.236921845520552</v>
      </c>
      <c r="BG15" s="7">
        <v>0.13714285714285715</v>
      </c>
      <c r="BH15" s="7" t="s">
        <v>154</v>
      </c>
      <c r="BI15" s="7">
        <v>175</v>
      </c>
      <c r="BJ15" s="7">
        <v>24</v>
      </c>
      <c r="BK15" s="7">
        <v>24</v>
      </c>
      <c r="BL15" s="7">
        <v>24</v>
      </c>
      <c r="BM15" s="8" t="b">
        <v>1</v>
      </c>
      <c r="BN15" s="7">
        <v>158.35470702483727</v>
      </c>
      <c r="BO15" s="7">
        <v>0.87222857142857135</v>
      </c>
      <c r="BP15" s="7">
        <v>42.764850494540049</v>
      </c>
      <c r="BQ15" s="7">
        <v>0.13714285714285715</v>
      </c>
      <c r="BR15" s="7" t="s">
        <v>154</v>
      </c>
      <c r="BS15" s="7">
        <v>175</v>
      </c>
      <c r="BT15" s="7">
        <v>24</v>
      </c>
      <c r="BU15" s="7">
        <v>24</v>
      </c>
      <c r="BV15" s="7">
        <v>24</v>
      </c>
      <c r="BW15" s="7" t="s">
        <v>795</v>
      </c>
      <c r="BX15" s="8" t="b">
        <v>1</v>
      </c>
      <c r="BY15" s="7">
        <v>0</v>
      </c>
      <c r="BZ15" s="7">
        <v>0</v>
      </c>
      <c r="CA15" s="7">
        <v>46234.947916666664</v>
      </c>
      <c r="CB15" s="7">
        <v>46234.9375</v>
      </c>
      <c r="CC15" s="7">
        <v>2.6335403726708072E-3</v>
      </c>
      <c r="CD15" s="7">
        <v>32.719410429398273</v>
      </c>
      <c r="CE15" s="7">
        <v>31.771335895236781</v>
      </c>
      <c r="CF15" s="7">
        <v>662.24534522516342</v>
      </c>
      <c r="CG15" s="7">
        <v>0.3125</v>
      </c>
      <c r="CH15" s="7" t="s">
        <v>150</v>
      </c>
      <c r="CI15" s="7">
        <v>128</v>
      </c>
      <c r="CJ15" s="8" t="b">
        <v>1</v>
      </c>
      <c r="CK15" s="7">
        <v>40</v>
      </c>
      <c r="CL15" s="7">
        <v>40</v>
      </c>
      <c r="CM15" s="7">
        <v>40</v>
      </c>
      <c r="CN15" s="8" t="b">
        <v>0</v>
      </c>
      <c r="CO15" s="7" t="s">
        <v>785</v>
      </c>
      <c r="CP15" s="7">
        <v>879.60182459006126</v>
      </c>
    </row>
    <row r="16" spans="1:94" ht="21" customHeight="1" x14ac:dyDescent="0.45">
      <c r="A16" s="9">
        <v>46234.947916666664</v>
      </c>
      <c r="B16" s="9">
        <v>46234.958333333336</v>
      </c>
      <c r="C16" s="9">
        <v>46235.072916666664</v>
      </c>
      <c r="D16" s="10">
        <v>46235</v>
      </c>
      <c r="E16" s="7">
        <v>0.25</v>
      </c>
      <c r="F16" s="7" t="s">
        <v>770</v>
      </c>
      <c r="G16" s="9">
        <v>46234.916666666664</v>
      </c>
      <c r="H16" s="7">
        <v>157.22999999999999</v>
      </c>
      <c r="I16" s="7" t="s">
        <v>796</v>
      </c>
      <c r="J16" s="7">
        <v>15</v>
      </c>
      <c r="K16" s="7" t="s">
        <v>790</v>
      </c>
      <c r="L16" s="10">
        <v>46234</v>
      </c>
      <c r="M16" s="7">
        <v>5.2473000000000001</v>
      </c>
      <c r="N16" s="7" t="s">
        <v>773</v>
      </c>
      <c r="O16" s="7">
        <v>128</v>
      </c>
      <c r="P16" s="7" t="s">
        <v>791</v>
      </c>
      <c r="Q16" s="7" t="s">
        <v>775</v>
      </c>
      <c r="R16" s="7">
        <v>66.224534522516336</v>
      </c>
      <c r="S16" s="7" t="s">
        <v>776</v>
      </c>
      <c r="T16" s="7">
        <v>175</v>
      </c>
      <c r="U16" s="7" t="s">
        <v>792</v>
      </c>
      <c r="V16" s="7" t="s">
        <v>775</v>
      </c>
      <c r="W16" s="7">
        <v>7.1274750824233415</v>
      </c>
      <c r="X16" s="7" t="s">
        <v>776</v>
      </c>
      <c r="Y16" s="7">
        <v>175</v>
      </c>
      <c r="Z16" s="7" t="s">
        <v>793</v>
      </c>
      <c r="AA16" s="7" t="s">
        <v>775</v>
      </c>
      <c r="AB16" s="7">
        <v>2.7061536409200921</v>
      </c>
      <c r="AC16" s="7" t="s">
        <v>776</v>
      </c>
      <c r="AD16" s="7"/>
      <c r="AE16" s="7" t="s">
        <v>779</v>
      </c>
      <c r="AF16" s="7"/>
      <c r="AG16" s="7">
        <v>190.08785470622988</v>
      </c>
      <c r="AH16" s="7" t="s">
        <v>776</v>
      </c>
      <c r="AI16" s="7">
        <v>6.399</v>
      </c>
      <c r="AJ16" s="7">
        <v>0</v>
      </c>
      <c r="AK16" s="7" t="s">
        <v>776</v>
      </c>
      <c r="AL16" s="7">
        <v>0</v>
      </c>
      <c r="AM16" s="7" t="s">
        <v>780</v>
      </c>
      <c r="AN16" s="7" t="s">
        <v>781</v>
      </c>
      <c r="AO16" s="7" t="s">
        <v>782</v>
      </c>
      <c r="AP16" s="7">
        <v>0.14626285714285711</v>
      </c>
      <c r="AQ16" s="7">
        <v>0</v>
      </c>
      <c r="AR16" s="7">
        <v>0.14626285714285711</v>
      </c>
      <c r="AS16" s="8" t="b">
        <v>1</v>
      </c>
      <c r="AT16" s="8" t="b">
        <v>1</v>
      </c>
      <c r="AU16" s="8" t="b">
        <v>1</v>
      </c>
      <c r="AV16" s="8" t="b">
        <v>1</v>
      </c>
      <c r="AW16" s="8" t="b">
        <v>1</v>
      </c>
      <c r="AX16" s="8" t="b">
        <v>1</v>
      </c>
      <c r="AY16" s="8" t="b">
        <v>1</v>
      </c>
      <c r="AZ16" s="8" t="b">
        <v>1</v>
      </c>
      <c r="BA16" s="7" t="s">
        <v>783</v>
      </c>
      <c r="BB16" s="7" t="s">
        <v>783</v>
      </c>
      <c r="BC16" s="7" t="s">
        <v>784</v>
      </c>
      <c r="BD16" s="7">
        <v>0</v>
      </c>
      <c r="BE16" s="7">
        <v>0</v>
      </c>
      <c r="BF16" s="7">
        <v>16.236921845520552</v>
      </c>
      <c r="BG16" s="7">
        <v>0.13714285714285715</v>
      </c>
      <c r="BH16" s="7" t="s">
        <v>154</v>
      </c>
      <c r="BI16" s="7">
        <v>175</v>
      </c>
      <c r="BJ16" s="7">
        <v>24</v>
      </c>
      <c r="BK16" s="7">
        <v>24</v>
      </c>
      <c r="BL16" s="7">
        <v>24</v>
      </c>
      <c r="BM16" s="8" t="b">
        <v>1</v>
      </c>
      <c r="BN16" s="7">
        <v>166.8167564249369</v>
      </c>
      <c r="BO16" s="7">
        <v>0.87757714285714283</v>
      </c>
      <c r="BP16" s="7">
        <v>42.764850494540049</v>
      </c>
      <c r="BQ16" s="7">
        <v>0.13714285714285715</v>
      </c>
      <c r="BR16" s="7" t="s">
        <v>154</v>
      </c>
      <c r="BS16" s="7">
        <v>175</v>
      </c>
      <c r="BT16" s="7">
        <v>24</v>
      </c>
      <c r="BU16" s="7">
        <v>24</v>
      </c>
      <c r="BV16" s="7">
        <v>24</v>
      </c>
      <c r="BW16" s="7" t="s">
        <v>796</v>
      </c>
      <c r="BX16" s="8" t="b">
        <v>1</v>
      </c>
      <c r="BY16" s="7">
        <v>-943.37999999999988</v>
      </c>
      <c r="BZ16" s="7">
        <v>-24</v>
      </c>
      <c r="CA16" s="7">
        <v>46234.958333333336</v>
      </c>
      <c r="CB16" s="7">
        <v>46234.947916666664</v>
      </c>
      <c r="CC16" s="7">
        <v>1.3090636190476193E-2</v>
      </c>
      <c r="CD16" s="7">
        <v>31.771335895236781</v>
      </c>
      <c r="CE16" s="7">
        <v>36.483964923808209</v>
      </c>
      <c r="CF16" s="7">
        <v>662.24534522516342</v>
      </c>
      <c r="CG16" s="7">
        <v>0.3125</v>
      </c>
      <c r="CH16" s="7" t="s">
        <v>150</v>
      </c>
      <c r="CI16" s="7">
        <v>128</v>
      </c>
      <c r="CJ16" s="8" t="b">
        <v>1</v>
      </c>
      <c r="CK16" s="7">
        <v>40</v>
      </c>
      <c r="CL16" s="7">
        <v>40</v>
      </c>
      <c r="CM16" s="7">
        <v>40</v>
      </c>
      <c r="CN16" s="8" t="b">
        <v>0</v>
      </c>
      <c r="CO16" s="7" t="s">
        <v>785</v>
      </c>
      <c r="CP16" s="7">
        <v>-55.316126009838968</v>
      </c>
    </row>
    <row r="17" spans="1:94" ht="21" customHeight="1" x14ac:dyDescent="0.45">
      <c r="A17" s="9">
        <v>46234.958333333336</v>
      </c>
      <c r="B17" s="9">
        <v>46234.96875</v>
      </c>
      <c r="C17" s="9">
        <v>46235.083333333336</v>
      </c>
      <c r="D17" s="10">
        <v>46235</v>
      </c>
      <c r="E17" s="7">
        <v>0.25</v>
      </c>
      <c r="F17" s="7" t="s">
        <v>770</v>
      </c>
      <c r="G17" s="9">
        <v>46234.958333333336</v>
      </c>
      <c r="H17" s="7">
        <v>170.44</v>
      </c>
      <c r="I17" s="7" t="s">
        <v>797</v>
      </c>
      <c r="J17" s="7">
        <v>15</v>
      </c>
      <c r="K17" s="7" t="s">
        <v>790</v>
      </c>
      <c r="L17" s="10">
        <v>46234</v>
      </c>
      <c r="M17" s="7">
        <v>5.2473000000000001</v>
      </c>
      <c r="N17" s="7" t="s">
        <v>773</v>
      </c>
      <c r="O17" s="7">
        <v>128</v>
      </c>
      <c r="P17" s="7" t="s">
        <v>798</v>
      </c>
      <c r="Q17" s="7" t="s">
        <v>775</v>
      </c>
      <c r="R17" s="7">
        <v>66.224534522516336</v>
      </c>
      <c r="S17" s="7" t="s">
        <v>776</v>
      </c>
      <c r="T17" s="7">
        <v>175</v>
      </c>
      <c r="U17" s="7" t="s">
        <v>799</v>
      </c>
      <c r="V17" s="7" t="s">
        <v>775</v>
      </c>
      <c r="W17" s="7">
        <v>7.1274750824233415</v>
      </c>
      <c r="X17" s="7" t="s">
        <v>776</v>
      </c>
      <c r="Y17" s="7">
        <v>175</v>
      </c>
      <c r="Z17" s="7" t="s">
        <v>800</v>
      </c>
      <c r="AA17" s="7" t="s">
        <v>775</v>
      </c>
      <c r="AB17" s="7">
        <v>2.7061536409200921</v>
      </c>
      <c r="AC17" s="7" t="s">
        <v>776</v>
      </c>
      <c r="AD17" s="7"/>
      <c r="AE17" s="7" t="s">
        <v>779</v>
      </c>
      <c r="AF17" s="7"/>
      <c r="AG17" s="7">
        <v>227.42972576372611</v>
      </c>
      <c r="AH17" s="7" t="s">
        <v>776</v>
      </c>
      <c r="AI17" s="7">
        <v>14.794</v>
      </c>
      <c r="AJ17" s="7">
        <v>0</v>
      </c>
      <c r="AK17" s="7" t="s">
        <v>776</v>
      </c>
      <c r="AL17" s="7">
        <v>0</v>
      </c>
      <c r="AM17" s="7" t="s">
        <v>780</v>
      </c>
      <c r="AN17" s="7" t="s">
        <v>781</v>
      </c>
      <c r="AO17" s="7" t="s">
        <v>782</v>
      </c>
      <c r="AP17" s="7">
        <v>0.33814857142857141</v>
      </c>
      <c r="AQ17" s="7">
        <v>0</v>
      </c>
      <c r="AR17" s="7">
        <v>0.33814857142857141</v>
      </c>
      <c r="AS17" s="8" t="b">
        <v>1</v>
      </c>
      <c r="AT17" s="8" t="b">
        <v>1</v>
      </c>
      <c r="AU17" s="8" t="b">
        <v>1</v>
      </c>
      <c r="AV17" s="8" t="b">
        <v>1</v>
      </c>
      <c r="AW17" s="8" t="b">
        <v>1</v>
      </c>
      <c r="AX17" s="8" t="b">
        <v>1</v>
      </c>
      <c r="AY17" s="8" t="b">
        <v>1</v>
      </c>
      <c r="AZ17" s="8" t="b">
        <v>1</v>
      </c>
      <c r="BA17" s="7" t="s">
        <v>783</v>
      </c>
      <c r="BB17" s="7" t="s">
        <v>783</v>
      </c>
      <c r="BC17" s="7" t="s">
        <v>784</v>
      </c>
      <c r="BD17" s="7">
        <v>0</v>
      </c>
      <c r="BE17" s="7">
        <v>0</v>
      </c>
      <c r="BF17" s="7">
        <v>16.236921845520552</v>
      </c>
      <c r="BG17" s="7">
        <v>0.13714285714285715</v>
      </c>
      <c r="BH17" s="7" t="s">
        <v>154</v>
      </c>
      <c r="BI17" s="7">
        <v>175</v>
      </c>
      <c r="BJ17" s="7">
        <v>24</v>
      </c>
      <c r="BK17" s="7">
        <v>24</v>
      </c>
      <c r="BL17" s="7">
        <v>24</v>
      </c>
      <c r="BM17" s="8" t="b">
        <v>1</v>
      </c>
      <c r="BN17" s="7">
        <v>461.43022120437456</v>
      </c>
      <c r="BO17" s="7">
        <v>2.0288914285714288</v>
      </c>
      <c r="BP17" s="7">
        <v>42.764850494540049</v>
      </c>
      <c r="BQ17" s="7">
        <v>0.13714285714285715</v>
      </c>
      <c r="BR17" s="7" t="s">
        <v>154</v>
      </c>
      <c r="BS17" s="7">
        <v>175</v>
      </c>
      <c r="BT17" s="7">
        <v>24</v>
      </c>
      <c r="BU17" s="7">
        <v>24</v>
      </c>
      <c r="BV17" s="7">
        <v>24</v>
      </c>
      <c r="BW17" s="7" t="s">
        <v>797</v>
      </c>
      <c r="BX17" s="8" t="b">
        <v>1</v>
      </c>
      <c r="BY17" s="7">
        <v>0</v>
      </c>
      <c r="BZ17" s="7">
        <v>0</v>
      </c>
      <c r="CA17" s="7">
        <v>46234.96875</v>
      </c>
      <c r="CB17" s="7">
        <v>46234.958333333336</v>
      </c>
      <c r="CC17" s="7">
        <v>6.125879917184265E-3</v>
      </c>
      <c r="CD17" s="7">
        <v>36.483964923808209</v>
      </c>
      <c r="CE17" s="7">
        <v>34.278648153621873</v>
      </c>
      <c r="CF17" s="7">
        <v>662.24534522516342</v>
      </c>
      <c r="CG17" s="7">
        <v>0.3125</v>
      </c>
      <c r="CH17" s="7" t="s">
        <v>150</v>
      </c>
      <c r="CI17" s="7">
        <v>128</v>
      </c>
      <c r="CJ17" s="8" t="b">
        <v>1</v>
      </c>
      <c r="CK17" s="7">
        <v>40</v>
      </c>
      <c r="CL17" s="7">
        <v>40</v>
      </c>
      <c r="CM17" s="7">
        <v>40</v>
      </c>
      <c r="CN17" s="8" t="b">
        <v>0</v>
      </c>
      <c r="CO17" s="7" t="s">
        <v>785</v>
      </c>
      <c r="CP17" s="7">
        <v>1182.6773387695987</v>
      </c>
    </row>
    <row r="18" spans="1:94" ht="21" customHeight="1" x14ac:dyDescent="0.45">
      <c r="A18" s="9">
        <v>46234.96875</v>
      </c>
      <c r="B18" s="9">
        <v>46234.979166666664</v>
      </c>
      <c r="C18" s="9">
        <v>46235.09375</v>
      </c>
      <c r="D18" s="10">
        <v>46235</v>
      </c>
      <c r="E18" s="7">
        <v>0.25</v>
      </c>
      <c r="F18" s="7" t="s">
        <v>770</v>
      </c>
      <c r="G18" s="9">
        <v>46234.958333333336</v>
      </c>
      <c r="H18" s="7">
        <v>169.42</v>
      </c>
      <c r="I18" s="7" t="s">
        <v>801</v>
      </c>
      <c r="J18" s="7">
        <v>15</v>
      </c>
      <c r="K18" s="7" t="s">
        <v>790</v>
      </c>
      <c r="L18" s="10">
        <v>46234</v>
      </c>
      <c r="M18" s="7">
        <v>5.2473000000000001</v>
      </c>
      <c r="N18" s="7" t="s">
        <v>773</v>
      </c>
      <c r="O18" s="7">
        <v>128</v>
      </c>
      <c r="P18" s="7" t="s">
        <v>798</v>
      </c>
      <c r="Q18" s="7" t="s">
        <v>775</v>
      </c>
      <c r="R18" s="7">
        <v>66.224534522516336</v>
      </c>
      <c r="S18" s="7" t="s">
        <v>776</v>
      </c>
      <c r="T18" s="7">
        <v>175</v>
      </c>
      <c r="U18" s="7" t="s">
        <v>799</v>
      </c>
      <c r="V18" s="7" t="s">
        <v>775</v>
      </c>
      <c r="W18" s="7">
        <v>7.1274750824233415</v>
      </c>
      <c r="X18" s="7" t="s">
        <v>776</v>
      </c>
      <c r="Y18" s="7">
        <v>175</v>
      </c>
      <c r="Z18" s="7" t="s">
        <v>800</v>
      </c>
      <c r="AA18" s="7" t="s">
        <v>775</v>
      </c>
      <c r="AB18" s="7">
        <v>2.7061536409200921</v>
      </c>
      <c r="AC18" s="7" t="s">
        <v>776</v>
      </c>
      <c r="AD18" s="7"/>
      <c r="AE18" s="7" t="s">
        <v>779</v>
      </c>
      <c r="AF18" s="7"/>
      <c r="AG18" s="7">
        <v>236.08846454367009</v>
      </c>
      <c r="AH18" s="7" t="s">
        <v>776</v>
      </c>
      <c r="AI18" s="7">
        <v>15.33</v>
      </c>
      <c r="AJ18" s="7">
        <v>0</v>
      </c>
      <c r="AK18" s="7" t="s">
        <v>776</v>
      </c>
      <c r="AL18" s="7">
        <v>0</v>
      </c>
      <c r="AM18" s="7" t="s">
        <v>780</v>
      </c>
      <c r="AN18" s="7" t="s">
        <v>781</v>
      </c>
      <c r="AO18" s="7" t="s">
        <v>782</v>
      </c>
      <c r="AP18" s="7">
        <v>0.35039999999999999</v>
      </c>
      <c r="AQ18" s="7">
        <v>0</v>
      </c>
      <c r="AR18" s="7">
        <v>0.35039999999999999</v>
      </c>
      <c r="AS18" s="8" t="b">
        <v>1</v>
      </c>
      <c r="AT18" s="8" t="b">
        <v>1</v>
      </c>
      <c r="AU18" s="8" t="b">
        <v>1</v>
      </c>
      <c r="AV18" s="8" t="b">
        <v>1</v>
      </c>
      <c r="AW18" s="8" t="b">
        <v>1</v>
      </c>
      <c r="AX18" s="8" t="b">
        <v>1</v>
      </c>
      <c r="AY18" s="8" t="b">
        <v>1</v>
      </c>
      <c r="AZ18" s="8" t="b">
        <v>1</v>
      </c>
      <c r="BA18" s="7" t="s">
        <v>783</v>
      </c>
      <c r="BB18" s="7" t="s">
        <v>783</v>
      </c>
      <c r="BC18" s="7" t="s">
        <v>784</v>
      </c>
      <c r="BD18" s="7">
        <v>0</v>
      </c>
      <c r="BE18" s="7">
        <v>0</v>
      </c>
      <c r="BF18" s="7">
        <v>16.236921845520552</v>
      </c>
      <c r="BG18" s="7">
        <v>0.13714285714285715</v>
      </c>
      <c r="BH18" s="7" t="s">
        <v>154</v>
      </c>
      <c r="BI18" s="7">
        <v>175</v>
      </c>
      <c r="BJ18" s="7">
        <v>24</v>
      </c>
      <c r="BK18" s="7">
        <v>24</v>
      </c>
      <c r="BL18" s="7">
        <v>24</v>
      </c>
      <c r="BM18" s="8" t="b">
        <v>1</v>
      </c>
      <c r="BN18" s="7">
        <v>496.35238785661193</v>
      </c>
      <c r="BO18" s="7">
        <v>2.1023999999999998</v>
      </c>
      <c r="BP18" s="7">
        <v>42.764850494540049</v>
      </c>
      <c r="BQ18" s="7">
        <v>0.13714285714285715</v>
      </c>
      <c r="BR18" s="7" t="s">
        <v>154</v>
      </c>
      <c r="BS18" s="7">
        <v>175</v>
      </c>
      <c r="BT18" s="7">
        <v>24</v>
      </c>
      <c r="BU18" s="7">
        <v>24</v>
      </c>
      <c r="BV18" s="7">
        <v>24</v>
      </c>
      <c r="BW18" s="7" t="s">
        <v>801</v>
      </c>
      <c r="BX18" s="8" t="b">
        <v>1</v>
      </c>
      <c r="BY18" s="7">
        <v>0</v>
      </c>
      <c r="BZ18" s="7">
        <v>0</v>
      </c>
      <c r="CA18" s="7">
        <v>46234.979166666664</v>
      </c>
      <c r="CB18" s="7">
        <v>46234.96875</v>
      </c>
      <c r="CC18" s="7">
        <v>6.347826086956521E-3</v>
      </c>
      <c r="CD18" s="7">
        <v>34.278648153621873</v>
      </c>
      <c r="CE18" s="7">
        <v>31.993430762317526</v>
      </c>
      <c r="CF18" s="7">
        <v>662.24534522516342</v>
      </c>
      <c r="CG18" s="7">
        <v>0.3125</v>
      </c>
      <c r="CH18" s="7" t="s">
        <v>150</v>
      </c>
      <c r="CI18" s="7">
        <v>128</v>
      </c>
      <c r="CJ18" s="8" t="b">
        <v>1</v>
      </c>
      <c r="CK18" s="7">
        <v>40</v>
      </c>
      <c r="CL18" s="7">
        <v>40</v>
      </c>
      <c r="CM18" s="7">
        <v>40</v>
      </c>
      <c r="CN18" s="8" t="b">
        <v>0</v>
      </c>
      <c r="CO18" s="7" t="s">
        <v>785</v>
      </c>
      <c r="CP18" s="7">
        <v>1217.5995054218361</v>
      </c>
    </row>
    <row r="19" spans="1:94" ht="21" customHeight="1" x14ac:dyDescent="0.45">
      <c r="A19" s="9">
        <v>46234.979166666664</v>
      </c>
      <c r="B19" s="9">
        <v>46234.989583333336</v>
      </c>
      <c r="C19" s="9">
        <v>46235.104166666664</v>
      </c>
      <c r="D19" s="10">
        <v>46235</v>
      </c>
      <c r="E19" s="7">
        <v>0.25</v>
      </c>
      <c r="F19" s="7" t="s">
        <v>770</v>
      </c>
      <c r="G19" s="9">
        <v>46234.958333333336</v>
      </c>
      <c r="H19" s="7">
        <v>158.09</v>
      </c>
      <c r="I19" s="7" t="s">
        <v>802</v>
      </c>
      <c r="J19" s="7">
        <v>15</v>
      </c>
      <c r="K19" s="7" t="s">
        <v>790</v>
      </c>
      <c r="L19" s="10">
        <v>46234</v>
      </c>
      <c r="M19" s="7">
        <v>5.2473000000000001</v>
      </c>
      <c r="N19" s="7" t="s">
        <v>773</v>
      </c>
      <c r="O19" s="7">
        <v>128</v>
      </c>
      <c r="P19" s="7" t="s">
        <v>798</v>
      </c>
      <c r="Q19" s="7" t="s">
        <v>775</v>
      </c>
      <c r="R19" s="7">
        <v>66.224534522516336</v>
      </c>
      <c r="S19" s="7" t="s">
        <v>776</v>
      </c>
      <c r="T19" s="7">
        <v>175</v>
      </c>
      <c r="U19" s="7" t="s">
        <v>799</v>
      </c>
      <c r="V19" s="7" t="s">
        <v>775</v>
      </c>
      <c r="W19" s="7">
        <v>7.1274750824233415</v>
      </c>
      <c r="X19" s="7" t="s">
        <v>776</v>
      </c>
      <c r="Y19" s="7">
        <v>175</v>
      </c>
      <c r="Z19" s="7" t="s">
        <v>800</v>
      </c>
      <c r="AA19" s="7" t="s">
        <v>775</v>
      </c>
      <c r="AB19" s="7">
        <v>2.7061536409200921</v>
      </c>
      <c r="AC19" s="7" t="s">
        <v>776</v>
      </c>
      <c r="AD19" s="7"/>
      <c r="AE19" s="7" t="s">
        <v>779</v>
      </c>
      <c r="AF19" s="7"/>
      <c r="AG19" s="7">
        <v>179.29544718236045</v>
      </c>
      <c r="AH19" s="7" t="s">
        <v>776</v>
      </c>
      <c r="AI19" s="7">
        <v>1.7869999999999999</v>
      </c>
      <c r="AJ19" s="7">
        <v>0</v>
      </c>
      <c r="AK19" s="7" t="s">
        <v>776</v>
      </c>
      <c r="AL19" s="7">
        <v>0</v>
      </c>
      <c r="AM19" s="7" t="s">
        <v>780</v>
      </c>
      <c r="AN19" s="7" t="s">
        <v>781</v>
      </c>
      <c r="AO19" s="7" t="s">
        <v>782</v>
      </c>
      <c r="AP19" s="7">
        <v>4.0845714285714201E-2</v>
      </c>
      <c r="AQ19" s="7">
        <v>0</v>
      </c>
      <c r="AR19" s="7">
        <v>4.0845714285714201E-2</v>
      </c>
      <c r="AS19" s="8" t="b">
        <v>1</v>
      </c>
      <c r="AT19" s="8" t="b">
        <v>1</v>
      </c>
      <c r="AU19" s="8" t="b">
        <v>1</v>
      </c>
      <c r="AV19" s="8" t="b">
        <v>1</v>
      </c>
      <c r="AW19" s="8" t="b">
        <v>1</v>
      </c>
      <c r="AX19" s="8" t="b">
        <v>1</v>
      </c>
      <c r="AY19" s="8" t="b">
        <v>1</v>
      </c>
      <c r="AZ19" s="8" t="b">
        <v>1</v>
      </c>
      <c r="BA19" s="7" t="s">
        <v>783</v>
      </c>
      <c r="BB19" s="7" t="s">
        <v>783</v>
      </c>
      <c r="BC19" s="7" t="s">
        <v>784</v>
      </c>
      <c r="BD19" s="7">
        <v>0</v>
      </c>
      <c r="BE19" s="7">
        <v>0</v>
      </c>
      <c r="BF19" s="7">
        <v>16.236921845520552</v>
      </c>
      <c r="BG19" s="7">
        <v>0.13714285714285715</v>
      </c>
      <c r="BH19" s="7" t="s">
        <v>154</v>
      </c>
      <c r="BI19" s="7">
        <v>175</v>
      </c>
      <c r="BJ19" s="7">
        <v>24</v>
      </c>
      <c r="BK19" s="7">
        <v>24</v>
      </c>
      <c r="BL19" s="7">
        <v>24</v>
      </c>
      <c r="BM19" s="8" t="b">
        <v>1</v>
      </c>
      <c r="BN19" s="7">
        <v>43.940703650040426</v>
      </c>
      <c r="BO19" s="7">
        <v>0.24507428571428569</v>
      </c>
      <c r="BP19" s="7">
        <v>42.764850494540049</v>
      </c>
      <c r="BQ19" s="7">
        <v>0.13714285714285715</v>
      </c>
      <c r="BR19" s="7" t="s">
        <v>154</v>
      </c>
      <c r="BS19" s="7">
        <v>175</v>
      </c>
      <c r="BT19" s="7">
        <v>24</v>
      </c>
      <c r="BU19" s="7">
        <v>24</v>
      </c>
      <c r="BV19" s="7">
        <v>24</v>
      </c>
      <c r="BW19" s="7" t="s">
        <v>802</v>
      </c>
      <c r="BX19" s="8" t="b">
        <v>1</v>
      </c>
      <c r="BY19" s="7">
        <v>-43.031250198922947</v>
      </c>
      <c r="BZ19" s="7">
        <v>-1.0887785489005744</v>
      </c>
      <c r="CA19" s="7">
        <v>46234.989583333336</v>
      </c>
      <c r="CB19" s="7">
        <v>46234.979166666664</v>
      </c>
      <c r="CC19" s="7">
        <v>1.3735856893066114E-3</v>
      </c>
      <c r="CD19" s="7">
        <v>31.993430762317526</v>
      </c>
      <c r="CE19" s="7">
        <v>31.979320955398158</v>
      </c>
      <c r="CF19" s="7">
        <v>662.24534522516342</v>
      </c>
      <c r="CG19" s="7">
        <v>0.3125</v>
      </c>
      <c r="CH19" s="7" t="s">
        <v>150</v>
      </c>
      <c r="CI19" s="7">
        <v>128</v>
      </c>
      <c r="CJ19" s="8" t="b">
        <v>1</v>
      </c>
      <c r="CK19" s="7">
        <v>40</v>
      </c>
      <c r="CL19" s="7">
        <v>40</v>
      </c>
      <c r="CM19" s="7">
        <v>40</v>
      </c>
      <c r="CN19" s="8" t="b">
        <v>0</v>
      </c>
      <c r="CO19" s="7" t="s">
        <v>785</v>
      </c>
      <c r="CP19" s="7">
        <v>722.15657101634145</v>
      </c>
    </row>
    <row r="20" spans="1:94" ht="21" customHeight="1" x14ac:dyDescent="0.45">
      <c r="A20" s="9">
        <v>46234.989583333336</v>
      </c>
      <c r="B20" s="9">
        <v>46235</v>
      </c>
      <c r="C20" s="9">
        <v>46235.114583333336</v>
      </c>
      <c r="D20" s="10">
        <v>46235</v>
      </c>
      <c r="E20" s="7">
        <v>0.25</v>
      </c>
      <c r="F20" s="7" t="s">
        <v>770</v>
      </c>
      <c r="G20" s="9">
        <v>46234.958333333336</v>
      </c>
      <c r="H20" s="7">
        <v>156.91</v>
      </c>
      <c r="I20" s="7" t="s">
        <v>803</v>
      </c>
      <c r="J20" s="7">
        <v>15</v>
      </c>
      <c r="K20" s="7" t="s">
        <v>790</v>
      </c>
      <c r="L20" s="10">
        <v>46234</v>
      </c>
      <c r="M20" s="7">
        <v>5.2473000000000001</v>
      </c>
      <c r="N20" s="7" t="s">
        <v>773</v>
      </c>
      <c r="O20" s="7">
        <v>128</v>
      </c>
      <c r="P20" s="7" t="s">
        <v>798</v>
      </c>
      <c r="Q20" s="7" t="s">
        <v>775</v>
      </c>
      <c r="R20" s="7">
        <v>66.224534522516336</v>
      </c>
      <c r="S20" s="7" t="s">
        <v>776</v>
      </c>
      <c r="T20" s="7">
        <v>175</v>
      </c>
      <c r="U20" s="7" t="s">
        <v>799</v>
      </c>
      <c r="V20" s="7" t="s">
        <v>775</v>
      </c>
      <c r="W20" s="7">
        <v>7.1274750824233415</v>
      </c>
      <c r="X20" s="7" t="s">
        <v>776</v>
      </c>
      <c r="Y20" s="7">
        <v>175</v>
      </c>
      <c r="Z20" s="7" t="s">
        <v>800</v>
      </c>
      <c r="AA20" s="7" t="s">
        <v>775</v>
      </c>
      <c r="AB20" s="7">
        <v>2.7061536409200921</v>
      </c>
      <c r="AC20" s="7" t="s">
        <v>776</v>
      </c>
      <c r="AD20" s="7"/>
      <c r="AE20" s="7" t="s">
        <v>779</v>
      </c>
      <c r="AF20" s="7"/>
      <c r="AG20" s="7">
        <v>170.86158595849295</v>
      </c>
      <c r="AH20" s="7" t="s">
        <v>776</v>
      </c>
      <c r="AI20" s="7">
        <v>1.96</v>
      </c>
      <c r="AJ20" s="7">
        <v>0</v>
      </c>
      <c r="AK20" s="7" t="s">
        <v>776</v>
      </c>
      <c r="AL20" s="7">
        <v>0</v>
      </c>
      <c r="AM20" s="7" t="s">
        <v>780</v>
      </c>
      <c r="AN20" s="7" t="s">
        <v>781</v>
      </c>
      <c r="AO20" s="7" t="s">
        <v>782</v>
      </c>
      <c r="AP20" s="7">
        <v>4.48E-2</v>
      </c>
      <c r="AQ20" s="7">
        <v>0</v>
      </c>
      <c r="AR20" s="7">
        <v>4.48E-2</v>
      </c>
      <c r="AS20" s="8" t="b">
        <v>1</v>
      </c>
      <c r="AT20" s="8" t="b">
        <v>1</v>
      </c>
      <c r="AU20" s="8" t="b">
        <v>1</v>
      </c>
      <c r="AV20" s="8" t="b">
        <v>1</v>
      </c>
      <c r="AW20" s="8" t="b">
        <v>1</v>
      </c>
      <c r="AX20" s="8" t="b">
        <v>1</v>
      </c>
      <c r="AY20" s="8" t="b">
        <v>1</v>
      </c>
      <c r="AZ20" s="8" t="b">
        <v>1</v>
      </c>
      <c r="BA20" s="7" t="s">
        <v>783</v>
      </c>
      <c r="BB20" s="7" t="s">
        <v>783</v>
      </c>
      <c r="BC20" s="7" t="s">
        <v>784</v>
      </c>
      <c r="BD20" s="7">
        <v>0</v>
      </c>
      <c r="BE20" s="7">
        <v>0</v>
      </c>
      <c r="BF20" s="7">
        <v>16.236921845520552</v>
      </c>
      <c r="BG20" s="7">
        <v>0.13714285714285715</v>
      </c>
      <c r="BH20" s="7" t="s">
        <v>154</v>
      </c>
      <c r="BI20" s="7">
        <v>175</v>
      </c>
      <c r="BJ20" s="7">
        <v>24</v>
      </c>
      <c r="BK20" s="7">
        <v>24</v>
      </c>
      <c r="BL20" s="7">
        <v>24</v>
      </c>
      <c r="BM20" s="8" t="b">
        <v>1</v>
      </c>
      <c r="BN20" s="7">
        <v>45.927594305642906</v>
      </c>
      <c r="BO20" s="7">
        <v>0.26879999999999998</v>
      </c>
      <c r="BP20" s="7">
        <v>42.764850494540049</v>
      </c>
      <c r="BQ20" s="7">
        <v>0.13714285714285715</v>
      </c>
      <c r="BR20" s="7" t="s">
        <v>154</v>
      </c>
      <c r="BS20" s="7">
        <v>175</v>
      </c>
      <c r="BT20" s="7">
        <v>24</v>
      </c>
      <c r="BU20" s="7">
        <v>24</v>
      </c>
      <c r="BV20" s="7">
        <v>24</v>
      </c>
      <c r="BW20" s="7" t="s">
        <v>803</v>
      </c>
      <c r="BX20" s="8" t="b">
        <v>1</v>
      </c>
      <c r="BY20" s="7">
        <v>-167.50395038846005</v>
      </c>
      <c r="BZ20" s="7">
        <v>-4.2700643780118552</v>
      </c>
      <c r="CA20" s="7">
        <v>46235</v>
      </c>
      <c r="CB20" s="7">
        <v>46234.989583333336</v>
      </c>
      <c r="CC20" s="7">
        <v>3.2730738450200011E-3</v>
      </c>
      <c r="CD20" s="7">
        <v>31.979320955398158</v>
      </c>
      <c r="CE20" s="7">
        <v>32.677246498374345</v>
      </c>
      <c r="CF20" s="7">
        <v>662.24534522516342</v>
      </c>
      <c r="CG20" s="7">
        <v>0.3125</v>
      </c>
      <c r="CH20" s="7" t="s">
        <v>150</v>
      </c>
      <c r="CI20" s="7">
        <v>128</v>
      </c>
      <c r="CJ20" s="8" t="b">
        <v>1</v>
      </c>
      <c r="CK20" s="7">
        <v>40</v>
      </c>
      <c r="CL20" s="7">
        <v>40</v>
      </c>
      <c r="CM20" s="7">
        <v>40</v>
      </c>
      <c r="CN20" s="8" t="b">
        <v>0</v>
      </c>
      <c r="CO20" s="7" t="s">
        <v>785</v>
      </c>
      <c r="CP20" s="7">
        <v>599.67076148240687</v>
      </c>
    </row>
    <row r="21" spans="1:94" ht="21" customHeight="1" x14ac:dyDescent="0.45">
      <c r="A21" s="9">
        <v>46235</v>
      </c>
      <c r="B21" s="9">
        <v>46235.010416666664</v>
      </c>
      <c r="C21" s="9">
        <v>46235.125</v>
      </c>
      <c r="D21" s="10">
        <v>46235</v>
      </c>
      <c r="E21" s="7">
        <v>0.25</v>
      </c>
      <c r="F21" s="7" t="s">
        <v>770</v>
      </c>
      <c r="G21" s="9">
        <v>46235</v>
      </c>
      <c r="H21" s="7">
        <v>161.91999999999999</v>
      </c>
      <c r="I21" s="7" t="s">
        <v>804</v>
      </c>
      <c r="J21" s="7">
        <v>15</v>
      </c>
      <c r="K21" s="7" t="s">
        <v>790</v>
      </c>
      <c r="L21" s="10">
        <v>46234</v>
      </c>
      <c r="M21" s="7">
        <v>5.2473000000000001</v>
      </c>
      <c r="N21" s="7" t="s">
        <v>773</v>
      </c>
      <c r="O21" s="7">
        <v>128</v>
      </c>
      <c r="P21" s="7" t="s">
        <v>805</v>
      </c>
      <c r="Q21" s="7" t="s">
        <v>775</v>
      </c>
      <c r="R21" s="7">
        <v>66.224534522516336</v>
      </c>
      <c r="S21" s="7" t="s">
        <v>776</v>
      </c>
      <c r="T21" s="7">
        <v>175</v>
      </c>
      <c r="U21" s="7" t="s">
        <v>806</v>
      </c>
      <c r="V21" s="7" t="s">
        <v>775</v>
      </c>
      <c r="W21" s="7">
        <v>7.1274750824233415</v>
      </c>
      <c r="X21" s="7" t="s">
        <v>776</v>
      </c>
      <c r="Y21" s="7">
        <v>175</v>
      </c>
      <c r="Z21" s="7" t="s">
        <v>807</v>
      </c>
      <c r="AA21" s="7" t="s">
        <v>775</v>
      </c>
      <c r="AB21" s="7">
        <v>4.2097840794313264</v>
      </c>
      <c r="AC21" s="7" t="s">
        <v>776</v>
      </c>
      <c r="AD21" s="7"/>
      <c r="AE21" s="7" t="s">
        <v>779</v>
      </c>
      <c r="AF21" s="7"/>
      <c r="AG21" s="7">
        <v>256.41282183218033</v>
      </c>
      <c r="AH21" s="7" t="s">
        <v>776</v>
      </c>
      <c r="AI21" s="7">
        <v>19.657</v>
      </c>
      <c r="AJ21" s="7">
        <v>0</v>
      </c>
      <c r="AK21" s="7" t="s">
        <v>776</v>
      </c>
      <c r="AL21" s="7">
        <v>0</v>
      </c>
      <c r="AM21" s="7" t="s">
        <v>780</v>
      </c>
      <c r="AN21" s="7" t="s">
        <v>781</v>
      </c>
      <c r="AO21" s="7" t="s">
        <v>782</v>
      </c>
      <c r="AP21" s="7">
        <v>0.44930285714285711</v>
      </c>
      <c r="AQ21" s="7">
        <v>0</v>
      </c>
      <c r="AR21" s="7">
        <v>0.44930285714285711</v>
      </c>
      <c r="AS21" s="8" t="b">
        <v>1</v>
      </c>
      <c r="AT21" s="8" t="b">
        <v>1</v>
      </c>
      <c r="AU21" s="8" t="b">
        <v>1</v>
      </c>
      <c r="AV21" s="8" t="b">
        <v>1</v>
      </c>
      <c r="AW21" s="8" t="b">
        <v>1</v>
      </c>
      <c r="AX21" s="8" t="b">
        <v>1</v>
      </c>
      <c r="AY21" s="8" t="b">
        <v>1</v>
      </c>
      <c r="AZ21" s="8" t="b">
        <v>1</v>
      </c>
      <c r="BA21" s="7" t="s">
        <v>783</v>
      </c>
      <c r="BB21" s="7" t="s">
        <v>783</v>
      </c>
      <c r="BC21" s="7" t="s">
        <v>784</v>
      </c>
      <c r="BD21" s="7">
        <v>0</v>
      </c>
      <c r="BE21" s="7">
        <v>0</v>
      </c>
      <c r="BF21" s="7">
        <v>25.258704476587958</v>
      </c>
      <c r="BG21" s="7">
        <v>0.13714285714285715</v>
      </c>
      <c r="BH21" s="7" t="s">
        <v>154</v>
      </c>
      <c r="BI21" s="7">
        <v>175</v>
      </c>
      <c r="BJ21" s="7">
        <v>24</v>
      </c>
      <c r="BK21" s="7">
        <v>24</v>
      </c>
      <c r="BL21" s="7">
        <v>24</v>
      </c>
      <c r="BM21" s="8" t="b">
        <v>1</v>
      </c>
      <c r="BN21" s="7">
        <v>691.24208074356602</v>
      </c>
      <c r="BO21" s="7">
        <v>2.6958171428571429</v>
      </c>
      <c r="BP21" s="7">
        <v>42.764850494540049</v>
      </c>
      <c r="BQ21" s="7">
        <v>0.13714285714285715</v>
      </c>
      <c r="BR21" s="7" t="s">
        <v>154</v>
      </c>
      <c r="BS21" s="7">
        <v>175</v>
      </c>
      <c r="BT21" s="7">
        <v>24</v>
      </c>
      <c r="BU21" s="7">
        <v>24</v>
      </c>
      <c r="BV21" s="7">
        <v>24</v>
      </c>
      <c r="BW21" s="7" t="s">
        <v>804</v>
      </c>
      <c r="BX21" s="8" t="b">
        <v>1</v>
      </c>
      <c r="BY21" s="7">
        <v>-660.48754037112258</v>
      </c>
      <c r="BZ21" s="7">
        <v>-16.316391807587021</v>
      </c>
      <c r="CA21" s="7">
        <v>46235.010416666664</v>
      </c>
      <c r="CB21" s="7">
        <v>46235</v>
      </c>
      <c r="CC21" s="7">
        <v>8.3465440114781596E-3</v>
      </c>
      <c r="CD21" s="7">
        <v>32.677246498374345</v>
      </c>
      <c r="CE21" s="7">
        <v>33.805770215323108</v>
      </c>
      <c r="CF21" s="7">
        <v>662.24534522516342</v>
      </c>
      <c r="CG21" s="7">
        <v>0.3125</v>
      </c>
      <c r="CH21" s="7" t="s">
        <v>150</v>
      </c>
      <c r="CI21" s="7">
        <v>128</v>
      </c>
      <c r="CJ21" s="8" t="b">
        <v>1</v>
      </c>
      <c r="CK21" s="7">
        <v>40</v>
      </c>
      <c r="CL21" s="7">
        <v>40</v>
      </c>
      <c r="CM21" s="7">
        <v>40</v>
      </c>
      <c r="CN21" s="8" t="b">
        <v>0</v>
      </c>
      <c r="CO21" s="7" t="s">
        <v>785</v>
      </c>
      <c r="CP21" s="7">
        <v>761.02344056873483</v>
      </c>
    </row>
    <row r="22" spans="1:94" ht="21" customHeight="1" x14ac:dyDescent="0.45">
      <c r="A22" s="9">
        <v>46235.010416666664</v>
      </c>
      <c r="B22" s="9">
        <v>46235.020833333336</v>
      </c>
      <c r="C22" s="9">
        <v>46235.135416666664</v>
      </c>
      <c r="D22" s="10">
        <v>46235</v>
      </c>
      <c r="E22" s="7">
        <v>0.25</v>
      </c>
      <c r="F22" s="7" t="s">
        <v>770</v>
      </c>
      <c r="G22" s="9">
        <v>46235</v>
      </c>
      <c r="H22" s="7">
        <v>160.57</v>
      </c>
      <c r="I22" s="7" t="s">
        <v>808</v>
      </c>
      <c r="J22" s="7">
        <v>15</v>
      </c>
      <c r="K22" s="7" t="s">
        <v>790</v>
      </c>
      <c r="L22" s="10">
        <v>46234</v>
      </c>
      <c r="M22" s="7">
        <v>5.2473000000000001</v>
      </c>
      <c r="N22" s="7" t="s">
        <v>773</v>
      </c>
      <c r="O22" s="7">
        <v>128</v>
      </c>
      <c r="P22" s="7" t="s">
        <v>805</v>
      </c>
      <c r="Q22" s="7" t="s">
        <v>775</v>
      </c>
      <c r="R22" s="7">
        <v>66.224534522516336</v>
      </c>
      <c r="S22" s="7" t="s">
        <v>776</v>
      </c>
      <c r="T22" s="7">
        <v>175</v>
      </c>
      <c r="U22" s="7" t="s">
        <v>806</v>
      </c>
      <c r="V22" s="7" t="s">
        <v>775</v>
      </c>
      <c r="W22" s="7">
        <v>7.1274750824233415</v>
      </c>
      <c r="X22" s="7" t="s">
        <v>776</v>
      </c>
      <c r="Y22" s="7">
        <v>175</v>
      </c>
      <c r="Z22" s="7" t="s">
        <v>807</v>
      </c>
      <c r="AA22" s="7" t="s">
        <v>775</v>
      </c>
      <c r="AB22" s="7">
        <v>4.2097840794313264</v>
      </c>
      <c r="AC22" s="7" t="s">
        <v>776</v>
      </c>
      <c r="AD22" s="7"/>
      <c r="AE22" s="7" t="s">
        <v>779</v>
      </c>
      <c r="AF22" s="7"/>
      <c r="AG22" s="7">
        <v>350.54123072818402</v>
      </c>
      <c r="AH22" s="7" t="s">
        <v>776</v>
      </c>
      <c r="AI22" s="7">
        <v>32.112000000000002</v>
      </c>
      <c r="AJ22" s="7">
        <v>0</v>
      </c>
      <c r="AK22" s="7" t="s">
        <v>776</v>
      </c>
      <c r="AL22" s="7">
        <v>0</v>
      </c>
      <c r="AM22" s="7" t="s">
        <v>780</v>
      </c>
      <c r="AN22" s="7" t="s">
        <v>781</v>
      </c>
      <c r="AO22" s="7" t="s">
        <v>782</v>
      </c>
      <c r="AP22" s="7">
        <v>0.73398857142857143</v>
      </c>
      <c r="AQ22" s="7">
        <v>0</v>
      </c>
      <c r="AR22" s="7">
        <v>0.73398857142857143</v>
      </c>
      <c r="AS22" s="8" t="b">
        <v>1</v>
      </c>
      <c r="AT22" s="8" t="b">
        <v>1</v>
      </c>
      <c r="AU22" s="8" t="b">
        <v>1</v>
      </c>
      <c r="AV22" s="8" t="b">
        <v>1</v>
      </c>
      <c r="AW22" s="8" t="b">
        <v>1</v>
      </c>
      <c r="AX22" s="8" t="b">
        <v>1</v>
      </c>
      <c r="AY22" s="8" t="b">
        <v>1</v>
      </c>
      <c r="AZ22" s="8" t="b">
        <v>1</v>
      </c>
      <c r="BA22" s="7" t="s">
        <v>783</v>
      </c>
      <c r="BB22" s="7" t="s">
        <v>783</v>
      </c>
      <c r="BC22" s="7" t="s">
        <v>784</v>
      </c>
      <c r="BD22" s="7">
        <v>0</v>
      </c>
      <c r="BE22" s="7">
        <v>0</v>
      </c>
      <c r="BF22" s="7">
        <v>25.258704476587958</v>
      </c>
      <c r="BG22" s="7">
        <v>0.13714285714285715</v>
      </c>
      <c r="BH22" s="7" t="s">
        <v>154</v>
      </c>
      <c r="BI22" s="7">
        <v>175</v>
      </c>
      <c r="BJ22" s="7">
        <v>24</v>
      </c>
      <c r="BK22" s="7">
        <v>24</v>
      </c>
      <c r="BL22" s="7">
        <v>24</v>
      </c>
      <c r="BM22" s="8" t="b">
        <v>1</v>
      </c>
      <c r="BN22" s="7">
        <v>1543.7595430139584</v>
      </c>
      <c r="BO22" s="7">
        <v>4.4039314285714291</v>
      </c>
      <c r="BP22" s="7">
        <v>42.764850494540049</v>
      </c>
      <c r="BQ22" s="7">
        <v>0.13714285714285715</v>
      </c>
      <c r="BR22" s="7" t="s">
        <v>154</v>
      </c>
      <c r="BS22" s="7">
        <v>175</v>
      </c>
      <c r="BT22" s="7">
        <v>24</v>
      </c>
      <c r="BU22" s="7">
        <v>24</v>
      </c>
      <c r="BV22" s="7">
        <v>24</v>
      </c>
      <c r="BW22" s="7" t="s">
        <v>808</v>
      </c>
      <c r="BX22" s="8" t="b">
        <v>1</v>
      </c>
      <c r="BY22" s="7">
        <v>-963.42</v>
      </c>
      <c r="BZ22" s="7">
        <v>-24</v>
      </c>
      <c r="CA22" s="7">
        <v>46235.020833333336</v>
      </c>
      <c r="CB22" s="7">
        <v>46235.010416666664</v>
      </c>
      <c r="CC22" s="7">
        <v>4.0788419047619049E-3</v>
      </c>
      <c r="CD22" s="7">
        <v>33.805770215323108</v>
      </c>
      <c r="CE22" s="7">
        <v>35.274153301037394</v>
      </c>
      <c r="CF22" s="7">
        <v>662.24534522516342</v>
      </c>
      <c r="CG22" s="7">
        <v>0.3125</v>
      </c>
      <c r="CH22" s="7" t="s">
        <v>150</v>
      </c>
      <c r="CI22" s="7">
        <v>128</v>
      </c>
      <c r="CJ22" s="8" t="b">
        <v>1</v>
      </c>
      <c r="CK22" s="7">
        <v>40</v>
      </c>
      <c r="CL22" s="7">
        <v>40</v>
      </c>
      <c r="CM22" s="7">
        <v>40</v>
      </c>
      <c r="CN22" s="8" t="b">
        <v>0</v>
      </c>
      <c r="CO22" s="7" t="s">
        <v>785</v>
      </c>
      <c r="CP22" s="7">
        <v>1310.6084432102498</v>
      </c>
    </row>
    <row r="23" spans="1:94" ht="21" customHeight="1" x14ac:dyDescent="0.45">
      <c r="A23" s="9">
        <v>46235.020833333336</v>
      </c>
      <c r="B23" s="9">
        <v>46235.03125</v>
      </c>
      <c r="C23" s="9">
        <v>46235.145833333336</v>
      </c>
      <c r="D23" s="10">
        <v>46235</v>
      </c>
      <c r="E23" s="7">
        <v>0.25</v>
      </c>
      <c r="F23" s="7" t="s">
        <v>770</v>
      </c>
      <c r="G23" s="9">
        <v>46235</v>
      </c>
      <c r="H23" s="7">
        <v>156.74</v>
      </c>
      <c r="I23" s="7" t="s">
        <v>809</v>
      </c>
      <c r="J23" s="7">
        <v>15</v>
      </c>
      <c r="K23" s="7" t="s">
        <v>790</v>
      </c>
      <c r="L23" s="10">
        <v>46234</v>
      </c>
      <c r="M23" s="7">
        <v>5.2473000000000001</v>
      </c>
      <c r="N23" s="7" t="s">
        <v>773</v>
      </c>
      <c r="O23" s="7">
        <v>128</v>
      </c>
      <c r="P23" s="7" t="s">
        <v>805</v>
      </c>
      <c r="Q23" s="7" t="s">
        <v>775</v>
      </c>
      <c r="R23" s="7">
        <v>66.224534522516336</v>
      </c>
      <c r="S23" s="7" t="s">
        <v>776</v>
      </c>
      <c r="T23" s="7">
        <v>175</v>
      </c>
      <c r="U23" s="7" t="s">
        <v>806</v>
      </c>
      <c r="V23" s="7" t="s">
        <v>775</v>
      </c>
      <c r="W23" s="7">
        <v>7.1274750824233415</v>
      </c>
      <c r="X23" s="7" t="s">
        <v>776</v>
      </c>
      <c r="Y23" s="7">
        <v>175</v>
      </c>
      <c r="Z23" s="7" t="s">
        <v>807</v>
      </c>
      <c r="AA23" s="7" t="s">
        <v>775</v>
      </c>
      <c r="AB23" s="7">
        <v>4.2097840794313264</v>
      </c>
      <c r="AC23" s="7" t="s">
        <v>776</v>
      </c>
      <c r="AD23" s="7"/>
      <c r="AE23" s="7" t="s">
        <v>779</v>
      </c>
      <c r="AF23" s="7"/>
      <c r="AG23" s="7">
        <v>271.16212147199508</v>
      </c>
      <c r="AH23" s="7" t="s">
        <v>776</v>
      </c>
      <c r="AI23" s="7">
        <v>28.192</v>
      </c>
      <c r="AJ23" s="7">
        <v>0</v>
      </c>
      <c r="AK23" s="7" t="s">
        <v>776</v>
      </c>
      <c r="AL23" s="7">
        <v>0</v>
      </c>
      <c r="AM23" s="7" t="s">
        <v>780</v>
      </c>
      <c r="AN23" s="7" t="s">
        <v>781</v>
      </c>
      <c r="AO23" s="7" t="s">
        <v>782</v>
      </c>
      <c r="AP23" s="7">
        <v>0.64438857142857142</v>
      </c>
      <c r="AQ23" s="7">
        <v>0</v>
      </c>
      <c r="AR23" s="7">
        <v>0.64438857142857142</v>
      </c>
      <c r="AS23" s="8" t="b">
        <v>1</v>
      </c>
      <c r="AT23" s="8" t="b">
        <v>1</v>
      </c>
      <c r="AU23" s="8" t="b">
        <v>1</v>
      </c>
      <c r="AV23" s="8" t="b">
        <v>1</v>
      </c>
      <c r="AW23" s="8" t="b">
        <v>1</v>
      </c>
      <c r="AX23" s="8" t="b">
        <v>1</v>
      </c>
      <c r="AY23" s="8" t="b">
        <v>1</v>
      </c>
      <c r="AZ23" s="8" t="b">
        <v>1</v>
      </c>
      <c r="BA23" s="7" t="s">
        <v>783</v>
      </c>
      <c r="BB23" s="7" t="s">
        <v>783</v>
      </c>
      <c r="BC23" s="7" t="s">
        <v>784</v>
      </c>
      <c r="BD23" s="7">
        <v>0</v>
      </c>
      <c r="BE23" s="7">
        <v>0</v>
      </c>
      <c r="BF23" s="7">
        <v>25.258704476587958</v>
      </c>
      <c r="BG23" s="7">
        <v>0.13714285714285715</v>
      </c>
      <c r="BH23" s="7" t="s">
        <v>154</v>
      </c>
      <c r="BI23" s="7">
        <v>175</v>
      </c>
      <c r="BJ23" s="7">
        <v>24</v>
      </c>
      <c r="BK23" s="7">
        <v>24</v>
      </c>
      <c r="BL23" s="7">
        <v>24</v>
      </c>
      <c r="BM23" s="8" t="b">
        <v>1</v>
      </c>
      <c r="BN23" s="7">
        <v>1048.402632485278</v>
      </c>
      <c r="BO23" s="7">
        <v>3.8663314285714288</v>
      </c>
      <c r="BP23" s="7">
        <v>42.764850494540049</v>
      </c>
      <c r="BQ23" s="7">
        <v>0.13714285714285715</v>
      </c>
      <c r="BR23" s="7" t="s">
        <v>154</v>
      </c>
      <c r="BS23" s="7">
        <v>175</v>
      </c>
      <c r="BT23" s="7">
        <v>24</v>
      </c>
      <c r="BU23" s="7">
        <v>24</v>
      </c>
      <c r="BV23" s="7">
        <v>24</v>
      </c>
      <c r="BW23" s="7" t="s">
        <v>809</v>
      </c>
      <c r="BX23" s="8" t="b">
        <v>1</v>
      </c>
      <c r="BY23" s="7">
        <v>-940.44</v>
      </c>
      <c r="BZ23" s="7">
        <v>-24</v>
      </c>
      <c r="CA23" s="7">
        <v>46235.03125</v>
      </c>
      <c r="CB23" s="7">
        <v>46235.020833333336</v>
      </c>
      <c r="CC23" s="7">
        <v>5.4527085714285708E-3</v>
      </c>
      <c r="CD23" s="7">
        <v>35.274153301037394</v>
      </c>
      <c r="CE23" s="7">
        <v>37.237128386751678</v>
      </c>
      <c r="CF23" s="7">
        <v>662.24534522516342</v>
      </c>
      <c r="CG23" s="7">
        <v>0.3125</v>
      </c>
      <c r="CH23" s="7" t="s">
        <v>150</v>
      </c>
      <c r="CI23" s="7">
        <v>128</v>
      </c>
      <c r="CJ23" s="8" t="b">
        <v>1</v>
      </c>
      <c r="CK23" s="7">
        <v>40</v>
      </c>
      <c r="CL23" s="7">
        <v>40</v>
      </c>
      <c r="CM23" s="7">
        <v>40</v>
      </c>
      <c r="CN23" s="8" t="b">
        <v>0</v>
      </c>
      <c r="CO23" s="7" t="s">
        <v>785</v>
      </c>
      <c r="CP23" s="7">
        <v>838.23153268156932</v>
      </c>
    </row>
    <row r="24" spans="1:94" ht="21" customHeight="1" x14ac:dyDescent="0.45">
      <c r="A24" s="9">
        <v>46235.03125</v>
      </c>
      <c r="B24" s="9">
        <v>46235.041666666664</v>
      </c>
      <c r="C24" s="9">
        <v>46235.15625</v>
      </c>
      <c r="D24" s="10">
        <v>46235</v>
      </c>
      <c r="E24" s="7">
        <v>0.25</v>
      </c>
      <c r="F24" s="7" t="s">
        <v>770</v>
      </c>
      <c r="G24" s="9">
        <v>46235</v>
      </c>
      <c r="H24" s="7">
        <v>153.21</v>
      </c>
      <c r="I24" s="7" t="s">
        <v>810</v>
      </c>
      <c r="J24" s="7">
        <v>15</v>
      </c>
      <c r="K24" s="7" t="s">
        <v>790</v>
      </c>
      <c r="L24" s="10">
        <v>46234</v>
      </c>
      <c r="M24" s="7">
        <v>5.2473000000000001</v>
      </c>
      <c r="N24" s="7" t="s">
        <v>773</v>
      </c>
      <c r="O24" s="7">
        <v>128</v>
      </c>
      <c r="P24" s="7" t="s">
        <v>805</v>
      </c>
      <c r="Q24" s="7" t="s">
        <v>775</v>
      </c>
      <c r="R24" s="7">
        <v>66.224534522516336</v>
      </c>
      <c r="S24" s="7" t="s">
        <v>776</v>
      </c>
      <c r="T24" s="7">
        <v>175</v>
      </c>
      <c r="U24" s="7" t="s">
        <v>806</v>
      </c>
      <c r="V24" s="7" t="s">
        <v>775</v>
      </c>
      <c r="W24" s="7">
        <v>7.1274750824233415</v>
      </c>
      <c r="X24" s="7" t="s">
        <v>776</v>
      </c>
      <c r="Y24" s="7">
        <v>175</v>
      </c>
      <c r="Z24" s="7" t="s">
        <v>807</v>
      </c>
      <c r="AA24" s="7" t="s">
        <v>775</v>
      </c>
      <c r="AB24" s="7">
        <v>4.2097840794313264</v>
      </c>
      <c r="AC24" s="7" t="s">
        <v>776</v>
      </c>
      <c r="AD24" s="7"/>
      <c r="AE24" s="7" t="s">
        <v>779</v>
      </c>
      <c r="AF24" s="7"/>
      <c r="AG24" s="7">
        <v>263.23785565910089</v>
      </c>
      <c r="AH24" s="7" t="s">
        <v>776</v>
      </c>
      <c r="AI24" s="7">
        <v>25.991</v>
      </c>
      <c r="AJ24" s="7">
        <v>0</v>
      </c>
      <c r="AK24" s="7" t="s">
        <v>776</v>
      </c>
      <c r="AL24" s="7">
        <v>0</v>
      </c>
      <c r="AM24" s="7" t="s">
        <v>780</v>
      </c>
      <c r="AN24" s="7" t="s">
        <v>781</v>
      </c>
      <c r="AO24" s="7" t="s">
        <v>782</v>
      </c>
      <c r="AP24" s="7">
        <v>0.59407999999999994</v>
      </c>
      <c r="AQ24" s="7">
        <v>0</v>
      </c>
      <c r="AR24" s="7">
        <v>0.59407999999999994</v>
      </c>
      <c r="AS24" s="8" t="b">
        <v>1</v>
      </c>
      <c r="AT24" s="8" t="b">
        <v>1</v>
      </c>
      <c r="AU24" s="8" t="b">
        <v>1</v>
      </c>
      <c r="AV24" s="8" t="b">
        <v>1</v>
      </c>
      <c r="AW24" s="8" t="b">
        <v>1</v>
      </c>
      <c r="AX24" s="8" t="b">
        <v>1</v>
      </c>
      <c r="AY24" s="8" t="b">
        <v>1</v>
      </c>
      <c r="AZ24" s="8" t="b">
        <v>1</v>
      </c>
      <c r="BA24" s="7" t="s">
        <v>783</v>
      </c>
      <c r="BB24" s="7" t="s">
        <v>783</v>
      </c>
      <c r="BC24" s="7" t="s">
        <v>784</v>
      </c>
      <c r="BD24" s="7">
        <v>0</v>
      </c>
      <c r="BE24" s="7">
        <v>0</v>
      </c>
      <c r="BF24" s="7">
        <v>25.258704476587958</v>
      </c>
      <c r="BG24" s="7">
        <v>0.13714285714285715</v>
      </c>
      <c r="BH24" s="7" t="s">
        <v>154</v>
      </c>
      <c r="BI24" s="7">
        <v>175</v>
      </c>
      <c r="BJ24" s="7">
        <v>24</v>
      </c>
      <c r="BK24" s="7">
        <v>24</v>
      </c>
      <c r="BL24" s="7">
        <v>24</v>
      </c>
      <c r="BM24" s="8" t="b">
        <v>1</v>
      </c>
      <c r="BN24" s="7">
        <v>938.30607173975181</v>
      </c>
      <c r="BO24" s="7">
        <v>3.5644799999999996</v>
      </c>
      <c r="BP24" s="7">
        <v>42.764850494540049</v>
      </c>
      <c r="BQ24" s="7">
        <v>0.13714285714285715</v>
      </c>
      <c r="BR24" s="7" t="s">
        <v>154</v>
      </c>
      <c r="BS24" s="7">
        <v>175</v>
      </c>
      <c r="BT24" s="7">
        <v>24</v>
      </c>
      <c r="BU24" s="7">
        <v>24</v>
      </c>
      <c r="BV24" s="7">
        <v>24</v>
      </c>
      <c r="BW24" s="7" t="s">
        <v>810</v>
      </c>
      <c r="BX24" s="8" t="b">
        <v>1</v>
      </c>
      <c r="BY24" s="7">
        <v>-919.26</v>
      </c>
      <c r="BZ24" s="7">
        <v>-24</v>
      </c>
      <c r="CA24" s="7">
        <v>46235.041666666664</v>
      </c>
      <c r="CB24" s="7">
        <v>46235.03125</v>
      </c>
      <c r="CC24" s="7">
        <v>6.2241066666666681E-3</v>
      </c>
      <c r="CD24" s="7">
        <v>37.237128386751678</v>
      </c>
      <c r="CE24" s="7">
        <v>39.477806786751678</v>
      </c>
      <c r="CF24" s="7">
        <v>662.24534522516342</v>
      </c>
      <c r="CG24" s="7">
        <v>0.3125</v>
      </c>
      <c r="CH24" s="7" t="s">
        <v>150</v>
      </c>
      <c r="CI24" s="7">
        <v>128</v>
      </c>
      <c r="CJ24" s="8" t="b">
        <v>1</v>
      </c>
      <c r="CK24" s="7">
        <v>40</v>
      </c>
      <c r="CL24" s="7">
        <v>40</v>
      </c>
      <c r="CM24" s="7">
        <v>40</v>
      </c>
      <c r="CN24" s="8" t="b">
        <v>0</v>
      </c>
      <c r="CO24" s="7" t="s">
        <v>785</v>
      </c>
      <c r="CP24" s="7">
        <v>749.31497193604321</v>
      </c>
    </row>
    <row r="25" spans="1:94" ht="21" customHeight="1" x14ac:dyDescent="0.45">
      <c r="A25" s="9">
        <v>46235.041666666664</v>
      </c>
      <c r="B25" s="9">
        <v>46235.052083333336</v>
      </c>
      <c r="C25" s="9">
        <v>46235.166666666664</v>
      </c>
      <c r="D25" s="10">
        <v>46235</v>
      </c>
      <c r="E25" s="7">
        <v>0.25</v>
      </c>
      <c r="F25" s="7" t="s">
        <v>770</v>
      </c>
      <c r="G25" s="9">
        <v>46235.041666666664</v>
      </c>
      <c r="H25" s="7">
        <v>158.41999999999999</v>
      </c>
      <c r="I25" s="7" t="s">
        <v>811</v>
      </c>
      <c r="J25" s="7">
        <v>15</v>
      </c>
      <c r="K25" s="7" t="s">
        <v>790</v>
      </c>
      <c r="L25" s="10">
        <v>46234</v>
      </c>
      <c r="M25" s="7">
        <v>5.2473000000000001</v>
      </c>
      <c r="N25" s="7" t="s">
        <v>773</v>
      </c>
      <c r="O25" s="7">
        <v>128</v>
      </c>
      <c r="P25" s="7" t="s">
        <v>812</v>
      </c>
      <c r="Q25" s="7" t="s">
        <v>775</v>
      </c>
      <c r="R25" s="7">
        <v>66.224534522516336</v>
      </c>
      <c r="S25" s="7" t="s">
        <v>776</v>
      </c>
      <c r="T25" s="7">
        <v>175</v>
      </c>
      <c r="U25" s="7" t="s">
        <v>813</v>
      </c>
      <c r="V25" s="7" t="s">
        <v>775</v>
      </c>
      <c r="W25" s="7">
        <v>7.1274750824233415</v>
      </c>
      <c r="X25" s="7" t="s">
        <v>776</v>
      </c>
      <c r="Y25" s="7">
        <v>175</v>
      </c>
      <c r="Z25" s="7" t="s">
        <v>814</v>
      </c>
      <c r="AA25" s="7" t="s">
        <v>775</v>
      </c>
      <c r="AB25" s="7">
        <v>5.0768966897261452</v>
      </c>
      <c r="AC25" s="7" t="s">
        <v>776</v>
      </c>
      <c r="AD25" s="7"/>
      <c r="AE25" s="7" t="s">
        <v>779</v>
      </c>
      <c r="AF25" s="7"/>
      <c r="AG25" s="7">
        <v>224.30411830846339</v>
      </c>
      <c r="AH25" s="7" t="s">
        <v>776</v>
      </c>
      <c r="AI25" s="7">
        <v>17.314</v>
      </c>
      <c r="AJ25" s="7">
        <v>0</v>
      </c>
      <c r="AK25" s="7" t="s">
        <v>776</v>
      </c>
      <c r="AL25" s="7">
        <v>0</v>
      </c>
      <c r="AM25" s="7" t="s">
        <v>780</v>
      </c>
      <c r="AN25" s="7" t="s">
        <v>781</v>
      </c>
      <c r="AO25" s="7" t="s">
        <v>782</v>
      </c>
      <c r="AP25" s="7">
        <v>0.39574857142857139</v>
      </c>
      <c r="AQ25" s="7">
        <v>0</v>
      </c>
      <c r="AR25" s="7">
        <v>0.39574857142857139</v>
      </c>
      <c r="AS25" s="8" t="b">
        <v>1</v>
      </c>
      <c r="AT25" s="8" t="b">
        <v>1</v>
      </c>
      <c r="AU25" s="8" t="b">
        <v>1</v>
      </c>
      <c r="AV25" s="8" t="b">
        <v>1</v>
      </c>
      <c r="AW25" s="8" t="b">
        <v>1</v>
      </c>
      <c r="AX25" s="8" t="b">
        <v>1</v>
      </c>
      <c r="AY25" s="8" t="b">
        <v>1</v>
      </c>
      <c r="AZ25" s="8" t="b">
        <v>1</v>
      </c>
      <c r="BA25" s="7" t="s">
        <v>783</v>
      </c>
      <c r="BB25" s="7" t="s">
        <v>783</v>
      </c>
      <c r="BC25" s="7" t="s">
        <v>784</v>
      </c>
      <c r="BD25" s="7">
        <v>0</v>
      </c>
      <c r="BE25" s="7">
        <v>0</v>
      </c>
      <c r="BF25" s="7">
        <v>30.461380138356873</v>
      </c>
      <c r="BG25" s="7">
        <v>0.13714285714285715</v>
      </c>
      <c r="BH25" s="7" t="s">
        <v>154</v>
      </c>
      <c r="BI25" s="7">
        <v>175</v>
      </c>
      <c r="BJ25" s="7">
        <v>24</v>
      </c>
      <c r="BK25" s="7">
        <v>24</v>
      </c>
      <c r="BL25" s="7">
        <v>24</v>
      </c>
      <c r="BM25" s="8" t="b">
        <v>1</v>
      </c>
      <c r="BN25" s="7">
        <v>532.608206316718</v>
      </c>
      <c r="BO25" s="7">
        <v>2.3744914285714289</v>
      </c>
      <c r="BP25" s="7">
        <v>42.764850494540049</v>
      </c>
      <c r="BQ25" s="7">
        <v>0.13714285714285715</v>
      </c>
      <c r="BR25" s="7" t="s">
        <v>154</v>
      </c>
      <c r="BS25" s="7">
        <v>175</v>
      </c>
      <c r="BT25" s="7">
        <v>24</v>
      </c>
      <c r="BU25" s="7">
        <v>24</v>
      </c>
      <c r="BV25" s="7">
        <v>24</v>
      </c>
      <c r="BW25" s="7" t="s">
        <v>811</v>
      </c>
      <c r="BX25" s="8" t="b">
        <v>1</v>
      </c>
      <c r="BY25" s="7">
        <v>0</v>
      </c>
      <c r="BZ25" s="7">
        <v>0</v>
      </c>
      <c r="CA25" s="7">
        <v>46235.052083333336</v>
      </c>
      <c r="CB25" s="7">
        <v>46235.041666666664</v>
      </c>
      <c r="CC25" s="7">
        <v>7.169358178053831E-3</v>
      </c>
      <c r="CD25" s="7">
        <v>39.477806786751678</v>
      </c>
      <c r="CE25" s="7">
        <v>36.896837842652296</v>
      </c>
      <c r="CF25" s="7">
        <v>662.24534522516342</v>
      </c>
      <c r="CG25" s="7">
        <v>0.3125</v>
      </c>
      <c r="CH25" s="7" t="s">
        <v>150</v>
      </c>
      <c r="CI25" s="7">
        <v>128</v>
      </c>
      <c r="CJ25" s="8" t="b">
        <v>1</v>
      </c>
      <c r="CK25" s="7">
        <v>40</v>
      </c>
      <c r="CL25" s="7">
        <v>40</v>
      </c>
      <c r="CM25" s="7">
        <v>40</v>
      </c>
      <c r="CN25" s="8" t="b">
        <v>0</v>
      </c>
      <c r="CO25" s="7" t="s">
        <v>785</v>
      </c>
      <c r="CP25" s="7">
        <v>1268.0797821747783</v>
      </c>
    </row>
    <row r="26" spans="1:94" ht="21" customHeight="1" x14ac:dyDescent="0.45">
      <c r="A26" s="9">
        <v>46235.052083333336</v>
      </c>
      <c r="B26" s="9">
        <v>46235.0625</v>
      </c>
      <c r="C26" s="9">
        <v>46235.177083333336</v>
      </c>
      <c r="D26" s="10">
        <v>46235</v>
      </c>
      <c r="E26" s="7">
        <v>0.25</v>
      </c>
      <c r="F26" s="7" t="s">
        <v>770</v>
      </c>
      <c r="G26" s="9">
        <v>46235.041666666664</v>
      </c>
      <c r="H26" s="7">
        <v>154.34</v>
      </c>
      <c r="I26" s="7" t="s">
        <v>815</v>
      </c>
      <c r="J26" s="7">
        <v>15</v>
      </c>
      <c r="K26" s="7" t="s">
        <v>790</v>
      </c>
      <c r="L26" s="10">
        <v>46234</v>
      </c>
      <c r="M26" s="7">
        <v>5.2473000000000001</v>
      </c>
      <c r="N26" s="7" t="s">
        <v>773</v>
      </c>
      <c r="O26" s="7">
        <v>128</v>
      </c>
      <c r="P26" s="7" t="s">
        <v>812</v>
      </c>
      <c r="Q26" s="7" t="s">
        <v>775</v>
      </c>
      <c r="R26" s="7">
        <v>66.224534522516336</v>
      </c>
      <c r="S26" s="7" t="s">
        <v>776</v>
      </c>
      <c r="T26" s="7">
        <v>175</v>
      </c>
      <c r="U26" s="7" t="s">
        <v>813</v>
      </c>
      <c r="V26" s="7" t="s">
        <v>775</v>
      </c>
      <c r="W26" s="7">
        <v>7.1274750824233415</v>
      </c>
      <c r="X26" s="7" t="s">
        <v>776</v>
      </c>
      <c r="Y26" s="7">
        <v>175</v>
      </c>
      <c r="Z26" s="7" t="s">
        <v>814</v>
      </c>
      <c r="AA26" s="7" t="s">
        <v>775</v>
      </c>
      <c r="AB26" s="7">
        <v>5.0768966897261452</v>
      </c>
      <c r="AC26" s="7" t="s">
        <v>776</v>
      </c>
      <c r="AD26" s="7"/>
      <c r="AE26" s="7" t="s">
        <v>779</v>
      </c>
      <c r="AF26" s="7"/>
      <c r="AG26" s="7">
        <v>227.01427400758485</v>
      </c>
      <c r="AH26" s="7" t="s">
        <v>776</v>
      </c>
      <c r="AI26" s="7">
        <v>18.170999999999999</v>
      </c>
      <c r="AJ26" s="7">
        <v>0</v>
      </c>
      <c r="AK26" s="7" t="s">
        <v>776</v>
      </c>
      <c r="AL26" s="7">
        <v>0</v>
      </c>
      <c r="AM26" s="7" t="s">
        <v>780</v>
      </c>
      <c r="AN26" s="7" t="s">
        <v>781</v>
      </c>
      <c r="AO26" s="7" t="s">
        <v>782</v>
      </c>
      <c r="AP26" s="7">
        <v>0.41533714285714279</v>
      </c>
      <c r="AQ26" s="7">
        <v>0</v>
      </c>
      <c r="AR26" s="7">
        <v>0.41533714285714279</v>
      </c>
      <c r="AS26" s="8" t="b">
        <v>1</v>
      </c>
      <c r="AT26" s="8" t="b">
        <v>1</v>
      </c>
      <c r="AU26" s="8" t="b">
        <v>1</v>
      </c>
      <c r="AV26" s="8" t="b">
        <v>1</v>
      </c>
      <c r="AW26" s="8" t="b">
        <v>1</v>
      </c>
      <c r="AX26" s="8" t="b">
        <v>1</v>
      </c>
      <c r="AY26" s="8" t="b">
        <v>1</v>
      </c>
      <c r="AZ26" s="8" t="b">
        <v>1</v>
      </c>
      <c r="BA26" s="7" t="s">
        <v>783</v>
      </c>
      <c r="BB26" s="7" t="s">
        <v>783</v>
      </c>
      <c r="BC26" s="7" t="s">
        <v>784</v>
      </c>
      <c r="BD26" s="7">
        <v>0</v>
      </c>
      <c r="BE26" s="7">
        <v>0</v>
      </c>
      <c r="BF26" s="7">
        <v>30.461380138356873</v>
      </c>
      <c r="BG26" s="7">
        <v>0.13714285714285715</v>
      </c>
      <c r="BH26" s="7" t="s">
        <v>154</v>
      </c>
      <c r="BI26" s="7">
        <v>175</v>
      </c>
      <c r="BJ26" s="7">
        <v>24</v>
      </c>
      <c r="BK26" s="7">
        <v>24</v>
      </c>
      <c r="BL26" s="7">
        <v>24</v>
      </c>
      <c r="BM26" s="8" t="b">
        <v>1</v>
      </c>
      <c r="BN26" s="7">
        <v>565.72475972459301</v>
      </c>
      <c r="BO26" s="7">
        <v>2.4920228571428571</v>
      </c>
      <c r="BP26" s="7">
        <v>42.764850494540049</v>
      </c>
      <c r="BQ26" s="7">
        <v>0.13714285714285715</v>
      </c>
      <c r="BR26" s="7" t="s">
        <v>154</v>
      </c>
      <c r="BS26" s="7">
        <v>175</v>
      </c>
      <c r="BT26" s="7">
        <v>24</v>
      </c>
      <c r="BU26" s="7">
        <v>24</v>
      </c>
      <c r="BV26" s="7">
        <v>24</v>
      </c>
      <c r="BW26" s="7" t="s">
        <v>815</v>
      </c>
      <c r="BX26" s="8" t="b">
        <v>1</v>
      </c>
      <c r="BY26" s="7">
        <v>-926.04</v>
      </c>
      <c r="BZ26" s="7">
        <v>-24</v>
      </c>
      <c r="CA26" s="7">
        <v>46235.0625</v>
      </c>
      <c r="CB26" s="7">
        <v>46235.052083333336</v>
      </c>
      <c r="CC26" s="7">
        <v>8.964830476190476E-3</v>
      </c>
      <c r="CD26" s="7">
        <v>36.896837842652296</v>
      </c>
      <c r="CE26" s="7">
        <v>40.124176814080869</v>
      </c>
      <c r="CF26" s="7">
        <v>662.24534522516342</v>
      </c>
      <c r="CG26" s="7">
        <v>0.3125</v>
      </c>
      <c r="CH26" s="7" t="s">
        <v>150</v>
      </c>
      <c r="CI26" s="7">
        <v>128</v>
      </c>
      <c r="CJ26" s="8" t="b">
        <v>1</v>
      </c>
      <c r="CK26" s="7">
        <v>40</v>
      </c>
      <c r="CL26" s="7">
        <v>40</v>
      </c>
      <c r="CM26" s="7">
        <v>40</v>
      </c>
      <c r="CN26" s="8" t="b">
        <v>0</v>
      </c>
      <c r="CO26" s="7" t="s">
        <v>785</v>
      </c>
      <c r="CP26" s="7">
        <v>375.15633558265341</v>
      </c>
    </row>
    <row r="27" spans="1:94" ht="21" customHeight="1" x14ac:dyDescent="0.45">
      <c r="A27" s="9">
        <v>46235.0625</v>
      </c>
      <c r="B27" s="9">
        <v>46235.072916666664</v>
      </c>
      <c r="C27" s="9">
        <v>46235.1875</v>
      </c>
      <c r="D27" s="10">
        <v>46235</v>
      </c>
      <c r="E27" s="7">
        <v>0.25</v>
      </c>
      <c r="F27" s="7" t="s">
        <v>770</v>
      </c>
      <c r="G27" s="9">
        <v>46235.041666666664</v>
      </c>
      <c r="H27" s="7">
        <v>156.18</v>
      </c>
      <c r="I27" s="7" t="s">
        <v>816</v>
      </c>
      <c r="J27" s="7">
        <v>15</v>
      </c>
      <c r="K27" s="7" t="s">
        <v>790</v>
      </c>
      <c r="L27" s="10">
        <v>46234</v>
      </c>
      <c r="M27" s="7">
        <v>5.2473000000000001</v>
      </c>
      <c r="N27" s="7" t="s">
        <v>773</v>
      </c>
      <c r="O27" s="7">
        <v>128</v>
      </c>
      <c r="P27" s="7" t="s">
        <v>812</v>
      </c>
      <c r="Q27" s="7" t="s">
        <v>775</v>
      </c>
      <c r="R27" s="7">
        <v>66.224534522516336</v>
      </c>
      <c r="S27" s="7" t="s">
        <v>776</v>
      </c>
      <c r="T27" s="7">
        <v>175</v>
      </c>
      <c r="U27" s="7" t="s">
        <v>813</v>
      </c>
      <c r="V27" s="7" t="s">
        <v>775</v>
      </c>
      <c r="W27" s="7">
        <v>7.1274750824233415</v>
      </c>
      <c r="X27" s="7" t="s">
        <v>776</v>
      </c>
      <c r="Y27" s="7">
        <v>175</v>
      </c>
      <c r="Z27" s="7" t="s">
        <v>814</v>
      </c>
      <c r="AA27" s="7" t="s">
        <v>775</v>
      </c>
      <c r="AB27" s="7">
        <v>5.0768966897261452</v>
      </c>
      <c r="AC27" s="7" t="s">
        <v>776</v>
      </c>
      <c r="AD27" s="7"/>
      <c r="AE27" s="7" t="s">
        <v>779</v>
      </c>
      <c r="AF27" s="7"/>
      <c r="AG27" s="7">
        <v>243.39431707735406</v>
      </c>
      <c r="AH27" s="7" t="s">
        <v>776</v>
      </c>
      <c r="AI27" s="7">
        <v>20.137</v>
      </c>
      <c r="AJ27" s="7">
        <v>0</v>
      </c>
      <c r="AK27" s="7" t="s">
        <v>776</v>
      </c>
      <c r="AL27" s="7">
        <v>0</v>
      </c>
      <c r="AM27" s="7" t="s">
        <v>780</v>
      </c>
      <c r="AN27" s="7" t="s">
        <v>781</v>
      </c>
      <c r="AO27" s="7" t="s">
        <v>782</v>
      </c>
      <c r="AP27" s="7">
        <v>0.46027428571428569</v>
      </c>
      <c r="AQ27" s="7">
        <v>0</v>
      </c>
      <c r="AR27" s="7">
        <v>0.46027428571428569</v>
      </c>
      <c r="AS27" s="8" t="b">
        <v>1</v>
      </c>
      <c r="AT27" s="8" t="b">
        <v>1</v>
      </c>
      <c r="AU27" s="8" t="b">
        <v>1</v>
      </c>
      <c r="AV27" s="8" t="b">
        <v>1</v>
      </c>
      <c r="AW27" s="8" t="b">
        <v>1</v>
      </c>
      <c r="AX27" s="8" t="b">
        <v>1</v>
      </c>
      <c r="AY27" s="8" t="b">
        <v>1</v>
      </c>
      <c r="AZ27" s="8" t="b">
        <v>1</v>
      </c>
      <c r="BA27" s="7" t="s">
        <v>783</v>
      </c>
      <c r="BB27" s="7" t="s">
        <v>783</v>
      </c>
      <c r="BC27" s="7" t="s">
        <v>784</v>
      </c>
      <c r="BD27" s="7">
        <v>0</v>
      </c>
      <c r="BE27" s="7">
        <v>0</v>
      </c>
      <c r="BF27" s="7">
        <v>30.461380138356873</v>
      </c>
      <c r="BG27" s="7">
        <v>0.13714285714285715</v>
      </c>
      <c r="BH27" s="7" t="s">
        <v>154</v>
      </c>
      <c r="BI27" s="7">
        <v>175</v>
      </c>
      <c r="BJ27" s="7">
        <v>24</v>
      </c>
      <c r="BK27" s="7">
        <v>24</v>
      </c>
      <c r="BL27" s="7">
        <v>24</v>
      </c>
      <c r="BM27" s="8" t="b">
        <v>1</v>
      </c>
      <c r="BN27" s="7">
        <v>672.16887263817318</v>
      </c>
      <c r="BO27" s="7">
        <v>2.7616457142857147</v>
      </c>
      <c r="BP27" s="7">
        <v>42.764850494540049</v>
      </c>
      <c r="BQ27" s="7">
        <v>0.13714285714285715</v>
      </c>
      <c r="BR27" s="7" t="s">
        <v>154</v>
      </c>
      <c r="BS27" s="7">
        <v>175</v>
      </c>
      <c r="BT27" s="7">
        <v>24</v>
      </c>
      <c r="BU27" s="7">
        <v>24</v>
      </c>
      <c r="BV27" s="7">
        <v>24</v>
      </c>
      <c r="BW27" s="7" t="s">
        <v>816</v>
      </c>
      <c r="BX27" s="8" t="b">
        <v>1</v>
      </c>
      <c r="BY27" s="7">
        <v>0</v>
      </c>
      <c r="BZ27" s="7">
        <v>0</v>
      </c>
      <c r="CA27" s="7">
        <v>46235.072916666664</v>
      </c>
      <c r="CB27" s="7">
        <v>46235.0625</v>
      </c>
      <c r="CC27" s="7">
        <v>8.3383022774327128E-3</v>
      </c>
      <c r="CD27" s="7">
        <v>40.124176814080869</v>
      </c>
      <c r="CE27" s="7">
        <v>37.122387994205091</v>
      </c>
      <c r="CF27" s="7">
        <v>662.24534522516342</v>
      </c>
      <c r="CG27" s="7">
        <v>0.3125</v>
      </c>
      <c r="CH27" s="7" t="s">
        <v>150</v>
      </c>
      <c r="CI27" s="7">
        <v>128</v>
      </c>
      <c r="CJ27" s="8" t="b">
        <v>1</v>
      </c>
      <c r="CK27" s="7">
        <v>40</v>
      </c>
      <c r="CL27" s="7">
        <v>40</v>
      </c>
      <c r="CM27" s="7">
        <v>40</v>
      </c>
      <c r="CN27" s="8" t="b">
        <v>0</v>
      </c>
      <c r="CO27" s="7" t="s">
        <v>785</v>
      </c>
      <c r="CP27" s="7">
        <v>1407.6404484962336</v>
      </c>
    </row>
    <row r="28" spans="1:94" ht="21" customHeight="1" x14ac:dyDescent="0.45">
      <c r="A28" s="9">
        <v>46235.072916666664</v>
      </c>
      <c r="B28" s="9">
        <v>46235.083333333336</v>
      </c>
      <c r="C28" s="9">
        <v>46235.197916666664</v>
      </c>
      <c r="D28" s="10">
        <v>46235</v>
      </c>
      <c r="E28" s="7">
        <v>0.25</v>
      </c>
      <c r="F28" s="7" t="s">
        <v>770</v>
      </c>
      <c r="G28" s="9">
        <v>46235.041666666664</v>
      </c>
      <c r="H28" s="7">
        <v>154.47</v>
      </c>
      <c r="I28" s="7" t="s">
        <v>817</v>
      </c>
      <c r="J28" s="7">
        <v>15</v>
      </c>
      <c r="K28" s="7" t="s">
        <v>790</v>
      </c>
      <c r="L28" s="10">
        <v>46234</v>
      </c>
      <c r="M28" s="7">
        <v>5.2473000000000001</v>
      </c>
      <c r="N28" s="7" t="s">
        <v>773</v>
      </c>
      <c r="O28" s="7">
        <v>128</v>
      </c>
      <c r="P28" s="7" t="s">
        <v>812</v>
      </c>
      <c r="Q28" s="7" t="s">
        <v>775</v>
      </c>
      <c r="R28" s="7">
        <v>66.224534522516336</v>
      </c>
      <c r="S28" s="7" t="s">
        <v>776</v>
      </c>
      <c r="T28" s="7">
        <v>175</v>
      </c>
      <c r="U28" s="7" t="s">
        <v>813</v>
      </c>
      <c r="V28" s="7" t="s">
        <v>775</v>
      </c>
      <c r="W28" s="7">
        <v>7.1274750824233415</v>
      </c>
      <c r="X28" s="7" t="s">
        <v>776</v>
      </c>
      <c r="Y28" s="7">
        <v>175</v>
      </c>
      <c r="Z28" s="7" t="s">
        <v>814</v>
      </c>
      <c r="AA28" s="7" t="s">
        <v>775</v>
      </c>
      <c r="AB28" s="7">
        <v>5.0768966897261452</v>
      </c>
      <c r="AC28" s="7" t="s">
        <v>776</v>
      </c>
      <c r="AD28" s="7"/>
      <c r="AE28" s="7" t="s">
        <v>779</v>
      </c>
      <c r="AF28" s="7"/>
      <c r="AG28" s="7">
        <v>186.71068930688162</v>
      </c>
      <c r="AH28" s="7" t="s">
        <v>776</v>
      </c>
      <c r="AI28" s="7">
        <v>8.4489999999999998</v>
      </c>
      <c r="AJ28" s="7">
        <v>0</v>
      </c>
      <c r="AK28" s="7" t="s">
        <v>776</v>
      </c>
      <c r="AL28" s="7">
        <v>0</v>
      </c>
      <c r="AM28" s="7" t="s">
        <v>780</v>
      </c>
      <c r="AN28" s="7" t="s">
        <v>781</v>
      </c>
      <c r="AO28" s="7" t="s">
        <v>782</v>
      </c>
      <c r="AP28" s="7">
        <v>0.1931199999999999</v>
      </c>
      <c r="AQ28" s="7">
        <v>0</v>
      </c>
      <c r="AR28" s="7">
        <v>0.1931199999999999</v>
      </c>
      <c r="AS28" s="8" t="b">
        <v>1</v>
      </c>
      <c r="AT28" s="8" t="b">
        <v>1</v>
      </c>
      <c r="AU28" s="8" t="b">
        <v>1</v>
      </c>
      <c r="AV28" s="8" t="b">
        <v>1</v>
      </c>
      <c r="AW28" s="8" t="b">
        <v>1</v>
      </c>
      <c r="AX28" s="8" t="b">
        <v>1</v>
      </c>
      <c r="AY28" s="8" t="b">
        <v>1</v>
      </c>
      <c r="AZ28" s="8" t="b">
        <v>1</v>
      </c>
      <c r="BA28" s="7" t="s">
        <v>783</v>
      </c>
      <c r="BB28" s="7" t="s">
        <v>783</v>
      </c>
      <c r="BC28" s="7" t="s">
        <v>784</v>
      </c>
      <c r="BD28" s="7">
        <v>0</v>
      </c>
      <c r="BE28" s="7">
        <v>0</v>
      </c>
      <c r="BF28" s="7">
        <v>30.461380138356873</v>
      </c>
      <c r="BG28" s="7">
        <v>0.13714285714285715</v>
      </c>
      <c r="BH28" s="7" t="s">
        <v>154</v>
      </c>
      <c r="BI28" s="7">
        <v>175</v>
      </c>
      <c r="BJ28" s="7">
        <v>24</v>
      </c>
      <c r="BK28" s="7">
        <v>24</v>
      </c>
      <c r="BL28" s="7">
        <v>24</v>
      </c>
      <c r="BM28" s="8" t="b">
        <v>1</v>
      </c>
      <c r="BN28" s="7">
        <v>216.34540991366987</v>
      </c>
      <c r="BO28" s="7">
        <v>1.15872</v>
      </c>
      <c r="BP28" s="7">
        <v>42.764850494540049</v>
      </c>
      <c r="BQ28" s="7">
        <v>0.13714285714285715</v>
      </c>
      <c r="BR28" s="7" t="s">
        <v>154</v>
      </c>
      <c r="BS28" s="7">
        <v>175</v>
      </c>
      <c r="BT28" s="7">
        <v>24</v>
      </c>
      <c r="BU28" s="7">
        <v>24</v>
      </c>
      <c r="BV28" s="7">
        <v>24</v>
      </c>
      <c r="BW28" s="7" t="s">
        <v>817</v>
      </c>
      <c r="BX28" s="8" t="b">
        <v>1</v>
      </c>
      <c r="BY28" s="7">
        <v>0</v>
      </c>
      <c r="BZ28" s="7">
        <v>0</v>
      </c>
      <c r="CA28" s="7">
        <v>46235.083333333336</v>
      </c>
      <c r="CB28" s="7">
        <v>46235.072916666664</v>
      </c>
      <c r="CC28" s="7">
        <v>3.498550724637681E-3</v>
      </c>
      <c r="CD28" s="7">
        <v>37.122387994205091</v>
      </c>
      <c r="CE28" s="7">
        <v>35.862909733335528</v>
      </c>
      <c r="CF28" s="7">
        <v>662.24534522516342</v>
      </c>
      <c r="CG28" s="7">
        <v>0.3125</v>
      </c>
      <c r="CH28" s="7" t="s">
        <v>150</v>
      </c>
      <c r="CI28" s="7">
        <v>128</v>
      </c>
      <c r="CJ28" s="8" t="b">
        <v>1</v>
      </c>
      <c r="CK28" s="7">
        <v>40</v>
      </c>
      <c r="CL28" s="7">
        <v>40</v>
      </c>
      <c r="CM28" s="7">
        <v>40</v>
      </c>
      <c r="CN28" s="8" t="b">
        <v>0</v>
      </c>
      <c r="CO28" s="7" t="s">
        <v>785</v>
      </c>
      <c r="CP28" s="7">
        <v>951.81698577173017</v>
      </c>
    </row>
    <row r="29" spans="1:94" ht="21" customHeight="1" x14ac:dyDescent="0.45">
      <c r="A29" s="9">
        <v>46235.083333333336</v>
      </c>
      <c r="B29" s="9">
        <v>46235.09375</v>
      </c>
      <c r="C29" s="9">
        <v>46235.208333333336</v>
      </c>
      <c r="D29" s="10">
        <v>46235</v>
      </c>
      <c r="E29" s="7">
        <v>0.25</v>
      </c>
      <c r="F29" s="7" t="s">
        <v>770</v>
      </c>
      <c r="G29" s="9">
        <v>46235.083333333336</v>
      </c>
      <c r="H29" s="7">
        <v>157.06</v>
      </c>
      <c r="I29" s="7" t="s">
        <v>818</v>
      </c>
      <c r="J29" s="7">
        <v>15</v>
      </c>
      <c r="K29" s="7" t="s">
        <v>790</v>
      </c>
      <c r="L29" s="10">
        <v>46234</v>
      </c>
      <c r="M29" s="7">
        <v>5.2473000000000001</v>
      </c>
      <c r="N29" s="7" t="s">
        <v>773</v>
      </c>
      <c r="O29" s="7">
        <v>128</v>
      </c>
      <c r="P29" s="7" t="s">
        <v>819</v>
      </c>
      <c r="Q29" s="7" t="s">
        <v>775</v>
      </c>
      <c r="R29" s="7">
        <v>66.224534522516336</v>
      </c>
      <c r="S29" s="7" t="s">
        <v>776</v>
      </c>
      <c r="T29" s="7">
        <v>175</v>
      </c>
      <c r="U29" s="7" t="s">
        <v>820</v>
      </c>
      <c r="V29" s="7" t="s">
        <v>775</v>
      </c>
      <c r="W29" s="7">
        <v>7.1274750824233415</v>
      </c>
      <c r="X29" s="7" t="s">
        <v>776</v>
      </c>
      <c r="Y29" s="7">
        <v>175</v>
      </c>
      <c r="Z29" s="7" t="s">
        <v>821</v>
      </c>
      <c r="AA29" s="7" t="s">
        <v>775</v>
      </c>
      <c r="AB29" s="7">
        <v>5.0730852057248494</v>
      </c>
      <c r="AC29" s="7" t="s">
        <v>776</v>
      </c>
      <c r="AD29" s="7"/>
      <c r="AE29" s="7" t="s">
        <v>779</v>
      </c>
      <c r="AF29" s="7"/>
      <c r="AG29" s="7">
        <v>177.26144874506889</v>
      </c>
      <c r="AH29" s="7" t="s">
        <v>776</v>
      </c>
      <c r="AI29" s="7">
        <v>5.2759999999999998</v>
      </c>
      <c r="AJ29" s="7">
        <v>0</v>
      </c>
      <c r="AK29" s="7" t="s">
        <v>776</v>
      </c>
      <c r="AL29" s="7">
        <v>0</v>
      </c>
      <c r="AM29" s="7" t="s">
        <v>780</v>
      </c>
      <c r="AN29" s="7" t="s">
        <v>781</v>
      </c>
      <c r="AO29" s="7" t="s">
        <v>782</v>
      </c>
      <c r="AP29" s="7">
        <v>0.1205942857142857</v>
      </c>
      <c r="AQ29" s="7">
        <v>0</v>
      </c>
      <c r="AR29" s="7">
        <v>0.1205942857142857</v>
      </c>
      <c r="AS29" s="8" t="b">
        <v>1</v>
      </c>
      <c r="AT29" s="8" t="b">
        <v>1</v>
      </c>
      <c r="AU29" s="8" t="b">
        <v>1</v>
      </c>
      <c r="AV29" s="8" t="b">
        <v>1</v>
      </c>
      <c r="AW29" s="8" t="b">
        <v>1</v>
      </c>
      <c r="AX29" s="8" t="b">
        <v>1</v>
      </c>
      <c r="AY29" s="8" t="b">
        <v>1</v>
      </c>
      <c r="AZ29" s="8" t="b">
        <v>1</v>
      </c>
      <c r="BA29" s="7" t="s">
        <v>783</v>
      </c>
      <c r="BB29" s="7" t="s">
        <v>783</v>
      </c>
      <c r="BC29" s="7" t="s">
        <v>784</v>
      </c>
      <c r="BD29" s="7">
        <v>0</v>
      </c>
      <c r="BE29" s="7">
        <v>0</v>
      </c>
      <c r="BF29" s="7">
        <v>30.438511234349097</v>
      </c>
      <c r="BG29" s="7">
        <v>0.13714285714285715</v>
      </c>
      <c r="BH29" s="7" t="s">
        <v>154</v>
      </c>
      <c r="BI29" s="7">
        <v>175</v>
      </c>
      <c r="BJ29" s="7">
        <v>24</v>
      </c>
      <c r="BK29" s="7">
        <v>24</v>
      </c>
      <c r="BL29" s="7">
        <v>24</v>
      </c>
      <c r="BM29" s="8" t="b">
        <v>1</v>
      </c>
      <c r="BN29" s="7">
        <v>128.26030677654629</v>
      </c>
      <c r="BO29" s="7">
        <v>0.72356571428571426</v>
      </c>
      <c r="BP29" s="7">
        <v>42.764850494540049</v>
      </c>
      <c r="BQ29" s="7">
        <v>0.13714285714285715</v>
      </c>
      <c r="BR29" s="7" t="s">
        <v>154</v>
      </c>
      <c r="BS29" s="7">
        <v>175</v>
      </c>
      <c r="BT29" s="7">
        <v>24</v>
      </c>
      <c r="BU29" s="7">
        <v>24</v>
      </c>
      <c r="BV29" s="7">
        <v>24</v>
      </c>
      <c r="BW29" s="7" t="s">
        <v>818</v>
      </c>
      <c r="BX29" s="8" t="b">
        <v>1</v>
      </c>
      <c r="BY29" s="7">
        <v>0</v>
      </c>
      <c r="BZ29" s="7">
        <v>0</v>
      </c>
      <c r="CA29" s="7">
        <v>46235.09375</v>
      </c>
      <c r="CB29" s="7">
        <v>46235.083333333336</v>
      </c>
      <c r="CC29" s="7">
        <v>2.1846790890269149E-3</v>
      </c>
      <c r="CD29" s="7">
        <v>35.862909733335528</v>
      </c>
      <c r="CE29" s="7">
        <v>35.076425261285841</v>
      </c>
      <c r="CF29" s="7">
        <v>662.24534522516342</v>
      </c>
      <c r="CG29" s="7">
        <v>0.3125</v>
      </c>
      <c r="CH29" s="7" t="s">
        <v>150</v>
      </c>
      <c r="CI29" s="7">
        <v>128</v>
      </c>
      <c r="CJ29" s="8" t="b">
        <v>1</v>
      </c>
      <c r="CK29" s="7">
        <v>40</v>
      </c>
      <c r="CL29" s="7">
        <v>40</v>
      </c>
      <c r="CM29" s="7">
        <v>40</v>
      </c>
      <c r="CN29" s="8" t="b">
        <v>0</v>
      </c>
      <c r="CO29" s="7" t="s">
        <v>785</v>
      </c>
      <c r="CP29" s="7">
        <v>863.70901373059883</v>
      </c>
    </row>
    <row r="30" spans="1:94" ht="21" customHeight="1" x14ac:dyDescent="0.45">
      <c r="A30" s="9">
        <v>46235.09375</v>
      </c>
      <c r="B30" s="9">
        <v>46235.104166666664</v>
      </c>
      <c r="C30" s="9">
        <v>46235.21875</v>
      </c>
      <c r="D30" s="10">
        <v>46235</v>
      </c>
      <c r="E30" s="7">
        <v>0.25</v>
      </c>
      <c r="F30" s="7" t="s">
        <v>770</v>
      </c>
      <c r="G30" s="9">
        <v>46235.083333333336</v>
      </c>
      <c r="H30" s="7">
        <v>161.38</v>
      </c>
      <c r="I30" s="7" t="s">
        <v>822</v>
      </c>
      <c r="J30" s="7">
        <v>15</v>
      </c>
      <c r="K30" s="7" t="s">
        <v>790</v>
      </c>
      <c r="L30" s="10">
        <v>46234</v>
      </c>
      <c r="M30" s="7">
        <v>5.2473000000000001</v>
      </c>
      <c r="N30" s="7" t="s">
        <v>773</v>
      </c>
      <c r="O30" s="7">
        <v>128</v>
      </c>
      <c r="P30" s="7" t="s">
        <v>819</v>
      </c>
      <c r="Q30" s="7" t="s">
        <v>775</v>
      </c>
      <c r="R30" s="7">
        <v>66.224534522516336</v>
      </c>
      <c r="S30" s="7" t="s">
        <v>776</v>
      </c>
      <c r="T30" s="7">
        <v>175</v>
      </c>
      <c r="U30" s="7" t="s">
        <v>820</v>
      </c>
      <c r="V30" s="7" t="s">
        <v>775</v>
      </c>
      <c r="W30" s="7">
        <v>7.1274750824233415</v>
      </c>
      <c r="X30" s="7" t="s">
        <v>776</v>
      </c>
      <c r="Y30" s="7">
        <v>175</v>
      </c>
      <c r="Z30" s="7" t="s">
        <v>821</v>
      </c>
      <c r="AA30" s="7" t="s">
        <v>775</v>
      </c>
      <c r="AB30" s="7">
        <v>5.0730852057248494</v>
      </c>
      <c r="AC30" s="7" t="s">
        <v>776</v>
      </c>
      <c r="AD30" s="7"/>
      <c r="AE30" s="7" t="s">
        <v>779</v>
      </c>
      <c r="AF30" s="7"/>
      <c r="AG30" s="7">
        <v>211.85847959903188</v>
      </c>
      <c r="AH30" s="7" t="s">
        <v>776</v>
      </c>
      <c r="AI30" s="7">
        <v>13.004</v>
      </c>
      <c r="AJ30" s="7">
        <v>0</v>
      </c>
      <c r="AK30" s="7" t="s">
        <v>776</v>
      </c>
      <c r="AL30" s="7">
        <v>0</v>
      </c>
      <c r="AM30" s="7" t="s">
        <v>780</v>
      </c>
      <c r="AN30" s="7" t="s">
        <v>781</v>
      </c>
      <c r="AO30" s="7" t="s">
        <v>782</v>
      </c>
      <c r="AP30" s="7">
        <v>0.29723428571428567</v>
      </c>
      <c r="AQ30" s="7">
        <v>0</v>
      </c>
      <c r="AR30" s="7">
        <v>0.29723428571428567</v>
      </c>
      <c r="AS30" s="8" t="b">
        <v>1</v>
      </c>
      <c r="AT30" s="8" t="b">
        <v>1</v>
      </c>
      <c r="AU30" s="8" t="b">
        <v>1</v>
      </c>
      <c r="AV30" s="8" t="b">
        <v>1</v>
      </c>
      <c r="AW30" s="8" t="b">
        <v>1</v>
      </c>
      <c r="AX30" s="8" t="b">
        <v>1</v>
      </c>
      <c r="AY30" s="8" t="b">
        <v>1</v>
      </c>
      <c r="AZ30" s="8" t="b">
        <v>1</v>
      </c>
      <c r="BA30" s="7" t="s">
        <v>783</v>
      </c>
      <c r="BB30" s="7" t="s">
        <v>783</v>
      </c>
      <c r="BC30" s="7" t="s">
        <v>784</v>
      </c>
      <c r="BD30" s="7">
        <v>0</v>
      </c>
      <c r="BE30" s="7">
        <v>0</v>
      </c>
      <c r="BF30" s="7">
        <v>30.438511234349097</v>
      </c>
      <c r="BG30" s="7">
        <v>0.13714285714285715</v>
      </c>
      <c r="BH30" s="7" t="s">
        <v>154</v>
      </c>
      <c r="BI30" s="7">
        <v>175</v>
      </c>
      <c r="BJ30" s="7">
        <v>24</v>
      </c>
      <c r="BK30" s="7">
        <v>24</v>
      </c>
      <c r="BL30" s="7">
        <v>24</v>
      </c>
      <c r="BM30" s="8" t="b">
        <v>1</v>
      </c>
      <c r="BN30" s="7">
        <v>377.8296231367969</v>
      </c>
      <c r="BO30" s="7">
        <v>1.7834057142857143</v>
      </c>
      <c r="BP30" s="7">
        <v>42.764850494540049</v>
      </c>
      <c r="BQ30" s="7">
        <v>0.13714285714285715</v>
      </c>
      <c r="BR30" s="7" t="s">
        <v>154</v>
      </c>
      <c r="BS30" s="7">
        <v>175</v>
      </c>
      <c r="BT30" s="7">
        <v>24</v>
      </c>
      <c r="BU30" s="7">
        <v>24</v>
      </c>
      <c r="BV30" s="7">
        <v>24</v>
      </c>
      <c r="BW30" s="7" t="s">
        <v>822</v>
      </c>
      <c r="BX30" s="8" t="b">
        <v>1</v>
      </c>
      <c r="BY30" s="7">
        <v>0</v>
      </c>
      <c r="BZ30" s="7">
        <v>0</v>
      </c>
      <c r="CA30" s="7">
        <v>46235.104166666664</v>
      </c>
      <c r="CB30" s="7">
        <v>46235.09375</v>
      </c>
      <c r="CC30" s="7">
        <v>5.384679089026915E-3</v>
      </c>
      <c r="CD30" s="7">
        <v>35.076425261285841</v>
      </c>
      <c r="CE30" s="7">
        <v>33.137940789236154</v>
      </c>
      <c r="CF30" s="7">
        <v>662.24534522516342</v>
      </c>
      <c r="CG30" s="7">
        <v>0.3125</v>
      </c>
      <c r="CH30" s="7" t="s">
        <v>150</v>
      </c>
      <c r="CI30" s="7">
        <v>128</v>
      </c>
      <c r="CJ30" s="8" t="b">
        <v>1</v>
      </c>
      <c r="CK30" s="7">
        <v>40</v>
      </c>
      <c r="CL30" s="7">
        <v>40</v>
      </c>
      <c r="CM30" s="7">
        <v>40</v>
      </c>
      <c r="CN30" s="8" t="b">
        <v>0</v>
      </c>
      <c r="CO30" s="7" t="s">
        <v>785</v>
      </c>
      <c r="CP30" s="7">
        <v>1113.2783300908495</v>
      </c>
    </row>
    <row r="31" spans="1:94" ht="21" customHeight="1" x14ac:dyDescent="0.45">
      <c r="A31" s="9">
        <v>46235.104166666664</v>
      </c>
      <c r="B31" s="9">
        <v>46235.114583333336</v>
      </c>
      <c r="C31" s="9">
        <v>46235.229166666664</v>
      </c>
      <c r="D31" s="10">
        <v>46235</v>
      </c>
      <c r="E31" s="7">
        <v>0.25</v>
      </c>
      <c r="F31" s="7" t="s">
        <v>770</v>
      </c>
      <c r="G31" s="9">
        <v>46235.083333333336</v>
      </c>
      <c r="H31" s="7">
        <v>154.83000000000001</v>
      </c>
      <c r="I31" s="7" t="s">
        <v>823</v>
      </c>
      <c r="J31" s="7">
        <v>15</v>
      </c>
      <c r="K31" s="7" t="s">
        <v>790</v>
      </c>
      <c r="L31" s="10">
        <v>46234</v>
      </c>
      <c r="M31" s="7">
        <v>5.2473000000000001</v>
      </c>
      <c r="N31" s="7" t="s">
        <v>773</v>
      </c>
      <c r="O31" s="7">
        <v>128</v>
      </c>
      <c r="P31" s="7" t="s">
        <v>819</v>
      </c>
      <c r="Q31" s="7" t="s">
        <v>775</v>
      </c>
      <c r="R31" s="7">
        <v>66.224534522516336</v>
      </c>
      <c r="S31" s="7" t="s">
        <v>776</v>
      </c>
      <c r="T31" s="7">
        <v>175</v>
      </c>
      <c r="U31" s="7" t="s">
        <v>820</v>
      </c>
      <c r="V31" s="7" t="s">
        <v>775</v>
      </c>
      <c r="W31" s="7">
        <v>7.1274750824233415</v>
      </c>
      <c r="X31" s="7" t="s">
        <v>776</v>
      </c>
      <c r="Y31" s="7">
        <v>175</v>
      </c>
      <c r="Z31" s="7" t="s">
        <v>821</v>
      </c>
      <c r="AA31" s="7" t="s">
        <v>775</v>
      </c>
      <c r="AB31" s="7">
        <v>5.0730852057248494</v>
      </c>
      <c r="AC31" s="7" t="s">
        <v>776</v>
      </c>
      <c r="AD31" s="7"/>
      <c r="AE31" s="7" t="s">
        <v>779</v>
      </c>
      <c r="AF31" s="7"/>
      <c r="AG31" s="7">
        <v>248.52343109789797</v>
      </c>
      <c r="AH31" s="7" t="s">
        <v>776</v>
      </c>
      <c r="AI31" s="7">
        <v>22.648</v>
      </c>
      <c r="AJ31" s="7">
        <v>0</v>
      </c>
      <c r="AK31" s="7" t="s">
        <v>776</v>
      </c>
      <c r="AL31" s="7">
        <v>0</v>
      </c>
      <c r="AM31" s="7" t="s">
        <v>780</v>
      </c>
      <c r="AN31" s="7" t="s">
        <v>781</v>
      </c>
      <c r="AO31" s="7" t="s">
        <v>782</v>
      </c>
      <c r="AP31" s="7">
        <v>0.51766857142857137</v>
      </c>
      <c r="AQ31" s="7">
        <v>0</v>
      </c>
      <c r="AR31" s="7">
        <v>0.51766857142857137</v>
      </c>
      <c r="AS31" s="8" t="b">
        <v>1</v>
      </c>
      <c r="AT31" s="8" t="b">
        <v>1</v>
      </c>
      <c r="AU31" s="8" t="b">
        <v>1</v>
      </c>
      <c r="AV31" s="8" t="b">
        <v>1</v>
      </c>
      <c r="AW31" s="8" t="b">
        <v>1</v>
      </c>
      <c r="AX31" s="8" t="b">
        <v>1</v>
      </c>
      <c r="AY31" s="8" t="b">
        <v>1</v>
      </c>
      <c r="AZ31" s="8" t="b">
        <v>1</v>
      </c>
      <c r="BA31" s="7" t="s">
        <v>783</v>
      </c>
      <c r="BB31" s="7" t="s">
        <v>783</v>
      </c>
      <c r="BC31" s="7" t="s">
        <v>784</v>
      </c>
      <c r="BD31" s="7">
        <v>0</v>
      </c>
      <c r="BE31" s="7">
        <v>0</v>
      </c>
      <c r="BF31" s="7">
        <v>30.438511234349097</v>
      </c>
      <c r="BG31" s="7">
        <v>0.13714285714285715</v>
      </c>
      <c r="BH31" s="7" t="s">
        <v>154</v>
      </c>
      <c r="BI31" s="7">
        <v>175</v>
      </c>
      <c r="BJ31" s="7">
        <v>24</v>
      </c>
      <c r="BK31" s="7">
        <v>24</v>
      </c>
      <c r="BL31" s="7">
        <v>24</v>
      </c>
      <c r="BM31" s="8" t="b">
        <v>1</v>
      </c>
      <c r="BN31" s="7">
        <v>771.91661725785502</v>
      </c>
      <c r="BO31" s="7">
        <v>3.1060114285714282</v>
      </c>
      <c r="BP31" s="7">
        <v>42.764850494540049</v>
      </c>
      <c r="BQ31" s="7">
        <v>0.13714285714285715</v>
      </c>
      <c r="BR31" s="7" t="s">
        <v>154</v>
      </c>
      <c r="BS31" s="7">
        <v>175</v>
      </c>
      <c r="BT31" s="7">
        <v>24</v>
      </c>
      <c r="BU31" s="7">
        <v>24</v>
      </c>
      <c r="BV31" s="7">
        <v>24</v>
      </c>
      <c r="BW31" s="7" t="s">
        <v>823</v>
      </c>
      <c r="BX31" s="8" t="b">
        <v>1</v>
      </c>
      <c r="BY31" s="7">
        <v>-928.98</v>
      </c>
      <c r="BZ31" s="7">
        <v>-24</v>
      </c>
      <c r="CA31" s="7">
        <v>46235.114583333336</v>
      </c>
      <c r="CB31" s="7">
        <v>46235.104166666664</v>
      </c>
      <c r="CC31" s="7">
        <v>7.3957485714285735E-3</v>
      </c>
      <c r="CD31" s="7">
        <v>33.137940789236154</v>
      </c>
      <c r="CE31" s="7">
        <v>35.800410274950437</v>
      </c>
      <c r="CF31" s="7">
        <v>662.24534522516342</v>
      </c>
      <c r="CG31" s="7">
        <v>0.3125</v>
      </c>
      <c r="CH31" s="7" t="s">
        <v>150</v>
      </c>
      <c r="CI31" s="7">
        <v>128</v>
      </c>
      <c r="CJ31" s="8" t="b">
        <v>1</v>
      </c>
      <c r="CK31" s="7">
        <v>40</v>
      </c>
      <c r="CL31" s="7">
        <v>40</v>
      </c>
      <c r="CM31" s="7">
        <v>40</v>
      </c>
      <c r="CN31" s="8" t="b">
        <v>0</v>
      </c>
      <c r="CO31" s="7" t="s">
        <v>785</v>
      </c>
      <c r="CP31" s="7">
        <v>578.38532421190757</v>
      </c>
    </row>
    <row r="32" spans="1:94" ht="21" customHeight="1" x14ac:dyDescent="0.45">
      <c r="A32" s="9">
        <v>46235.114583333336</v>
      </c>
      <c r="B32" s="9">
        <v>46235.125</v>
      </c>
      <c r="C32" s="9">
        <v>46235.239583333336</v>
      </c>
      <c r="D32" s="10">
        <v>46235</v>
      </c>
      <c r="E32" s="7">
        <v>0.25</v>
      </c>
      <c r="F32" s="7" t="s">
        <v>770</v>
      </c>
      <c r="G32" s="9">
        <v>46235.083333333336</v>
      </c>
      <c r="H32" s="7">
        <v>151.91</v>
      </c>
      <c r="I32" s="7" t="s">
        <v>824</v>
      </c>
      <c r="J32" s="7">
        <v>15</v>
      </c>
      <c r="K32" s="7" t="s">
        <v>790</v>
      </c>
      <c r="L32" s="10">
        <v>46234</v>
      </c>
      <c r="M32" s="7">
        <v>5.2473000000000001</v>
      </c>
      <c r="N32" s="7" t="s">
        <v>773</v>
      </c>
      <c r="O32" s="7">
        <v>128</v>
      </c>
      <c r="P32" s="7" t="s">
        <v>819</v>
      </c>
      <c r="Q32" s="7" t="s">
        <v>775</v>
      </c>
      <c r="R32" s="7">
        <v>66.224534522516336</v>
      </c>
      <c r="S32" s="7" t="s">
        <v>776</v>
      </c>
      <c r="T32" s="7">
        <v>175</v>
      </c>
      <c r="U32" s="7" t="s">
        <v>820</v>
      </c>
      <c r="V32" s="7" t="s">
        <v>775</v>
      </c>
      <c r="W32" s="7">
        <v>7.1274750824233415</v>
      </c>
      <c r="X32" s="7" t="s">
        <v>776</v>
      </c>
      <c r="Y32" s="7">
        <v>175</v>
      </c>
      <c r="Z32" s="7" t="s">
        <v>821</v>
      </c>
      <c r="AA32" s="7" t="s">
        <v>775</v>
      </c>
      <c r="AB32" s="7">
        <v>5.0730852057248494</v>
      </c>
      <c r="AC32" s="7" t="s">
        <v>776</v>
      </c>
      <c r="AD32" s="7"/>
      <c r="AE32" s="7" t="s">
        <v>779</v>
      </c>
      <c r="AF32" s="7"/>
      <c r="AG32" s="7">
        <v>254.40416976349741</v>
      </c>
      <c r="AH32" s="7" t="s">
        <v>776</v>
      </c>
      <c r="AI32" s="7">
        <v>25.094000000000001</v>
      </c>
      <c r="AJ32" s="7">
        <v>0</v>
      </c>
      <c r="AK32" s="7" t="s">
        <v>776</v>
      </c>
      <c r="AL32" s="7">
        <v>0</v>
      </c>
      <c r="AM32" s="7" t="s">
        <v>780</v>
      </c>
      <c r="AN32" s="7" t="s">
        <v>781</v>
      </c>
      <c r="AO32" s="7" t="s">
        <v>782</v>
      </c>
      <c r="AP32" s="7">
        <v>0.5735771428571429</v>
      </c>
      <c r="AQ32" s="7">
        <v>0</v>
      </c>
      <c r="AR32" s="7">
        <v>0.5735771428571429</v>
      </c>
      <c r="AS32" s="8" t="b">
        <v>1</v>
      </c>
      <c r="AT32" s="8" t="b">
        <v>1</v>
      </c>
      <c r="AU32" s="8" t="b">
        <v>1</v>
      </c>
      <c r="AV32" s="8" t="b">
        <v>1</v>
      </c>
      <c r="AW32" s="8" t="b">
        <v>1</v>
      </c>
      <c r="AX32" s="8" t="b">
        <v>1</v>
      </c>
      <c r="AY32" s="8" t="b">
        <v>1</v>
      </c>
      <c r="AZ32" s="8" t="b">
        <v>1</v>
      </c>
      <c r="BA32" s="7" t="s">
        <v>783</v>
      </c>
      <c r="BB32" s="7" t="s">
        <v>783</v>
      </c>
      <c r="BC32" s="7" t="s">
        <v>784</v>
      </c>
      <c r="BD32" s="7">
        <v>0</v>
      </c>
      <c r="BE32" s="7">
        <v>0</v>
      </c>
      <c r="BF32" s="7">
        <v>30.438511234349097</v>
      </c>
      <c r="BG32" s="7">
        <v>0.13714285714285715</v>
      </c>
      <c r="BH32" s="7" t="s">
        <v>154</v>
      </c>
      <c r="BI32" s="7">
        <v>175</v>
      </c>
      <c r="BJ32" s="7">
        <v>24</v>
      </c>
      <c r="BK32" s="7">
        <v>24</v>
      </c>
      <c r="BL32" s="7">
        <v>24</v>
      </c>
      <c r="BM32" s="8" t="b">
        <v>1</v>
      </c>
      <c r="BN32" s="7">
        <v>875.52250094334238</v>
      </c>
      <c r="BO32" s="7">
        <v>3.4414628571428576</v>
      </c>
      <c r="BP32" s="7">
        <v>42.764850494540049</v>
      </c>
      <c r="BQ32" s="7">
        <v>0.13714285714285715</v>
      </c>
      <c r="BR32" s="7" t="s">
        <v>154</v>
      </c>
      <c r="BS32" s="7">
        <v>175</v>
      </c>
      <c r="BT32" s="7">
        <v>24</v>
      </c>
      <c r="BU32" s="7">
        <v>24</v>
      </c>
      <c r="BV32" s="7">
        <v>24</v>
      </c>
      <c r="BW32" s="7" t="s">
        <v>824</v>
      </c>
      <c r="BX32" s="8" t="b">
        <v>1</v>
      </c>
      <c r="BY32" s="7">
        <v>-911.46</v>
      </c>
      <c r="BZ32" s="7">
        <v>-24</v>
      </c>
      <c r="CA32" s="7">
        <v>46235.125</v>
      </c>
      <c r="CB32" s="7">
        <v>46235.114583333336</v>
      </c>
      <c r="CC32" s="7">
        <v>6.5384838095238085E-3</v>
      </c>
      <c r="CD32" s="7">
        <v>35.800410274950437</v>
      </c>
      <c r="CE32" s="7">
        <v>38.15426444637901</v>
      </c>
      <c r="CF32" s="7">
        <v>662.24534522516342</v>
      </c>
      <c r="CG32" s="7">
        <v>0.3125</v>
      </c>
      <c r="CH32" s="7" t="s">
        <v>150</v>
      </c>
      <c r="CI32" s="7">
        <v>128</v>
      </c>
      <c r="CJ32" s="8" t="b">
        <v>1</v>
      </c>
      <c r="CK32" s="7">
        <v>40</v>
      </c>
      <c r="CL32" s="7">
        <v>40</v>
      </c>
      <c r="CM32" s="7">
        <v>40</v>
      </c>
      <c r="CN32" s="8" t="b">
        <v>0</v>
      </c>
      <c r="CO32" s="7" t="s">
        <v>785</v>
      </c>
      <c r="CP32" s="7">
        <v>699.51120789739491</v>
      </c>
    </row>
    <row r="33" spans="1:94" ht="21" customHeight="1" x14ac:dyDescent="0.45">
      <c r="A33" s="9">
        <v>46235.125</v>
      </c>
      <c r="B33" s="9">
        <v>46235.135416666664</v>
      </c>
      <c r="C33" s="9">
        <v>46235.25</v>
      </c>
      <c r="D33" s="10">
        <v>46235</v>
      </c>
      <c r="E33" s="7">
        <v>0.25</v>
      </c>
      <c r="F33" s="7" t="s">
        <v>770</v>
      </c>
      <c r="G33" s="9">
        <v>46235.125</v>
      </c>
      <c r="H33" s="7">
        <v>154.07</v>
      </c>
      <c r="I33" s="7" t="s">
        <v>825</v>
      </c>
      <c r="J33" s="7">
        <v>15</v>
      </c>
      <c r="K33" s="7" t="s">
        <v>790</v>
      </c>
      <c r="L33" s="10">
        <v>46234</v>
      </c>
      <c r="M33" s="7">
        <v>5.2473000000000001</v>
      </c>
      <c r="N33" s="7" t="s">
        <v>773</v>
      </c>
      <c r="O33" s="7">
        <v>128</v>
      </c>
      <c r="P33" s="7" t="s">
        <v>826</v>
      </c>
      <c r="Q33" s="7" t="s">
        <v>775</v>
      </c>
      <c r="R33" s="7">
        <v>66.224534522516336</v>
      </c>
      <c r="S33" s="7" t="s">
        <v>776</v>
      </c>
      <c r="T33" s="7">
        <v>175</v>
      </c>
      <c r="U33" s="7" t="s">
        <v>827</v>
      </c>
      <c r="V33" s="7" t="s">
        <v>775</v>
      </c>
      <c r="W33" s="7">
        <v>7.0626798544013116</v>
      </c>
      <c r="X33" s="7" t="s">
        <v>776</v>
      </c>
      <c r="Y33" s="7">
        <v>175</v>
      </c>
      <c r="Z33" s="7" t="s">
        <v>828</v>
      </c>
      <c r="AA33" s="7" t="s">
        <v>775</v>
      </c>
      <c r="AB33" s="7">
        <v>2.8376498389648011</v>
      </c>
      <c r="AC33" s="7" t="s">
        <v>776</v>
      </c>
      <c r="AD33" s="7"/>
      <c r="AE33" s="7" t="s">
        <v>779</v>
      </c>
      <c r="AF33" s="7"/>
      <c r="AG33" s="7">
        <v>242.46355268423761</v>
      </c>
      <c r="AH33" s="7" t="s">
        <v>776</v>
      </c>
      <c r="AI33" s="7">
        <v>22.568000000000001</v>
      </c>
      <c r="AJ33" s="7">
        <v>0</v>
      </c>
      <c r="AK33" s="7" t="s">
        <v>776</v>
      </c>
      <c r="AL33" s="7">
        <v>0</v>
      </c>
      <c r="AM33" s="7" t="s">
        <v>780</v>
      </c>
      <c r="AN33" s="7" t="s">
        <v>781</v>
      </c>
      <c r="AO33" s="7" t="s">
        <v>782</v>
      </c>
      <c r="AP33" s="7">
        <v>0.51584000000000008</v>
      </c>
      <c r="AQ33" s="7">
        <v>0</v>
      </c>
      <c r="AR33" s="7">
        <v>0.51584000000000008</v>
      </c>
      <c r="AS33" s="8" t="b">
        <v>1</v>
      </c>
      <c r="AT33" s="8" t="b">
        <v>1</v>
      </c>
      <c r="AU33" s="8" t="b">
        <v>1</v>
      </c>
      <c r="AV33" s="8" t="b">
        <v>1</v>
      </c>
      <c r="AW33" s="8" t="b">
        <v>1</v>
      </c>
      <c r="AX33" s="8" t="b">
        <v>1</v>
      </c>
      <c r="AY33" s="8" t="b">
        <v>1</v>
      </c>
      <c r="AZ33" s="8" t="b">
        <v>1</v>
      </c>
      <c r="BA33" s="7" t="s">
        <v>783</v>
      </c>
      <c r="BB33" s="7" t="s">
        <v>783</v>
      </c>
      <c r="BC33" s="7" t="s">
        <v>784</v>
      </c>
      <c r="BD33" s="7">
        <v>0</v>
      </c>
      <c r="BE33" s="7">
        <v>0</v>
      </c>
      <c r="BF33" s="7">
        <v>17.025899033788807</v>
      </c>
      <c r="BG33" s="7">
        <v>0.13714285714285715</v>
      </c>
      <c r="BH33" s="7" t="s">
        <v>154</v>
      </c>
      <c r="BI33" s="7">
        <v>175</v>
      </c>
      <c r="BJ33" s="7">
        <v>24</v>
      </c>
      <c r="BK33" s="7">
        <v>24</v>
      </c>
      <c r="BL33" s="7">
        <v>24</v>
      </c>
      <c r="BM33" s="8" t="b">
        <v>1</v>
      </c>
      <c r="BN33" s="7">
        <v>750.43439409982284</v>
      </c>
      <c r="BO33" s="7">
        <v>3.0950400000000005</v>
      </c>
      <c r="BP33" s="7">
        <v>42.376079126407873</v>
      </c>
      <c r="BQ33" s="7">
        <v>0.13714285714285715</v>
      </c>
      <c r="BR33" s="7" t="s">
        <v>154</v>
      </c>
      <c r="BS33" s="7">
        <v>175</v>
      </c>
      <c r="BT33" s="7">
        <v>24</v>
      </c>
      <c r="BU33" s="7">
        <v>24</v>
      </c>
      <c r="BV33" s="7">
        <v>24</v>
      </c>
      <c r="BW33" s="7" t="s">
        <v>825</v>
      </c>
      <c r="BX33" s="8" t="b">
        <v>1</v>
      </c>
      <c r="BY33" s="7">
        <v>-924.42</v>
      </c>
      <c r="BZ33" s="7">
        <v>-24</v>
      </c>
      <c r="CA33" s="7">
        <v>46235.135416666664</v>
      </c>
      <c r="CB33" s="7">
        <v>46235.125</v>
      </c>
      <c r="CC33" s="7">
        <v>7.4237866666666662E-3</v>
      </c>
      <c r="CD33" s="7">
        <v>38.15426444637901</v>
      </c>
      <c r="CE33" s="7">
        <v>40.826827646379009</v>
      </c>
      <c r="CF33" s="7">
        <v>662.24534522516342</v>
      </c>
      <c r="CG33" s="7">
        <v>0.3125</v>
      </c>
      <c r="CH33" s="7" t="s">
        <v>150</v>
      </c>
      <c r="CI33" s="7">
        <v>128</v>
      </c>
      <c r="CJ33" s="8" t="b">
        <v>1</v>
      </c>
      <c r="CK33" s="7">
        <v>40</v>
      </c>
      <c r="CL33" s="7">
        <v>40</v>
      </c>
      <c r="CM33" s="7">
        <v>40</v>
      </c>
      <c r="CN33" s="8" t="b">
        <v>0</v>
      </c>
      <c r="CO33" s="7" t="s">
        <v>785</v>
      </c>
      <c r="CP33" s="7">
        <v>547.66171748518298</v>
      </c>
    </row>
    <row r="34" spans="1:94" ht="21" customHeight="1" x14ac:dyDescent="0.45">
      <c r="A34" s="9">
        <v>46235.135416666664</v>
      </c>
      <c r="B34" s="9">
        <v>46235.145833333336</v>
      </c>
      <c r="C34" s="9">
        <v>46235.260416666664</v>
      </c>
      <c r="D34" s="10">
        <v>46235</v>
      </c>
      <c r="E34" s="7">
        <v>0.25</v>
      </c>
      <c r="F34" s="7" t="s">
        <v>770</v>
      </c>
      <c r="G34" s="9">
        <v>46235.125</v>
      </c>
      <c r="H34" s="7">
        <v>163.19999999999999</v>
      </c>
      <c r="I34" s="7" t="s">
        <v>829</v>
      </c>
      <c r="J34" s="7">
        <v>15</v>
      </c>
      <c r="K34" s="7" t="s">
        <v>790</v>
      </c>
      <c r="L34" s="10">
        <v>46234</v>
      </c>
      <c r="M34" s="7">
        <v>5.2473000000000001</v>
      </c>
      <c r="N34" s="7" t="s">
        <v>773</v>
      </c>
      <c r="O34" s="7">
        <v>128</v>
      </c>
      <c r="P34" s="7" t="s">
        <v>826</v>
      </c>
      <c r="Q34" s="7" t="s">
        <v>775</v>
      </c>
      <c r="R34" s="7">
        <v>66.224534522516336</v>
      </c>
      <c r="S34" s="7" t="s">
        <v>776</v>
      </c>
      <c r="T34" s="7">
        <v>175</v>
      </c>
      <c r="U34" s="7" t="s">
        <v>827</v>
      </c>
      <c r="V34" s="7" t="s">
        <v>775</v>
      </c>
      <c r="W34" s="7">
        <v>7.0626798544013116</v>
      </c>
      <c r="X34" s="7" t="s">
        <v>776</v>
      </c>
      <c r="Y34" s="7">
        <v>175</v>
      </c>
      <c r="Z34" s="7" t="s">
        <v>828</v>
      </c>
      <c r="AA34" s="7" t="s">
        <v>775</v>
      </c>
      <c r="AB34" s="7">
        <v>2.8376498389648011</v>
      </c>
      <c r="AC34" s="7" t="s">
        <v>776</v>
      </c>
      <c r="AD34" s="7"/>
      <c r="AE34" s="7" t="s">
        <v>779</v>
      </c>
      <c r="AF34" s="7"/>
      <c r="AG34" s="7">
        <v>173.58241381281803</v>
      </c>
      <c r="AH34" s="7" t="s">
        <v>776</v>
      </c>
      <c r="AI34" s="7">
        <v>3.1070000000000002</v>
      </c>
      <c r="AJ34" s="7">
        <v>0</v>
      </c>
      <c r="AK34" s="7" t="s">
        <v>776</v>
      </c>
      <c r="AL34" s="7">
        <v>0</v>
      </c>
      <c r="AM34" s="7" t="s">
        <v>780</v>
      </c>
      <c r="AN34" s="7" t="s">
        <v>781</v>
      </c>
      <c r="AO34" s="7" t="s">
        <v>782</v>
      </c>
      <c r="AP34" s="7">
        <v>7.1017142857142807E-2</v>
      </c>
      <c r="AQ34" s="7">
        <v>0</v>
      </c>
      <c r="AR34" s="7">
        <v>7.1017142857142807E-2</v>
      </c>
      <c r="AS34" s="8" t="b">
        <v>1</v>
      </c>
      <c r="AT34" s="8" t="b">
        <v>1</v>
      </c>
      <c r="AU34" s="8" t="b">
        <v>1</v>
      </c>
      <c r="AV34" s="8" t="b">
        <v>1</v>
      </c>
      <c r="AW34" s="8" t="b">
        <v>1</v>
      </c>
      <c r="AX34" s="8" t="b">
        <v>1</v>
      </c>
      <c r="AY34" s="8" t="b">
        <v>1</v>
      </c>
      <c r="AZ34" s="8" t="b">
        <v>1</v>
      </c>
      <c r="BA34" s="7" t="s">
        <v>783</v>
      </c>
      <c r="BB34" s="7" t="s">
        <v>783</v>
      </c>
      <c r="BC34" s="7" t="s">
        <v>784</v>
      </c>
      <c r="BD34" s="7">
        <v>0</v>
      </c>
      <c r="BE34" s="7">
        <v>0</v>
      </c>
      <c r="BF34" s="7">
        <v>17.025899033788807</v>
      </c>
      <c r="BG34" s="7">
        <v>0.13714285714285715</v>
      </c>
      <c r="BH34" s="7" t="s">
        <v>154</v>
      </c>
      <c r="BI34" s="7">
        <v>175</v>
      </c>
      <c r="BJ34" s="7">
        <v>24</v>
      </c>
      <c r="BK34" s="7">
        <v>24</v>
      </c>
      <c r="BL34" s="7">
        <v>24</v>
      </c>
      <c r="BM34" s="8" t="b">
        <v>1</v>
      </c>
      <c r="BN34" s="7">
        <v>73.963962475395519</v>
      </c>
      <c r="BO34" s="7">
        <v>0.42610285714285717</v>
      </c>
      <c r="BP34" s="7">
        <v>42.376079126407873</v>
      </c>
      <c r="BQ34" s="7">
        <v>0.13714285714285715</v>
      </c>
      <c r="BR34" s="7" t="s">
        <v>154</v>
      </c>
      <c r="BS34" s="7">
        <v>175</v>
      </c>
      <c r="BT34" s="7">
        <v>24</v>
      </c>
      <c r="BU34" s="7">
        <v>24</v>
      </c>
      <c r="BV34" s="7">
        <v>24</v>
      </c>
      <c r="BW34" s="7" t="s">
        <v>829</v>
      </c>
      <c r="BX34" s="8" t="b">
        <v>1</v>
      </c>
      <c r="BY34" s="7">
        <v>0</v>
      </c>
      <c r="BZ34" s="7">
        <v>0</v>
      </c>
      <c r="CA34" s="7">
        <v>46235.145833333336</v>
      </c>
      <c r="CB34" s="7">
        <v>46235.135416666664</v>
      </c>
      <c r="CC34" s="7">
        <v>1.2865424430641822E-3</v>
      </c>
      <c r="CD34" s="7">
        <v>40.826827646379009</v>
      </c>
      <c r="CE34" s="7">
        <v>40.363672366875903</v>
      </c>
      <c r="CF34" s="7">
        <v>662.24534522516342</v>
      </c>
      <c r="CG34" s="7">
        <v>0.3125</v>
      </c>
      <c r="CH34" s="7" t="s">
        <v>150</v>
      </c>
      <c r="CI34" s="7">
        <v>128</v>
      </c>
      <c r="CJ34" s="8" t="b">
        <v>1</v>
      </c>
      <c r="CK34" s="7">
        <v>40</v>
      </c>
      <c r="CL34" s="7">
        <v>40</v>
      </c>
      <c r="CM34" s="7">
        <v>40</v>
      </c>
      <c r="CN34" s="8" t="b">
        <v>0</v>
      </c>
      <c r="CO34" s="7" t="s">
        <v>785</v>
      </c>
      <c r="CP34" s="7">
        <v>795.61128586075563</v>
      </c>
    </row>
    <row r="35" spans="1:94" ht="21" customHeight="1" x14ac:dyDescent="0.45">
      <c r="A35" s="9">
        <v>46235.145833333336</v>
      </c>
      <c r="B35" s="9">
        <v>46235.15625</v>
      </c>
      <c r="C35" s="9">
        <v>46235.270833333336</v>
      </c>
      <c r="D35" s="10">
        <v>46235</v>
      </c>
      <c r="E35" s="7">
        <v>0.25</v>
      </c>
      <c r="F35" s="7" t="s">
        <v>770</v>
      </c>
      <c r="G35" s="9">
        <v>46235.125</v>
      </c>
      <c r="H35" s="7">
        <v>157.71</v>
      </c>
      <c r="I35" s="7" t="s">
        <v>830</v>
      </c>
      <c r="J35" s="7">
        <v>15</v>
      </c>
      <c r="K35" s="7" t="s">
        <v>790</v>
      </c>
      <c r="L35" s="10">
        <v>46234</v>
      </c>
      <c r="M35" s="7">
        <v>5.2473000000000001</v>
      </c>
      <c r="N35" s="7" t="s">
        <v>773</v>
      </c>
      <c r="O35" s="7">
        <v>128</v>
      </c>
      <c r="P35" s="7" t="s">
        <v>826</v>
      </c>
      <c r="Q35" s="7" t="s">
        <v>775</v>
      </c>
      <c r="R35" s="7">
        <v>66.224534522516336</v>
      </c>
      <c r="S35" s="7" t="s">
        <v>776</v>
      </c>
      <c r="T35" s="7">
        <v>175</v>
      </c>
      <c r="U35" s="7" t="s">
        <v>827</v>
      </c>
      <c r="V35" s="7" t="s">
        <v>775</v>
      </c>
      <c r="W35" s="7">
        <v>7.0626798544013116</v>
      </c>
      <c r="X35" s="7" t="s">
        <v>776</v>
      </c>
      <c r="Y35" s="7">
        <v>175</v>
      </c>
      <c r="Z35" s="7" t="s">
        <v>828</v>
      </c>
      <c r="AA35" s="7" t="s">
        <v>775</v>
      </c>
      <c r="AB35" s="7">
        <v>2.8376498389648011</v>
      </c>
      <c r="AC35" s="7" t="s">
        <v>776</v>
      </c>
      <c r="AD35" s="7"/>
      <c r="AE35" s="7" t="s">
        <v>779</v>
      </c>
      <c r="AF35" s="7"/>
      <c r="AG35" s="7">
        <v>171.50191527071064</v>
      </c>
      <c r="AH35" s="7" t="s">
        <v>776</v>
      </c>
      <c r="AI35" s="7">
        <v>4.4269999999999996</v>
      </c>
      <c r="AJ35" s="7">
        <v>0</v>
      </c>
      <c r="AK35" s="7" t="s">
        <v>776</v>
      </c>
      <c r="AL35" s="7">
        <v>0</v>
      </c>
      <c r="AM35" s="7" t="s">
        <v>780</v>
      </c>
      <c r="AN35" s="7" t="s">
        <v>781</v>
      </c>
      <c r="AO35" s="7" t="s">
        <v>782</v>
      </c>
      <c r="AP35" s="7">
        <v>0.10118857142857141</v>
      </c>
      <c r="AQ35" s="7">
        <v>0</v>
      </c>
      <c r="AR35" s="7">
        <v>0.10118857142857141</v>
      </c>
      <c r="AS35" s="8" t="b">
        <v>1</v>
      </c>
      <c r="AT35" s="8" t="b">
        <v>1</v>
      </c>
      <c r="AU35" s="8" t="b">
        <v>1</v>
      </c>
      <c r="AV35" s="8" t="b">
        <v>1</v>
      </c>
      <c r="AW35" s="8" t="b">
        <v>1</v>
      </c>
      <c r="AX35" s="8" t="b">
        <v>1</v>
      </c>
      <c r="AY35" s="8" t="b">
        <v>1</v>
      </c>
      <c r="AZ35" s="8" t="b">
        <v>1</v>
      </c>
      <c r="BA35" s="7" t="s">
        <v>783</v>
      </c>
      <c r="BB35" s="7" t="s">
        <v>783</v>
      </c>
      <c r="BC35" s="7" t="s">
        <v>784</v>
      </c>
      <c r="BD35" s="7">
        <v>0</v>
      </c>
      <c r="BE35" s="7">
        <v>0</v>
      </c>
      <c r="BF35" s="7">
        <v>17.025899033788807</v>
      </c>
      <c r="BG35" s="7">
        <v>0.13714285714285715</v>
      </c>
      <c r="BH35" s="7" t="s">
        <v>154</v>
      </c>
      <c r="BI35" s="7">
        <v>175</v>
      </c>
      <c r="BJ35" s="7">
        <v>24</v>
      </c>
      <c r="BK35" s="7">
        <v>24</v>
      </c>
      <c r="BL35" s="7">
        <v>24</v>
      </c>
      <c r="BM35" s="8" t="b">
        <v>1</v>
      </c>
      <c r="BN35" s="7">
        <v>104.12420282104264</v>
      </c>
      <c r="BO35" s="7">
        <v>0.60713142857142854</v>
      </c>
      <c r="BP35" s="7">
        <v>42.376079126407873</v>
      </c>
      <c r="BQ35" s="7">
        <v>0.13714285714285715</v>
      </c>
      <c r="BR35" s="7" t="s">
        <v>154</v>
      </c>
      <c r="BS35" s="7">
        <v>175</v>
      </c>
      <c r="BT35" s="7">
        <v>24</v>
      </c>
      <c r="BU35" s="7">
        <v>24</v>
      </c>
      <c r="BV35" s="7">
        <v>24</v>
      </c>
      <c r="BW35" s="7" t="s">
        <v>830</v>
      </c>
      <c r="BX35" s="8" t="b">
        <v>1</v>
      </c>
      <c r="BY35" s="7">
        <v>0</v>
      </c>
      <c r="BZ35" s="7">
        <v>0</v>
      </c>
      <c r="CA35" s="7">
        <v>46235.15625</v>
      </c>
      <c r="CB35" s="7">
        <v>46235.145833333336</v>
      </c>
      <c r="CC35" s="7">
        <v>1.8331262939958592E-3</v>
      </c>
      <c r="CD35" s="7">
        <v>40.363672366875903</v>
      </c>
      <c r="CE35" s="7">
        <v>39.703746901037391</v>
      </c>
      <c r="CF35" s="7">
        <v>662.24534522516342</v>
      </c>
      <c r="CG35" s="7">
        <v>0.3125</v>
      </c>
      <c r="CH35" s="7" t="s">
        <v>150</v>
      </c>
      <c r="CI35" s="7">
        <v>128</v>
      </c>
      <c r="CJ35" s="8" t="b">
        <v>1</v>
      </c>
      <c r="CK35" s="7">
        <v>40</v>
      </c>
      <c r="CL35" s="7">
        <v>40</v>
      </c>
      <c r="CM35" s="7">
        <v>40</v>
      </c>
      <c r="CN35" s="8" t="b">
        <v>0</v>
      </c>
      <c r="CO35" s="7" t="s">
        <v>785</v>
      </c>
      <c r="CP35" s="7">
        <v>825.77152620640277</v>
      </c>
    </row>
    <row r="36" spans="1:94" ht="21" customHeight="1" x14ac:dyDescent="0.45">
      <c r="A36" s="9">
        <v>46235.15625</v>
      </c>
      <c r="B36" s="9">
        <v>46235.166666666664</v>
      </c>
      <c r="C36" s="9">
        <v>46235.28125</v>
      </c>
      <c r="D36" s="10">
        <v>46235</v>
      </c>
      <c r="E36" s="7">
        <v>0.25</v>
      </c>
      <c r="F36" s="7" t="s">
        <v>770</v>
      </c>
      <c r="G36" s="9">
        <v>46235.125</v>
      </c>
      <c r="H36" s="7">
        <v>158.72999999999999</v>
      </c>
      <c r="I36" s="7" t="s">
        <v>831</v>
      </c>
      <c r="J36" s="7">
        <v>15</v>
      </c>
      <c r="K36" s="7" t="s">
        <v>790</v>
      </c>
      <c r="L36" s="10">
        <v>46234</v>
      </c>
      <c r="M36" s="7">
        <v>5.2473000000000001</v>
      </c>
      <c r="N36" s="7" t="s">
        <v>773</v>
      </c>
      <c r="O36" s="7">
        <v>128</v>
      </c>
      <c r="P36" s="7" t="s">
        <v>826</v>
      </c>
      <c r="Q36" s="7" t="s">
        <v>775</v>
      </c>
      <c r="R36" s="7">
        <v>66.224534522516336</v>
      </c>
      <c r="S36" s="7" t="s">
        <v>776</v>
      </c>
      <c r="T36" s="7">
        <v>175</v>
      </c>
      <c r="U36" s="7" t="s">
        <v>827</v>
      </c>
      <c r="V36" s="7" t="s">
        <v>775</v>
      </c>
      <c r="W36" s="7">
        <v>7.0626798544013116</v>
      </c>
      <c r="X36" s="7" t="s">
        <v>776</v>
      </c>
      <c r="Y36" s="7">
        <v>175</v>
      </c>
      <c r="Z36" s="7" t="s">
        <v>828</v>
      </c>
      <c r="AA36" s="7" t="s">
        <v>775</v>
      </c>
      <c r="AB36" s="7">
        <v>2.8376498389648011</v>
      </c>
      <c r="AC36" s="7" t="s">
        <v>776</v>
      </c>
      <c r="AD36" s="7"/>
      <c r="AE36" s="7" t="s">
        <v>779</v>
      </c>
      <c r="AF36" s="7"/>
      <c r="AG36" s="7">
        <v>170.31749661730794</v>
      </c>
      <c r="AH36" s="7" t="s">
        <v>776</v>
      </c>
      <c r="AI36" s="7">
        <v>1.1339999999999999</v>
      </c>
      <c r="AJ36" s="7">
        <v>76.420254225982887</v>
      </c>
      <c r="AK36" s="7" t="s">
        <v>776</v>
      </c>
      <c r="AL36" s="7">
        <v>1.6E-2</v>
      </c>
      <c r="AM36" s="7" t="s">
        <v>780</v>
      </c>
      <c r="AN36" s="7" t="s">
        <v>781</v>
      </c>
      <c r="AO36" s="7" t="s">
        <v>782</v>
      </c>
      <c r="AP36" s="7">
        <v>2.5919999999999999E-2</v>
      </c>
      <c r="AQ36" s="7">
        <v>3.6571428571420002E-4</v>
      </c>
      <c r="AR36" s="7">
        <v>2.6285714285714201E-2</v>
      </c>
      <c r="AS36" s="8" t="b">
        <v>1</v>
      </c>
      <c r="AT36" s="8" t="b">
        <v>1</v>
      </c>
      <c r="AU36" s="8" t="b">
        <v>1</v>
      </c>
      <c r="AV36" s="8" t="b">
        <v>1</v>
      </c>
      <c r="AW36" s="8" t="b">
        <v>1</v>
      </c>
      <c r="AX36" s="8" t="b">
        <v>1</v>
      </c>
      <c r="AY36" s="8" t="b">
        <v>1</v>
      </c>
      <c r="AZ36" s="8" t="b">
        <v>1</v>
      </c>
      <c r="BA36" s="7" t="s">
        <v>783</v>
      </c>
      <c r="BB36" s="7" t="s">
        <v>783</v>
      </c>
      <c r="BC36" s="7" t="s">
        <v>784</v>
      </c>
      <c r="BD36" s="7">
        <v>-0.16768787213015676</v>
      </c>
      <c r="BE36" s="7">
        <v>2.1942857142857146E-3</v>
      </c>
      <c r="BF36" s="7">
        <v>17.025899033788807</v>
      </c>
      <c r="BG36" s="7">
        <v>0.13714285714285715</v>
      </c>
      <c r="BH36" s="7" t="s">
        <v>154</v>
      </c>
      <c r="BI36" s="7">
        <v>175</v>
      </c>
      <c r="BJ36" s="7">
        <v>24</v>
      </c>
      <c r="BK36" s="7">
        <v>24</v>
      </c>
      <c r="BL36" s="7">
        <v>24</v>
      </c>
      <c r="BM36" s="8" t="b">
        <v>1</v>
      </c>
      <c r="BN36" s="7">
        <v>26.487777073923731</v>
      </c>
      <c r="BO36" s="7">
        <v>0.15551999999999999</v>
      </c>
      <c r="BP36" s="7">
        <v>42.376079126407873</v>
      </c>
      <c r="BQ36" s="7">
        <v>0.13714285714285715</v>
      </c>
      <c r="BR36" s="7" t="s">
        <v>154</v>
      </c>
      <c r="BS36" s="7">
        <v>175</v>
      </c>
      <c r="BT36" s="7">
        <v>24</v>
      </c>
      <c r="BU36" s="7">
        <v>24</v>
      </c>
      <c r="BV36" s="7">
        <v>24</v>
      </c>
      <c r="BW36" s="7" t="s">
        <v>831</v>
      </c>
      <c r="BX36" s="8" t="b">
        <v>1</v>
      </c>
      <c r="BY36" s="7">
        <v>0</v>
      </c>
      <c r="BZ36" s="7">
        <v>0</v>
      </c>
      <c r="CA36" s="7">
        <v>46235.166666666664</v>
      </c>
      <c r="CB36" s="7">
        <v>46235.15625</v>
      </c>
      <c r="CC36" s="7">
        <v>4.7517283643892333E-4</v>
      </c>
      <c r="CD36" s="7">
        <v>39.703746901037391</v>
      </c>
      <c r="CE36" s="7">
        <v>39.53672216563367</v>
      </c>
      <c r="CF36" s="7">
        <v>662.24534522516342</v>
      </c>
      <c r="CG36" s="7">
        <v>0.3125</v>
      </c>
      <c r="CH36" s="7" t="s">
        <v>150</v>
      </c>
      <c r="CI36" s="7">
        <v>128</v>
      </c>
      <c r="CJ36" s="8" t="b">
        <v>1</v>
      </c>
      <c r="CK36" s="7">
        <v>40</v>
      </c>
      <c r="CL36" s="7">
        <v>40</v>
      </c>
      <c r="CM36" s="7">
        <v>40</v>
      </c>
      <c r="CN36" s="8" t="b">
        <v>0</v>
      </c>
      <c r="CO36" s="7" t="s">
        <v>785</v>
      </c>
      <c r="CP36" s="7">
        <v>747.96741258715372</v>
      </c>
    </row>
    <row r="37" spans="1:94" ht="21" customHeight="1" x14ac:dyDescent="0.45">
      <c r="A37" s="9">
        <v>46235.166666666664</v>
      </c>
      <c r="B37" s="9">
        <v>46235.177083333336</v>
      </c>
      <c r="C37" s="9">
        <v>46235.291666666664</v>
      </c>
      <c r="D37" s="10">
        <v>46235</v>
      </c>
      <c r="E37" s="7">
        <v>0.25</v>
      </c>
      <c r="F37" s="7" t="s">
        <v>770</v>
      </c>
      <c r="G37" s="9">
        <v>46235.166666666664</v>
      </c>
      <c r="H37" s="7">
        <v>166.93</v>
      </c>
      <c r="I37" s="7" t="s">
        <v>832</v>
      </c>
      <c r="J37" s="7">
        <v>15</v>
      </c>
      <c r="K37" s="7" t="s">
        <v>790</v>
      </c>
      <c r="L37" s="10">
        <v>46234</v>
      </c>
      <c r="M37" s="7">
        <v>5.2473000000000001</v>
      </c>
      <c r="N37" s="7" t="s">
        <v>773</v>
      </c>
      <c r="O37" s="7">
        <v>128</v>
      </c>
      <c r="P37" s="7" t="s">
        <v>833</v>
      </c>
      <c r="Q37" s="7" t="s">
        <v>775</v>
      </c>
      <c r="R37" s="7">
        <v>66.224534522516336</v>
      </c>
      <c r="S37" s="7" t="s">
        <v>776</v>
      </c>
      <c r="T37" s="7">
        <v>175</v>
      </c>
      <c r="U37" s="7" t="s">
        <v>834</v>
      </c>
      <c r="V37" s="7" t="s">
        <v>775</v>
      </c>
      <c r="W37" s="7">
        <v>6.6910601642749601</v>
      </c>
      <c r="X37" s="7" t="s">
        <v>776</v>
      </c>
      <c r="Y37" s="7">
        <v>175</v>
      </c>
      <c r="Z37" s="7" t="s">
        <v>835</v>
      </c>
      <c r="AA37" s="7" t="s">
        <v>775</v>
      </c>
      <c r="AB37" s="7">
        <v>2.6070550568863986</v>
      </c>
      <c r="AC37" s="7" t="s">
        <v>776</v>
      </c>
      <c r="AD37" s="7"/>
      <c r="AE37" s="7" t="s">
        <v>779</v>
      </c>
      <c r="AF37" s="7"/>
      <c r="AG37" s="7">
        <v>227.4055228403179</v>
      </c>
      <c r="AH37" s="7" t="s">
        <v>776</v>
      </c>
      <c r="AI37" s="7">
        <v>17.013999999999999</v>
      </c>
      <c r="AJ37" s="7">
        <v>0</v>
      </c>
      <c r="AK37" s="7" t="s">
        <v>776</v>
      </c>
      <c r="AL37" s="7">
        <v>0</v>
      </c>
      <c r="AM37" s="7" t="s">
        <v>780</v>
      </c>
      <c r="AN37" s="7" t="s">
        <v>781</v>
      </c>
      <c r="AO37" s="7" t="s">
        <v>782</v>
      </c>
      <c r="AP37" s="7">
        <v>0.3888914285714285</v>
      </c>
      <c r="AQ37" s="7">
        <v>0</v>
      </c>
      <c r="AR37" s="7">
        <v>0.3888914285714285</v>
      </c>
      <c r="AS37" s="8" t="b">
        <v>1</v>
      </c>
      <c r="AT37" s="8" t="b">
        <v>1</v>
      </c>
      <c r="AU37" s="8" t="b">
        <v>1</v>
      </c>
      <c r="AV37" s="8" t="b">
        <v>1</v>
      </c>
      <c r="AW37" s="8" t="b">
        <v>1</v>
      </c>
      <c r="AX37" s="8" t="b">
        <v>1</v>
      </c>
      <c r="AY37" s="8" t="b">
        <v>1</v>
      </c>
      <c r="AZ37" s="8" t="b">
        <v>1</v>
      </c>
      <c r="BA37" s="7" t="s">
        <v>783</v>
      </c>
      <c r="BB37" s="7" t="s">
        <v>783</v>
      </c>
      <c r="BC37" s="7" t="s">
        <v>784</v>
      </c>
      <c r="BD37" s="7">
        <v>0</v>
      </c>
      <c r="BE37" s="7">
        <v>0</v>
      </c>
      <c r="BF37" s="7">
        <v>15.642330341318392</v>
      </c>
      <c r="BG37" s="7">
        <v>0.13714285714285715</v>
      </c>
      <c r="BH37" s="7" t="s">
        <v>154</v>
      </c>
      <c r="BI37" s="7">
        <v>175</v>
      </c>
      <c r="BJ37" s="7">
        <v>24</v>
      </c>
      <c r="BK37" s="7">
        <v>24</v>
      </c>
      <c r="BL37" s="7">
        <v>24</v>
      </c>
      <c r="BM37" s="8" t="b">
        <v>1</v>
      </c>
      <c r="BN37" s="7">
        <v>530.6163518544231</v>
      </c>
      <c r="BO37" s="7">
        <v>2.3333485714285711</v>
      </c>
      <c r="BP37" s="7">
        <v>40.146360985649764</v>
      </c>
      <c r="BQ37" s="7">
        <v>0.13714285714285715</v>
      </c>
      <c r="BR37" s="7" t="s">
        <v>154</v>
      </c>
      <c r="BS37" s="7">
        <v>175</v>
      </c>
      <c r="BT37" s="7">
        <v>24</v>
      </c>
      <c r="BU37" s="7">
        <v>24</v>
      </c>
      <c r="BV37" s="7">
        <v>24</v>
      </c>
      <c r="BW37" s="7" t="s">
        <v>832</v>
      </c>
      <c r="BX37" s="8" t="b">
        <v>1</v>
      </c>
      <c r="BY37" s="7">
        <v>0</v>
      </c>
      <c r="BZ37" s="7">
        <v>0</v>
      </c>
      <c r="CA37" s="7">
        <v>46235.177083333336</v>
      </c>
      <c r="CB37" s="7">
        <v>46235.166666666664</v>
      </c>
      <c r="CC37" s="7">
        <v>7.0451345755693576E-3</v>
      </c>
      <c r="CD37" s="7">
        <v>39.53672216563367</v>
      </c>
      <c r="CE37" s="7">
        <v>37.000473718428701</v>
      </c>
      <c r="CF37" s="7">
        <v>662.24534522516342</v>
      </c>
      <c r="CG37" s="7">
        <v>0.3125</v>
      </c>
      <c r="CH37" s="7" t="s">
        <v>150</v>
      </c>
      <c r="CI37" s="7">
        <v>128</v>
      </c>
      <c r="CJ37" s="8" t="b">
        <v>1</v>
      </c>
      <c r="CK37" s="7">
        <v>40</v>
      </c>
      <c r="CL37" s="7">
        <v>40</v>
      </c>
      <c r="CM37" s="7">
        <v>40</v>
      </c>
      <c r="CN37" s="8" t="b">
        <v>0</v>
      </c>
      <c r="CO37" s="7" t="s">
        <v>785</v>
      </c>
      <c r="CP37" s="7">
        <v>1248.6503884065546</v>
      </c>
    </row>
    <row r="38" spans="1:94" ht="21" customHeight="1" x14ac:dyDescent="0.45">
      <c r="A38" s="9">
        <v>46235.177083333336</v>
      </c>
      <c r="B38" s="9">
        <v>46235.1875</v>
      </c>
      <c r="C38" s="9">
        <v>46235.302083333336</v>
      </c>
      <c r="D38" s="10">
        <v>46235</v>
      </c>
      <c r="E38" s="7">
        <v>0.25</v>
      </c>
      <c r="F38" s="7" t="s">
        <v>770</v>
      </c>
      <c r="G38" s="9">
        <v>46235.166666666664</v>
      </c>
      <c r="H38" s="7">
        <v>163.13</v>
      </c>
      <c r="I38" s="7" t="s">
        <v>836</v>
      </c>
      <c r="J38" s="7">
        <v>15</v>
      </c>
      <c r="K38" s="7" t="s">
        <v>790</v>
      </c>
      <c r="L38" s="10">
        <v>46234</v>
      </c>
      <c r="M38" s="7">
        <v>5.2473000000000001</v>
      </c>
      <c r="N38" s="7" t="s">
        <v>773</v>
      </c>
      <c r="O38" s="7">
        <v>128</v>
      </c>
      <c r="P38" s="7" t="s">
        <v>833</v>
      </c>
      <c r="Q38" s="7" t="s">
        <v>775</v>
      </c>
      <c r="R38" s="7">
        <v>66.224534522516336</v>
      </c>
      <c r="S38" s="7" t="s">
        <v>776</v>
      </c>
      <c r="T38" s="7">
        <v>175</v>
      </c>
      <c r="U38" s="7" t="s">
        <v>834</v>
      </c>
      <c r="V38" s="7" t="s">
        <v>775</v>
      </c>
      <c r="W38" s="7">
        <v>6.6910601642749601</v>
      </c>
      <c r="X38" s="7" t="s">
        <v>776</v>
      </c>
      <c r="Y38" s="7">
        <v>175</v>
      </c>
      <c r="Z38" s="7" t="s">
        <v>835</v>
      </c>
      <c r="AA38" s="7" t="s">
        <v>775</v>
      </c>
      <c r="AB38" s="7">
        <v>2.6070550568863986</v>
      </c>
      <c r="AC38" s="7" t="s">
        <v>776</v>
      </c>
      <c r="AD38" s="7"/>
      <c r="AE38" s="7" t="s">
        <v>779</v>
      </c>
      <c r="AF38" s="7"/>
      <c r="AG38" s="7">
        <v>182.10889409791702</v>
      </c>
      <c r="AH38" s="7" t="s">
        <v>776</v>
      </c>
      <c r="AI38" s="7">
        <v>8.2469999999999999</v>
      </c>
      <c r="AJ38" s="7">
        <v>0</v>
      </c>
      <c r="AK38" s="7" t="s">
        <v>776</v>
      </c>
      <c r="AL38" s="7">
        <v>0</v>
      </c>
      <c r="AM38" s="7" t="s">
        <v>780</v>
      </c>
      <c r="AN38" s="7" t="s">
        <v>781</v>
      </c>
      <c r="AO38" s="7" t="s">
        <v>782</v>
      </c>
      <c r="AP38" s="7">
        <v>0.18850285714285711</v>
      </c>
      <c r="AQ38" s="7">
        <v>0</v>
      </c>
      <c r="AR38" s="7">
        <v>0.18850285714285711</v>
      </c>
      <c r="AS38" s="8" t="b">
        <v>1</v>
      </c>
      <c r="AT38" s="8" t="b">
        <v>1</v>
      </c>
      <c r="AU38" s="8" t="b">
        <v>1</v>
      </c>
      <c r="AV38" s="8" t="b">
        <v>1</v>
      </c>
      <c r="AW38" s="8" t="b">
        <v>1</v>
      </c>
      <c r="AX38" s="8" t="b">
        <v>1</v>
      </c>
      <c r="AY38" s="8" t="b">
        <v>1</v>
      </c>
      <c r="AZ38" s="8" t="b">
        <v>1</v>
      </c>
      <c r="BA38" s="7" t="s">
        <v>783</v>
      </c>
      <c r="BB38" s="7" t="s">
        <v>783</v>
      </c>
      <c r="BC38" s="7" t="s">
        <v>784</v>
      </c>
      <c r="BD38" s="7">
        <v>0</v>
      </c>
      <c r="BE38" s="7">
        <v>0</v>
      </c>
      <c r="BF38" s="7">
        <v>15.642330341318392</v>
      </c>
      <c r="BG38" s="7">
        <v>0.13714285714285715</v>
      </c>
      <c r="BH38" s="7" t="s">
        <v>154</v>
      </c>
      <c r="BI38" s="7">
        <v>175</v>
      </c>
      <c r="BJ38" s="7">
        <v>24</v>
      </c>
      <c r="BK38" s="7">
        <v>24</v>
      </c>
      <c r="BL38" s="7">
        <v>24</v>
      </c>
      <c r="BM38" s="8" t="b">
        <v>1</v>
      </c>
      <c r="BN38" s="7">
        <v>205.96828109150013</v>
      </c>
      <c r="BO38" s="7">
        <v>1.1310171428571429</v>
      </c>
      <c r="BP38" s="7">
        <v>40.146360985649764</v>
      </c>
      <c r="BQ38" s="7">
        <v>0.13714285714285715</v>
      </c>
      <c r="BR38" s="7" t="s">
        <v>154</v>
      </c>
      <c r="BS38" s="7">
        <v>175</v>
      </c>
      <c r="BT38" s="7">
        <v>24</v>
      </c>
      <c r="BU38" s="7">
        <v>24</v>
      </c>
      <c r="BV38" s="7">
        <v>24</v>
      </c>
      <c r="BW38" s="7" t="s">
        <v>836</v>
      </c>
      <c r="BX38" s="8" t="b">
        <v>1</v>
      </c>
      <c r="BY38" s="7">
        <v>0</v>
      </c>
      <c r="BZ38" s="7">
        <v>0</v>
      </c>
      <c r="CA38" s="7">
        <v>46235.1875</v>
      </c>
      <c r="CB38" s="7">
        <v>46235.177083333336</v>
      </c>
      <c r="CC38" s="7">
        <v>3.4149068322981368E-3</v>
      </c>
      <c r="CD38" s="7">
        <v>37.000473718428701</v>
      </c>
      <c r="CE38" s="7">
        <v>35.771107258801372</v>
      </c>
      <c r="CF38" s="7">
        <v>662.24534522516342</v>
      </c>
      <c r="CG38" s="7">
        <v>0.3125</v>
      </c>
      <c r="CH38" s="7" t="s">
        <v>150</v>
      </c>
      <c r="CI38" s="7">
        <v>128</v>
      </c>
      <c r="CJ38" s="8" t="b">
        <v>1</v>
      </c>
      <c r="CK38" s="7">
        <v>40</v>
      </c>
      <c r="CL38" s="7">
        <v>40</v>
      </c>
      <c r="CM38" s="7">
        <v>40</v>
      </c>
      <c r="CN38" s="8" t="b">
        <v>0</v>
      </c>
      <c r="CO38" s="7" t="s">
        <v>785</v>
      </c>
      <c r="CP38" s="7">
        <v>924.00231764363173</v>
      </c>
    </row>
    <row r="39" spans="1:94" ht="21" customHeight="1" x14ac:dyDescent="0.45">
      <c r="A39" s="9">
        <v>46235.1875</v>
      </c>
      <c r="B39" s="9">
        <v>46235.197916666664</v>
      </c>
      <c r="C39" s="9">
        <v>46235.3125</v>
      </c>
      <c r="D39" s="10">
        <v>46235</v>
      </c>
      <c r="E39" s="7">
        <v>0.25</v>
      </c>
      <c r="F39" s="7" t="s">
        <v>770</v>
      </c>
      <c r="G39" s="9">
        <v>46235.166666666664</v>
      </c>
      <c r="H39" s="7">
        <v>152.09</v>
      </c>
      <c r="I39" s="7" t="s">
        <v>837</v>
      </c>
      <c r="J39" s="7">
        <v>15</v>
      </c>
      <c r="K39" s="7" t="s">
        <v>790</v>
      </c>
      <c r="L39" s="10">
        <v>46234</v>
      </c>
      <c r="M39" s="7">
        <v>5.2473000000000001</v>
      </c>
      <c r="N39" s="7" t="s">
        <v>773</v>
      </c>
      <c r="O39" s="7">
        <v>128</v>
      </c>
      <c r="P39" s="7" t="s">
        <v>833</v>
      </c>
      <c r="Q39" s="7" t="s">
        <v>775</v>
      </c>
      <c r="R39" s="7">
        <v>66.224534522516336</v>
      </c>
      <c r="S39" s="7" t="s">
        <v>776</v>
      </c>
      <c r="T39" s="7">
        <v>175</v>
      </c>
      <c r="U39" s="7" t="s">
        <v>834</v>
      </c>
      <c r="V39" s="7" t="s">
        <v>775</v>
      </c>
      <c r="W39" s="7">
        <v>6.6910601642749601</v>
      </c>
      <c r="X39" s="7" t="s">
        <v>776</v>
      </c>
      <c r="Y39" s="7">
        <v>175</v>
      </c>
      <c r="Z39" s="7" t="s">
        <v>835</v>
      </c>
      <c r="AA39" s="7" t="s">
        <v>775</v>
      </c>
      <c r="AB39" s="7">
        <v>2.6070550568863986</v>
      </c>
      <c r="AC39" s="7" t="s">
        <v>776</v>
      </c>
      <c r="AD39" s="7"/>
      <c r="AE39" s="7" t="s">
        <v>779</v>
      </c>
      <c r="AF39" s="7"/>
      <c r="AG39" s="7">
        <v>174.24122882244203</v>
      </c>
      <c r="AH39" s="7" t="s">
        <v>776</v>
      </c>
      <c r="AI39" s="7">
        <v>2.839</v>
      </c>
      <c r="AJ39" s="7">
        <v>0</v>
      </c>
      <c r="AK39" s="7" t="s">
        <v>776</v>
      </c>
      <c r="AL39" s="7">
        <v>0</v>
      </c>
      <c r="AM39" s="7" t="s">
        <v>780</v>
      </c>
      <c r="AN39" s="7" t="s">
        <v>781</v>
      </c>
      <c r="AO39" s="7" t="s">
        <v>782</v>
      </c>
      <c r="AP39" s="7">
        <v>6.4891428571428503E-2</v>
      </c>
      <c r="AQ39" s="7">
        <v>0</v>
      </c>
      <c r="AR39" s="7">
        <v>6.4891428571428503E-2</v>
      </c>
      <c r="AS39" s="8" t="b">
        <v>1</v>
      </c>
      <c r="AT39" s="8" t="b">
        <v>1</v>
      </c>
      <c r="AU39" s="8" t="b">
        <v>1</v>
      </c>
      <c r="AV39" s="8" t="b">
        <v>1</v>
      </c>
      <c r="AW39" s="8" t="b">
        <v>1</v>
      </c>
      <c r="AX39" s="8" t="b">
        <v>1</v>
      </c>
      <c r="AY39" s="8" t="b">
        <v>1</v>
      </c>
      <c r="AZ39" s="8" t="b">
        <v>1</v>
      </c>
      <c r="BA39" s="7" t="s">
        <v>783</v>
      </c>
      <c r="BB39" s="7" t="s">
        <v>783</v>
      </c>
      <c r="BC39" s="7" t="s">
        <v>784</v>
      </c>
      <c r="BD39" s="7">
        <v>0</v>
      </c>
      <c r="BE39" s="7">
        <v>0</v>
      </c>
      <c r="BF39" s="7">
        <v>15.642330341318392</v>
      </c>
      <c r="BG39" s="7">
        <v>0.13714285714285715</v>
      </c>
      <c r="BH39" s="7" t="s">
        <v>154</v>
      </c>
      <c r="BI39" s="7">
        <v>175</v>
      </c>
      <c r="BJ39" s="7">
        <v>24</v>
      </c>
      <c r="BK39" s="7">
        <v>24</v>
      </c>
      <c r="BL39" s="7">
        <v>24</v>
      </c>
      <c r="BM39" s="8" t="b">
        <v>1</v>
      </c>
      <c r="BN39" s="7">
        <v>67.840573525976623</v>
      </c>
      <c r="BO39" s="7">
        <v>0.38934857142857143</v>
      </c>
      <c r="BP39" s="7">
        <v>40.146360985649764</v>
      </c>
      <c r="BQ39" s="7">
        <v>0.13714285714285715</v>
      </c>
      <c r="BR39" s="7" t="s">
        <v>154</v>
      </c>
      <c r="BS39" s="7">
        <v>175</v>
      </c>
      <c r="BT39" s="7">
        <v>24</v>
      </c>
      <c r="BU39" s="7">
        <v>24</v>
      </c>
      <c r="BV39" s="7">
        <v>24</v>
      </c>
      <c r="BW39" s="7" t="s">
        <v>837</v>
      </c>
      <c r="BX39" s="8" t="b">
        <v>1</v>
      </c>
      <c r="BY39" s="7">
        <v>0</v>
      </c>
      <c r="BZ39" s="7">
        <v>0</v>
      </c>
      <c r="CA39" s="7">
        <v>46235.197916666664</v>
      </c>
      <c r="CB39" s="7">
        <v>46235.1875</v>
      </c>
      <c r="CC39" s="7">
        <v>1.1755693581780538E-3</v>
      </c>
      <c r="CD39" s="7">
        <v>35.771107258801372</v>
      </c>
      <c r="CE39" s="7">
        <v>35.347902289857274</v>
      </c>
      <c r="CF39" s="7">
        <v>662.24534522516342</v>
      </c>
      <c r="CG39" s="7">
        <v>0.3125</v>
      </c>
      <c r="CH39" s="7" t="s">
        <v>150</v>
      </c>
      <c r="CI39" s="7">
        <v>128</v>
      </c>
      <c r="CJ39" s="8" t="b">
        <v>1</v>
      </c>
      <c r="CK39" s="7">
        <v>40</v>
      </c>
      <c r="CL39" s="7">
        <v>40</v>
      </c>
      <c r="CM39" s="7">
        <v>40</v>
      </c>
      <c r="CN39" s="8" t="b">
        <v>0</v>
      </c>
      <c r="CO39" s="7" t="s">
        <v>785</v>
      </c>
      <c r="CP39" s="7">
        <v>785.87461007810816</v>
      </c>
    </row>
    <row r="40" spans="1:94" ht="21" customHeight="1" x14ac:dyDescent="0.45">
      <c r="A40" s="9">
        <v>46235.197916666664</v>
      </c>
      <c r="B40" s="9">
        <v>46235.208333333336</v>
      </c>
      <c r="C40" s="9">
        <v>46235.322916666664</v>
      </c>
      <c r="D40" s="10">
        <v>46235</v>
      </c>
      <c r="E40" s="7">
        <v>0.25</v>
      </c>
      <c r="F40" s="7" t="s">
        <v>770</v>
      </c>
      <c r="G40" s="9">
        <v>46235.166666666664</v>
      </c>
      <c r="H40" s="7">
        <v>149.80000000000001</v>
      </c>
      <c r="I40" s="7" t="s">
        <v>838</v>
      </c>
      <c r="J40" s="7">
        <v>15</v>
      </c>
      <c r="K40" s="7" t="s">
        <v>790</v>
      </c>
      <c r="L40" s="10">
        <v>46234</v>
      </c>
      <c r="M40" s="7">
        <v>5.2473000000000001</v>
      </c>
      <c r="N40" s="7" t="s">
        <v>773</v>
      </c>
      <c r="O40" s="7">
        <v>128</v>
      </c>
      <c r="P40" s="7" t="s">
        <v>833</v>
      </c>
      <c r="Q40" s="7" t="s">
        <v>775</v>
      </c>
      <c r="R40" s="7">
        <v>66.224534522516336</v>
      </c>
      <c r="S40" s="7" t="s">
        <v>776</v>
      </c>
      <c r="T40" s="7">
        <v>175</v>
      </c>
      <c r="U40" s="7" t="s">
        <v>834</v>
      </c>
      <c r="V40" s="7" t="s">
        <v>775</v>
      </c>
      <c r="W40" s="7">
        <v>6.6910601642749601</v>
      </c>
      <c r="X40" s="7" t="s">
        <v>776</v>
      </c>
      <c r="Y40" s="7">
        <v>175</v>
      </c>
      <c r="Z40" s="7" t="s">
        <v>835</v>
      </c>
      <c r="AA40" s="7" t="s">
        <v>775</v>
      </c>
      <c r="AB40" s="7">
        <v>2.6070550568863986</v>
      </c>
      <c r="AC40" s="7" t="s">
        <v>776</v>
      </c>
      <c r="AD40" s="7"/>
      <c r="AE40" s="7" t="s">
        <v>779</v>
      </c>
      <c r="AF40" s="7"/>
      <c r="AG40" s="7">
        <v>171.40396013187734</v>
      </c>
      <c r="AH40" s="7" t="s">
        <v>776</v>
      </c>
      <c r="AI40" s="7">
        <v>2.3959999999999999</v>
      </c>
      <c r="AJ40" s="7">
        <v>76.420254225982887</v>
      </c>
      <c r="AK40" s="7" t="s">
        <v>776</v>
      </c>
      <c r="AL40" s="7">
        <v>0.443</v>
      </c>
      <c r="AM40" s="7" t="s">
        <v>780</v>
      </c>
      <c r="AN40" s="7" t="s">
        <v>781</v>
      </c>
      <c r="AO40" s="7" t="s">
        <v>782</v>
      </c>
      <c r="AP40" s="7">
        <v>5.4765714285714202E-2</v>
      </c>
      <c r="AQ40" s="7">
        <v>1.01257142857142E-2</v>
      </c>
      <c r="AR40" s="7">
        <v>6.4891428571428503E-2</v>
      </c>
      <c r="AS40" s="8" t="b">
        <v>1</v>
      </c>
      <c r="AT40" s="8" t="b">
        <v>1</v>
      </c>
      <c r="AU40" s="8" t="b">
        <v>1</v>
      </c>
      <c r="AV40" s="8" t="b">
        <v>1</v>
      </c>
      <c r="AW40" s="8" t="b">
        <v>1</v>
      </c>
      <c r="AX40" s="8" t="b">
        <v>1</v>
      </c>
      <c r="AY40" s="8" t="b">
        <v>1</v>
      </c>
      <c r="AZ40" s="8" t="b">
        <v>1</v>
      </c>
      <c r="BA40" s="7" t="s">
        <v>783</v>
      </c>
      <c r="BB40" s="7" t="s">
        <v>783</v>
      </c>
      <c r="BC40" s="7" t="s">
        <v>784</v>
      </c>
      <c r="BD40" s="7">
        <v>-4.6428579596037149</v>
      </c>
      <c r="BE40" s="7">
        <v>6.0754285714285719E-2</v>
      </c>
      <c r="BF40" s="7">
        <v>15.642330341318392</v>
      </c>
      <c r="BG40" s="7">
        <v>0.13714285714285715</v>
      </c>
      <c r="BH40" s="7" t="s">
        <v>154</v>
      </c>
      <c r="BI40" s="7">
        <v>175</v>
      </c>
      <c r="BJ40" s="7">
        <v>24</v>
      </c>
      <c r="BK40" s="7">
        <v>24</v>
      </c>
      <c r="BL40" s="7">
        <v>24</v>
      </c>
      <c r="BM40" s="8" t="b">
        <v>1</v>
      </c>
      <c r="BN40" s="7">
        <v>56.322361848134143</v>
      </c>
      <c r="BO40" s="7">
        <v>0.32859428571428573</v>
      </c>
      <c r="BP40" s="7">
        <v>40.146360985649764</v>
      </c>
      <c r="BQ40" s="7">
        <v>0.13714285714285715</v>
      </c>
      <c r="BR40" s="7" t="s">
        <v>154</v>
      </c>
      <c r="BS40" s="7">
        <v>175</v>
      </c>
      <c r="BT40" s="7">
        <v>24</v>
      </c>
      <c r="BU40" s="7">
        <v>24</v>
      </c>
      <c r="BV40" s="7">
        <v>24</v>
      </c>
      <c r="BW40" s="7" t="s">
        <v>838</v>
      </c>
      <c r="BX40" s="8" t="b">
        <v>1</v>
      </c>
      <c r="BY40" s="7">
        <v>0</v>
      </c>
      <c r="BZ40" s="7">
        <v>0</v>
      </c>
      <c r="CA40" s="7">
        <v>46235.208333333336</v>
      </c>
      <c r="CB40" s="7">
        <v>46235.197916666664</v>
      </c>
      <c r="CC40" s="7">
        <v>1.1473934575569359E-3</v>
      </c>
      <c r="CD40" s="7">
        <v>35.347902289857274</v>
      </c>
      <c r="CE40" s="7">
        <v>35.046628530851066</v>
      </c>
      <c r="CF40" s="7">
        <v>662.24534522516342</v>
      </c>
      <c r="CG40" s="7">
        <v>0.3125</v>
      </c>
      <c r="CH40" s="7" t="s">
        <v>150</v>
      </c>
      <c r="CI40" s="7">
        <v>128</v>
      </c>
      <c r="CJ40" s="8" t="b">
        <v>1</v>
      </c>
      <c r="CK40" s="7">
        <v>40</v>
      </c>
      <c r="CL40" s="7">
        <v>40</v>
      </c>
      <c r="CM40" s="7">
        <v>40</v>
      </c>
      <c r="CN40" s="8" t="b">
        <v>0</v>
      </c>
      <c r="CO40" s="7" t="s">
        <v>785</v>
      </c>
      <c r="CP40" s="7">
        <v>769.71354044066197</v>
      </c>
    </row>
    <row r="41" spans="1:94" ht="21" customHeight="1" x14ac:dyDescent="0.45">
      <c r="A41" s="9">
        <v>46235.208333333336</v>
      </c>
      <c r="B41" s="9">
        <v>46235.21875</v>
      </c>
      <c r="C41" s="9">
        <v>46235.333333333336</v>
      </c>
      <c r="D41" s="10">
        <v>46235</v>
      </c>
      <c r="E41" s="7">
        <v>0.25</v>
      </c>
      <c r="F41" s="7" t="s">
        <v>770</v>
      </c>
      <c r="G41" s="9">
        <v>46235.208333333336</v>
      </c>
      <c r="H41" s="7">
        <v>162.96</v>
      </c>
      <c r="I41" s="7" t="s">
        <v>839</v>
      </c>
      <c r="J41" s="7">
        <v>15</v>
      </c>
      <c r="K41" s="7" t="s">
        <v>790</v>
      </c>
      <c r="L41" s="10">
        <v>46234</v>
      </c>
      <c r="M41" s="7">
        <v>5.2473000000000001</v>
      </c>
      <c r="N41" s="7" t="s">
        <v>773</v>
      </c>
      <c r="O41" s="7">
        <v>91.903999999999996</v>
      </c>
      <c r="P41" s="7" t="s">
        <v>840</v>
      </c>
      <c r="Q41" s="7" t="s">
        <v>775</v>
      </c>
      <c r="R41" s="7">
        <v>66.224534522516336</v>
      </c>
      <c r="S41" s="7" t="s">
        <v>776</v>
      </c>
      <c r="T41" s="7">
        <v>175</v>
      </c>
      <c r="U41" s="7" t="s">
        <v>841</v>
      </c>
      <c r="V41" s="7" t="s">
        <v>775</v>
      </c>
      <c r="W41" s="7">
        <v>6.7863472643073575</v>
      </c>
      <c r="X41" s="7" t="s">
        <v>776</v>
      </c>
      <c r="Y41" s="7">
        <v>175</v>
      </c>
      <c r="Z41" s="7" t="s">
        <v>842</v>
      </c>
      <c r="AA41" s="7" t="s">
        <v>775</v>
      </c>
      <c r="AB41" s="7">
        <v>2.6280182188935259</v>
      </c>
      <c r="AC41" s="7" t="s">
        <v>776</v>
      </c>
      <c r="AD41" s="7"/>
      <c r="AE41" s="7" t="s">
        <v>779</v>
      </c>
      <c r="AF41" s="7"/>
      <c r="AG41" s="7">
        <v>201.87296323823682</v>
      </c>
      <c r="AH41" s="7" t="s">
        <v>776</v>
      </c>
      <c r="AI41" s="7">
        <v>12.888</v>
      </c>
      <c r="AJ41" s="7">
        <v>0</v>
      </c>
      <c r="AK41" s="7" t="s">
        <v>776</v>
      </c>
      <c r="AL41" s="7">
        <v>0</v>
      </c>
      <c r="AM41" s="7" t="s">
        <v>780</v>
      </c>
      <c r="AN41" s="7" t="s">
        <v>781</v>
      </c>
      <c r="AO41" s="7" t="s">
        <v>782</v>
      </c>
      <c r="AP41" s="7">
        <v>0.29458285714285709</v>
      </c>
      <c r="AQ41" s="7">
        <v>0</v>
      </c>
      <c r="AR41" s="7">
        <v>0.29458285714285709</v>
      </c>
      <c r="AS41" s="8" t="b">
        <v>1</v>
      </c>
      <c r="AT41" s="8" t="b">
        <v>1</v>
      </c>
      <c r="AU41" s="8" t="b">
        <v>1</v>
      </c>
      <c r="AV41" s="8" t="b">
        <v>1</v>
      </c>
      <c r="AW41" s="8" t="b">
        <v>1</v>
      </c>
      <c r="AX41" s="8" t="b">
        <v>1</v>
      </c>
      <c r="AY41" s="8" t="b">
        <v>1</v>
      </c>
      <c r="AZ41" s="8" t="b">
        <v>1</v>
      </c>
      <c r="BA41" s="7" t="s">
        <v>783</v>
      </c>
      <c r="BB41" s="7" t="s">
        <v>783</v>
      </c>
      <c r="BC41" s="7" t="s">
        <v>784</v>
      </c>
      <c r="BD41" s="7">
        <v>0</v>
      </c>
      <c r="BE41" s="7">
        <v>0</v>
      </c>
      <c r="BF41" s="7">
        <v>15.768109313361155</v>
      </c>
      <c r="BG41" s="7">
        <v>0.13714285714285715</v>
      </c>
      <c r="BH41" s="7" t="s">
        <v>154</v>
      </c>
      <c r="BI41" s="7">
        <v>175</v>
      </c>
      <c r="BJ41" s="7">
        <v>24</v>
      </c>
      <c r="BK41" s="7">
        <v>24</v>
      </c>
      <c r="BL41" s="7">
        <v>24</v>
      </c>
      <c r="BM41" s="8" t="b">
        <v>1</v>
      </c>
      <c r="BN41" s="7">
        <v>356.8098857436886</v>
      </c>
      <c r="BO41" s="7">
        <v>1.7674971428571429</v>
      </c>
      <c r="BP41" s="7">
        <v>40.718083585844141</v>
      </c>
      <c r="BQ41" s="7">
        <v>0.13714285714285715</v>
      </c>
      <c r="BR41" s="7" t="s">
        <v>154</v>
      </c>
      <c r="BS41" s="7">
        <v>175</v>
      </c>
      <c r="BT41" s="7">
        <v>24</v>
      </c>
      <c r="BU41" s="7">
        <v>24</v>
      </c>
      <c r="BV41" s="7">
        <v>24</v>
      </c>
      <c r="BW41" s="7" t="s">
        <v>839</v>
      </c>
      <c r="BX41" s="8" t="b">
        <v>1</v>
      </c>
      <c r="BY41" s="7">
        <v>0</v>
      </c>
      <c r="BZ41" s="7">
        <v>0</v>
      </c>
      <c r="CA41" s="7">
        <v>46235.21875</v>
      </c>
      <c r="CB41" s="7">
        <v>46235.208333333336</v>
      </c>
      <c r="CC41" s="7">
        <v>5.3366459627329187E-3</v>
      </c>
      <c r="CD41" s="7">
        <v>35.046628530851066</v>
      </c>
      <c r="CE41" s="7">
        <v>33.125435984267213</v>
      </c>
      <c r="CF41" s="7">
        <v>662.24534522516342</v>
      </c>
      <c r="CG41" s="7">
        <v>0.3125</v>
      </c>
      <c r="CH41" s="7" t="s">
        <v>150</v>
      </c>
      <c r="CI41" s="7">
        <v>128</v>
      </c>
      <c r="CJ41" s="8" t="b">
        <v>1</v>
      </c>
      <c r="CK41" s="7">
        <v>40</v>
      </c>
      <c r="CL41" s="7">
        <v>40</v>
      </c>
      <c r="CM41" s="7">
        <v>40</v>
      </c>
      <c r="CN41" s="8" t="b">
        <v>0</v>
      </c>
      <c r="CO41" s="7" t="s">
        <v>785</v>
      </c>
      <c r="CP41" s="7">
        <v>1075.5414238680573</v>
      </c>
    </row>
    <row r="42" spans="1:94" ht="21" customHeight="1" x14ac:dyDescent="0.45">
      <c r="A42" s="9">
        <v>46235.21875</v>
      </c>
      <c r="B42" s="9">
        <v>46235.229166666664</v>
      </c>
      <c r="C42" s="9">
        <v>46235.34375</v>
      </c>
      <c r="D42" s="10">
        <v>46235</v>
      </c>
      <c r="E42" s="7">
        <v>0.25</v>
      </c>
      <c r="F42" s="7" t="s">
        <v>770</v>
      </c>
      <c r="G42" s="9">
        <v>46235.208333333336</v>
      </c>
      <c r="H42" s="7">
        <v>147</v>
      </c>
      <c r="I42" s="7" t="s">
        <v>843</v>
      </c>
      <c r="J42" s="7">
        <v>15</v>
      </c>
      <c r="K42" s="7" t="s">
        <v>790</v>
      </c>
      <c r="L42" s="10">
        <v>46234</v>
      </c>
      <c r="M42" s="7">
        <v>5.2473000000000001</v>
      </c>
      <c r="N42" s="7" t="s">
        <v>773</v>
      </c>
      <c r="O42" s="7">
        <v>91.903999999999996</v>
      </c>
      <c r="P42" s="7" t="s">
        <v>840</v>
      </c>
      <c r="Q42" s="7" t="s">
        <v>775</v>
      </c>
      <c r="R42" s="7">
        <v>66.224534522516336</v>
      </c>
      <c r="S42" s="7" t="s">
        <v>776</v>
      </c>
      <c r="T42" s="7">
        <v>175</v>
      </c>
      <c r="U42" s="7" t="s">
        <v>841</v>
      </c>
      <c r="V42" s="7" t="s">
        <v>775</v>
      </c>
      <c r="W42" s="7">
        <v>6.7863472643073575</v>
      </c>
      <c r="X42" s="7" t="s">
        <v>776</v>
      </c>
      <c r="Y42" s="7">
        <v>175</v>
      </c>
      <c r="Z42" s="7" t="s">
        <v>842</v>
      </c>
      <c r="AA42" s="7" t="s">
        <v>775</v>
      </c>
      <c r="AB42" s="7">
        <v>2.6280182188935259</v>
      </c>
      <c r="AC42" s="7" t="s">
        <v>776</v>
      </c>
      <c r="AD42" s="7"/>
      <c r="AE42" s="7" t="s">
        <v>779</v>
      </c>
      <c r="AF42" s="7"/>
      <c r="AG42" s="7">
        <v>210.56333733539151</v>
      </c>
      <c r="AH42" s="7" t="s">
        <v>776</v>
      </c>
      <c r="AI42" s="7">
        <v>9.7870000000000008</v>
      </c>
      <c r="AJ42" s="7">
        <v>0</v>
      </c>
      <c r="AK42" s="7" t="s">
        <v>776</v>
      </c>
      <c r="AL42" s="7">
        <v>0</v>
      </c>
      <c r="AM42" s="7" t="s">
        <v>780</v>
      </c>
      <c r="AN42" s="7" t="s">
        <v>781</v>
      </c>
      <c r="AO42" s="7" t="s">
        <v>782</v>
      </c>
      <c r="AP42" s="7">
        <v>0.22370285714285709</v>
      </c>
      <c r="AQ42" s="7">
        <v>0</v>
      </c>
      <c r="AR42" s="7">
        <v>0.22370285714285709</v>
      </c>
      <c r="AS42" s="8" t="b">
        <v>1</v>
      </c>
      <c r="AT42" s="8" t="b">
        <v>1</v>
      </c>
      <c r="AU42" s="8" t="b">
        <v>1</v>
      </c>
      <c r="AV42" s="8" t="b">
        <v>1</v>
      </c>
      <c r="AW42" s="8" t="b">
        <v>1</v>
      </c>
      <c r="AX42" s="8" t="b">
        <v>1</v>
      </c>
      <c r="AY42" s="8" t="b">
        <v>1</v>
      </c>
      <c r="AZ42" s="8" t="b">
        <v>1</v>
      </c>
      <c r="BA42" s="7" t="s">
        <v>783</v>
      </c>
      <c r="BB42" s="7" t="s">
        <v>783</v>
      </c>
      <c r="BC42" s="7" t="s">
        <v>784</v>
      </c>
      <c r="BD42" s="7">
        <v>0</v>
      </c>
      <c r="BE42" s="7">
        <v>0</v>
      </c>
      <c r="BF42" s="7">
        <v>15.768109313361155</v>
      </c>
      <c r="BG42" s="7">
        <v>0.13714285714285715</v>
      </c>
      <c r="BH42" s="7" t="s">
        <v>154</v>
      </c>
      <c r="BI42" s="7">
        <v>175</v>
      </c>
      <c r="BJ42" s="7">
        <v>24</v>
      </c>
      <c r="BK42" s="7">
        <v>24</v>
      </c>
      <c r="BL42" s="7">
        <v>24</v>
      </c>
      <c r="BM42" s="8" t="b">
        <v>1</v>
      </c>
      <c r="BN42" s="7">
        <v>282.62172102877395</v>
      </c>
      <c r="BO42" s="7">
        <v>1.3422171428571428</v>
      </c>
      <c r="BP42" s="7">
        <v>40.718083585844141</v>
      </c>
      <c r="BQ42" s="7">
        <v>0.13714285714285715</v>
      </c>
      <c r="BR42" s="7" t="s">
        <v>154</v>
      </c>
      <c r="BS42" s="7">
        <v>175</v>
      </c>
      <c r="BT42" s="7">
        <v>24</v>
      </c>
      <c r="BU42" s="7">
        <v>24</v>
      </c>
      <c r="BV42" s="7">
        <v>24</v>
      </c>
      <c r="BW42" s="7" t="s">
        <v>843</v>
      </c>
      <c r="BX42" s="8" t="b">
        <v>1</v>
      </c>
      <c r="BY42" s="7">
        <v>-43.906267506610995</v>
      </c>
      <c r="BZ42" s="7">
        <v>-1.1947283675268299</v>
      </c>
      <c r="CA42" s="7">
        <v>46235.229166666664</v>
      </c>
      <c r="CB42" s="7">
        <v>46235.21875</v>
      </c>
      <c r="CC42" s="7">
        <v>4.4433953324191661E-3</v>
      </c>
      <c r="CD42" s="7">
        <v>33.125435984267213</v>
      </c>
      <c r="CE42" s="7">
        <v>31.952447204968983</v>
      </c>
      <c r="CF42" s="7">
        <v>662.24534522516342</v>
      </c>
      <c r="CG42" s="7">
        <v>0.3125</v>
      </c>
      <c r="CH42" s="7" t="s">
        <v>150</v>
      </c>
      <c r="CI42" s="7">
        <v>128</v>
      </c>
      <c r="CJ42" s="8" t="b">
        <v>1</v>
      </c>
      <c r="CK42" s="7">
        <v>40</v>
      </c>
      <c r="CL42" s="7">
        <v>40</v>
      </c>
      <c r="CM42" s="7">
        <v>40</v>
      </c>
      <c r="CN42" s="8" t="b">
        <v>0</v>
      </c>
      <c r="CO42" s="7" t="s">
        <v>785</v>
      </c>
      <c r="CP42" s="7">
        <v>957.44699164653161</v>
      </c>
    </row>
    <row r="43" spans="1:94" ht="21" customHeight="1" x14ac:dyDescent="0.45">
      <c r="A43" s="9">
        <v>46235.229166666664</v>
      </c>
      <c r="B43" s="9">
        <v>46235.239583333336</v>
      </c>
      <c r="C43" s="9">
        <v>46235.354166666664</v>
      </c>
      <c r="D43" s="10">
        <v>46235</v>
      </c>
      <c r="E43" s="7">
        <v>0.25</v>
      </c>
      <c r="F43" s="7" t="s">
        <v>770</v>
      </c>
      <c r="G43" s="9">
        <v>46235.208333333336</v>
      </c>
      <c r="H43" s="7">
        <v>141.72999999999999</v>
      </c>
      <c r="I43" s="7" t="s">
        <v>844</v>
      </c>
      <c r="J43" s="7">
        <v>15</v>
      </c>
      <c r="K43" s="7" t="s">
        <v>790</v>
      </c>
      <c r="L43" s="10">
        <v>46234</v>
      </c>
      <c r="M43" s="7">
        <v>5.2473000000000001</v>
      </c>
      <c r="N43" s="7" t="s">
        <v>773</v>
      </c>
      <c r="O43" s="7">
        <v>91.903999999999996</v>
      </c>
      <c r="P43" s="7" t="s">
        <v>840</v>
      </c>
      <c r="Q43" s="7" t="s">
        <v>775</v>
      </c>
      <c r="R43" s="7">
        <v>66.224534522516336</v>
      </c>
      <c r="S43" s="7" t="s">
        <v>776</v>
      </c>
      <c r="T43" s="7">
        <v>175</v>
      </c>
      <c r="U43" s="7" t="s">
        <v>841</v>
      </c>
      <c r="V43" s="7" t="s">
        <v>775</v>
      </c>
      <c r="W43" s="7">
        <v>6.7863472643073575</v>
      </c>
      <c r="X43" s="7" t="s">
        <v>776</v>
      </c>
      <c r="Y43" s="7">
        <v>175</v>
      </c>
      <c r="Z43" s="7" t="s">
        <v>842</v>
      </c>
      <c r="AA43" s="7" t="s">
        <v>775</v>
      </c>
      <c r="AB43" s="7">
        <v>2.6280182188935259</v>
      </c>
      <c r="AC43" s="7" t="s">
        <v>776</v>
      </c>
      <c r="AD43" s="7"/>
      <c r="AE43" s="7" t="s">
        <v>779</v>
      </c>
      <c r="AF43" s="7"/>
      <c r="AG43" s="7">
        <v>169.09305738189164</v>
      </c>
      <c r="AH43" s="7" t="s">
        <v>776</v>
      </c>
      <c r="AI43" s="7">
        <v>1.431</v>
      </c>
      <c r="AJ43" s="7">
        <v>0</v>
      </c>
      <c r="AK43" s="7" t="s">
        <v>776</v>
      </c>
      <c r="AL43" s="7">
        <v>0</v>
      </c>
      <c r="AM43" s="7" t="s">
        <v>780</v>
      </c>
      <c r="AN43" s="7" t="s">
        <v>781</v>
      </c>
      <c r="AO43" s="7" t="s">
        <v>782</v>
      </c>
      <c r="AP43" s="7">
        <v>3.2708571428571399E-2</v>
      </c>
      <c r="AQ43" s="7">
        <v>0</v>
      </c>
      <c r="AR43" s="7">
        <v>3.2708571428571399E-2</v>
      </c>
      <c r="AS43" s="8" t="b">
        <v>1</v>
      </c>
      <c r="AT43" s="8" t="b">
        <v>1</v>
      </c>
      <c r="AU43" s="8" t="b">
        <v>1</v>
      </c>
      <c r="AV43" s="8" t="b">
        <v>1</v>
      </c>
      <c r="AW43" s="8" t="b">
        <v>1</v>
      </c>
      <c r="AX43" s="8" t="b">
        <v>1</v>
      </c>
      <c r="AY43" s="8" t="b">
        <v>1</v>
      </c>
      <c r="AZ43" s="8" t="b">
        <v>1</v>
      </c>
      <c r="BA43" s="7" t="s">
        <v>783</v>
      </c>
      <c r="BB43" s="7" t="s">
        <v>783</v>
      </c>
      <c r="BC43" s="7" t="s">
        <v>784</v>
      </c>
      <c r="BD43" s="7">
        <v>0</v>
      </c>
      <c r="BE43" s="7">
        <v>0</v>
      </c>
      <c r="BF43" s="7">
        <v>15.768109313361155</v>
      </c>
      <c r="BG43" s="7">
        <v>0.13714285714285715</v>
      </c>
      <c r="BH43" s="7" t="s">
        <v>154</v>
      </c>
      <c r="BI43" s="7">
        <v>175</v>
      </c>
      <c r="BJ43" s="7">
        <v>24</v>
      </c>
      <c r="BK43" s="7">
        <v>24</v>
      </c>
      <c r="BL43" s="7">
        <v>24</v>
      </c>
      <c r="BM43" s="8" t="b">
        <v>1</v>
      </c>
      <c r="BN43" s="7">
        <v>33.184754072706781</v>
      </c>
      <c r="BO43" s="7">
        <v>0.19625142857142858</v>
      </c>
      <c r="BP43" s="7">
        <v>40.718083585844141</v>
      </c>
      <c r="BQ43" s="7">
        <v>0.13714285714285715</v>
      </c>
      <c r="BR43" s="7" t="s">
        <v>154</v>
      </c>
      <c r="BS43" s="7">
        <v>175</v>
      </c>
      <c r="BT43" s="7">
        <v>24</v>
      </c>
      <c r="BU43" s="7">
        <v>24</v>
      </c>
      <c r="BV43" s="7">
        <v>24</v>
      </c>
      <c r="BW43" s="7" t="s">
        <v>844</v>
      </c>
      <c r="BX43" s="8" t="b">
        <v>1</v>
      </c>
      <c r="BY43" s="7">
        <v>0</v>
      </c>
      <c r="BZ43" s="7">
        <v>0</v>
      </c>
      <c r="CA43" s="7">
        <v>46235.239583333336</v>
      </c>
      <c r="CB43" s="7">
        <v>46235.229166666664</v>
      </c>
      <c r="CC43" s="7">
        <v>5.9254658385093169E-4</v>
      </c>
      <c r="CD43" s="7">
        <v>31.952447204968983</v>
      </c>
      <c r="CE43" s="7">
        <v>31.739130434782648</v>
      </c>
      <c r="CF43" s="7">
        <v>662.24534522516342</v>
      </c>
      <c r="CG43" s="7">
        <v>0.3125</v>
      </c>
      <c r="CH43" s="7" t="s">
        <v>150</v>
      </c>
      <c r="CI43" s="7">
        <v>128</v>
      </c>
      <c r="CJ43" s="8" t="b">
        <v>1</v>
      </c>
      <c r="CK43" s="7">
        <v>40</v>
      </c>
      <c r="CL43" s="7">
        <v>40</v>
      </c>
      <c r="CM43" s="7">
        <v>40</v>
      </c>
      <c r="CN43" s="8" t="b">
        <v>0</v>
      </c>
      <c r="CO43" s="7" t="s">
        <v>785</v>
      </c>
      <c r="CP43" s="7">
        <v>751.91629219707545</v>
      </c>
    </row>
    <row r="44" spans="1:94" ht="21" customHeight="1" x14ac:dyDescent="0.45">
      <c r="A44" s="9">
        <v>46235.239583333336</v>
      </c>
      <c r="B44" s="9">
        <v>46235.25</v>
      </c>
      <c r="C44" s="9">
        <v>46235.364583333336</v>
      </c>
      <c r="D44" s="10">
        <v>46235</v>
      </c>
      <c r="E44" s="7">
        <v>0.25</v>
      </c>
      <c r="F44" s="7" t="s">
        <v>770</v>
      </c>
      <c r="G44" s="9">
        <v>46235.208333333336</v>
      </c>
      <c r="H44" s="7">
        <v>134</v>
      </c>
      <c r="I44" s="7" t="s">
        <v>845</v>
      </c>
      <c r="J44" s="7">
        <v>15</v>
      </c>
      <c r="K44" s="7" t="s">
        <v>790</v>
      </c>
      <c r="L44" s="10">
        <v>46234</v>
      </c>
      <c r="M44" s="7">
        <v>5.2473000000000001</v>
      </c>
      <c r="N44" s="7" t="s">
        <v>773</v>
      </c>
      <c r="O44" s="7">
        <v>91.903999999999996</v>
      </c>
      <c r="P44" s="7" t="s">
        <v>840</v>
      </c>
      <c r="Q44" s="7" t="s">
        <v>775</v>
      </c>
      <c r="R44" s="7">
        <v>66.224534522516336</v>
      </c>
      <c r="S44" s="7" t="s">
        <v>776</v>
      </c>
      <c r="T44" s="7">
        <v>175</v>
      </c>
      <c r="U44" s="7" t="s">
        <v>841</v>
      </c>
      <c r="V44" s="7" t="s">
        <v>775</v>
      </c>
      <c r="W44" s="7">
        <v>6.7863472643073575</v>
      </c>
      <c r="X44" s="7" t="s">
        <v>776</v>
      </c>
      <c r="Y44" s="7">
        <v>175</v>
      </c>
      <c r="Z44" s="7" t="s">
        <v>842</v>
      </c>
      <c r="AA44" s="7" t="s">
        <v>775</v>
      </c>
      <c r="AB44" s="7">
        <v>2.6280182188935259</v>
      </c>
      <c r="AC44" s="7" t="s">
        <v>776</v>
      </c>
      <c r="AD44" s="7"/>
      <c r="AE44" s="7" t="s">
        <v>779</v>
      </c>
      <c r="AF44" s="7"/>
      <c r="AG44" s="7">
        <v>156.1105711508776</v>
      </c>
      <c r="AH44" s="7" t="s">
        <v>776</v>
      </c>
      <c r="AI44" s="7">
        <v>8.7999999999999995E-2</v>
      </c>
      <c r="AJ44" s="7">
        <v>74.098488746593489</v>
      </c>
      <c r="AK44" s="7" t="s">
        <v>776</v>
      </c>
      <c r="AL44" s="7">
        <v>1.831</v>
      </c>
      <c r="AM44" s="7" t="s">
        <v>780</v>
      </c>
      <c r="AN44" s="7" t="s">
        <v>781</v>
      </c>
      <c r="AO44" s="7" t="s">
        <v>782</v>
      </c>
      <c r="AP44" s="7">
        <v>2.0114285714285E-3</v>
      </c>
      <c r="AQ44" s="7">
        <v>4.1851428571428498E-2</v>
      </c>
      <c r="AR44" s="7">
        <v>4.3862857142857099E-2</v>
      </c>
      <c r="AS44" s="8" t="b">
        <v>1</v>
      </c>
      <c r="AT44" s="8" t="b">
        <v>1</v>
      </c>
      <c r="AU44" s="8" t="b">
        <v>1</v>
      </c>
      <c r="AV44" s="8" t="b">
        <v>1</v>
      </c>
      <c r="AW44" s="8" t="b">
        <v>1</v>
      </c>
      <c r="AX44" s="8" t="b">
        <v>1</v>
      </c>
      <c r="AY44" s="8" t="b">
        <v>1</v>
      </c>
      <c r="AZ44" s="8" t="b">
        <v>1</v>
      </c>
      <c r="BA44" s="7" t="s">
        <v>783</v>
      </c>
      <c r="BB44" s="7" t="s">
        <v>783</v>
      </c>
      <c r="BC44" s="7" t="s">
        <v>784</v>
      </c>
      <c r="BD44" s="7">
        <v>-18.606765654173167</v>
      </c>
      <c r="BE44" s="7">
        <v>0.2511085714285714</v>
      </c>
      <c r="BF44" s="7">
        <v>15.768109313361155</v>
      </c>
      <c r="BG44" s="7">
        <v>0.13714285714285715</v>
      </c>
      <c r="BH44" s="7" t="s">
        <v>154</v>
      </c>
      <c r="BI44" s="7">
        <v>175</v>
      </c>
      <c r="BJ44" s="7">
        <v>24</v>
      </c>
      <c r="BK44" s="7">
        <v>24</v>
      </c>
      <c r="BL44" s="7">
        <v>24</v>
      </c>
      <c r="BM44" s="8" t="b">
        <v>1</v>
      </c>
      <c r="BN44" s="7">
        <v>1.8840315786894484</v>
      </c>
      <c r="BO44" s="7">
        <v>1.2068571428571427E-2</v>
      </c>
      <c r="BP44" s="7">
        <v>40.718083585844141</v>
      </c>
      <c r="BQ44" s="7">
        <v>0.13714285714285715</v>
      </c>
      <c r="BR44" s="7" t="s">
        <v>154</v>
      </c>
      <c r="BS44" s="7">
        <v>175</v>
      </c>
      <c r="BT44" s="7">
        <v>24</v>
      </c>
      <c r="BU44" s="7">
        <v>24</v>
      </c>
      <c r="BV44" s="7">
        <v>24</v>
      </c>
      <c r="BW44" s="7" t="s">
        <v>845</v>
      </c>
      <c r="BX44" s="8" t="b">
        <v>1</v>
      </c>
      <c r="BY44" s="7">
        <v>-1206</v>
      </c>
      <c r="BZ44" s="7">
        <v>-36</v>
      </c>
      <c r="CA44" s="7">
        <v>46235.25</v>
      </c>
      <c r="CB44" s="7">
        <v>46235.239583333336</v>
      </c>
      <c r="CC44" s="7">
        <v>2.3610880000000001E-2</v>
      </c>
      <c r="CD44" s="7">
        <v>31.739130434782648</v>
      </c>
      <c r="CE44" s="7">
        <v>40.239047234782646</v>
      </c>
      <c r="CF44" s="7">
        <v>662.24534522516342</v>
      </c>
      <c r="CG44" s="7">
        <v>0.3125</v>
      </c>
      <c r="CH44" s="7" t="s">
        <v>150</v>
      </c>
      <c r="CI44" s="7">
        <v>128</v>
      </c>
      <c r="CJ44" s="8" t="b">
        <v>1</v>
      </c>
      <c r="CK44" s="7">
        <v>40</v>
      </c>
      <c r="CL44" s="7">
        <v>40</v>
      </c>
      <c r="CM44" s="7">
        <v>40</v>
      </c>
      <c r="CN44" s="8" t="b">
        <v>0</v>
      </c>
      <c r="CO44" s="7" t="s">
        <v>785</v>
      </c>
      <c r="CP44" s="7">
        <v>-503.991195951115</v>
      </c>
    </row>
    <row r="45" spans="1:94" ht="21" customHeight="1" x14ac:dyDescent="0.45">
      <c r="A45" s="9">
        <v>46235.25</v>
      </c>
      <c r="B45" s="9">
        <v>46235.260416666664</v>
      </c>
      <c r="C45" s="9">
        <v>46235.375</v>
      </c>
      <c r="D45" s="10">
        <v>46235</v>
      </c>
      <c r="E45" s="7">
        <v>0.25</v>
      </c>
      <c r="F45" s="7" t="s">
        <v>770</v>
      </c>
      <c r="G45" s="9">
        <v>46235.25</v>
      </c>
      <c r="H45" s="7">
        <v>160.86000000000001</v>
      </c>
      <c r="I45" s="7" t="s">
        <v>846</v>
      </c>
      <c r="J45" s="7">
        <v>15</v>
      </c>
      <c r="K45" s="7" t="s">
        <v>790</v>
      </c>
      <c r="L45" s="10">
        <v>46234</v>
      </c>
      <c r="M45" s="7">
        <v>5.2473000000000001</v>
      </c>
      <c r="N45" s="7" t="s">
        <v>773</v>
      </c>
      <c r="O45" s="7">
        <v>91.903999999999996</v>
      </c>
      <c r="P45" s="7" t="s">
        <v>847</v>
      </c>
      <c r="Q45" s="7" t="s">
        <v>775</v>
      </c>
      <c r="R45" s="7">
        <v>66.224534522516336</v>
      </c>
      <c r="S45" s="7" t="s">
        <v>776</v>
      </c>
      <c r="T45" s="7">
        <v>175</v>
      </c>
      <c r="U45" s="7" t="s">
        <v>848</v>
      </c>
      <c r="V45" s="7" t="s">
        <v>775</v>
      </c>
      <c r="W45" s="7">
        <v>7.2056105044499077</v>
      </c>
      <c r="X45" s="7" t="s">
        <v>776</v>
      </c>
      <c r="Y45" s="7">
        <v>175</v>
      </c>
      <c r="Z45" s="7" t="s">
        <v>849</v>
      </c>
      <c r="AA45" s="7" t="s">
        <v>775</v>
      </c>
      <c r="AB45" s="7">
        <v>2.3250052407905017</v>
      </c>
      <c r="AC45" s="7" t="s">
        <v>776</v>
      </c>
      <c r="AD45" s="7"/>
      <c r="AE45" s="7" t="s">
        <v>779</v>
      </c>
      <c r="AF45" s="7"/>
      <c r="AG45" s="7">
        <v>164.52689954833914</v>
      </c>
      <c r="AH45" s="7" t="s">
        <v>776</v>
      </c>
      <c r="AI45" s="7">
        <v>3.1240000000000001</v>
      </c>
      <c r="AJ45" s="7">
        <v>76.229680025918086</v>
      </c>
      <c r="AK45" s="7" t="s">
        <v>776</v>
      </c>
      <c r="AL45" s="7">
        <v>0.26200000000000001</v>
      </c>
      <c r="AM45" s="7" t="s">
        <v>780</v>
      </c>
      <c r="AN45" s="7" t="s">
        <v>781</v>
      </c>
      <c r="AO45" s="7" t="s">
        <v>782</v>
      </c>
      <c r="AP45" s="7">
        <v>7.1405714285714295E-2</v>
      </c>
      <c r="AQ45" s="7">
        <v>5.9885714285714004E-3</v>
      </c>
      <c r="AR45" s="7">
        <v>7.7394285714285693E-2</v>
      </c>
      <c r="AS45" s="8" t="b">
        <v>1</v>
      </c>
      <c r="AT45" s="8" t="b">
        <v>1</v>
      </c>
      <c r="AU45" s="8" t="b">
        <v>1</v>
      </c>
      <c r="AV45" s="8" t="b">
        <v>1</v>
      </c>
      <c r="AW45" s="8" t="b">
        <v>1</v>
      </c>
      <c r="AX45" s="8" t="b">
        <v>1</v>
      </c>
      <c r="AY45" s="8" t="b">
        <v>1</v>
      </c>
      <c r="AZ45" s="8" t="b">
        <v>1</v>
      </c>
      <c r="BA45" s="7" t="s">
        <v>783</v>
      </c>
      <c r="BB45" s="7" t="s">
        <v>783</v>
      </c>
      <c r="BC45" s="7" t="s">
        <v>784</v>
      </c>
      <c r="BD45" s="7">
        <v>0</v>
      </c>
      <c r="BE45" s="7">
        <v>0</v>
      </c>
      <c r="BF45" s="7">
        <v>0</v>
      </c>
      <c r="BG45" s="7">
        <v>0.13714285714285715</v>
      </c>
      <c r="BH45" s="7" t="s">
        <v>154</v>
      </c>
      <c r="BI45" s="7">
        <v>175</v>
      </c>
      <c r="BJ45" s="7">
        <v>0</v>
      </c>
      <c r="BK45" s="7">
        <v>24</v>
      </c>
      <c r="BL45" s="7">
        <v>24</v>
      </c>
      <c r="BM45" s="8" t="b">
        <v>1</v>
      </c>
      <c r="BN45" s="7">
        <v>70.488964688778722</v>
      </c>
      <c r="BO45" s="7">
        <v>0.42843428571428577</v>
      </c>
      <c r="BP45" s="7">
        <v>43.233663026699446</v>
      </c>
      <c r="BQ45" s="7">
        <v>0.13714285714285715</v>
      </c>
      <c r="BR45" s="7" t="s">
        <v>154</v>
      </c>
      <c r="BS45" s="7">
        <v>175</v>
      </c>
      <c r="BT45" s="7">
        <v>24</v>
      </c>
      <c r="BU45" s="7">
        <v>24</v>
      </c>
      <c r="BV45" s="7">
        <v>24</v>
      </c>
      <c r="BW45" s="7" t="s">
        <v>846</v>
      </c>
      <c r="BX45" s="8" t="b">
        <v>1</v>
      </c>
      <c r="BY45" s="7">
        <v>1172.8685031321602</v>
      </c>
      <c r="BZ45" s="7">
        <v>29.164950966857145</v>
      </c>
      <c r="CA45" s="7">
        <v>46235.260416666664</v>
      </c>
      <c r="CB45" s="7">
        <v>46235.25</v>
      </c>
      <c r="CC45" s="7">
        <v>2.3308188488612838E-2</v>
      </c>
      <c r="CD45" s="7">
        <v>40.239047234782646</v>
      </c>
      <c r="CE45" s="7">
        <v>31.848099378882022</v>
      </c>
      <c r="CF45" s="7">
        <v>662.24534522516342</v>
      </c>
      <c r="CG45" s="7">
        <v>0.3125</v>
      </c>
      <c r="CH45" s="7" t="s">
        <v>150</v>
      </c>
      <c r="CI45" s="7">
        <v>128</v>
      </c>
      <c r="CJ45" s="8" t="b">
        <v>1</v>
      </c>
      <c r="CK45" s="7">
        <v>40</v>
      </c>
      <c r="CL45" s="7">
        <v>40</v>
      </c>
      <c r="CM45" s="7">
        <v>40</v>
      </c>
      <c r="CN45" s="8" t="b">
        <v>0</v>
      </c>
      <c r="CO45" s="7" t="s">
        <v>785</v>
      </c>
      <c r="CP45" s="7">
        <v>1948.8364760728018</v>
      </c>
    </row>
    <row r="46" spans="1:94" ht="21" customHeight="1" x14ac:dyDescent="0.45">
      <c r="A46" s="9">
        <v>46235.260416666664</v>
      </c>
      <c r="B46" s="9">
        <v>46235.270833333336</v>
      </c>
      <c r="C46" s="9">
        <v>46235.385416666664</v>
      </c>
      <c r="D46" s="10">
        <v>46235</v>
      </c>
      <c r="E46" s="7">
        <v>0.25</v>
      </c>
      <c r="F46" s="7" t="s">
        <v>770</v>
      </c>
      <c r="G46" s="9">
        <v>46235.25</v>
      </c>
      <c r="H46" s="7">
        <v>143.69999999999999</v>
      </c>
      <c r="I46" s="7" t="s">
        <v>850</v>
      </c>
      <c r="J46" s="7">
        <v>15</v>
      </c>
      <c r="K46" s="7" t="s">
        <v>790</v>
      </c>
      <c r="L46" s="10">
        <v>46234</v>
      </c>
      <c r="M46" s="7">
        <v>5.2473000000000001</v>
      </c>
      <c r="N46" s="7" t="s">
        <v>773</v>
      </c>
      <c r="O46" s="7">
        <v>91.903999999999996</v>
      </c>
      <c r="P46" s="7" t="s">
        <v>847</v>
      </c>
      <c r="Q46" s="7" t="s">
        <v>775</v>
      </c>
      <c r="R46" s="7">
        <v>66.224534522516336</v>
      </c>
      <c r="S46" s="7" t="s">
        <v>776</v>
      </c>
      <c r="T46" s="7">
        <v>175</v>
      </c>
      <c r="U46" s="7" t="s">
        <v>848</v>
      </c>
      <c r="V46" s="7" t="s">
        <v>775</v>
      </c>
      <c r="W46" s="7">
        <v>7.2056105044499077</v>
      </c>
      <c r="X46" s="7" t="s">
        <v>776</v>
      </c>
      <c r="Y46" s="7">
        <v>175</v>
      </c>
      <c r="Z46" s="7" t="s">
        <v>849</v>
      </c>
      <c r="AA46" s="7" t="s">
        <v>775</v>
      </c>
      <c r="AB46" s="7">
        <v>2.3250052407905017</v>
      </c>
      <c r="AC46" s="7" t="s">
        <v>776</v>
      </c>
      <c r="AD46" s="7"/>
      <c r="AE46" s="7" t="s">
        <v>779</v>
      </c>
      <c r="AF46" s="7"/>
      <c r="AG46" s="7">
        <v>133.21136584529185</v>
      </c>
      <c r="AH46" s="7" t="s">
        <v>776</v>
      </c>
      <c r="AI46" s="7">
        <v>9.0999999999999998E-2</v>
      </c>
      <c r="AJ46" s="7">
        <v>76.229680025918086</v>
      </c>
      <c r="AK46" s="7" t="s">
        <v>776</v>
      </c>
      <c r="AL46" s="7">
        <v>0.107</v>
      </c>
      <c r="AM46" s="7" t="s">
        <v>780</v>
      </c>
      <c r="AN46" s="7" t="s">
        <v>781</v>
      </c>
      <c r="AO46" s="7" t="s">
        <v>782</v>
      </c>
      <c r="AP46" s="7">
        <v>2.0799999999999998E-3</v>
      </c>
      <c r="AQ46" s="7">
        <v>2.4457142857142E-3</v>
      </c>
      <c r="AR46" s="7">
        <v>4.5257142857141998E-3</v>
      </c>
      <c r="AS46" s="8" t="b">
        <v>1</v>
      </c>
      <c r="AT46" s="8" t="b">
        <v>1</v>
      </c>
      <c r="AU46" s="8" t="b">
        <v>1</v>
      </c>
      <c r="AV46" s="8" t="b">
        <v>1</v>
      </c>
      <c r="AW46" s="8" t="b">
        <v>1</v>
      </c>
      <c r="AX46" s="8" t="b">
        <v>1</v>
      </c>
      <c r="AY46" s="8" t="b">
        <v>1</v>
      </c>
      <c r="AZ46" s="8" t="b">
        <v>1</v>
      </c>
      <c r="BA46" s="7" t="s">
        <v>783</v>
      </c>
      <c r="BB46" s="7" t="s">
        <v>783</v>
      </c>
      <c r="BC46" s="7" t="s">
        <v>784</v>
      </c>
      <c r="BD46" s="7">
        <v>0</v>
      </c>
      <c r="BE46" s="7">
        <v>0</v>
      </c>
      <c r="BF46" s="7">
        <v>0</v>
      </c>
      <c r="BG46" s="7">
        <v>0.13714285714285715</v>
      </c>
      <c r="BH46" s="7" t="s">
        <v>154</v>
      </c>
      <c r="BI46" s="7">
        <v>175</v>
      </c>
      <c r="BJ46" s="7">
        <v>0</v>
      </c>
      <c r="BK46" s="7">
        <v>24</v>
      </c>
      <c r="BL46" s="7">
        <v>24</v>
      </c>
      <c r="BM46" s="8" t="b">
        <v>1</v>
      </c>
      <c r="BN46" s="7">
        <v>1.662477845749242</v>
      </c>
      <c r="BO46" s="7">
        <v>1.2479999999999998E-2</v>
      </c>
      <c r="BP46" s="7">
        <v>43.233663026699446</v>
      </c>
      <c r="BQ46" s="7">
        <v>0.13714285714285715</v>
      </c>
      <c r="BR46" s="7" t="s">
        <v>154</v>
      </c>
      <c r="BS46" s="7">
        <v>175</v>
      </c>
      <c r="BT46" s="7">
        <v>24</v>
      </c>
      <c r="BU46" s="7">
        <v>24</v>
      </c>
      <c r="BV46" s="7">
        <v>24</v>
      </c>
      <c r="BW46" s="7" t="s">
        <v>850</v>
      </c>
      <c r="BX46" s="8" t="b">
        <v>1</v>
      </c>
      <c r="BY46" s="7">
        <v>0</v>
      </c>
      <c r="BZ46" s="7">
        <v>0</v>
      </c>
      <c r="CA46" s="7">
        <v>46235.270833333336</v>
      </c>
      <c r="CB46" s="7">
        <v>46235.260416666664</v>
      </c>
      <c r="CC46" s="7">
        <v>3.768115942028985E-5</v>
      </c>
      <c r="CD46" s="7">
        <v>31.848099378882022</v>
      </c>
      <c r="CE46" s="7">
        <v>31.834534161490719</v>
      </c>
      <c r="CF46" s="7">
        <v>662.24534522516342</v>
      </c>
      <c r="CG46" s="7">
        <v>0.3125</v>
      </c>
      <c r="CH46" s="7" t="s">
        <v>150</v>
      </c>
      <c r="CI46" s="7">
        <v>128</v>
      </c>
      <c r="CJ46" s="8" t="b">
        <v>1</v>
      </c>
      <c r="CK46" s="7">
        <v>40</v>
      </c>
      <c r="CL46" s="7">
        <v>40</v>
      </c>
      <c r="CM46" s="7">
        <v>40</v>
      </c>
      <c r="CN46" s="8" t="b">
        <v>0</v>
      </c>
      <c r="CO46" s="7" t="s">
        <v>785</v>
      </c>
      <c r="CP46" s="7">
        <v>707.14148609761207</v>
      </c>
    </row>
    <row r="47" spans="1:94" ht="21" customHeight="1" x14ac:dyDescent="0.45">
      <c r="A47" s="9">
        <v>46235.270833333336</v>
      </c>
      <c r="B47" s="9">
        <v>46235.28125</v>
      </c>
      <c r="C47" s="9">
        <v>46235.395833333336</v>
      </c>
      <c r="D47" s="10">
        <v>46235</v>
      </c>
      <c r="E47" s="7">
        <v>0.25</v>
      </c>
      <c r="F47" s="7" t="s">
        <v>770</v>
      </c>
      <c r="G47" s="9">
        <v>46235.25</v>
      </c>
      <c r="H47" s="7">
        <v>133.18</v>
      </c>
      <c r="I47" s="7" t="s">
        <v>851</v>
      </c>
      <c r="J47" s="7">
        <v>15</v>
      </c>
      <c r="K47" s="7" t="s">
        <v>790</v>
      </c>
      <c r="L47" s="10">
        <v>46234</v>
      </c>
      <c r="M47" s="7">
        <v>5.2473000000000001</v>
      </c>
      <c r="N47" s="7" t="s">
        <v>773</v>
      </c>
      <c r="O47" s="7">
        <v>91.903999999999996</v>
      </c>
      <c r="P47" s="7" t="s">
        <v>847</v>
      </c>
      <c r="Q47" s="7" t="s">
        <v>775</v>
      </c>
      <c r="R47" s="7">
        <v>66.224534522516336</v>
      </c>
      <c r="S47" s="7" t="s">
        <v>776</v>
      </c>
      <c r="T47" s="7">
        <v>175</v>
      </c>
      <c r="U47" s="7" t="s">
        <v>848</v>
      </c>
      <c r="V47" s="7" t="s">
        <v>775</v>
      </c>
      <c r="W47" s="7">
        <v>7.2056105044499077</v>
      </c>
      <c r="X47" s="7" t="s">
        <v>776</v>
      </c>
      <c r="Y47" s="7">
        <v>175</v>
      </c>
      <c r="Z47" s="7" t="s">
        <v>849</v>
      </c>
      <c r="AA47" s="7" t="s">
        <v>775</v>
      </c>
      <c r="AB47" s="7">
        <v>2.3250052407905017</v>
      </c>
      <c r="AC47" s="7" t="s">
        <v>776</v>
      </c>
      <c r="AD47" s="7"/>
      <c r="AE47" s="7" t="s">
        <v>779</v>
      </c>
      <c r="AF47" s="7"/>
      <c r="AG47" s="7">
        <v>133.21136584529185</v>
      </c>
      <c r="AH47" s="7" t="s">
        <v>776</v>
      </c>
      <c r="AI47" s="7">
        <v>0.64</v>
      </c>
      <c r="AJ47" s="7">
        <v>76.229680025918086</v>
      </c>
      <c r="AK47" s="7" t="s">
        <v>776</v>
      </c>
      <c r="AL47" s="7">
        <v>3.0000000000000001E-3</v>
      </c>
      <c r="AM47" s="7" t="s">
        <v>780</v>
      </c>
      <c r="AN47" s="7" t="s">
        <v>781</v>
      </c>
      <c r="AO47" s="7" t="s">
        <v>782</v>
      </c>
      <c r="AP47" s="7">
        <v>1.4628571428571401E-2</v>
      </c>
      <c r="AQ47" s="7">
        <v>6.8571428571428567E-5</v>
      </c>
      <c r="AR47" s="7">
        <v>1.4697142857142799E-2</v>
      </c>
      <c r="AS47" s="8" t="b">
        <v>1</v>
      </c>
      <c r="AT47" s="8" t="b">
        <v>1</v>
      </c>
      <c r="AU47" s="8" t="b">
        <v>1</v>
      </c>
      <c r="AV47" s="8" t="b">
        <v>1</v>
      </c>
      <c r="AW47" s="8" t="b">
        <v>1</v>
      </c>
      <c r="AX47" s="8" t="b">
        <v>1</v>
      </c>
      <c r="AY47" s="8" t="b">
        <v>1</v>
      </c>
      <c r="AZ47" s="8" t="b">
        <v>1</v>
      </c>
      <c r="BA47" s="7" t="s">
        <v>783</v>
      </c>
      <c r="BB47" s="7" t="s">
        <v>783</v>
      </c>
      <c r="BC47" s="7" t="s">
        <v>784</v>
      </c>
      <c r="BD47" s="7">
        <v>0</v>
      </c>
      <c r="BE47" s="7">
        <v>0</v>
      </c>
      <c r="BF47" s="7">
        <v>0</v>
      </c>
      <c r="BG47" s="7">
        <v>0.13714285714285715</v>
      </c>
      <c r="BH47" s="7" t="s">
        <v>154</v>
      </c>
      <c r="BI47" s="7">
        <v>175</v>
      </c>
      <c r="BJ47" s="7">
        <v>0</v>
      </c>
      <c r="BK47" s="7">
        <v>24</v>
      </c>
      <c r="BL47" s="7">
        <v>24</v>
      </c>
      <c r="BM47" s="8" t="b">
        <v>1</v>
      </c>
      <c r="BN47" s="7">
        <v>11.692151882192473</v>
      </c>
      <c r="BO47" s="7">
        <v>8.777142857142857E-2</v>
      </c>
      <c r="BP47" s="7">
        <v>43.233663026699446</v>
      </c>
      <c r="BQ47" s="7">
        <v>0.13714285714285715</v>
      </c>
      <c r="BR47" s="7" t="s">
        <v>154</v>
      </c>
      <c r="BS47" s="7">
        <v>175</v>
      </c>
      <c r="BT47" s="7">
        <v>24</v>
      </c>
      <c r="BU47" s="7">
        <v>24</v>
      </c>
      <c r="BV47" s="7">
        <v>24</v>
      </c>
      <c r="BW47" s="7" t="s">
        <v>851</v>
      </c>
      <c r="BX47" s="8" t="b">
        <v>1</v>
      </c>
      <c r="BY47" s="7">
        <v>0</v>
      </c>
      <c r="BZ47" s="7">
        <v>0</v>
      </c>
      <c r="CA47" s="7">
        <v>46235.28125</v>
      </c>
      <c r="CB47" s="7">
        <v>46235.270833333336</v>
      </c>
      <c r="CC47" s="7">
        <v>2.6501035196687365E-4</v>
      </c>
      <c r="CD47" s="7">
        <v>31.834534161490719</v>
      </c>
      <c r="CE47" s="7">
        <v>31.739130434782645</v>
      </c>
      <c r="CF47" s="7">
        <v>662.24534522516342</v>
      </c>
      <c r="CG47" s="7">
        <v>0.3125</v>
      </c>
      <c r="CH47" s="7" t="s">
        <v>150</v>
      </c>
      <c r="CI47" s="7">
        <v>128</v>
      </c>
      <c r="CJ47" s="8" t="b">
        <v>1</v>
      </c>
      <c r="CK47" s="7">
        <v>40</v>
      </c>
      <c r="CL47" s="7">
        <v>40</v>
      </c>
      <c r="CM47" s="7">
        <v>40</v>
      </c>
      <c r="CN47" s="8" t="b">
        <v>0</v>
      </c>
      <c r="CO47" s="7" t="s">
        <v>785</v>
      </c>
      <c r="CP47" s="7">
        <v>717.1711601340553</v>
      </c>
    </row>
    <row r="48" spans="1:94" ht="21" customHeight="1" x14ac:dyDescent="0.45">
      <c r="A48" s="9">
        <v>46235.28125</v>
      </c>
      <c r="B48" s="9">
        <v>46235.291666666664</v>
      </c>
      <c r="C48" s="9">
        <v>46235.40625</v>
      </c>
      <c r="D48" s="10">
        <v>46235</v>
      </c>
      <c r="E48" s="7">
        <v>0.25</v>
      </c>
      <c r="F48" s="7" t="s">
        <v>770</v>
      </c>
      <c r="G48" s="9">
        <v>46235.25</v>
      </c>
      <c r="H48" s="7">
        <v>13.07</v>
      </c>
      <c r="I48" s="7" t="s">
        <v>852</v>
      </c>
      <c r="J48" s="7">
        <v>15</v>
      </c>
      <c r="K48" s="7" t="s">
        <v>790</v>
      </c>
      <c r="L48" s="10">
        <v>46234</v>
      </c>
      <c r="M48" s="7">
        <v>5.2473000000000001</v>
      </c>
      <c r="N48" s="7" t="s">
        <v>773</v>
      </c>
      <c r="O48" s="7">
        <v>91.903999999999996</v>
      </c>
      <c r="P48" s="7" t="s">
        <v>847</v>
      </c>
      <c r="Q48" s="7" t="s">
        <v>775</v>
      </c>
      <c r="R48" s="7">
        <v>66.224534522516336</v>
      </c>
      <c r="S48" s="7" t="s">
        <v>776</v>
      </c>
      <c r="T48" s="7">
        <v>175</v>
      </c>
      <c r="U48" s="7" t="s">
        <v>848</v>
      </c>
      <c r="V48" s="7" t="s">
        <v>775</v>
      </c>
      <c r="W48" s="7">
        <v>7.2056105044499077</v>
      </c>
      <c r="X48" s="7" t="s">
        <v>776</v>
      </c>
      <c r="Y48" s="7">
        <v>175</v>
      </c>
      <c r="Z48" s="7" t="s">
        <v>849</v>
      </c>
      <c r="AA48" s="7" t="s">
        <v>775</v>
      </c>
      <c r="AB48" s="7">
        <v>2.3250052407905017</v>
      </c>
      <c r="AC48" s="7" t="s">
        <v>776</v>
      </c>
      <c r="AD48" s="7"/>
      <c r="AE48" s="7" t="s">
        <v>779</v>
      </c>
      <c r="AF48" s="7"/>
      <c r="AG48" s="7">
        <v>133.21136584529185</v>
      </c>
      <c r="AH48" s="7" t="s">
        <v>776</v>
      </c>
      <c r="AI48" s="7">
        <v>0.80600000000000005</v>
      </c>
      <c r="AJ48" s="7">
        <v>69.0158748308654</v>
      </c>
      <c r="AK48" s="7" t="s">
        <v>776</v>
      </c>
      <c r="AL48" s="7">
        <v>1.53</v>
      </c>
      <c r="AM48" s="7" t="s">
        <v>780</v>
      </c>
      <c r="AN48" s="7" t="s">
        <v>781</v>
      </c>
      <c r="AO48" s="7" t="s">
        <v>782</v>
      </c>
      <c r="AP48" s="7">
        <v>1.8422857142857098E-2</v>
      </c>
      <c r="AQ48" s="7">
        <v>3.4971428571428501E-2</v>
      </c>
      <c r="AR48" s="7">
        <v>5.33942857142857E-2</v>
      </c>
      <c r="AS48" s="8" t="b">
        <v>1</v>
      </c>
      <c r="AT48" s="8" t="b">
        <v>1</v>
      </c>
      <c r="AU48" s="8" t="b">
        <v>1</v>
      </c>
      <c r="AV48" s="8" t="b">
        <v>1</v>
      </c>
      <c r="AW48" s="8" t="b">
        <v>1</v>
      </c>
      <c r="AX48" s="8" t="b">
        <v>1</v>
      </c>
      <c r="AY48" s="8" t="b">
        <v>1</v>
      </c>
      <c r="AZ48" s="8" t="b">
        <v>1</v>
      </c>
      <c r="BA48" s="7" t="s">
        <v>783</v>
      </c>
      <c r="BB48" s="7" t="s">
        <v>783</v>
      </c>
      <c r="BC48" s="7" t="s">
        <v>784</v>
      </c>
      <c r="BD48" s="7">
        <v>0</v>
      </c>
      <c r="BE48" s="7">
        <v>0</v>
      </c>
      <c r="BF48" s="7">
        <v>0</v>
      </c>
      <c r="BG48" s="7">
        <v>0.13714285714285715</v>
      </c>
      <c r="BH48" s="7" t="s">
        <v>154</v>
      </c>
      <c r="BI48" s="7">
        <v>175</v>
      </c>
      <c r="BJ48" s="7">
        <v>0</v>
      </c>
      <c r="BK48" s="7">
        <v>24</v>
      </c>
      <c r="BL48" s="7">
        <v>24</v>
      </c>
      <c r="BM48" s="8" t="b">
        <v>1</v>
      </c>
      <c r="BN48" s="7">
        <v>14.724803776636147</v>
      </c>
      <c r="BO48" s="7">
        <v>0.11053714285714286</v>
      </c>
      <c r="BP48" s="7">
        <v>43.233663026699446</v>
      </c>
      <c r="BQ48" s="7">
        <v>0.13714285714285715</v>
      </c>
      <c r="BR48" s="7" t="s">
        <v>154</v>
      </c>
      <c r="BS48" s="7">
        <v>175</v>
      </c>
      <c r="BT48" s="7">
        <v>24</v>
      </c>
      <c r="BU48" s="7">
        <v>24</v>
      </c>
      <c r="BV48" s="7">
        <v>24</v>
      </c>
      <c r="BW48" s="7" t="s">
        <v>852</v>
      </c>
      <c r="BX48" s="8" t="b">
        <v>1</v>
      </c>
      <c r="BY48" s="7">
        <v>-196.05</v>
      </c>
      <c r="BZ48" s="7">
        <v>-60</v>
      </c>
      <c r="CA48" s="7">
        <v>46235.291666666664</v>
      </c>
      <c r="CB48" s="7">
        <v>46235.28125</v>
      </c>
      <c r="CC48" s="7">
        <v>3.8050849523809521E-2</v>
      </c>
      <c r="CD48" s="7">
        <v>31.739130434782645</v>
      </c>
      <c r="CE48" s="7">
        <v>45.437436263354073</v>
      </c>
      <c r="CF48" s="7">
        <v>662.24534522516342</v>
      </c>
      <c r="CG48" s="7">
        <v>0.3125</v>
      </c>
      <c r="CH48" s="7" t="s">
        <v>150</v>
      </c>
      <c r="CI48" s="7">
        <v>128</v>
      </c>
      <c r="CJ48" s="8" t="b">
        <v>1</v>
      </c>
      <c r="CK48" s="7">
        <v>40</v>
      </c>
      <c r="CL48" s="7">
        <v>40</v>
      </c>
      <c r="CM48" s="7">
        <v>40</v>
      </c>
      <c r="CN48" s="8" t="b">
        <v>0</v>
      </c>
      <c r="CO48" s="7" t="s">
        <v>785</v>
      </c>
      <c r="CP48" s="7">
        <v>524.15381202849903</v>
      </c>
    </row>
    <row r="49" spans="1:94" ht="21" customHeight="1" x14ac:dyDescent="0.45">
      <c r="A49" s="9">
        <v>46235.291666666664</v>
      </c>
      <c r="B49" s="9">
        <v>46235.302083333336</v>
      </c>
      <c r="C49" s="9">
        <v>46235.416666666664</v>
      </c>
      <c r="D49" s="10">
        <v>46235</v>
      </c>
      <c r="E49" s="7">
        <v>0.25</v>
      </c>
      <c r="F49" s="7" t="s">
        <v>770</v>
      </c>
      <c r="G49" s="9">
        <v>46235.291666666664</v>
      </c>
      <c r="H49" s="7">
        <v>145.41</v>
      </c>
      <c r="I49" s="7" t="s">
        <v>853</v>
      </c>
      <c r="J49" s="7">
        <v>15</v>
      </c>
      <c r="K49" s="7" t="s">
        <v>790</v>
      </c>
      <c r="L49" s="10">
        <v>46234</v>
      </c>
      <c r="M49" s="7">
        <v>5.2473000000000001</v>
      </c>
      <c r="N49" s="7" t="s">
        <v>773</v>
      </c>
      <c r="O49" s="7">
        <v>91.903999999999996</v>
      </c>
      <c r="P49" s="7" t="s">
        <v>854</v>
      </c>
      <c r="Q49" s="7" t="s">
        <v>775</v>
      </c>
      <c r="R49" s="7">
        <v>66.224534522516336</v>
      </c>
      <c r="S49" s="7" t="s">
        <v>776</v>
      </c>
      <c r="T49" s="7">
        <v>175</v>
      </c>
      <c r="U49" s="7" t="s">
        <v>855</v>
      </c>
      <c r="V49" s="7" t="s">
        <v>775</v>
      </c>
      <c r="W49" s="7">
        <v>5.2655651477902916</v>
      </c>
      <c r="X49" s="7" t="s">
        <v>776</v>
      </c>
      <c r="Y49" s="7">
        <v>175</v>
      </c>
      <c r="Z49" s="7" t="s">
        <v>856</v>
      </c>
      <c r="AA49" s="7" t="s">
        <v>775</v>
      </c>
      <c r="AB49" s="7">
        <v>3.0015436510205249</v>
      </c>
      <c r="AC49" s="7" t="s">
        <v>776</v>
      </c>
      <c r="AD49" s="7"/>
      <c r="AE49" s="7" t="s">
        <v>779</v>
      </c>
      <c r="AF49" s="7"/>
      <c r="AG49" s="7">
        <v>133.30303203552302</v>
      </c>
      <c r="AH49" s="7" t="s">
        <v>776</v>
      </c>
      <c r="AI49" s="7">
        <v>1.0009999999999999</v>
      </c>
      <c r="AJ49" s="7">
        <v>76.229680025918086</v>
      </c>
      <c r="AK49" s="7" t="s">
        <v>776</v>
      </c>
      <c r="AL49" s="7">
        <v>0.55900000000000005</v>
      </c>
      <c r="AM49" s="7" t="s">
        <v>780</v>
      </c>
      <c r="AN49" s="7" t="s">
        <v>781</v>
      </c>
      <c r="AO49" s="7" t="s">
        <v>782</v>
      </c>
      <c r="AP49" s="7">
        <v>2.28799999999999E-2</v>
      </c>
      <c r="AQ49" s="7">
        <v>1.2777142857142799E-2</v>
      </c>
      <c r="AR49" s="7">
        <v>3.5657142857142797E-2</v>
      </c>
      <c r="AS49" s="8" t="b">
        <v>1</v>
      </c>
      <c r="AT49" s="8" t="b">
        <v>1</v>
      </c>
      <c r="AU49" s="8" t="b">
        <v>1</v>
      </c>
      <c r="AV49" s="8" t="b">
        <v>1</v>
      </c>
      <c r="AW49" s="8" t="b">
        <v>1</v>
      </c>
      <c r="AX49" s="8" t="b">
        <v>1</v>
      </c>
      <c r="AY49" s="8" t="b">
        <v>1</v>
      </c>
      <c r="AZ49" s="8" t="b">
        <v>1</v>
      </c>
      <c r="BA49" s="7" t="s">
        <v>783</v>
      </c>
      <c r="BB49" s="7" t="s">
        <v>783</v>
      </c>
      <c r="BC49" s="7" t="s">
        <v>784</v>
      </c>
      <c r="BD49" s="7">
        <v>0</v>
      </c>
      <c r="BE49" s="7">
        <v>0</v>
      </c>
      <c r="BF49" s="7">
        <v>0</v>
      </c>
      <c r="BG49" s="7">
        <v>0.13714285714285715</v>
      </c>
      <c r="BH49" s="7" t="s">
        <v>154</v>
      </c>
      <c r="BI49" s="7">
        <v>175</v>
      </c>
      <c r="BJ49" s="7">
        <v>0</v>
      </c>
      <c r="BK49" s="7">
        <v>24</v>
      </c>
      <c r="BL49" s="7">
        <v>24</v>
      </c>
      <c r="BM49" s="8" t="b">
        <v>1</v>
      </c>
      <c r="BN49" s="7">
        <v>10.674906805404682</v>
      </c>
      <c r="BO49" s="7">
        <v>8.0079999999999985E-2</v>
      </c>
      <c r="BP49" s="7">
        <v>18.429478017266021</v>
      </c>
      <c r="BQ49" s="7">
        <v>0.13714285714285715</v>
      </c>
      <c r="BR49" s="7" t="s">
        <v>154</v>
      </c>
      <c r="BS49" s="7">
        <v>175</v>
      </c>
      <c r="BT49" s="7">
        <v>14</v>
      </c>
      <c r="BU49" s="7">
        <v>24</v>
      </c>
      <c r="BV49" s="7">
        <v>24</v>
      </c>
      <c r="BW49" s="7" t="s">
        <v>853</v>
      </c>
      <c r="BX49" s="8" t="b">
        <v>1</v>
      </c>
      <c r="BY49" s="7">
        <v>1672.2149999999999</v>
      </c>
      <c r="BZ49" s="7">
        <v>46</v>
      </c>
      <c r="CA49" s="7">
        <v>46235.302083333336</v>
      </c>
      <c r="CB49" s="7">
        <v>46235.291666666664</v>
      </c>
      <c r="CC49" s="7">
        <v>3.496400966183575E-2</v>
      </c>
      <c r="CD49" s="7">
        <v>45.437436263354073</v>
      </c>
      <c r="CE49" s="7">
        <v>32.850392785093206</v>
      </c>
      <c r="CF49" s="7">
        <v>662.24534522516342</v>
      </c>
      <c r="CG49" s="7">
        <v>0.3125</v>
      </c>
      <c r="CH49" s="7" t="s">
        <v>150</v>
      </c>
      <c r="CI49" s="7">
        <v>128</v>
      </c>
      <c r="CJ49" s="8" t="b">
        <v>1</v>
      </c>
      <c r="CK49" s="7">
        <v>40</v>
      </c>
      <c r="CL49" s="7">
        <v>40</v>
      </c>
      <c r="CM49" s="7">
        <v>40</v>
      </c>
      <c r="CN49" s="8" t="b">
        <v>0</v>
      </c>
      <c r="CO49" s="7" t="s">
        <v>785</v>
      </c>
      <c r="CP49" s="7">
        <v>2363.564730047834</v>
      </c>
    </row>
    <row r="50" spans="1:94" ht="21" customHeight="1" x14ac:dyDescent="0.45">
      <c r="A50" s="9">
        <v>46235.302083333336</v>
      </c>
      <c r="B50" s="9">
        <v>46235.3125</v>
      </c>
      <c r="C50" s="9">
        <v>46235.427083333336</v>
      </c>
      <c r="D50" s="10">
        <v>46235</v>
      </c>
      <c r="E50" s="7">
        <v>0.25</v>
      </c>
      <c r="F50" s="7" t="s">
        <v>770</v>
      </c>
      <c r="G50" s="9">
        <v>46235.291666666664</v>
      </c>
      <c r="H50" s="7">
        <v>66.069999999999993</v>
      </c>
      <c r="I50" s="7" t="s">
        <v>857</v>
      </c>
      <c r="J50" s="7">
        <v>15</v>
      </c>
      <c r="K50" s="7" t="s">
        <v>790</v>
      </c>
      <c r="L50" s="10">
        <v>46234</v>
      </c>
      <c r="M50" s="7">
        <v>5.2473000000000001</v>
      </c>
      <c r="N50" s="7" t="s">
        <v>773</v>
      </c>
      <c r="O50" s="7">
        <v>91.903999999999996</v>
      </c>
      <c r="P50" s="7" t="s">
        <v>854</v>
      </c>
      <c r="Q50" s="7" t="s">
        <v>775</v>
      </c>
      <c r="R50" s="7">
        <v>66.224534522516336</v>
      </c>
      <c r="S50" s="7" t="s">
        <v>776</v>
      </c>
      <c r="T50" s="7">
        <v>175</v>
      </c>
      <c r="U50" s="7" t="s">
        <v>855</v>
      </c>
      <c r="V50" s="7" t="s">
        <v>775</v>
      </c>
      <c r="W50" s="7">
        <v>5.2655651477902916</v>
      </c>
      <c r="X50" s="7" t="s">
        <v>776</v>
      </c>
      <c r="Y50" s="7">
        <v>175</v>
      </c>
      <c r="Z50" s="7" t="s">
        <v>856</v>
      </c>
      <c r="AA50" s="7" t="s">
        <v>775</v>
      </c>
      <c r="AB50" s="7">
        <v>3.0015436510205249</v>
      </c>
      <c r="AC50" s="7" t="s">
        <v>776</v>
      </c>
      <c r="AD50" s="7"/>
      <c r="AE50" s="7" t="s">
        <v>779</v>
      </c>
      <c r="AF50" s="7"/>
      <c r="AG50" s="7">
        <v>176.61978541345073</v>
      </c>
      <c r="AH50" s="7" t="s">
        <v>776</v>
      </c>
      <c r="AI50" s="7">
        <v>15.666</v>
      </c>
      <c r="AJ50" s="7">
        <v>0</v>
      </c>
      <c r="AK50" s="7" t="s">
        <v>776</v>
      </c>
      <c r="AL50" s="7">
        <v>0</v>
      </c>
      <c r="AM50" s="7" t="s">
        <v>780</v>
      </c>
      <c r="AN50" s="7" t="s">
        <v>781</v>
      </c>
      <c r="AO50" s="7" t="s">
        <v>782</v>
      </c>
      <c r="AP50" s="7">
        <v>0.35808000000000001</v>
      </c>
      <c r="AQ50" s="7">
        <v>0</v>
      </c>
      <c r="AR50" s="7">
        <v>0.35808000000000001</v>
      </c>
      <c r="AS50" s="8" t="b">
        <v>1</v>
      </c>
      <c r="AT50" s="8" t="b">
        <v>1</v>
      </c>
      <c r="AU50" s="8" t="b">
        <v>1</v>
      </c>
      <c r="AV50" s="8" t="b">
        <v>1</v>
      </c>
      <c r="AW50" s="8" t="b">
        <v>1</v>
      </c>
      <c r="AX50" s="8" t="b">
        <v>1</v>
      </c>
      <c r="AY50" s="8" t="b">
        <v>1</v>
      </c>
      <c r="AZ50" s="8" t="b">
        <v>1</v>
      </c>
      <c r="BA50" s="7" t="s">
        <v>783</v>
      </c>
      <c r="BB50" s="7" t="s">
        <v>783</v>
      </c>
      <c r="BC50" s="7" t="s">
        <v>784</v>
      </c>
      <c r="BD50" s="7">
        <v>0</v>
      </c>
      <c r="BE50" s="7">
        <v>0</v>
      </c>
      <c r="BF50" s="7">
        <v>0</v>
      </c>
      <c r="BG50" s="7">
        <v>0.13714285714285715</v>
      </c>
      <c r="BH50" s="7" t="s">
        <v>154</v>
      </c>
      <c r="BI50" s="7">
        <v>175</v>
      </c>
      <c r="BJ50" s="7">
        <v>0</v>
      </c>
      <c r="BK50" s="7">
        <v>24</v>
      </c>
      <c r="BL50" s="7">
        <v>24</v>
      </c>
      <c r="BM50" s="8" t="b">
        <v>1</v>
      </c>
      <c r="BN50" s="7">
        <v>221.35404466296953</v>
      </c>
      <c r="BO50" s="7">
        <v>1.2532799999999999</v>
      </c>
      <c r="BP50" s="7">
        <v>18.429478017266021</v>
      </c>
      <c r="BQ50" s="7">
        <v>0.13714285714285715</v>
      </c>
      <c r="BR50" s="7" t="s">
        <v>154</v>
      </c>
      <c r="BS50" s="7">
        <v>175</v>
      </c>
      <c r="BT50" s="7">
        <v>14</v>
      </c>
      <c r="BU50" s="7">
        <v>24</v>
      </c>
      <c r="BV50" s="7">
        <v>24</v>
      </c>
      <c r="BW50" s="7" t="s">
        <v>857</v>
      </c>
      <c r="BX50" s="8" t="b">
        <v>1</v>
      </c>
      <c r="BY50" s="7">
        <v>-45.191713203828215</v>
      </c>
      <c r="BZ50" s="7">
        <v>-2.7359899018512621</v>
      </c>
      <c r="CA50" s="7">
        <v>46235.3125</v>
      </c>
      <c r="CB50" s="7">
        <v>46235.302083333336</v>
      </c>
      <c r="CC50" s="7">
        <v>4.1666196755555116E-3</v>
      </c>
      <c r="CD50" s="7">
        <v>32.850392785093206</v>
      </c>
      <c r="CE50" s="7">
        <v>32.15830155527955</v>
      </c>
      <c r="CF50" s="7">
        <v>662.24534522516342</v>
      </c>
      <c r="CG50" s="7">
        <v>0.3125</v>
      </c>
      <c r="CH50" s="7" t="s">
        <v>150</v>
      </c>
      <c r="CI50" s="7">
        <v>128</v>
      </c>
      <c r="CJ50" s="8" t="b">
        <v>1</v>
      </c>
      <c r="CK50" s="7">
        <v>40</v>
      </c>
      <c r="CL50" s="7">
        <v>40</v>
      </c>
      <c r="CM50" s="7">
        <v>40</v>
      </c>
      <c r="CN50" s="8" t="b">
        <v>0</v>
      </c>
      <c r="CO50" s="7" t="s">
        <v>785</v>
      </c>
      <c r="CP50" s="7">
        <v>856.83715470157074</v>
      </c>
    </row>
    <row r="51" spans="1:94" ht="21" customHeight="1" x14ac:dyDescent="0.45">
      <c r="A51" s="9">
        <v>46235.3125</v>
      </c>
      <c r="B51" s="9">
        <v>46235.322916666664</v>
      </c>
      <c r="C51" s="9">
        <v>46235.4375</v>
      </c>
      <c r="D51" s="10">
        <v>46235</v>
      </c>
      <c r="E51" s="7">
        <v>0.25</v>
      </c>
      <c r="F51" s="7" t="s">
        <v>770</v>
      </c>
      <c r="G51" s="9">
        <v>46235.291666666664</v>
      </c>
      <c r="H51" s="7">
        <v>13.26</v>
      </c>
      <c r="I51" s="7" t="s">
        <v>858</v>
      </c>
      <c r="J51" s="7">
        <v>15</v>
      </c>
      <c r="K51" s="7" t="s">
        <v>790</v>
      </c>
      <c r="L51" s="10">
        <v>46234</v>
      </c>
      <c r="M51" s="7">
        <v>5.2473000000000001</v>
      </c>
      <c r="N51" s="7" t="s">
        <v>773</v>
      </c>
      <c r="O51" s="7">
        <v>91.903999999999996</v>
      </c>
      <c r="P51" s="7" t="s">
        <v>854</v>
      </c>
      <c r="Q51" s="7" t="s">
        <v>775</v>
      </c>
      <c r="R51" s="7">
        <v>66.224534522516336</v>
      </c>
      <c r="S51" s="7" t="s">
        <v>776</v>
      </c>
      <c r="T51" s="7">
        <v>175</v>
      </c>
      <c r="U51" s="7" t="s">
        <v>855</v>
      </c>
      <c r="V51" s="7" t="s">
        <v>775</v>
      </c>
      <c r="W51" s="7">
        <v>5.2655651477902916</v>
      </c>
      <c r="X51" s="7" t="s">
        <v>776</v>
      </c>
      <c r="Y51" s="7">
        <v>175</v>
      </c>
      <c r="Z51" s="7" t="s">
        <v>856</v>
      </c>
      <c r="AA51" s="7" t="s">
        <v>775</v>
      </c>
      <c r="AB51" s="7">
        <v>3.0015436510205249</v>
      </c>
      <c r="AC51" s="7" t="s">
        <v>776</v>
      </c>
      <c r="AD51" s="7"/>
      <c r="AE51" s="7" t="s">
        <v>779</v>
      </c>
      <c r="AF51" s="7"/>
      <c r="AG51" s="7">
        <v>145.5032111752711</v>
      </c>
      <c r="AH51" s="7" t="s">
        <v>776</v>
      </c>
      <c r="AI51" s="7">
        <v>6.3490000000000002</v>
      </c>
      <c r="AJ51" s="7">
        <v>0</v>
      </c>
      <c r="AK51" s="7" t="s">
        <v>776</v>
      </c>
      <c r="AL51" s="7">
        <v>0</v>
      </c>
      <c r="AM51" s="7" t="s">
        <v>780</v>
      </c>
      <c r="AN51" s="7" t="s">
        <v>781</v>
      </c>
      <c r="AO51" s="7" t="s">
        <v>782</v>
      </c>
      <c r="AP51" s="7">
        <v>0.14512</v>
      </c>
      <c r="AQ51" s="7">
        <v>0</v>
      </c>
      <c r="AR51" s="7">
        <v>0.14512</v>
      </c>
      <c r="AS51" s="8" t="b">
        <v>1</v>
      </c>
      <c r="AT51" s="8" t="b">
        <v>1</v>
      </c>
      <c r="AU51" s="8" t="b">
        <v>1</v>
      </c>
      <c r="AV51" s="8" t="b">
        <v>1</v>
      </c>
      <c r="AW51" s="8" t="b">
        <v>1</v>
      </c>
      <c r="AX51" s="8" t="b">
        <v>1</v>
      </c>
      <c r="AY51" s="8" t="b">
        <v>1</v>
      </c>
      <c r="AZ51" s="8" t="b">
        <v>1</v>
      </c>
      <c r="BA51" s="7" t="s">
        <v>783</v>
      </c>
      <c r="BB51" s="7" t="s">
        <v>783</v>
      </c>
      <c r="BC51" s="7" t="s">
        <v>784</v>
      </c>
      <c r="BD51" s="7">
        <v>0</v>
      </c>
      <c r="BE51" s="7">
        <v>0</v>
      </c>
      <c r="BF51" s="7">
        <v>0</v>
      </c>
      <c r="BG51" s="7">
        <v>0.13714285714285715</v>
      </c>
      <c r="BH51" s="7" t="s">
        <v>154</v>
      </c>
      <c r="BI51" s="7">
        <v>175</v>
      </c>
      <c r="BJ51" s="7">
        <v>0</v>
      </c>
      <c r="BK51" s="7">
        <v>24</v>
      </c>
      <c r="BL51" s="7">
        <v>24</v>
      </c>
      <c r="BM51" s="8" t="b">
        <v>1</v>
      </c>
      <c r="BN51" s="7">
        <v>73.903991020143707</v>
      </c>
      <c r="BO51" s="7">
        <v>0.50792000000000004</v>
      </c>
      <c r="BP51" s="7">
        <v>18.429478017266021</v>
      </c>
      <c r="BQ51" s="7">
        <v>0.13714285714285715</v>
      </c>
      <c r="BR51" s="7" t="s">
        <v>154</v>
      </c>
      <c r="BS51" s="7">
        <v>175</v>
      </c>
      <c r="BT51" s="7">
        <v>14</v>
      </c>
      <c r="BU51" s="7">
        <v>24</v>
      </c>
      <c r="BV51" s="7">
        <v>24</v>
      </c>
      <c r="BW51" s="7" t="s">
        <v>858</v>
      </c>
      <c r="BX51" s="8" t="b">
        <v>1</v>
      </c>
      <c r="BY51" s="7">
        <v>-198.9</v>
      </c>
      <c r="BZ51" s="7">
        <v>-60</v>
      </c>
      <c r="CA51" s="7">
        <v>46235.322916666664</v>
      </c>
      <c r="CB51" s="7">
        <v>46235.3125</v>
      </c>
      <c r="CC51" s="7">
        <v>3.7035315555555559E-2</v>
      </c>
      <c r="CD51" s="7">
        <v>32.15830155527955</v>
      </c>
      <c r="CE51" s="7">
        <v>45.491015155279555</v>
      </c>
      <c r="CF51" s="7">
        <v>662.24534522516342</v>
      </c>
      <c r="CG51" s="7">
        <v>0.3125</v>
      </c>
      <c r="CH51" s="7" t="s">
        <v>150</v>
      </c>
      <c r="CI51" s="7">
        <v>128</v>
      </c>
      <c r="CJ51" s="8" t="b">
        <v>1</v>
      </c>
      <c r="CK51" s="7">
        <v>40</v>
      </c>
      <c r="CL51" s="7">
        <v>40</v>
      </c>
      <c r="CM51" s="7">
        <v>40</v>
      </c>
      <c r="CN51" s="8" t="b">
        <v>0</v>
      </c>
      <c r="CO51" s="7" t="s">
        <v>785</v>
      </c>
      <c r="CP51" s="7">
        <v>555.67881426257316</v>
      </c>
    </row>
    <row r="52" spans="1:94" ht="21" customHeight="1" x14ac:dyDescent="0.45">
      <c r="A52" s="9">
        <v>46235.322916666664</v>
      </c>
      <c r="B52" s="9">
        <v>46235.333333333336</v>
      </c>
      <c r="C52" s="9">
        <v>46235.447916666664</v>
      </c>
      <c r="D52" s="10">
        <v>46235</v>
      </c>
      <c r="E52" s="7">
        <v>0.25</v>
      </c>
      <c r="F52" s="7" t="s">
        <v>770</v>
      </c>
      <c r="G52" s="9">
        <v>46235.291666666664</v>
      </c>
      <c r="H52" s="7">
        <v>14.62</v>
      </c>
      <c r="I52" s="7" t="s">
        <v>859</v>
      </c>
      <c r="J52" s="7">
        <v>15</v>
      </c>
      <c r="K52" s="7" t="s">
        <v>790</v>
      </c>
      <c r="L52" s="10">
        <v>46234</v>
      </c>
      <c r="M52" s="7">
        <v>5.2473000000000001</v>
      </c>
      <c r="N52" s="7" t="s">
        <v>773</v>
      </c>
      <c r="O52" s="7">
        <v>91.903999999999996</v>
      </c>
      <c r="P52" s="7" t="s">
        <v>854</v>
      </c>
      <c r="Q52" s="7" t="s">
        <v>775</v>
      </c>
      <c r="R52" s="7">
        <v>66.224534522516336</v>
      </c>
      <c r="S52" s="7" t="s">
        <v>776</v>
      </c>
      <c r="T52" s="7">
        <v>175</v>
      </c>
      <c r="U52" s="7" t="s">
        <v>855</v>
      </c>
      <c r="V52" s="7" t="s">
        <v>775</v>
      </c>
      <c r="W52" s="7">
        <v>5.2655651477902916</v>
      </c>
      <c r="X52" s="7" t="s">
        <v>776</v>
      </c>
      <c r="Y52" s="7">
        <v>175</v>
      </c>
      <c r="Z52" s="7" t="s">
        <v>856</v>
      </c>
      <c r="AA52" s="7" t="s">
        <v>775</v>
      </c>
      <c r="AB52" s="7">
        <v>3.0015436510205249</v>
      </c>
      <c r="AC52" s="7" t="s">
        <v>776</v>
      </c>
      <c r="AD52" s="7"/>
      <c r="AE52" s="7" t="s">
        <v>779</v>
      </c>
      <c r="AF52" s="7"/>
      <c r="AG52" s="7">
        <v>133.21136584529185</v>
      </c>
      <c r="AH52" s="7" t="s">
        <v>776</v>
      </c>
      <c r="AI52" s="7">
        <v>9.4E-2</v>
      </c>
      <c r="AJ52" s="7">
        <v>76.229680025918086</v>
      </c>
      <c r="AK52" s="7" t="s">
        <v>776</v>
      </c>
      <c r="AL52" s="7">
        <v>0.124</v>
      </c>
      <c r="AM52" s="7" t="s">
        <v>780</v>
      </c>
      <c r="AN52" s="7" t="s">
        <v>781</v>
      </c>
      <c r="AO52" s="7" t="s">
        <v>782</v>
      </c>
      <c r="AP52" s="7">
        <v>2.1485714285713999E-3</v>
      </c>
      <c r="AQ52" s="7">
        <v>2.8342857142856998E-3</v>
      </c>
      <c r="AR52" s="7">
        <v>4.9828571428570997E-3</v>
      </c>
      <c r="AS52" s="8" t="b">
        <v>1</v>
      </c>
      <c r="AT52" s="8" t="b">
        <v>1</v>
      </c>
      <c r="AU52" s="8" t="b">
        <v>1</v>
      </c>
      <c r="AV52" s="8" t="b">
        <v>1</v>
      </c>
      <c r="AW52" s="8" t="b">
        <v>1</v>
      </c>
      <c r="AX52" s="8" t="b">
        <v>1</v>
      </c>
      <c r="AY52" s="8" t="b">
        <v>1</v>
      </c>
      <c r="AZ52" s="8" t="b">
        <v>1</v>
      </c>
      <c r="BA52" s="7" t="s">
        <v>783</v>
      </c>
      <c r="BB52" s="7" t="s">
        <v>783</v>
      </c>
      <c r="BC52" s="7" t="s">
        <v>784</v>
      </c>
      <c r="BD52" s="7">
        <v>0</v>
      </c>
      <c r="BE52" s="7">
        <v>0</v>
      </c>
      <c r="BF52" s="7">
        <v>0</v>
      </c>
      <c r="BG52" s="7">
        <v>0.13714285714285715</v>
      </c>
      <c r="BH52" s="7" t="s">
        <v>154</v>
      </c>
      <c r="BI52" s="7">
        <v>175</v>
      </c>
      <c r="BJ52" s="7">
        <v>0</v>
      </c>
      <c r="BK52" s="7">
        <v>24</v>
      </c>
      <c r="BL52" s="7">
        <v>24</v>
      </c>
      <c r="BM52" s="8" t="b">
        <v>1</v>
      </c>
      <c r="BN52" s="7">
        <v>1.0017494711565946</v>
      </c>
      <c r="BO52" s="7">
        <v>7.5199999999999998E-3</v>
      </c>
      <c r="BP52" s="7">
        <v>18.429478017266021</v>
      </c>
      <c r="BQ52" s="7">
        <v>0.13714285714285715</v>
      </c>
      <c r="BR52" s="7" t="s">
        <v>154</v>
      </c>
      <c r="BS52" s="7">
        <v>175</v>
      </c>
      <c r="BT52" s="7">
        <v>14</v>
      </c>
      <c r="BU52" s="7">
        <v>24</v>
      </c>
      <c r="BV52" s="7">
        <v>24</v>
      </c>
      <c r="BW52" s="7" t="s">
        <v>859</v>
      </c>
      <c r="BX52" s="8" t="b">
        <v>1</v>
      </c>
      <c r="BY52" s="7">
        <v>-219.29999999999998</v>
      </c>
      <c r="BZ52" s="7">
        <v>-60</v>
      </c>
      <c r="CA52" s="7">
        <v>46235.333333333336</v>
      </c>
      <c r="CB52" s="7">
        <v>46235.322916666664</v>
      </c>
      <c r="CC52" s="7">
        <v>3.8314115555555563E-2</v>
      </c>
      <c r="CD52" s="7">
        <v>45.491015155279555</v>
      </c>
      <c r="CE52" s="7">
        <v>59.284096755279556</v>
      </c>
      <c r="CF52" s="7">
        <v>662.24534522516342</v>
      </c>
      <c r="CG52" s="7">
        <v>0.3125</v>
      </c>
      <c r="CH52" s="7" t="s">
        <v>150</v>
      </c>
      <c r="CI52" s="7">
        <v>128</v>
      </c>
      <c r="CJ52" s="8" t="b">
        <v>1</v>
      </c>
      <c r="CK52" s="7">
        <v>40</v>
      </c>
      <c r="CL52" s="7">
        <v>40</v>
      </c>
      <c r="CM52" s="7">
        <v>40</v>
      </c>
      <c r="CN52" s="8" t="b">
        <v>0</v>
      </c>
      <c r="CO52" s="7" t="s">
        <v>785</v>
      </c>
      <c r="CP52" s="7">
        <v>462.37657271358603</v>
      </c>
    </row>
    <row r="53" spans="1:94" ht="21" customHeight="1" x14ac:dyDescent="0.45">
      <c r="A53" s="9">
        <v>46235.333333333336</v>
      </c>
      <c r="B53" s="9">
        <v>46235.34375</v>
      </c>
      <c r="C53" s="9">
        <v>46235.458333333336</v>
      </c>
      <c r="D53" s="10">
        <v>46235</v>
      </c>
      <c r="E53" s="7">
        <v>0.25</v>
      </c>
      <c r="F53" s="7" t="s">
        <v>770</v>
      </c>
      <c r="G53" s="9">
        <v>46235.333333333336</v>
      </c>
      <c r="H53" s="7">
        <v>121.44</v>
      </c>
      <c r="I53" s="7" t="s">
        <v>860</v>
      </c>
      <c r="J53" s="7">
        <v>15</v>
      </c>
      <c r="K53" s="7" t="s">
        <v>790</v>
      </c>
      <c r="L53" s="10">
        <v>46234</v>
      </c>
      <c r="M53" s="7">
        <v>5.2473000000000001</v>
      </c>
      <c r="N53" s="7" t="s">
        <v>773</v>
      </c>
      <c r="O53" s="7">
        <v>91.903999999999996</v>
      </c>
      <c r="P53" s="7" t="s">
        <v>861</v>
      </c>
      <c r="Q53" s="7" t="s">
        <v>775</v>
      </c>
      <c r="R53" s="7">
        <v>66.224534522516336</v>
      </c>
      <c r="S53" s="7" t="s">
        <v>776</v>
      </c>
      <c r="T53" s="7">
        <v>175</v>
      </c>
      <c r="U53" s="7" t="s">
        <v>862</v>
      </c>
      <c r="V53" s="7" t="s">
        <v>775</v>
      </c>
      <c r="W53" s="7">
        <v>5.1779010157604866</v>
      </c>
      <c r="X53" s="7" t="s">
        <v>776</v>
      </c>
      <c r="Y53" s="7">
        <v>175</v>
      </c>
      <c r="Z53" s="7" t="s">
        <v>863</v>
      </c>
      <c r="AA53" s="7" t="s">
        <v>775</v>
      </c>
      <c r="AB53" s="7">
        <v>3.0072608770224685</v>
      </c>
      <c r="AC53" s="7" t="s">
        <v>776</v>
      </c>
      <c r="AD53" s="7"/>
      <c r="AE53" s="7" t="s">
        <v>779</v>
      </c>
      <c r="AF53" s="7"/>
      <c r="AG53" s="7">
        <v>133.34876984353858</v>
      </c>
      <c r="AH53" s="7" t="s">
        <v>776</v>
      </c>
      <c r="AI53" s="7">
        <v>3.01</v>
      </c>
      <c r="AJ53" s="7">
        <v>76.229680025918086</v>
      </c>
      <c r="AK53" s="7" t="s">
        <v>776</v>
      </c>
      <c r="AL53" s="7">
        <v>2.7E-2</v>
      </c>
      <c r="AM53" s="7" t="s">
        <v>780</v>
      </c>
      <c r="AN53" s="7" t="s">
        <v>781</v>
      </c>
      <c r="AO53" s="7" t="s">
        <v>782</v>
      </c>
      <c r="AP53" s="7">
        <v>6.88E-2</v>
      </c>
      <c r="AQ53" s="7">
        <v>6.1714285714279998E-4</v>
      </c>
      <c r="AR53" s="7">
        <v>6.9417142857142802E-2</v>
      </c>
      <c r="AS53" s="8" t="b">
        <v>1</v>
      </c>
      <c r="AT53" s="8" t="b">
        <v>1</v>
      </c>
      <c r="AU53" s="8" t="b">
        <v>1</v>
      </c>
      <c r="AV53" s="8" t="b">
        <v>1</v>
      </c>
      <c r="AW53" s="8" t="b">
        <v>1</v>
      </c>
      <c r="AX53" s="8" t="b">
        <v>1</v>
      </c>
      <c r="AY53" s="8" t="b">
        <v>1</v>
      </c>
      <c r="AZ53" s="8" t="b">
        <v>1</v>
      </c>
      <c r="BA53" s="7" t="s">
        <v>783</v>
      </c>
      <c r="BB53" s="7" t="s">
        <v>783</v>
      </c>
      <c r="BC53" s="7" t="s">
        <v>784</v>
      </c>
      <c r="BD53" s="7">
        <v>-0.28226761518168525</v>
      </c>
      <c r="BE53" s="7">
        <v>3.7028571428571427E-3</v>
      </c>
      <c r="BF53" s="7">
        <v>18.043565262134813</v>
      </c>
      <c r="BG53" s="7">
        <v>0.13714285714285715</v>
      </c>
      <c r="BH53" s="7" t="s">
        <v>154</v>
      </c>
      <c r="BI53" s="7">
        <v>175</v>
      </c>
      <c r="BJ53" s="7">
        <v>24</v>
      </c>
      <c r="BK53" s="7">
        <v>24</v>
      </c>
      <c r="BL53" s="7">
        <v>24</v>
      </c>
      <c r="BM53" s="8" t="b">
        <v>1</v>
      </c>
      <c r="BN53" s="7">
        <v>0</v>
      </c>
      <c r="BO53" s="7">
        <v>0</v>
      </c>
      <c r="BP53" s="7">
        <v>0</v>
      </c>
      <c r="BQ53" s="7">
        <v>0.13714285714285715</v>
      </c>
      <c r="BR53" s="7" t="s">
        <v>154</v>
      </c>
      <c r="BS53" s="7">
        <v>175</v>
      </c>
      <c r="BT53" s="7">
        <v>0</v>
      </c>
      <c r="BU53" s="7">
        <v>24</v>
      </c>
      <c r="BV53" s="7">
        <v>24</v>
      </c>
      <c r="BW53" s="7" t="s">
        <v>860</v>
      </c>
      <c r="BX53" s="8" t="b">
        <v>1</v>
      </c>
      <c r="BY53" s="7">
        <v>1821.6</v>
      </c>
      <c r="BZ53" s="7">
        <v>60</v>
      </c>
      <c r="CA53" s="7">
        <v>46235.34375</v>
      </c>
      <c r="CB53" s="7">
        <v>46235.333333333336</v>
      </c>
      <c r="CC53" s="7">
        <v>4.5278674948240165E-2</v>
      </c>
      <c r="CD53" s="7">
        <v>59.284096755279556</v>
      </c>
      <c r="CE53" s="7">
        <v>42.9837737739131</v>
      </c>
      <c r="CF53" s="7">
        <v>662.24534522516342</v>
      </c>
      <c r="CG53" s="7">
        <v>0.3125</v>
      </c>
      <c r="CH53" s="7" t="s">
        <v>150</v>
      </c>
      <c r="CI53" s="7">
        <v>128</v>
      </c>
      <c r="CJ53" s="8" t="b">
        <v>1</v>
      </c>
      <c r="CK53" s="7">
        <v>40</v>
      </c>
      <c r="CL53" s="7">
        <v>40</v>
      </c>
      <c r="CM53" s="7">
        <v>40</v>
      </c>
      <c r="CN53" s="8" t="b">
        <v>0</v>
      </c>
      <c r="CO53" s="7" t="s">
        <v>785</v>
      </c>
      <c r="CP53" s="7">
        <v>2501.6066428721165</v>
      </c>
    </row>
    <row r="54" spans="1:94" ht="21" customHeight="1" x14ac:dyDescent="0.45">
      <c r="A54" s="9">
        <v>46235.34375</v>
      </c>
      <c r="B54" s="9">
        <v>46235.354166666664</v>
      </c>
      <c r="C54" s="9">
        <v>46235.46875</v>
      </c>
      <c r="D54" s="10">
        <v>46235</v>
      </c>
      <c r="E54" s="7">
        <v>0.25</v>
      </c>
      <c r="F54" s="7" t="s">
        <v>770</v>
      </c>
      <c r="G54" s="9">
        <v>46235.333333333336</v>
      </c>
      <c r="H54" s="7">
        <v>63.62</v>
      </c>
      <c r="I54" s="7" t="s">
        <v>864</v>
      </c>
      <c r="J54" s="7">
        <v>15</v>
      </c>
      <c r="K54" s="7" t="s">
        <v>790</v>
      </c>
      <c r="L54" s="10">
        <v>46234</v>
      </c>
      <c r="M54" s="7">
        <v>5.2473000000000001</v>
      </c>
      <c r="N54" s="7" t="s">
        <v>773</v>
      </c>
      <c r="O54" s="7">
        <v>91.903999999999996</v>
      </c>
      <c r="P54" s="7" t="s">
        <v>861</v>
      </c>
      <c r="Q54" s="7" t="s">
        <v>775</v>
      </c>
      <c r="R54" s="7">
        <v>66.224534522516336</v>
      </c>
      <c r="S54" s="7" t="s">
        <v>776</v>
      </c>
      <c r="T54" s="7">
        <v>175</v>
      </c>
      <c r="U54" s="7" t="s">
        <v>862</v>
      </c>
      <c r="V54" s="7" t="s">
        <v>775</v>
      </c>
      <c r="W54" s="7">
        <v>5.1779010157604866</v>
      </c>
      <c r="X54" s="7" t="s">
        <v>776</v>
      </c>
      <c r="Y54" s="7">
        <v>175</v>
      </c>
      <c r="Z54" s="7" t="s">
        <v>863</v>
      </c>
      <c r="AA54" s="7" t="s">
        <v>775</v>
      </c>
      <c r="AB54" s="7">
        <v>3.0072608770224685</v>
      </c>
      <c r="AC54" s="7" t="s">
        <v>776</v>
      </c>
      <c r="AD54" s="7"/>
      <c r="AE54" s="7" t="s">
        <v>779</v>
      </c>
      <c r="AF54" s="7"/>
      <c r="AG54" s="7">
        <v>135.93524288681797</v>
      </c>
      <c r="AH54" s="7" t="s">
        <v>776</v>
      </c>
      <c r="AI54" s="7">
        <v>5.8810000000000002</v>
      </c>
      <c r="AJ54" s="7">
        <v>0</v>
      </c>
      <c r="AK54" s="7" t="s">
        <v>776</v>
      </c>
      <c r="AL54" s="7">
        <v>0</v>
      </c>
      <c r="AM54" s="7" t="s">
        <v>780</v>
      </c>
      <c r="AN54" s="7" t="s">
        <v>781</v>
      </c>
      <c r="AO54" s="7" t="s">
        <v>782</v>
      </c>
      <c r="AP54" s="7">
        <v>0.13442285714285709</v>
      </c>
      <c r="AQ54" s="7">
        <v>0</v>
      </c>
      <c r="AR54" s="7">
        <v>0.13442285714285709</v>
      </c>
      <c r="AS54" s="8" t="b">
        <v>1</v>
      </c>
      <c r="AT54" s="8" t="b">
        <v>1</v>
      </c>
      <c r="AU54" s="8" t="b">
        <v>1</v>
      </c>
      <c r="AV54" s="8" t="b">
        <v>1</v>
      </c>
      <c r="AW54" s="8" t="b">
        <v>1</v>
      </c>
      <c r="AX54" s="8" t="b">
        <v>1</v>
      </c>
      <c r="AY54" s="8" t="b">
        <v>1</v>
      </c>
      <c r="AZ54" s="8" t="b">
        <v>1</v>
      </c>
      <c r="BA54" s="7" t="s">
        <v>783</v>
      </c>
      <c r="BB54" s="7" t="s">
        <v>783</v>
      </c>
      <c r="BC54" s="7" t="s">
        <v>784</v>
      </c>
      <c r="BD54" s="7">
        <v>0</v>
      </c>
      <c r="BE54" s="7">
        <v>0</v>
      </c>
      <c r="BF54" s="7">
        <v>18.043565262134813</v>
      </c>
      <c r="BG54" s="7">
        <v>0.13714285714285715</v>
      </c>
      <c r="BH54" s="7" t="s">
        <v>154</v>
      </c>
      <c r="BI54" s="7">
        <v>175</v>
      </c>
      <c r="BJ54" s="7">
        <v>24</v>
      </c>
      <c r="BK54" s="7">
        <v>24</v>
      </c>
      <c r="BL54" s="7">
        <v>24</v>
      </c>
      <c r="BM54" s="8" t="b">
        <v>1</v>
      </c>
      <c r="BN54" s="7">
        <v>0</v>
      </c>
      <c r="BO54" s="7">
        <v>0</v>
      </c>
      <c r="BP54" s="7">
        <v>0</v>
      </c>
      <c r="BQ54" s="7">
        <v>0.13714285714285715</v>
      </c>
      <c r="BR54" s="7" t="s">
        <v>154</v>
      </c>
      <c r="BS54" s="7">
        <v>175</v>
      </c>
      <c r="BT54" s="7">
        <v>0</v>
      </c>
      <c r="BU54" s="7">
        <v>24</v>
      </c>
      <c r="BV54" s="7">
        <v>24</v>
      </c>
      <c r="BW54" s="7" t="s">
        <v>864</v>
      </c>
      <c r="BX54" s="8" t="b">
        <v>1</v>
      </c>
      <c r="BY54" s="7">
        <v>0</v>
      </c>
      <c r="BZ54" s="7">
        <v>0</v>
      </c>
      <c r="CA54" s="7">
        <v>46235.354166666664</v>
      </c>
      <c r="CB54" s="7">
        <v>46235.34375</v>
      </c>
      <c r="CC54" s="7">
        <v>0</v>
      </c>
      <c r="CD54" s="7">
        <v>42.9837737739131</v>
      </c>
      <c r="CE54" s="7">
        <v>42.9837737739131</v>
      </c>
      <c r="CF54" s="7">
        <v>662.24534522516342</v>
      </c>
      <c r="CG54" s="7">
        <v>0.3125</v>
      </c>
      <c r="CH54" s="7" t="s">
        <v>150</v>
      </c>
      <c r="CI54" s="7">
        <v>128</v>
      </c>
      <c r="CJ54" s="8" t="b">
        <v>1</v>
      </c>
      <c r="CK54" s="7">
        <v>40</v>
      </c>
      <c r="CL54" s="7">
        <v>40</v>
      </c>
      <c r="CM54" s="7">
        <v>40</v>
      </c>
      <c r="CN54" s="8" t="b">
        <v>0</v>
      </c>
      <c r="CO54" s="7" t="s">
        <v>785</v>
      </c>
      <c r="CP54" s="7">
        <v>680.28891048729827</v>
      </c>
    </row>
    <row r="55" spans="1:94" ht="21" customHeight="1" x14ac:dyDescent="0.45">
      <c r="A55" s="9">
        <v>46235.354166666664</v>
      </c>
      <c r="B55" s="9">
        <v>46235.364583333336</v>
      </c>
      <c r="C55" s="9">
        <v>46235.479166666664</v>
      </c>
      <c r="D55" s="10">
        <v>46235</v>
      </c>
      <c r="E55" s="7">
        <v>0.25</v>
      </c>
      <c r="F55" s="7" t="s">
        <v>770</v>
      </c>
      <c r="G55" s="9">
        <v>46235.333333333336</v>
      </c>
      <c r="H55" s="7">
        <v>59.18</v>
      </c>
      <c r="I55" s="7" t="s">
        <v>865</v>
      </c>
      <c r="J55" s="7">
        <v>15</v>
      </c>
      <c r="K55" s="7" t="s">
        <v>790</v>
      </c>
      <c r="L55" s="10">
        <v>46234</v>
      </c>
      <c r="M55" s="7">
        <v>5.2473000000000001</v>
      </c>
      <c r="N55" s="7" t="s">
        <v>773</v>
      </c>
      <c r="O55" s="7">
        <v>91.903999999999996</v>
      </c>
      <c r="P55" s="7" t="s">
        <v>861</v>
      </c>
      <c r="Q55" s="7" t="s">
        <v>775</v>
      </c>
      <c r="R55" s="7">
        <v>66.224534522516336</v>
      </c>
      <c r="S55" s="7" t="s">
        <v>776</v>
      </c>
      <c r="T55" s="7">
        <v>175</v>
      </c>
      <c r="U55" s="7" t="s">
        <v>862</v>
      </c>
      <c r="V55" s="7" t="s">
        <v>775</v>
      </c>
      <c r="W55" s="7">
        <v>5.1779010157604866</v>
      </c>
      <c r="X55" s="7" t="s">
        <v>776</v>
      </c>
      <c r="Y55" s="7">
        <v>175</v>
      </c>
      <c r="Z55" s="7" t="s">
        <v>863</v>
      </c>
      <c r="AA55" s="7" t="s">
        <v>775</v>
      </c>
      <c r="AB55" s="7">
        <v>3.0072608770224685</v>
      </c>
      <c r="AC55" s="7" t="s">
        <v>776</v>
      </c>
      <c r="AD55" s="7"/>
      <c r="AE55" s="7" t="s">
        <v>779</v>
      </c>
      <c r="AF55" s="7"/>
      <c r="AG55" s="7">
        <v>133.30284146132297</v>
      </c>
      <c r="AH55" s="7" t="s">
        <v>776</v>
      </c>
      <c r="AI55" s="7">
        <v>2.64</v>
      </c>
      <c r="AJ55" s="7">
        <v>76.229680025918086</v>
      </c>
      <c r="AK55" s="7" t="s">
        <v>776</v>
      </c>
      <c r="AL55" s="7">
        <v>7.0000000000000001E-3</v>
      </c>
      <c r="AM55" s="7" t="s">
        <v>780</v>
      </c>
      <c r="AN55" s="7" t="s">
        <v>781</v>
      </c>
      <c r="AO55" s="7" t="s">
        <v>782</v>
      </c>
      <c r="AP55" s="7">
        <v>6.0342857142857101E-2</v>
      </c>
      <c r="AQ55" s="7">
        <v>1.6000000000000001E-4</v>
      </c>
      <c r="AR55" s="7">
        <v>6.0502857142857101E-2</v>
      </c>
      <c r="AS55" s="8" t="b">
        <v>1</v>
      </c>
      <c r="AT55" s="8" t="b">
        <v>1</v>
      </c>
      <c r="AU55" s="8" t="b">
        <v>1</v>
      </c>
      <c r="AV55" s="8" t="b">
        <v>1</v>
      </c>
      <c r="AW55" s="8" t="b">
        <v>1</v>
      </c>
      <c r="AX55" s="8" t="b">
        <v>1</v>
      </c>
      <c r="AY55" s="8" t="b">
        <v>1</v>
      </c>
      <c r="AZ55" s="8" t="b">
        <v>1</v>
      </c>
      <c r="BA55" s="7" t="s">
        <v>783</v>
      </c>
      <c r="BB55" s="7" t="s">
        <v>783</v>
      </c>
      <c r="BC55" s="7" t="s">
        <v>784</v>
      </c>
      <c r="BD55" s="7">
        <v>-7.3180492824881371E-2</v>
      </c>
      <c r="BE55" s="7">
        <v>9.6000000000000013E-4</v>
      </c>
      <c r="BF55" s="7">
        <v>18.043565262134813</v>
      </c>
      <c r="BG55" s="7">
        <v>0.13714285714285715</v>
      </c>
      <c r="BH55" s="7" t="s">
        <v>154</v>
      </c>
      <c r="BI55" s="7">
        <v>175</v>
      </c>
      <c r="BJ55" s="7">
        <v>24</v>
      </c>
      <c r="BK55" s="7">
        <v>24</v>
      </c>
      <c r="BL55" s="7">
        <v>24</v>
      </c>
      <c r="BM55" s="8" t="b">
        <v>1</v>
      </c>
      <c r="BN55" s="7">
        <v>0</v>
      </c>
      <c r="BO55" s="7">
        <v>0</v>
      </c>
      <c r="BP55" s="7">
        <v>0</v>
      </c>
      <c r="BQ55" s="7">
        <v>0.13714285714285715</v>
      </c>
      <c r="BR55" s="7" t="s">
        <v>154</v>
      </c>
      <c r="BS55" s="7">
        <v>175</v>
      </c>
      <c r="BT55" s="7">
        <v>0</v>
      </c>
      <c r="BU55" s="7">
        <v>24</v>
      </c>
      <c r="BV55" s="7">
        <v>24</v>
      </c>
      <c r="BW55" s="7" t="s">
        <v>865</v>
      </c>
      <c r="BX55" s="8" t="b">
        <v>1</v>
      </c>
      <c r="BY55" s="7">
        <v>-532.62</v>
      </c>
      <c r="BZ55" s="7">
        <v>-36</v>
      </c>
      <c r="CA55" s="7">
        <v>46235.364583333336</v>
      </c>
      <c r="CB55" s="7">
        <v>46235.354166666664</v>
      </c>
      <c r="CC55" s="7">
        <v>2.3002453333333332E-2</v>
      </c>
      <c r="CD55" s="7">
        <v>42.9837737739131</v>
      </c>
      <c r="CE55" s="7">
        <v>51.264656973913098</v>
      </c>
      <c r="CF55" s="7">
        <v>662.24534522516342</v>
      </c>
      <c r="CG55" s="7">
        <v>0.3125</v>
      </c>
      <c r="CH55" s="7" t="s">
        <v>150</v>
      </c>
      <c r="CI55" s="7">
        <v>128</v>
      </c>
      <c r="CJ55" s="8" t="b">
        <v>1</v>
      </c>
      <c r="CK55" s="7">
        <v>40</v>
      </c>
      <c r="CL55" s="7">
        <v>40</v>
      </c>
      <c r="CM55" s="7">
        <v>40</v>
      </c>
      <c r="CN55" s="8" t="b">
        <v>0</v>
      </c>
      <c r="CO55" s="7" t="s">
        <v>785</v>
      </c>
      <c r="CP55" s="7">
        <v>147.59572999447334</v>
      </c>
    </row>
    <row r="56" spans="1:94" ht="21" customHeight="1" x14ac:dyDescent="0.45">
      <c r="A56" s="9">
        <v>46235.364583333336</v>
      </c>
      <c r="B56" s="9">
        <v>46235.375</v>
      </c>
      <c r="C56" s="9">
        <v>46235.489583333336</v>
      </c>
      <c r="D56" s="10">
        <v>46235</v>
      </c>
      <c r="E56" s="7">
        <v>0.25</v>
      </c>
      <c r="F56" s="7" t="s">
        <v>770</v>
      </c>
      <c r="G56" s="9">
        <v>46235.333333333336</v>
      </c>
      <c r="H56" s="7">
        <v>62.19</v>
      </c>
      <c r="I56" s="7" t="s">
        <v>866</v>
      </c>
      <c r="J56" s="7">
        <v>15</v>
      </c>
      <c r="K56" s="7" t="s">
        <v>790</v>
      </c>
      <c r="L56" s="10">
        <v>46234</v>
      </c>
      <c r="M56" s="7">
        <v>5.2473000000000001</v>
      </c>
      <c r="N56" s="7" t="s">
        <v>773</v>
      </c>
      <c r="O56" s="7">
        <v>91.903999999999996</v>
      </c>
      <c r="P56" s="7" t="s">
        <v>861</v>
      </c>
      <c r="Q56" s="7" t="s">
        <v>775</v>
      </c>
      <c r="R56" s="7">
        <v>66.224534522516336</v>
      </c>
      <c r="S56" s="7" t="s">
        <v>776</v>
      </c>
      <c r="T56" s="7">
        <v>175</v>
      </c>
      <c r="U56" s="7" t="s">
        <v>862</v>
      </c>
      <c r="V56" s="7" t="s">
        <v>775</v>
      </c>
      <c r="W56" s="7">
        <v>5.1779010157604866</v>
      </c>
      <c r="X56" s="7" t="s">
        <v>776</v>
      </c>
      <c r="Y56" s="7">
        <v>175</v>
      </c>
      <c r="Z56" s="7" t="s">
        <v>863</v>
      </c>
      <c r="AA56" s="7" t="s">
        <v>775</v>
      </c>
      <c r="AB56" s="7">
        <v>3.0072608770224685</v>
      </c>
      <c r="AC56" s="7" t="s">
        <v>776</v>
      </c>
      <c r="AD56" s="7"/>
      <c r="AE56" s="7" t="s">
        <v>779</v>
      </c>
      <c r="AF56" s="7"/>
      <c r="AG56" s="7">
        <v>133.30360375812322</v>
      </c>
      <c r="AH56" s="7" t="s">
        <v>776</v>
      </c>
      <c r="AI56" s="7">
        <v>2.1219999999999999</v>
      </c>
      <c r="AJ56" s="7">
        <v>55.663865225925711</v>
      </c>
      <c r="AK56" s="7" t="s">
        <v>776</v>
      </c>
      <c r="AL56" s="7">
        <v>2.8769999999999998</v>
      </c>
      <c r="AM56" s="7" t="s">
        <v>780</v>
      </c>
      <c r="AN56" s="7" t="s">
        <v>781</v>
      </c>
      <c r="AO56" s="7" t="s">
        <v>782</v>
      </c>
      <c r="AP56" s="7">
        <v>4.8502857142857098E-2</v>
      </c>
      <c r="AQ56" s="7">
        <v>6.5759999999999999E-2</v>
      </c>
      <c r="AR56" s="7">
        <v>0.1142628571428571</v>
      </c>
      <c r="AS56" s="8" t="b">
        <v>1</v>
      </c>
      <c r="AT56" s="8" t="b">
        <v>1</v>
      </c>
      <c r="AU56" s="8" t="b">
        <v>1</v>
      </c>
      <c r="AV56" s="8" t="b">
        <v>1</v>
      </c>
      <c r="AW56" s="8" t="b">
        <v>1</v>
      </c>
      <c r="AX56" s="8" t="b">
        <v>1</v>
      </c>
      <c r="AY56" s="8" t="b">
        <v>1</v>
      </c>
      <c r="AZ56" s="8" t="b">
        <v>1</v>
      </c>
      <c r="BA56" s="7" t="s">
        <v>783</v>
      </c>
      <c r="BB56" s="7" t="s">
        <v>783</v>
      </c>
      <c r="BC56" s="7" t="s">
        <v>784</v>
      </c>
      <c r="BD56" s="7">
        <v>-21.962734663541251</v>
      </c>
      <c r="BE56" s="7">
        <v>0.39456000000000002</v>
      </c>
      <c r="BF56" s="7">
        <v>18.043565262134813</v>
      </c>
      <c r="BG56" s="7">
        <v>0.13714285714285715</v>
      </c>
      <c r="BH56" s="7" t="s">
        <v>154</v>
      </c>
      <c r="BI56" s="7">
        <v>175</v>
      </c>
      <c r="BJ56" s="7">
        <v>24</v>
      </c>
      <c r="BK56" s="7">
        <v>24</v>
      </c>
      <c r="BL56" s="7">
        <v>24</v>
      </c>
      <c r="BM56" s="8" t="b">
        <v>1</v>
      </c>
      <c r="BN56" s="7">
        <v>0</v>
      </c>
      <c r="BO56" s="7">
        <v>0</v>
      </c>
      <c r="BP56" s="7">
        <v>0</v>
      </c>
      <c r="BQ56" s="7">
        <v>0.13714285714285715</v>
      </c>
      <c r="BR56" s="7" t="s">
        <v>154</v>
      </c>
      <c r="BS56" s="7">
        <v>175</v>
      </c>
      <c r="BT56" s="7">
        <v>0</v>
      </c>
      <c r="BU56" s="7">
        <v>24</v>
      </c>
      <c r="BV56" s="7">
        <v>24</v>
      </c>
      <c r="BW56" s="7" t="s">
        <v>866</v>
      </c>
      <c r="BX56" s="8" t="b">
        <v>1</v>
      </c>
      <c r="BY56" s="7">
        <v>0</v>
      </c>
      <c r="BZ56" s="7">
        <v>0</v>
      </c>
      <c r="CA56" s="7">
        <v>46235.375</v>
      </c>
      <c r="CB56" s="7">
        <v>46235.364583333336</v>
      </c>
      <c r="CC56" s="7">
        <v>1.00832E-3</v>
      </c>
      <c r="CD56" s="7">
        <v>51.264656973913098</v>
      </c>
      <c r="CE56" s="7">
        <v>51.627652173913098</v>
      </c>
      <c r="CF56" s="7">
        <v>662.24534522516342</v>
      </c>
      <c r="CG56" s="7">
        <v>0.3125</v>
      </c>
      <c r="CH56" s="7" t="s">
        <v>150</v>
      </c>
      <c r="CI56" s="7">
        <v>128</v>
      </c>
      <c r="CJ56" s="8" t="b">
        <v>1</v>
      </c>
      <c r="CK56" s="7">
        <v>40</v>
      </c>
      <c r="CL56" s="7">
        <v>40</v>
      </c>
      <c r="CM56" s="7">
        <v>40</v>
      </c>
      <c r="CN56" s="8" t="b">
        <v>0</v>
      </c>
      <c r="CO56" s="7" t="s">
        <v>785</v>
      </c>
      <c r="CP56" s="7">
        <v>658.32617582375701</v>
      </c>
    </row>
    <row r="57" spans="1:94" ht="21" customHeight="1" x14ac:dyDescent="0.45">
      <c r="A57" s="9">
        <v>46235.375</v>
      </c>
      <c r="B57" s="9">
        <v>46235.385416666664</v>
      </c>
      <c r="C57" s="9">
        <v>46235.5</v>
      </c>
      <c r="D57" s="10">
        <v>46235</v>
      </c>
      <c r="E57" s="7">
        <v>0.25</v>
      </c>
      <c r="F57" s="7" t="s">
        <v>770</v>
      </c>
      <c r="G57" s="9">
        <v>46235.375</v>
      </c>
      <c r="H57" s="7">
        <v>90.74</v>
      </c>
      <c r="I57" s="7" t="s">
        <v>867</v>
      </c>
      <c r="J57" s="7">
        <v>15</v>
      </c>
      <c r="K57" s="7" t="s">
        <v>790</v>
      </c>
      <c r="L57" s="10">
        <v>46234</v>
      </c>
      <c r="M57" s="7">
        <v>5.2473000000000001</v>
      </c>
      <c r="N57" s="7" t="s">
        <v>773</v>
      </c>
      <c r="O57" s="7">
        <v>91.903999999999996</v>
      </c>
      <c r="P57" s="7" t="s">
        <v>868</v>
      </c>
      <c r="Q57" s="7" t="s">
        <v>775</v>
      </c>
      <c r="R57" s="7">
        <v>66.224534522516336</v>
      </c>
      <c r="S57" s="7" t="s">
        <v>776</v>
      </c>
      <c r="T57" s="7">
        <v>175</v>
      </c>
      <c r="U57" s="7" t="s">
        <v>869</v>
      </c>
      <c r="V57" s="7" t="s">
        <v>775</v>
      </c>
      <c r="W57" s="7">
        <v>5.2274503077773327</v>
      </c>
      <c r="X57" s="7" t="s">
        <v>776</v>
      </c>
      <c r="Y57" s="7">
        <v>175</v>
      </c>
      <c r="Z57" s="7" t="s">
        <v>870</v>
      </c>
      <c r="AA57" s="7" t="s">
        <v>775</v>
      </c>
      <c r="AB57" s="7">
        <v>6.8740113963371634</v>
      </c>
      <c r="AC57" s="7" t="s">
        <v>776</v>
      </c>
      <c r="AD57" s="7"/>
      <c r="AE57" s="7" t="s">
        <v>779</v>
      </c>
      <c r="AF57" s="7"/>
      <c r="AG57" s="7">
        <v>0</v>
      </c>
      <c r="AH57" s="7" t="s">
        <v>776</v>
      </c>
      <c r="AI57" s="7">
        <v>0</v>
      </c>
      <c r="AJ57" s="7">
        <v>61.805499971413873</v>
      </c>
      <c r="AK57" s="7" t="s">
        <v>776</v>
      </c>
      <c r="AL57" s="7">
        <v>9.0459999999999994</v>
      </c>
      <c r="AM57" s="7" t="s">
        <v>780</v>
      </c>
      <c r="AN57" s="7" t="s">
        <v>781</v>
      </c>
      <c r="AO57" s="7" t="s">
        <v>782</v>
      </c>
      <c r="AP57" s="7">
        <v>0</v>
      </c>
      <c r="AQ57" s="7">
        <v>0.20676571428571419</v>
      </c>
      <c r="AR57" s="7">
        <v>0.20676571428571419</v>
      </c>
      <c r="AS57" s="8" t="b">
        <v>1</v>
      </c>
      <c r="AT57" s="8" t="b">
        <v>1</v>
      </c>
      <c r="AU57" s="8" t="b">
        <v>1</v>
      </c>
      <c r="AV57" s="8" t="b">
        <v>1</v>
      </c>
      <c r="AW57" s="8" t="b">
        <v>1</v>
      </c>
      <c r="AX57" s="8" t="b">
        <v>1</v>
      </c>
      <c r="AY57" s="8" t="b">
        <v>1</v>
      </c>
      <c r="AZ57" s="8" t="b">
        <v>1</v>
      </c>
      <c r="BA57" s="7" t="s">
        <v>783</v>
      </c>
      <c r="BB57" s="7" t="s">
        <v>783</v>
      </c>
      <c r="BC57" s="7" t="s">
        <v>784</v>
      </c>
      <c r="BD57" s="7">
        <v>-76.675550090250496</v>
      </c>
      <c r="BE57" s="7">
        <v>1.2405942857142858</v>
      </c>
      <c r="BF57" s="7">
        <v>41.24406837802298</v>
      </c>
      <c r="BG57" s="7">
        <v>0.13714285714285715</v>
      </c>
      <c r="BH57" s="7" t="s">
        <v>154</v>
      </c>
      <c r="BI57" s="7">
        <v>175</v>
      </c>
      <c r="BJ57" s="7">
        <v>24</v>
      </c>
      <c r="BK57" s="7">
        <v>24</v>
      </c>
      <c r="BL57" s="7">
        <v>24</v>
      </c>
      <c r="BM57" s="8" t="b">
        <v>1</v>
      </c>
      <c r="BN57" s="7">
        <v>0</v>
      </c>
      <c r="BO57" s="7">
        <v>0</v>
      </c>
      <c r="BP57" s="7">
        <v>22.216663808053664</v>
      </c>
      <c r="BQ57" s="7">
        <v>0.13714285714285715</v>
      </c>
      <c r="BR57" s="7" t="s">
        <v>154</v>
      </c>
      <c r="BS57" s="7">
        <v>175</v>
      </c>
      <c r="BT57" s="7">
        <v>17</v>
      </c>
      <c r="BU57" s="7">
        <v>24</v>
      </c>
      <c r="BV57" s="7">
        <v>24</v>
      </c>
      <c r="BW57" s="7" t="s">
        <v>867</v>
      </c>
      <c r="BX57" s="8" t="b">
        <v>1</v>
      </c>
      <c r="BY57" s="7">
        <v>975.45499999999993</v>
      </c>
      <c r="BZ57" s="7">
        <v>43</v>
      </c>
      <c r="CA57" s="7">
        <v>46235.385416666664</v>
      </c>
      <c r="CB57" s="7">
        <v>46235.375</v>
      </c>
      <c r="CC57" s="7">
        <v>2.8711973775017254E-2</v>
      </c>
      <c r="CD57" s="7">
        <v>51.627652173913098</v>
      </c>
      <c r="CE57" s="7">
        <v>41.291341614906891</v>
      </c>
      <c r="CF57" s="7">
        <v>662.24534522516342</v>
      </c>
      <c r="CG57" s="7">
        <v>0.3125</v>
      </c>
      <c r="CH57" s="7" t="s">
        <v>150</v>
      </c>
      <c r="CI57" s="7">
        <v>128</v>
      </c>
      <c r="CJ57" s="8" t="b">
        <v>1</v>
      </c>
      <c r="CK57" s="7">
        <v>40</v>
      </c>
      <c r="CL57" s="7">
        <v>40</v>
      </c>
      <c r="CM57" s="7">
        <v>40</v>
      </c>
      <c r="CN57" s="8" t="b">
        <v>0</v>
      </c>
      <c r="CO57" s="7" t="s">
        <v>785</v>
      </c>
      <c r="CP57" s="7">
        <v>1624.4855273209896</v>
      </c>
    </row>
    <row r="58" spans="1:94" ht="21" customHeight="1" x14ac:dyDescent="0.45">
      <c r="A58" s="9">
        <v>46235.385416666664</v>
      </c>
      <c r="B58" s="9">
        <v>46235.395833333336</v>
      </c>
      <c r="C58" s="9">
        <v>46235.510416666664</v>
      </c>
      <c r="D58" s="10">
        <v>46235</v>
      </c>
      <c r="E58" s="7">
        <v>0.25</v>
      </c>
      <c r="F58" s="7" t="s">
        <v>770</v>
      </c>
      <c r="G58" s="9">
        <v>46235.375</v>
      </c>
      <c r="H58" s="7">
        <v>74.41</v>
      </c>
      <c r="I58" s="7" t="s">
        <v>871</v>
      </c>
      <c r="J58" s="7">
        <v>15</v>
      </c>
      <c r="K58" s="7" t="s">
        <v>790</v>
      </c>
      <c r="L58" s="10">
        <v>46234</v>
      </c>
      <c r="M58" s="7">
        <v>5.2473000000000001</v>
      </c>
      <c r="N58" s="7" t="s">
        <v>773</v>
      </c>
      <c r="O58" s="7">
        <v>91.903999999999996</v>
      </c>
      <c r="P58" s="7" t="s">
        <v>868</v>
      </c>
      <c r="Q58" s="7" t="s">
        <v>775</v>
      </c>
      <c r="R58" s="7">
        <v>66.224534522516336</v>
      </c>
      <c r="S58" s="7" t="s">
        <v>776</v>
      </c>
      <c r="T58" s="7">
        <v>175</v>
      </c>
      <c r="U58" s="7" t="s">
        <v>869</v>
      </c>
      <c r="V58" s="7" t="s">
        <v>775</v>
      </c>
      <c r="W58" s="7">
        <v>5.2274503077773327</v>
      </c>
      <c r="X58" s="7" t="s">
        <v>776</v>
      </c>
      <c r="Y58" s="7">
        <v>175</v>
      </c>
      <c r="Z58" s="7" t="s">
        <v>870</v>
      </c>
      <c r="AA58" s="7" t="s">
        <v>775</v>
      </c>
      <c r="AB58" s="7">
        <v>6.8740113963371634</v>
      </c>
      <c r="AC58" s="7" t="s">
        <v>776</v>
      </c>
      <c r="AD58" s="7"/>
      <c r="AE58" s="7" t="s">
        <v>779</v>
      </c>
      <c r="AF58" s="7"/>
      <c r="AG58" s="7">
        <v>0</v>
      </c>
      <c r="AH58" s="7" t="s">
        <v>776</v>
      </c>
      <c r="AI58" s="7">
        <v>0</v>
      </c>
      <c r="AJ58" s="7">
        <v>52.376460274807989</v>
      </c>
      <c r="AK58" s="7" t="s">
        <v>776</v>
      </c>
      <c r="AL58" s="7">
        <v>14.305999999999999</v>
      </c>
      <c r="AM58" s="7" t="s">
        <v>780</v>
      </c>
      <c r="AN58" s="7" t="s">
        <v>781</v>
      </c>
      <c r="AO58" s="7" t="s">
        <v>782</v>
      </c>
      <c r="AP58" s="7">
        <v>0</v>
      </c>
      <c r="AQ58" s="7">
        <v>0.32699428571428568</v>
      </c>
      <c r="AR58" s="7">
        <v>0.32699428571428568</v>
      </c>
      <c r="AS58" s="8" t="b">
        <v>1</v>
      </c>
      <c r="AT58" s="8" t="b">
        <v>1</v>
      </c>
      <c r="AU58" s="8" t="b">
        <v>1</v>
      </c>
      <c r="AV58" s="8" t="b">
        <v>1</v>
      </c>
      <c r="AW58" s="8" t="b">
        <v>1</v>
      </c>
      <c r="AX58" s="8" t="b">
        <v>1</v>
      </c>
      <c r="AY58" s="8" t="b">
        <v>1</v>
      </c>
      <c r="AZ58" s="8" t="b">
        <v>1</v>
      </c>
      <c r="BA58" s="7" t="s">
        <v>783</v>
      </c>
      <c r="BB58" s="7" t="s">
        <v>783</v>
      </c>
      <c r="BC58" s="7" t="s">
        <v>784</v>
      </c>
      <c r="BD58" s="7">
        <v>-102.76081929482099</v>
      </c>
      <c r="BE58" s="7">
        <v>1.9619657142857141</v>
      </c>
      <c r="BF58" s="7">
        <v>41.24406837802298</v>
      </c>
      <c r="BG58" s="7">
        <v>0.13714285714285715</v>
      </c>
      <c r="BH58" s="7" t="s">
        <v>154</v>
      </c>
      <c r="BI58" s="7">
        <v>175</v>
      </c>
      <c r="BJ58" s="7">
        <v>24</v>
      </c>
      <c r="BK58" s="7">
        <v>24</v>
      </c>
      <c r="BL58" s="7">
        <v>24</v>
      </c>
      <c r="BM58" s="8" t="b">
        <v>1</v>
      </c>
      <c r="BN58" s="7">
        <v>0</v>
      </c>
      <c r="BO58" s="7">
        <v>0</v>
      </c>
      <c r="BP58" s="7">
        <v>22.216663808053664</v>
      </c>
      <c r="BQ58" s="7">
        <v>0.13714285714285715</v>
      </c>
      <c r="BR58" s="7" t="s">
        <v>154</v>
      </c>
      <c r="BS58" s="7">
        <v>175</v>
      </c>
      <c r="BT58" s="7">
        <v>17</v>
      </c>
      <c r="BU58" s="7">
        <v>24</v>
      </c>
      <c r="BV58" s="7">
        <v>24</v>
      </c>
      <c r="BW58" s="7" t="s">
        <v>871</v>
      </c>
      <c r="BX58" s="8" t="b">
        <v>1</v>
      </c>
      <c r="BY58" s="7">
        <v>799.90749999999991</v>
      </c>
      <c r="BZ58" s="7">
        <v>43</v>
      </c>
      <c r="CA58" s="7">
        <v>46235.395833333336</v>
      </c>
      <c r="CB58" s="7">
        <v>46235.385416666664</v>
      </c>
      <c r="CC58" s="7">
        <v>2.653391994478951E-2</v>
      </c>
      <c r="CD58" s="7">
        <v>41.291341614906891</v>
      </c>
      <c r="CE58" s="7">
        <v>31.73913043478267</v>
      </c>
      <c r="CF58" s="7">
        <v>662.24534522516342</v>
      </c>
      <c r="CG58" s="7">
        <v>0.3125</v>
      </c>
      <c r="CH58" s="7" t="s">
        <v>150</v>
      </c>
      <c r="CI58" s="7">
        <v>128</v>
      </c>
      <c r="CJ58" s="8" t="b">
        <v>1</v>
      </c>
      <c r="CK58" s="7">
        <v>40</v>
      </c>
      <c r="CL58" s="7">
        <v>40</v>
      </c>
      <c r="CM58" s="7">
        <v>40</v>
      </c>
      <c r="CN58" s="8" t="b">
        <v>0</v>
      </c>
      <c r="CO58" s="7" t="s">
        <v>785</v>
      </c>
      <c r="CP58" s="7">
        <v>1422.852758116419</v>
      </c>
    </row>
    <row r="59" spans="1:94" ht="21" customHeight="1" x14ac:dyDescent="0.45">
      <c r="A59" s="9">
        <v>46235.395833333336</v>
      </c>
      <c r="B59" s="9">
        <v>46235.40625</v>
      </c>
      <c r="C59" s="9">
        <v>46235.520833333336</v>
      </c>
      <c r="D59" s="10">
        <v>46235</v>
      </c>
      <c r="E59" s="7">
        <v>0.25</v>
      </c>
      <c r="F59" s="7" t="s">
        <v>770</v>
      </c>
      <c r="G59" s="9">
        <v>46235.375</v>
      </c>
      <c r="H59" s="7">
        <v>56.04</v>
      </c>
      <c r="I59" s="7" t="s">
        <v>872</v>
      </c>
      <c r="J59" s="7">
        <v>15</v>
      </c>
      <c r="K59" s="7" t="s">
        <v>790</v>
      </c>
      <c r="L59" s="10">
        <v>46234</v>
      </c>
      <c r="M59" s="7">
        <v>5.2473000000000001</v>
      </c>
      <c r="N59" s="7" t="s">
        <v>773</v>
      </c>
      <c r="O59" s="7">
        <v>91.903999999999996</v>
      </c>
      <c r="P59" s="7" t="s">
        <v>868</v>
      </c>
      <c r="Q59" s="7" t="s">
        <v>775</v>
      </c>
      <c r="R59" s="7">
        <v>66.224534522516336</v>
      </c>
      <c r="S59" s="7" t="s">
        <v>776</v>
      </c>
      <c r="T59" s="7">
        <v>175</v>
      </c>
      <c r="U59" s="7" t="s">
        <v>869</v>
      </c>
      <c r="V59" s="7" t="s">
        <v>775</v>
      </c>
      <c r="W59" s="7">
        <v>5.2274503077773327</v>
      </c>
      <c r="X59" s="7" t="s">
        <v>776</v>
      </c>
      <c r="Y59" s="7">
        <v>175</v>
      </c>
      <c r="Z59" s="7" t="s">
        <v>870</v>
      </c>
      <c r="AA59" s="7" t="s">
        <v>775</v>
      </c>
      <c r="AB59" s="7">
        <v>6.8740113963371634</v>
      </c>
      <c r="AC59" s="7" t="s">
        <v>776</v>
      </c>
      <c r="AD59" s="7"/>
      <c r="AE59" s="7" t="s">
        <v>779</v>
      </c>
      <c r="AF59" s="7"/>
      <c r="AG59" s="7">
        <v>0</v>
      </c>
      <c r="AH59" s="7" t="s">
        <v>776</v>
      </c>
      <c r="AI59" s="7">
        <v>0</v>
      </c>
      <c r="AJ59" s="7">
        <v>47.699959979417983</v>
      </c>
      <c r="AK59" s="7" t="s">
        <v>776</v>
      </c>
      <c r="AL59" s="7">
        <v>21.152000000000001</v>
      </c>
      <c r="AM59" s="7" t="s">
        <v>780</v>
      </c>
      <c r="AN59" s="7" t="s">
        <v>781</v>
      </c>
      <c r="AO59" s="7" t="s">
        <v>782</v>
      </c>
      <c r="AP59" s="7">
        <v>0</v>
      </c>
      <c r="AQ59" s="7">
        <v>0.48347428571428569</v>
      </c>
      <c r="AR59" s="7">
        <v>0.48347428571428569</v>
      </c>
      <c r="AS59" s="8" t="b">
        <v>1</v>
      </c>
      <c r="AT59" s="8" t="b">
        <v>1</v>
      </c>
      <c r="AU59" s="8" t="b">
        <v>1</v>
      </c>
      <c r="AV59" s="8" t="b">
        <v>1</v>
      </c>
      <c r="AW59" s="8" t="b">
        <v>1</v>
      </c>
      <c r="AX59" s="8" t="b">
        <v>1</v>
      </c>
      <c r="AY59" s="8" t="b">
        <v>1</v>
      </c>
      <c r="AZ59" s="8" t="b">
        <v>1</v>
      </c>
      <c r="BA59" s="7" t="s">
        <v>783</v>
      </c>
      <c r="BB59" s="7" t="s">
        <v>783</v>
      </c>
      <c r="BC59" s="7" t="s">
        <v>784</v>
      </c>
      <c r="BD59" s="7">
        <v>-138.37022447789477</v>
      </c>
      <c r="BE59" s="7">
        <v>2.9008457142857145</v>
      </c>
      <c r="BF59" s="7">
        <v>41.24406837802298</v>
      </c>
      <c r="BG59" s="7">
        <v>0.13714285714285715</v>
      </c>
      <c r="BH59" s="7" t="s">
        <v>154</v>
      </c>
      <c r="BI59" s="7">
        <v>175</v>
      </c>
      <c r="BJ59" s="7">
        <v>24</v>
      </c>
      <c r="BK59" s="7">
        <v>24</v>
      </c>
      <c r="BL59" s="7">
        <v>24</v>
      </c>
      <c r="BM59" s="8" t="b">
        <v>1</v>
      </c>
      <c r="BN59" s="7">
        <v>0</v>
      </c>
      <c r="BO59" s="7">
        <v>0</v>
      </c>
      <c r="BP59" s="7">
        <v>22.216663808053664</v>
      </c>
      <c r="BQ59" s="7">
        <v>0.13714285714285715</v>
      </c>
      <c r="BR59" s="7" t="s">
        <v>154</v>
      </c>
      <c r="BS59" s="7">
        <v>175</v>
      </c>
      <c r="BT59" s="7">
        <v>17</v>
      </c>
      <c r="BU59" s="7">
        <v>24</v>
      </c>
      <c r="BV59" s="7">
        <v>24</v>
      </c>
      <c r="BW59" s="7" t="s">
        <v>872</v>
      </c>
      <c r="BX59" s="8" t="b">
        <v>1</v>
      </c>
      <c r="BY59" s="7">
        <v>148.63125912302215</v>
      </c>
      <c r="BZ59" s="7">
        <v>10.608940694005863</v>
      </c>
      <c r="CA59" s="7">
        <v>46235.40625</v>
      </c>
      <c r="CB59" s="7">
        <v>46235.395833333336</v>
      </c>
      <c r="CC59" s="7">
        <v>8.272630842068477E-3</v>
      </c>
      <c r="CD59" s="7">
        <v>31.73913043478267</v>
      </c>
      <c r="CE59" s="7">
        <v>31.739130434782673</v>
      </c>
      <c r="CF59" s="7">
        <v>662.24534522516342</v>
      </c>
      <c r="CG59" s="7">
        <v>0.3125</v>
      </c>
      <c r="CH59" s="7" t="s">
        <v>150</v>
      </c>
      <c r="CI59" s="7">
        <v>128</v>
      </c>
      <c r="CJ59" s="8" t="b">
        <v>1</v>
      </c>
      <c r="CK59" s="7">
        <v>40</v>
      </c>
      <c r="CL59" s="7">
        <v>40</v>
      </c>
      <c r="CM59" s="7">
        <v>40</v>
      </c>
      <c r="CN59" s="8" t="b">
        <v>0</v>
      </c>
      <c r="CO59" s="7" t="s">
        <v>785</v>
      </c>
      <c r="CP59" s="7">
        <v>735.96711205636745</v>
      </c>
    </row>
    <row r="60" spans="1:94" ht="21" customHeight="1" x14ac:dyDescent="0.45">
      <c r="A60" s="9">
        <v>46235.40625</v>
      </c>
      <c r="B60" s="9">
        <v>46235.416666666664</v>
      </c>
      <c r="C60" s="9">
        <v>46235.53125</v>
      </c>
      <c r="D60" s="10">
        <v>46235</v>
      </c>
      <c r="E60" s="7">
        <v>0.25</v>
      </c>
      <c r="F60" s="7" t="s">
        <v>770</v>
      </c>
      <c r="G60" s="9">
        <v>46235.375</v>
      </c>
      <c r="H60" s="7">
        <v>28.94</v>
      </c>
      <c r="I60" s="7" t="s">
        <v>873</v>
      </c>
      <c r="J60" s="7">
        <v>15</v>
      </c>
      <c r="K60" s="7" t="s">
        <v>790</v>
      </c>
      <c r="L60" s="10">
        <v>46234</v>
      </c>
      <c r="M60" s="7">
        <v>5.2473000000000001</v>
      </c>
      <c r="N60" s="7" t="s">
        <v>773</v>
      </c>
      <c r="O60" s="7">
        <v>91.903999999999996</v>
      </c>
      <c r="P60" s="7" t="s">
        <v>868</v>
      </c>
      <c r="Q60" s="7" t="s">
        <v>775</v>
      </c>
      <c r="R60" s="7">
        <v>66.224534522516336</v>
      </c>
      <c r="S60" s="7" t="s">
        <v>776</v>
      </c>
      <c r="T60" s="7">
        <v>175</v>
      </c>
      <c r="U60" s="7" t="s">
        <v>869</v>
      </c>
      <c r="V60" s="7" t="s">
        <v>775</v>
      </c>
      <c r="W60" s="7">
        <v>5.2274503077773327</v>
      </c>
      <c r="X60" s="7" t="s">
        <v>776</v>
      </c>
      <c r="Y60" s="7">
        <v>175</v>
      </c>
      <c r="Z60" s="7" t="s">
        <v>870</v>
      </c>
      <c r="AA60" s="7" t="s">
        <v>775</v>
      </c>
      <c r="AB60" s="7">
        <v>6.8740113963371634</v>
      </c>
      <c r="AC60" s="7" t="s">
        <v>776</v>
      </c>
      <c r="AD60" s="7"/>
      <c r="AE60" s="7" t="s">
        <v>779</v>
      </c>
      <c r="AF60" s="7"/>
      <c r="AG60" s="7">
        <v>0</v>
      </c>
      <c r="AH60" s="7" t="s">
        <v>776</v>
      </c>
      <c r="AI60" s="7">
        <v>0</v>
      </c>
      <c r="AJ60" s="7">
        <v>35.267852038191073</v>
      </c>
      <c r="AK60" s="7" t="s">
        <v>776</v>
      </c>
      <c r="AL60" s="7">
        <v>22.878</v>
      </c>
      <c r="AM60" s="7" t="s">
        <v>780</v>
      </c>
      <c r="AN60" s="7" t="s">
        <v>781</v>
      </c>
      <c r="AO60" s="7" t="s">
        <v>782</v>
      </c>
      <c r="AP60" s="7">
        <v>0</v>
      </c>
      <c r="AQ60" s="7">
        <v>0.52292571428571433</v>
      </c>
      <c r="AR60" s="7">
        <v>0.52292571428571433</v>
      </c>
      <c r="AS60" s="8" t="b">
        <v>1</v>
      </c>
      <c r="AT60" s="8" t="b">
        <v>1</v>
      </c>
      <c r="AU60" s="8" t="b">
        <v>1</v>
      </c>
      <c r="AV60" s="8" t="b">
        <v>1</v>
      </c>
      <c r="AW60" s="8" t="b">
        <v>1</v>
      </c>
      <c r="AX60" s="8" t="b">
        <v>1</v>
      </c>
      <c r="AY60" s="8" t="b">
        <v>1</v>
      </c>
      <c r="AZ60" s="8" t="b">
        <v>1</v>
      </c>
      <c r="BA60" s="7" t="s">
        <v>783</v>
      </c>
      <c r="BB60" s="7" t="s">
        <v>783</v>
      </c>
      <c r="BC60" s="7" t="s">
        <v>784</v>
      </c>
      <c r="BD60" s="7">
        <v>-110.65480031036371</v>
      </c>
      <c r="BE60" s="7">
        <v>3.1375542857142857</v>
      </c>
      <c r="BF60" s="7">
        <v>41.24406837802298</v>
      </c>
      <c r="BG60" s="7">
        <v>0.13714285714285715</v>
      </c>
      <c r="BH60" s="7" t="s">
        <v>154</v>
      </c>
      <c r="BI60" s="7">
        <v>175</v>
      </c>
      <c r="BJ60" s="7">
        <v>24</v>
      </c>
      <c r="BK60" s="7">
        <v>24</v>
      </c>
      <c r="BL60" s="7">
        <v>24</v>
      </c>
      <c r="BM60" s="8" t="b">
        <v>1</v>
      </c>
      <c r="BN60" s="7">
        <v>0</v>
      </c>
      <c r="BO60" s="7">
        <v>0</v>
      </c>
      <c r="BP60" s="7">
        <v>22.216663808053664</v>
      </c>
      <c r="BQ60" s="7">
        <v>0.13714285714285715</v>
      </c>
      <c r="BR60" s="7" t="s">
        <v>154</v>
      </c>
      <c r="BS60" s="7">
        <v>175</v>
      </c>
      <c r="BT60" s="7">
        <v>17</v>
      </c>
      <c r="BU60" s="7">
        <v>24</v>
      </c>
      <c r="BV60" s="7">
        <v>24</v>
      </c>
      <c r="BW60" s="7" t="s">
        <v>873</v>
      </c>
      <c r="BX60" s="8" t="b">
        <v>1</v>
      </c>
      <c r="BY60" s="7">
        <v>-80.194486559870526</v>
      </c>
      <c r="BZ60" s="7">
        <v>-11.084241404266832</v>
      </c>
      <c r="CA60" s="7">
        <v>46235.416666666664</v>
      </c>
      <c r="CB60" s="7">
        <v>46235.40625</v>
      </c>
      <c r="CC60" s="7">
        <v>1.5099792960662543E-2</v>
      </c>
      <c r="CD60" s="7">
        <v>31.739130434782673</v>
      </c>
      <c r="CE60" s="7">
        <v>37.175055900621189</v>
      </c>
      <c r="CF60" s="7">
        <v>662.24534522516342</v>
      </c>
      <c r="CG60" s="7">
        <v>0.3125</v>
      </c>
      <c r="CH60" s="7" t="s">
        <v>150</v>
      </c>
      <c r="CI60" s="7">
        <v>128</v>
      </c>
      <c r="CJ60" s="8" t="b">
        <v>1</v>
      </c>
      <c r="CK60" s="7">
        <v>40</v>
      </c>
      <c r="CL60" s="7">
        <v>40</v>
      </c>
      <c r="CM60" s="7">
        <v>40</v>
      </c>
      <c r="CN60" s="8" t="b">
        <v>0</v>
      </c>
      <c r="CO60" s="7" t="s">
        <v>785</v>
      </c>
      <c r="CP60" s="7">
        <v>534.85679054100581</v>
      </c>
    </row>
    <row r="61" spans="1:94" ht="21" customHeight="1" x14ac:dyDescent="0.45">
      <c r="A61" s="9">
        <v>46235.416666666664</v>
      </c>
      <c r="B61" s="9">
        <v>46235.427083333336</v>
      </c>
      <c r="C61" s="9">
        <v>46235.541666666664</v>
      </c>
      <c r="D61" s="10">
        <v>46235</v>
      </c>
      <c r="E61" s="7">
        <v>0.25</v>
      </c>
      <c r="F61" s="7" t="s">
        <v>770</v>
      </c>
      <c r="G61" s="9">
        <v>46235.416666666664</v>
      </c>
      <c r="H61" s="7">
        <v>35.909999999999997</v>
      </c>
      <c r="I61" s="7" t="s">
        <v>874</v>
      </c>
      <c r="J61" s="7">
        <v>15</v>
      </c>
      <c r="K61" s="7" t="s">
        <v>790</v>
      </c>
      <c r="L61" s="10">
        <v>46234</v>
      </c>
      <c r="M61" s="7">
        <v>5.2473000000000001</v>
      </c>
      <c r="N61" s="7" t="s">
        <v>773</v>
      </c>
      <c r="O61" s="7">
        <v>91.903999999999996</v>
      </c>
      <c r="P61" s="7" t="s">
        <v>875</v>
      </c>
      <c r="Q61" s="7" t="s">
        <v>775</v>
      </c>
      <c r="R61" s="7">
        <v>66.224534522516336</v>
      </c>
      <c r="S61" s="7" t="s">
        <v>776</v>
      </c>
      <c r="T61" s="7">
        <v>175</v>
      </c>
      <c r="U61" s="7" t="s">
        <v>876</v>
      </c>
      <c r="V61" s="7" t="s">
        <v>775</v>
      </c>
      <c r="W61" s="7">
        <v>5.1626550797553028</v>
      </c>
      <c r="X61" s="7" t="s">
        <v>776</v>
      </c>
      <c r="Y61" s="7">
        <v>175</v>
      </c>
      <c r="Z61" s="7" t="s">
        <v>877</v>
      </c>
      <c r="AA61" s="7" t="s">
        <v>775</v>
      </c>
      <c r="AB61" s="7">
        <v>6.8606712023326279</v>
      </c>
      <c r="AC61" s="7" t="s">
        <v>776</v>
      </c>
      <c r="AD61" s="7"/>
      <c r="AE61" s="7" t="s">
        <v>779</v>
      </c>
      <c r="AF61" s="7"/>
      <c r="AG61" s="7">
        <v>0</v>
      </c>
      <c r="AH61" s="7" t="s">
        <v>776</v>
      </c>
      <c r="AI61" s="7">
        <v>0</v>
      </c>
      <c r="AJ61" s="7">
        <v>-267.70948868942122</v>
      </c>
      <c r="AK61" s="7" t="s">
        <v>776</v>
      </c>
      <c r="AL61" s="7">
        <v>29.158999999999999</v>
      </c>
      <c r="AM61" s="7" t="s">
        <v>780</v>
      </c>
      <c r="AN61" s="7" t="s">
        <v>781</v>
      </c>
      <c r="AO61" s="7" t="s">
        <v>782</v>
      </c>
      <c r="AP61" s="7">
        <v>0</v>
      </c>
      <c r="AQ61" s="7">
        <v>0.66649142857142851</v>
      </c>
      <c r="AR61" s="7">
        <v>0.66649142857142851</v>
      </c>
      <c r="AS61" s="8" t="b">
        <v>1</v>
      </c>
      <c r="AT61" s="8" t="b">
        <v>1</v>
      </c>
      <c r="AU61" s="8" t="b">
        <v>1</v>
      </c>
      <c r="AV61" s="8" t="b">
        <v>1</v>
      </c>
      <c r="AW61" s="8" t="b">
        <v>1</v>
      </c>
      <c r="AX61" s="8" t="b">
        <v>1</v>
      </c>
      <c r="AY61" s="8" t="b">
        <v>1</v>
      </c>
      <c r="AZ61" s="8" t="b">
        <v>1</v>
      </c>
      <c r="BA61" s="7" t="s">
        <v>783</v>
      </c>
      <c r="BB61" s="7" t="s">
        <v>783</v>
      </c>
      <c r="BC61" s="7" t="s">
        <v>784</v>
      </c>
      <c r="BD61" s="7">
        <v>1070.5564773524343</v>
      </c>
      <c r="BE61" s="7">
        <v>3.9989485714285711</v>
      </c>
      <c r="BF61" s="7">
        <v>41.164027213995766</v>
      </c>
      <c r="BG61" s="7">
        <v>0.13714285714285715</v>
      </c>
      <c r="BH61" s="7" t="s">
        <v>154</v>
      </c>
      <c r="BI61" s="7">
        <v>175</v>
      </c>
      <c r="BJ61" s="7">
        <v>24</v>
      </c>
      <c r="BK61" s="7">
        <v>24</v>
      </c>
      <c r="BL61" s="7">
        <v>24</v>
      </c>
      <c r="BM61" s="8" t="b">
        <v>1</v>
      </c>
      <c r="BN61" s="7">
        <v>0</v>
      </c>
      <c r="BO61" s="7">
        <v>0</v>
      </c>
      <c r="BP61" s="7">
        <v>30.975930478531815</v>
      </c>
      <c r="BQ61" s="7">
        <v>0.13714285714285715</v>
      </c>
      <c r="BR61" s="7" t="s">
        <v>154</v>
      </c>
      <c r="BS61" s="7">
        <v>175</v>
      </c>
      <c r="BT61" s="7">
        <v>24</v>
      </c>
      <c r="BU61" s="7">
        <v>24</v>
      </c>
      <c r="BV61" s="7">
        <v>24</v>
      </c>
      <c r="BW61" s="7" t="s">
        <v>874</v>
      </c>
      <c r="BX61" s="8" t="b">
        <v>1</v>
      </c>
      <c r="BY61" s="7">
        <v>323.18999999999994</v>
      </c>
      <c r="BZ61" s="7">
        <v>36</v>
      </c>
      <c r="CA61" s="7">
        <v>46235.427083333336</v>
      </c>
      <c r="CB61" s="7">
        <v>46235.416666666664</v>
      </c>
      <c r="CC61" s="7">
        <v>1.5099792960662526E-2</v>
      </c>
      <c r="CD61" s="7">
        <v>37.175055900621189</v>
      </c>
      <c r="CE61" s="7">
        <v>31.73913043478268</v>
      </c>
      <c r="CF61" s="7">
        <v>662.24534522516342</v>
      </c>
      <c r="CG61" s="7">
        <v>0.3125</v>
      </c>
      <c r="CH61" s="7" t="s">
        <v>150</v>
      </c>
      <c r="CI61" s="7">
        <v>128</v>
      </c>
      <c r="CJ61" s="8" t="b">
        <v>1</v>
      </c>
      <c r="CK61" s="7">
        <v>40</v>
      </c>
      <c r="CL61" s="7">
        <v>40</v>
      </c>
      <c r="CM61" s="7">
        <v>40</v>
      </c>
      <c r="CN61" s="8" t="b">
        <v>0</v>
      </c>
      <c r="CO61" s="7" t="s">
        <v>785</v>
      </c>
      <c r="CP61" s="7">
        <v>2128.1317802701251</v>
      </c>
    </row>
    <row r="62" spans="1:94" ht="21" customHeight="1" x14ac:dyDescent="0.45">
      <c r="A62" s="9">
        <v>46235.427083333336</v>
      </c>
      <c r="B62" s="9">
        <v>46235.4375</v>
      </c>
      <c r="C62" s="9">
        <v>46235.552083333336</v>
      </c>
      <c r="D62" s="10">
        <v>46235</v>
      </c>
      <c r="E62" s="7">
        <v>0.25</v>
      </c>
      <c r="F62" s="7" t="s">
        <v>770</v>
      </c>
      <c r="G62" s="9">
        <v>46235.416666666664</v>
      </c>
      <c r="H62" s="7">
        <v>22.63</v>
      </c>
      <c r="I62" s="7" t="s">
        <v>878</v>
      </c>
      <c r="J62" s="7">
        <v>15</v>
      </c>
      <c r="K62" s="7" t="s">
        <v>790</v>
      </c>
      <c r="L62" s="10">
        <v>46234</v>
      </c>
      <c r="M62" s="7">
        <v>5.2473000000000001</v>
      </c>
      <c r="N62" s="7" t="s">
        <v>773</v>
      </c>
      <c r="O62" s="7">
        <v>91.903999999999996</v>
      </c>
      <c r="P62" s="7" t="s">
        <v>875</v>
      </c>
      <c r="Q62" s="7" t="s">
        <v>775</v>
      </c>
      <c r="R62" s="7">
        <v>66.224534522516336</v>
      </c>
      <c r="S62" s="7" t="s">
        <v>776</v>
      </c>
      <c r="T62" s="7">
        <v>175</v>
      </c>
      <c r="U62" s="7" t="s">
        <v>876</v>
      </c>
      <c r="V62" s="7" t="s">
        <v>775</v>
      </c>
      <c r="W62" s="7">
        <v>5.1626550797553028</v>
      </c>
      <c r="X62" s="7" t="s">
        <v>776</v>
      </c>
      <c r="Y62" s="7">
        <v>175</v>
      </c>
      <c r="Z62" s="7" t="s">
        <v>877</v>
      </c>
      <c r="AA62" s="7" t="s">
        <v>775</v>
      </c>
      <c r="AB62" s="7">
        <v>6.8606712023326279</v>
      </c>
      <c r="AC62" s="7" t="s">
        <v>776</v>
      </c>
      <c r="AD62" s="7"/>
      <c r="AE62" s="7" t="s">
        <v>779</v>
      </c>
      <c r="AF62" s="7"/>
      <c r="AG62" s="7">
        <v>0</v>
      </c>
      <c r="AH62" s="7" t="s">
        <v>776</v>
      </c>
      <c r="AI62" s="7">
        <v>0</v>
      </c>
      <c r="AJ62" s="7">
        <v>-462.28498465877692</v>
      </c>
      <c r="AK62" s="7" t="s">
        <v>776</v>
      </c>
      <c r="AL62" s="7">
        <v>32.823999999999998</v>
      </c>
      <c r="AM62" s="7" t="s">
        <v>780</v>
      </c>
      <c r="AN62" s="7" t="s">
        <v>781</v>
      </c>
      <c r="AO62" s="7" t="s">
        <v>782</v>
      </c>
      <c r="AP62" s="7">
        <v>0</v>
      </c>
      <c r="AQ62" s="7">
        <v>0.75026285714285712</v>
      </c>
      <c r="AR62" s="7">
        <v>0.75026285714285712</v>
      </c>
      <c r="AS62" s="8" t="b">
        <v>1</v>
      </c>
      <c r="AT62" s="8" t="b">
        <v>1</v>
      </c>
      <c r="AU62" s="8" t="b">
        <v>1</v>
      </c>
      <c r="AV62" s="8" t="b">
        <v>1</v>
      </c>
      <c r="AW62" s="8" t="b">
        <v>1</v>
      </c>
      <c r="AX62" s="8" t="b">
        <v>1</v>
      </c>
      <c r="AY62" s="8" t="b">
        <v>1</v>
      </c>
      <c r="AZ62" s="8" t="b">
        <v>1</v>
      </c>
      <c r="BA62" s="7" t="s">
        <v>783</v>
      </c>
      <c r="BB62" s="7" t="s">
        <v>783</v>
      </c>
      <c r="BC62" s="7" t="s">
        <v>784</v>
      </c>
      <c r="BD62" s="7">
        <v>2081.0115204260151</v>
      </c>
      <c r="BE62" s="7">
        <v>4.5015771428571423</v>
      </c>
      <c r="BF62" s="7">
        <v>41.164027213995766</v>
      </c>
      <c r="BG62" s="7">
        <v>0.13714285714285715</v>
      </c>
      <c r="BH62" s="7" t="s">
        <v>154</v>
      </c>
      <c r="BI62" s="7">
        <v>175</v>
      </c>
      <c r="BJ62" s="7">
        <v>24</v>
      </c>
      <c r="BK62" s="7">
        <v>24</v>
      </c>
      <c r="BL62" s="7">
        <v>24</v>
      </c>
      <c r="BM62" s="8" t="b">
        <v>1</v>
      </c>
      <c r="BN62" s="7">
        <v>0</v>
      </c>
      <c r="BO62" s="7">
        <v>0</v>
      </c>
      <c r="BP62" s="7">
        <v>30.975930478531815</v>
      </c>
      <c r="BQ62" s="7">
        <v>0.13714285714285715</v>
      </c>
      <c r="BR62" s="7" t="s">
        <v>154</v>
      </c>
      <c r="BS62" s="7">
        <v>175</v>
      </c>
      <c r="BT62" s="7">
        <v>24</v>
      </c>
      <c r="BU62" s="7">
        <v>24</v>
      </c>
      <c r="BV62" s="7">
        <v>24</v>
      </c>
      <c r="BW62" s="7" t="s">
        <v>878</v>
      </c>
      <c r="BX62" s="8" t="b">
        <v>1</v>
      </c>
      <c r="BY62" s="7">
        <v>-203.67</v>
      </c>
      <c r="BZ62" s="7">
        <v>-36</v>
      </c>
      <c r="CA62" s="7">
        <v>46235.4375</v>
      </c>
      <c r="CB62" s="7">
        <v>46235.427083333336</v>
      </c>
      <c r="CC62" s="7">
        <v>3.4504030476190474E-2</v>
      </c>
      <c r="CD62" s="7">
        <v>31.73913043478268</v>
      </c>
      <c r="CE62" s="7">
        <v>44.16058140621125</v>
      </c>
      <c r="CF62" s="7">
        <v>662.24534522516342</v>
      </c>
      <c r="CG62" s="7">
        <v>0.3125</v>
      </c>
      <c r="CH62" s="7" t="s">
        <v>150</v>
      </c>
      <c r="CI62" s="7">
        <v>128</v>
      </c>
      <c r="CJ62" s="8" t="b">
        <v>1</v>
      </c>
      <c r="CK62" s="7">
        <v>40</v>
      </c>
      <c r="CL62" s="7">
        <v>40</v>
      </c>
      <c r="CM62" s="7">
        <v>40</v>
      </c>
      <c r="CN62" s="8" t="b">
        <v>0</v>
      </c>
      <c r="CO62" s="7" t="s">
        <v>785</v>
      </c>
      <c r="CP62" s="7">
        <v>2611.7268233437062</v>
      </c>
    </row>
    <row r="63" spans="1:94" ht="21" customHeight="1" x14ac:dyDescent="0.45">
      <c r="A63" s="9">
        <v>46235.4375</v>
      </c>
      <c r="B63" s="9">
        <v>46235.447916666664</v>
      </c>
      <c r="C63" s="9">
        <v>46235.5625</v>
      </c>
      <c r="D63" s="10">
        <v>46235</v>
      </c>
      <c r="E63" s="7">
        <v>0.25</v>
      </c>
      <c r="F63" s="7" t="s">
        <v>770</v>
      </c>
      <c r="G63" s="9">
        <v>46235.416666666664</v>
      </c>
      <c r="H63" s="7">
        <v>14.99</v>
      </c>
      <c r="I63" s="7" t="s">
        <v>879</v>
      </c>
      <c r="J63" s="7">
        <v>15</v>
      </c>
      <c r="K63" s="7" t="s">
        <v>790</v>
      </c>
      <c r="L63" s="10">
        <v>46234</v>
      </c>
      <c r="M63" s="7">
        <v>5.2473000000000001</v>
      </c>
      <c r="N63" s="7" t="s">
        <v>773</v>
      </c>
      <c r="O63" s="7">
        <v>91.903999999999996</v>
      </c>
      <c r="P63" s="7" t="s">
        <v>875</v>
      </c>
      <c r="Q63" s="7" t="s">
        <v>775</v>
      </c>
      <c r="R63" s="7">
        <v>66.224534522516336</v>
      </c>
      <c r="S63" s="7" t="s">
        <v>776</v>
      </c>
      <c r="T63" s="7">
        <v>175</v>
      </c>
      <c r="U63" s="7" t="s">
        <v>876</v>
      </c>
      <c r="V63" s="7" t="s">
        <v>775</v>
      </c>
      <c r="W63" s="7">
        <v>5.1626550797553028</v>
      </c>
      <c r="X63" s="7" t="s">
        <v>776</v>
      </c>
      <c r="Y63" s="7">
        <v>175</v>
      </c>
      <c r="Z63" s="7" t="s">
        <v>877</v>
      </c>
      <c r="AA63" s="7" t="s">
        <v>775</v>
      </c>
      <c r="AB63" s="7">
        <v>6.8606712023326279</v>
      </c>
      <c r="AC63" s="7" t="s">
        <v>776</v>
      </c>
      <c r="AD63" s="7"/>
      <c r="AE63" s="7" t="s">
        <v>779</v>
      </c>
      <c r="AF63" s="7"/>
      <c r="AG63" s="7">
        <v>0</v>
      </c>
      <c r="AH63" s="7" t="s">
        <v>776</v>
      </c>
      <c r="AI63" s="7">
        <v>0</v>
      </c>
      <c r="AJ63" s="7">
        <v>-6.6495149886608358</v>
      </c>
      <c r="AK63" s="7" t="s">
        <v>776</v>
      </c>
      <c r="AL63" s="7">
        <v>11.215999999999999</v>
      </c>
      <c r="AM63" s="7" t="s">
        <v>780</v>
      </c>
      <c r="AN63" s="7" t="s">
        <v>781</v>
      </c>
      <c r="AO63" s="7" t="s">
        <v>782</v>
      </c>
      <c r="AP63" s="7">
        <v>0</v>
      </c>
      <c r="AQ63" s="7">
        <v>0.2563657142857142</v>
      </c>
      <c r="AR63" s="7">
        <v>0.2563657142857142</v>
      </c>
      <c r="AS63" s="8" t="b">
        <v>1</v>
      </c>
      <c r="AT63" s="8" t="b">
        <v>1</v>
      </c>
      <c r="AU63" s="8" t="b">
        <v>1</v>
      </c>
      <c r="AV63" s="8" t="b">
        <v>1</v>
      </c>
      <c r="AW63" s="8" t="b">
        <v>1</v>
      </c>
      <c r="AX63" s="8" t="b">
        <v>1</v>
      </c>
      <c r="AY63" s="8" t="b">
        <v>1</v>
      </c>
      <c r="AZ63" s="8" t="b">
        <v>1</v>
      </c>
      <c r="BA63" s="7" t="s">
        <v>783</v>
      </c>
      <c r="BB63" s="7" t="s">
        <v>783</v>
      </c>
      <c r="BC63" s="7" t="s">
        <v>784</v>
      </c>
      <c r="BD63" s="7">
        <v>10.228245958329589</v>
      </c>
      <c r="BE63" s="7">
        <v>1.5381942857142854</v>
      </c>
      <c r="BF63" s="7">
        <v>41.164027213995766</v>
      </c>
      <c r="BG63" s="7">
        <v>0.13714285714285715</v>
      </c>
      <c r="BH63" s="7" t="s">
        <v>154</v>
      </c>
      <c r="BI63" s="7">
        <v>175</v>
      </c>
      <c r="BJ63" s="7">
        <v>24</v>
      </c>
      <c r="BK63" s="7">
        <v>24</v>
      </c>
      <c r="BL63" s="7">
        <v>24</v>
      </c>
      <c r="BM63" s="8" t="b">
        <v>1</v>
      </c>
      <c r="BN63" s="7">
        <v>0</v>
      </c>
      <c r="BO63" s="7">
        <v>0</v>
      </c>
      <c r="BP63" s="7">
        <v>30.975930478531815</v>
      </c>
      <c r="BQ63" s="7">
        <v>0.13714285714285715</v>
      </c>
      <c r="BR63" s="7" t="s">
        <v>154</v>
      </c>
      <c r="BS63" s="7">
        <v>175</v>
      </c>
      <c r="BT63" s="7">
        <v>24</v>
      </c>
      <c r="BU63" s="7">
        <v>24</v>
      </c>
      <c r="BV63" s="7">
        <v>24</v>
      </c>
      <c r="BW63" s="7" t="s">
        <v>879</v>
      </c>
      <c r="BX63" s="8" t="b">
        <v>1</v>
      </c>
      <c r="BY63" s="7">
        <v>-134.91</v>
      </c>
      <c r="BZ63" s="7">
        <v>-36</v>
      </c>
      <c r="CA63" s="7">
        <v>46235.447916666664</v>
      </c>
      <c r="CB63" s="7">
        <v>46235.4375</v>
      </c>
      <c r="CC63" s="7">
        <v>2.6930940952380952E-2</v>
      </c>
      <c r="CD63" s="7">
        <v>44.16058140621125</v>
      </c>
      <c r="CE63" s="7">
        <v>53.855720149068397</v>
      </c>
      <c r="CF63" s="7">
        <v>662.24534522516342</v>
      </c>
      <c r="CG63" s="7">
        <v>0.3125</v>
      </c>
      <c r="CH63" s="7" t="s">
        <v>150</v>
      </c>
      <c r="CI63" s="7">
        <v>128</v>
      </c>
      <c r="CJ63" s="8" t="b">
        <v>1</v>
      </c>
      <c r="CK63" s="7">
        <v>40</v>
      </c>
      <c r="CL63" s="7">
        <v>40</v>
      </c>
      <c r="CM63" s="7">
        <v>40</v>
      </c>
      <c r="CN63" s="8" t="b">
        <v>0</v>
      </c>
      <c r="CO63" s="7" t="s">
        <v>785</v>
      </c>
      <c r="CP63" s="7">
        <v>609.70354887602059</v>
      </c>
    </row>
    <row r="64" spans="1:94" ht="21" customHeight="1" x14ac:dyDescent="0.45">
      <c r="A64" s="9">
        <v>46235.447916666664</v>
      </c>
      <c r="B64" s="9">
        <v>46235.458333333336</v>
      </c>
      <c r="C64" s="9">
        <v>46235.572916666664</v>
      </c>
      <c r="D64" s="10">
        <v>46235</v>
      </c>
      <c r="E64" s="7">
        <v>0.25</v>
      </c>
      <c r="F64" s="7" t="s">
        <v>770</v>
      </c>
      <c r="G64" s="9">
        <v>46235.416666666664</v>
      </c>
      <c r="H64" s="7">
        <v>13</v>
      </c>
      <c r="I64" s="7" t="s">
        <v>880</v>
      </c>
      <c r="J64" s="7">
        <v>15</v>
      </c>
      <c r="K64" s="7" t="s">
        <v>790</v>
      </c>
      <c r="L64" s="10">
        <v>46234</v>
      </c>
      <c r="M64" s="7">
        <v>5.2473000000000001</v>
      </c>
      <c r="N64" s="7" t="s">
        <v>773</v>
      </c>
      <c r="O64" s="7">
        <v>91.903999999999996</v>
      </c>
      <c r="P64" s="7" t="s">
        <v>875</v>
      </c>
      <c r="Q64" s="7" t="s">
        <v>775</v>
      </c>
      <c r="R64" s="7">
        <v>66.224534522516336</v>
      </c>
      <c r="S64" s="7" t="s">
        <v>776</v>
      </c>
      <c r="T64" s="7">
        <v>175</v>
      </c>
      <c r="U64" s="7" t="s">
        <v>876</v>
      </c>
      <c r="V64" s="7" t="s">
        <v>775</v>
      </c>
      <c r="W64" s="7">
        <v>5.1626550797553028</v>
      </c>
      <c r="X64" s="7" t="s">
        <v>776</v>
      </c>
      <c r="Y64" s="7">
        <v>175</v>
      </c>
      <c r="Z64" s="7" t="s">
        <v>877</v>
      </c>
      <c r="AA64" s="7" t="s">
        <v>775</v>
      </c>
      <c r="AB64" s="7">
        <v>6.8606712023326279</v>
      </c>
      <c r="AC64" s="7" t="s">
        <v>776</v>
      </c>
      <c r="AD64" s="7"/>
      <c r="AE64" s="7" t="s">
        <v>779</v>
      </c>
      <c r="AF64" s="7"/>
      <c r="AG64" s="7">
        <v>0</v>
      </c>
      <c r="AH64" s="7" t="s">
        <v>776</v>
      </c>
      <c r="AI64" s="7">
        <v>0</v>
      </c>
      <c r="AJ64" s="7">
        <v>-20.246793589083911</v>
      </c>
      <c r="AK64" s="7" t="s">
        <v>776</v>
      </c>
      <c r="AL64" s="7">
        <v>18.741</v>
      </c>
      <c r="AM64" s="7" t="s">
        <v>780</v>
      </c>
      <c r="AN64" s="7" t="s">
        <v>781</v>
      </c>
      <c r="AO64" s="7" t="s">
        <v>782</v>
      </c>
      <c r="AP64" s="7">
        <v>0</v>
      </c>
      <c r="AQ64" s="7">
        <v>0.42836571428571429</v>
      </c>
      <c r="AR64" s="7">
        <v>0.42836571428571429</v>
      </c>
      <c r="AS64" s="8" t="b">
        <v>1</v>
      </c>
      <c r="AT64" s="8" t="b">
        <v>1</v>
      </c>
      <c r="AU64" s="8" t="b">
        <v>1</v>
      </c>
      <c r="AV64" s="8" t="b">
        <v>1</v>
      </c>
      <c r="AW64" s="8" t="b">
        <v>1</v>
      </c>
      <c r="AX64" s="8" t="b">
        <v>1</v>
      </c>
      <c r="AY64" s="8" t="b">
        <v>1</v>
      </c>
      <c r="AZ64" s="8" t="b">
        <v>1</v>
      </c>
      <c r="BA64" s="7" t="s">
        <v>783</v>
      </c>
      <c r="BB64" s="7" t="s">
        <v>783</v>
      </c>
      <c r="BC64" s="7" t="s">
        <v>784</v>
      </c>
      <c r="BD64" s="7">
        <v>52.038193186700106</v>
      </c>
      <c r="BE64" s="7">
        <v>2.5701942857142859</v>
      </c>
      <c r="BF64" s="7">
        <v>41.164027213995766</v>
      </c>
      <c r="BG64" s="7">
        <v>0.13714285714285715</v>
      </c>
      <c r="BH64" s="7" t="s">
        <v>154</v>
      </c>
      <c r="BI64" s="7">
        <v>175</v>
      </c>
      <c r="BJ64" s="7">
        <v>24</v>
      </c>
      <c r="BK64" s="7">
        <v>24</v>
      </c>
      <c r="BL64" s="7">
        <v>24</v>
      </c>
      <c r="BM64" s="8" t="b">
        <v>1</v>
      </c>
      <c r="BN64" s="7">
        <v>0</v>
      </c>
      <c r="BO64" s="7">
        <v>0</v>
      </c>
      <c r="BP64" s="7">
        <v>30.975930478531815</v>
      </c>
      <c r="BQ64" s="7">
        <v>0.13714285714285715</v>
      </c>
      <c r="BR64" s="7" t="s">
        <v>154</v>
      </c>
      <c r="BS64" s="7">
        <v>175</v>
      </c>
      <c r="BT64" s="7">
        <v>24</v>
      </c>
      <c r="BU64" s="7">
        <v>24</v>
      </c>
      <c r="BV64" s="7">
        <v>24</v>
      </c>
      <c r="BW64" s="7" t="s">
        <v>880</v>
      </c>
      <c r="BX64" s="8" t="b">
        <v>1</v>
      </c>
      <c r="BY64" s="7">
        <v>-117</v>
      </c>
      <c r="BZ64" s="7">
        <v>-36</v>
      </c>
      <c r="CA64" s="7">
        <v>46235.458333333336</v>
      </c>
      <c r="CB64" s="7">
        <v>46235.447916666664</v>
      </c>
      <c r="CC64" s="7">
        <v>2.9568274285714288E-2</v>
      </c>
      <c r="CD64" s="7">
        <v>53.855720149068397</v>
      </c>
      <c r="CE64" s="7">
        <v>64.500298891925539</v>
      </c>
      <c r="CF64" s="7">
        <v>662.24534522516342</v>
      </c>
      <c r="CG64" s="7">
        <v>0.3125</v>
      </c>
      <c r="CH64" s="7" t="s">
        <v>150</v>
      </c>
      <c r="CI64" s="7">
        <v>128</v>
      </c>
      <c r="CJ64" s="8" t="b">
        <v>1</v>
      </c>
      <c r="CK64" s="7">
        <v>40</v>
      </c>
      <c r="CL64" s="7">
        <v>40</v>
      </c>
      <c r="CM64" s="7">
        <v>40</v>
      </c>
      <c r="CN64" s="8" t="b">
        <v>0</v>
      </c>
      <c r="CO64" s="7" t="s">
        <v>785</v>
      </c>
      <c r="CP64" s="7">
        <v>669.42349610439112</v>
      </c>
    </row>
    <row r="65" spans="1:94" ht="21" customHeight="1" x14ac:dyDescent="0.45">
      <c r="A65" s="9">
        <v>46235.458333333336</v>
      </c>
      <c r="B65" s="9">
        <v>46235.46875</v>
      </c>
      <c r="C65" s="9">
        <v>46235.583333333336</v>
      </c>
      <c r="D65" s="10">
        <v>46235</v>
      </c>
      <c r="E65" s="7">
        <v>0.25</v>
      </c>
      <c r="F65" s="7" t="s">
        <v>770</v>
      </c>
      <c r="G65" s="9">
        <v>46235.458333333336</v>
      </c>
      <c r="H65" s="7">
        <v>14.94</v>
      </c>
      <c r="I65" s="7" t="s">
        <v>881</v>
      </c>
      <c r="J65" s="7">
        <v>15</v>
      </c>
      <c r="K65" s="7" t="s">
        <v>790</v>
      </c>
      <c r="L65" s="10">
        <v>46234</v>
      </c>
      <c r="M65" s="7">
        <v>5.2473000000000001</v>
      </c>
      <c r="N65" s="7" t="s">
        <v>773</v>
      </c>
      <c r="O65" s="7">
        <v>91.903999999999996</v>
      </c>
      <c r="P65" s="7" t="s">
        <v>882</v>
      </c>
      <c r="Q65" s="7" t="s">
        <v>775</v>
      </c>
      <c r="R65" s="7">
        <v>66.224534522516336</v>
      </c>
      <c r="S65" s="7" t="s">
        <v>776</v>
      </c>
      <c r="T65" s="7">
        <v>175</v>
      </c>
      <c r="U65" s="7" t="s">
        <v>883</v>
      </c>
      <c r="V65" s="7" t="s">
        <v>775</v>
      </c>
      <c r="W65" s="7">
        <v>5.1626550797553028</v>
      </c>
      <c r="X65" s="7" t="s">
        <v>776</v>
      </c>
      <c r="Y65" s="7">
        <v>175</v>
      </c>
      <c r="Z65" s="7" t="s">
        <v>884</v>
      </c>
      <c r="AA65" s="7" t="s">
        <v>775</v>
      </c>
      <c r="AB65" s="7">
        <v>6.8606712023326279</v>
      </c>
      <c r="AC65" s="7" t="s">
        <v>776</v>
      </c>
      <c r="AD65" s="7"/>
      <c r="AE65" s="7" t="s">
        <v>779</v>
      </c>
      <c r="AF65" s="7"/>
      <c r="AG65" s="7">
        <v>0</v>
      </c>
      <c r="AH65" s="7" t="s">
        <v>776</v>
      </c>
      <c r="AI65" s="7">
        <v>0</v>
      </c>
      <c r="AJ65" s="7">
        <v>6.8698187639357382</v>
      </c>
      <c r="AK65" s="7" t="s">
        <v>776</v>
      </c>
      <c r="AL65" s="7">
        <v>9.4749999999999996</v>
      </c>
      <c r="AM65" s="7" t="s">
        <v>780</v>
      </c>
      <c r="AN65" s="7" t="s">
        <v>781</v>
      </c>
      <c r="AO65" s="7" t="s">
        <v>782</v>
      </c>
      <c r="AP65" s="7">
        <v>0</v>
      </c>
      <c r="AQ65" s="7">
        <v>0.2165714285714285</v>
      </c>
      <c r="AR65" s="7">
        <v>0.2165714285714285</v>
      </c>
      <c r="AS65" s="8" t="b">
        <v>1</v>
      </c>
      <c r="AT65" s="8" t="b">
        <v>1</v>
      </c>
      <c r="AU65" s="8" t="b">
        <v>1</v>
      </c>
      <c r="AV65" s="8" t="b">
        <v>1</v>
      </c>
      <c r="AW65" s="8" t="b">
        <v>1</v>
      </c>
      <c r="AX65" s="8" t="b">
        <v>1</v>
      </c>
      <c r="AY65" s="8" t="b">
        <v>1</v>
      </c>
      <c r="AZ65" s="8" t="b">
        <v>1</v>
      </c>
      <c r="BA65" s="7" t="s">
        <v>783</v>
      </c>
      <c r="BB65" s="7" t="s">
        <v>783</v>
      </c>
      <c r="BC65" s="7" t="s">
        <v>784</v>
      </c>
      <c r="BD65" s="7">
        <v>-8.9268387823942099</v>
      </c>
      <c r="BE65" s="7">
        <v>1.2994285714285714</v>
      </c>
      <c r="BF65" s="7">
        <v>41.164027213995766</v>
      </c>
      <c r="BG65" s="7">
        <v>0.13714285714285715</v>
      </c>
      <c r="BH65" s="7" t="s">
        <v>154</v>
      </c>
      <c r="BI65" s="7">
        <v>175</v>
      </c>
      <c r="BJ65" s="7">
        <v>24</v>
      </c>
      <c r="BK65" s="7">
        <v>24</v>
      </c>
      <c r="BL65" s="7">
        <v>24</v>
      </c>
      <c r="BM65" s="8" t="b">
        <v>1</v>
      </c>
      <c r="BN65" s="7">
        <v>0</v>
      </c>
      <c r="BO65" s="7">
        <v>0</v>
      </c>
      <c r="BP65" s="7">
        <v>30.975930478531815</v>
      </c>
      <c r="BQ65" s="7">
        <v>0.13714285714285715</v>
      </c>
      <c r="BR65" s="7" t="s">
        <v>154</v>
      </c>
      <c r="BS65" s="7">
        <v>175</v>
      </c>
      <c r="BT65" s="7">
        <v>24</v>
      </c>
      <c r="BU65" s="7">
        <v>24</v>
      </c>
      <c r="BV65" s="7">
        <v>24</v>
      </c>
      <c r="BW65" s="7" t="s">
        <v>881</v>
      </c>
      <c r="BX65" s="8" t="b">
        <v>1</v>
      </c>
      <c r="BY65" s="7">
        <v>-134.46</v>
      </c>
      <c r="BZ65" s="7">
        <v>-36</v>
      </c>
      <c r="CA65" s="7">
        <v>46235.46875</v>
      </c>
      <c r="CB65" s="7">
        <v>46235.458333333336</v>
      </c>
      <c r="CC65" s="7">
        <v>2.6320761904761906E-2</v>
      </c>
      <c r="CD65" s="7">
        <v>64.500298891925539</v>
      </c>
      <c r="CE65" s="7">
        <v>73.975773177639823</v>
      </c>
      <c r="CF65" s="7">
        <v>662.24534522516342</v>
      </c>
      <c r="CG65" s="7">
        <v>0.3125</v>
      </c>
      <c r="CH65" s="7" t="s">
        <v>150</v>
      </c>
      <c r="CI65" s="7">
        <v>128</v>
      </c>
      <c r="CJ65" s="8" t="b">
        <v>1</v>
      </c>
      <c r="CK65" s="7">
        <v>40</v>
      </c>
      <c r="CL65" s="7">
        <v>40</v>
      </c>
      <c r="CM65" s="7">
        <v>40</v>
      </c>
      <c r="CN65" s="8" t="b">
        <v>0</v>
      </c>
      <c r="CO65" s="7" t="s">
        <v>785</v>
      </c>
      <c r="CP65" s="7">
        <v>590.99846413529679</v>
      </c>
    </row>
    <row r="66" spans="1:94" ht="21" customHeight="1" x14ac:dyDescent="0.45">
      <c r="A66" s="9">
        <v>46235.46875</v>
      </c>
      <c r="B66" s="9">
        <v>46235.479166666664</v>
      </c>
      <c r="C66" s="9">
        <v>46235.59375</v>
      </c>
      <c r="D66" s="10">
        <v>46235</v>
      </c>
      <c r="E66" s="7">
        <v>0.25</v>
      </c>
      <c r="F66" s="7" t="s">
        <v>770</v>
      </c>
      <c r="G66" s="9">
        <v>46235.458333333336</v>
      </c>
      <c r="H66" s="7">
        <v>14.93</v>
      </c>
      <c r="I66" s="7" t="s">
        <v>885</v>
      </c>
      <c r="J66" s="7">
        <v>15</v>
      </c>
      <c r="K66" s="7" t="s">
        <v>790</v>
      </c>
      <c r="L66" s="10">
        <v>46234</v>
      </c>
      <c r="M66" s="7">
        <v>5.2473000000000001</v>
      </c>
      <c r="N66" s="7" t="s">
        <v>773</v>
      </c>
      <c r="O66" s="7">
        <v>91.903999999999996</v>
      </c>
      <c r="P66" s="7" t="s">
        <v>882</v>
      </c>
      <c r="Q66" s="7" t="s">
        <v>775</v>
      </c>
      <c r="R66" s="7">
        <v>66.224534522516336</v>
      </c>
      <c r="S66" s="7" t="s">
        <v>776</v>
      </c>
      <c r="T66" s="7">
        <v>175</v>
      </c>
      <c r="U66" s="7" t="s">
        <v>883</v>
      </c>
      <c r="V66" s="7" t="s">
        <v>775</v>
      </c>
      <c r="W66" s="7">
        <v>5.1626550797553028</v>
      </c>
      <c r="X66" s="7" t="s">
        <v>776</v>
      </c>
      <c r="Y66" s="7">
        <v>175</v>
      </c>
      <c r="Z66" s="7" t="s">
        <v>884</v>
      </c>
      <c r="AA66" s="7" t="s">
        <v>775</v>
      </c>
      <c r="AB66" s="7">
        <v>6.8606712023326279</v>
      </c>
      <c r="AC66" s="7" t="s">
        <v>776</v>
      </c>
      <c r="AD66" s="7"/>
      <c r="AE66" s="7" t="s">
        <v>779</v>
      </c>
      <c r="AF66" s="7"/>
      <c r="AG66" s="7">
        <v>0</v>
      </c>
      <c r="AH66" s="7" t="s">
        <v>776</v>
      </c>
      <c r="AI66" s="7">
        <v>0</v>
      </c>
      <c r="AJ66" s="7">
        <v>-1.7111657423817961</v>
      </c>
      <c r="AK66" s="7" t="s">
        <v>776</v>
      </c>
      <c r="AL66" s="7">
        <v>6.69</v>
      </c>
      <c r="AM66" s="7" t="s">
        <v>780</v>
      </c>
      <c r="AN66" s="7" t="s">
        <v>781</v>
      </c>
      <c r="AO66" s="7" t="s">
        <v>782</v>
      </c>
      <c r="AP66" s="7">
        <v>0</v>
      </c>
      <c r="AQ66" s="7">
        <v>0.1529142857142857</v>
      </c>
      <c r="AR66" s="7">
        <v>0.1529142857142857</v>
      </c>
      <c r="AS66" s="8" t="b">
        <v>1</v>
      </c>
      <c r="AT66" s="8" t="b">
        <v>1</v>
      </c>
      <c r="AU66" s="8" t="b">
        <v>1</v>
      </c>
      <c r="AV66" s="8" t="b">
        <v>1</v>
      </c>
      <c r="AW66" s="8" t="b">
        <v>1</v>
      </c>
      <c r="AX66" s="8" t="b">
        <v>1</v>
      </c>
      <c r="AY66" s="8" t="b">
        <v>1</v>
      </c>
      <c r="AZ66" s="8" t="b">
        <v>1</v>
      </c>
      <c r="BA66" s="7" t="s">
        <v>783</v>
      </c>
      <c r="BB66" s="7" t="s">
        <v>783</v>
      </c>
      <c r="BC66" s="7" t="s">
        <v>784</v>
      </c>
      <c r="BD66" s="7">
        <v>1.5699701234104069</v>
      </c>
      <c r="BE66" s="7">
        <v>0.91748571428571435</v>
      </c>
      <c r="BF66" s="7">
        <v>41.164027213995766</v>
      </c>
      <c r="BG66" s="7">
        <v>0.13714285714285715</v>
      </c>
      <c r="BH66" s="7" t="s">
        <v>154</v>
      </c>
      <c r="BI66" s="7">
        <v>175</v>
      </c>
      <c r="BJ66" s="7">
        <v>24</v>
      </c>
      <c r="BK66" s="7">
        <v>24</v>
      </c>
      <c r="BL66" s="7">
        <v>24</v>
      </c>
      <c r="BM66" s="8" t="b">
        <v>1</v>
      </c>
      <c r="BN66" s="7">
        <v>0</v>
      </c>
      <c r="BO66" s="7">
        <v>0</v>
      </c>
      <c r="BP66" s="7">
        <v>30.975930478531815</v>
      </c>
      <c r="BQ66" s="7">
        <v>0.13714285714285715</v>
      </c>
      <c r="BR66" s="7" t="s">
        <v>154</v>
      </c>
      <c r="BS66" s="7">
        <v>175</v>
      </c>
      <c r="BT66" s="7">
        <v>24</v>
      </c>
      <c r="BU66" s="7">
        <v>24</v>
      </c>
      <c r="BV66" s="7">
        <v>24</v>
      </c>
      <c r="BW66" s="7" t="s">
        <v>885</v>
      </c>
      <c r="BX66" s="8" t="b">
        <v>1</v>
      </c>
      <c r="BY66" s="7">
        <v>-134.37</v>
      </c>
      <c r="BZ66" s="7">
        <v>-36</v>
      </c>
      <c r="CA66" s="7">
        <v>46235.479166666664</v>
      </c>
      <c r="CB66" s="7">
        <v>46235.46875</v>
      </c>
      <c r="CC66" s="7">
        <v>2.5344685714285713E-2</v>
      </c>
      <c r="CD66" s="7">
        <v>73.975773177639823</v>
      </c>
      <c r="CE66" s="7">
        <v>83.099860034782679</v>
      </c>
      <c r="CF66" s="7">
        <v>662.24534522516342</v>
      </c>
      <c r="CG66" s="7">
        <v>0.3125</v>
      </c>
      <c r="CH66" s="7" t="s">
        <v>150</v>
      </c>
      <c r="CI66" s="7">
        <v>128</v>
      </c>
      <c r="CJ66" s="8" t="b">
        <v>1</v>
      </c>
      <c r="CK66" s="7">
        <v>40</v>
      </c>
      <c r="CL66" s="7">
        <v>40</v>
      </c>
      <c r="CM66" s="7">
        <v>40</v>
      </c>
      <c r="CN66" s="8" t="b">
        <v>0</v>
      </c>
      <c r="CO66" s="7" t="s">
        <v>785</v>
      </c>
      <c r="CP66" s="7">
        <v>601.58527304110135</v>
      </c>
    </row>
    <row r="67" spans="1:94" ht="21" customHeight="1" x14ac:dyDescent="0.45">
      <c r="A67" s="9">
        <v>46235.479166666664</v>
      </c>
      <c r="B67" s="9">
        <v>46235.489583333336</v>
      </c>
      <c r="C67" s="9">
        <v>46235.604166666664</v>
      </c>
      <c r="D67" s="10">
        <v>46235</v>
      </c>
      <c r="E67" s="7">
        <v>0.25</v>
      </c>
      <c r="F67" s="7" t="s">
        <v>770</v>
      </c>
      <c r="G67" s="9">
        <v>46235.458333333336</v>
      </c>
      <c r="H67" s="7">
        <v>15.27</v>
      </c>
      <c r="I67" s="7" t="s">
        <v>886</v>
      </c>
      <c r="J67" s="7">
        <v>15</v>
      </c>
      <c r="K67" s="7" t="s">
        <v>790</v>
      </c>
      <c r="L67" s="10">
        <v>46234</v>
      </c>
      <c r="M67" s="7">
        <v>5.2473000000000001</v>
      </c>
      <c r="N67" s="7" t="s">
        <v>773</v>
      </c>
      <c r="O67" s="7">
        <v>91.903999999999996</v>
      </c>
      <c r="P67" s="7" t="s">
        <v>882</v>
      </c>
      <c r="Q67" s="7" t="s">
        <v>775</v>
      </c>
      <c r="R67" s="7">
        <v>66.224534522516336</v>
      </c>
      <c r="S67" s="7" t="s">
        <v>776</v>
      </c>
      <c r="T67" s="7">
        <v>175</v>
      </c>
      <c r="U67" s="7" t="s">
        <v>883</v>
      </c>
      <c r="V67" s="7" t="s">
        <v>775</v>
      </c>
      <c r="W67" s="7">
        <v>5.1626550797553028</v>
      </c>
      <c r="X67" s="7" t="s">
        <v>776</v>
      </c>
      <c r="Y67" s="7">
        <v>175</v>
      </c>
      <c r="Z67" s="7" t="s">
        <v>884</v>
      </c>
      <c r="AA67" s="7" t="s">
        <v>775</v>
      </c>
      <c r="AB67" s="7">
        <v>6.8606712023326279</v>
      </c>
      <c r="AC67" s="7" t="s">
        <v>776</v>
      </c>
      <c r="AD67" s="7"/>
      <c r="AE67" s="7" t="s">
        <v>779</v>
      </c>
      <c r="AF67" s="7"/>
      <c r="AG67" s="7">
        <v>0</v>
      </c>
      <c r="AH67" s="7" t="s">
        <v>776</v>
      </c>
      <c r="AI67" s="7">
        <v>0</v>
      </c>
      <c r="AJ67" s="7">
        <v>-27.546357174165763</v>
      </c>
      <c r="AK67" s="7" t="s">
        <v>776</v>
      </c>
      <c r="AL67" s="7">
        <v>18.053999999999998</v>
      </c>
      <c r="AM67" s="7" t="s">
        <v>780</v>
      </c>
      <c r="AN67" s="7" t="s">
        <v>781</v>
      </c>
      <c r="AO67" s="7" t="s">
        <v>782</v>
      </c>
      <c r="AP67" s="7">
        <v>0</v>
      </c>
      <c r="AQ67" s="7">
        <v>0.41266285714285711</v>
      </c>
      <c r="AR67" s="7">
        <v>0.41266285714285711</v>
      </c>
      <c r="AS67" s="8" t="b">
        <v>1</v>
      </c>
      <c r="AT67" s="8" t="b">
        <v>1</v>
      </c>
      <c r="AU67" s="8" t="b">
        <v>1</v>
      </c>
      <c r="AV67" s="8" t="b">
        <v>1</v>
      </c>
      <c r="AW67" s="8" t="b">
        <v>1</v>
      </c>
      <c r="AX67" s="8" t="b">
        <v>1</v>
      </c>
      <c r="AY67" s="8" t="b">
        <v>1</v>
      </c>
      <c r="AZ67" s="8" t="b">
        <v>1</v>
      </c>
      <c r="BA67" s="7" t="s">
        <v>783</v>
      </c>
      <c r="BB67" s="7" t="s">
        <v>783</v>
      </c>
      <c r="BC67" s="7" t="s">
        <v>784</v>
      </c>
      <c r="BD67" s="7">
        <v>68.204150732213293</v>
      </c>
      <c r="BE67" s="7">
        <v>2.4759771428571424</v>
      </c>
      <c r="BF67" s="7">
        <v>41.164027213995766</v>
      </c>
      <c r="BG67" s="7">
        <v>0.13714285714285715</v>
      </c>
      <c r="BH67" s="7" t="s">
        <v>154</v>
      </c>
      <c r="BI67" s="7">
        <v>175</v>
      </c>
      <c r="BJ67" s="7">
        <v>24</v>
      </c>
      <c r="BK67" s="7">
        <v>24</v>
      </c>
      <c r="BL67" s="7">
        <v>24</v>
      </c>
      <c r="BM67" s="8" t="b">
        <v>1</v>
      </c>
      <c r="BN67" s="7">
        <v>0</v>
      </c>
      <c r="BO67" s="7">
        <v>0</v>
      </c>
      <c r="BP67" s="7">
        <v>30.975930478531815</v>
      </c>
      <c r="BQ67" s="7">
        <v>0.13714285714285715</v>
      </c>
      <c r="BR67" s="7" t="s">
        <v>154</v>
      </c>
      <c r="BS67" s="7">
        <v>175</v>
      </c>
      <c r="BT67" s="7">
        <v>24</v>
      </c>
      <c r="BU67" s="7">
        <v>24</v>
      </c>
      <c r="BV67" s="7">
        <v>24</v>
      </c>
      <c r="BW67" s="7" t="s">
        <v>886</v>
      </c>
      <c r="BX67" s="8" t="b">
        <v>1</v>
      </c>
      <c r="BY67" s="7">
        <v>-137.43</v>
      </c>
      <c r="BZ67" s="7">
        <v>-36</v>
      </c>
      <c r="CA67" s="7">
        <v>46235.489583333336</v>
      </c>
      <c r="CB67" s="7">
        <v>46235.479166666664</v>
      </c>
      <c r="CC67" s="7">
        <v>2.9327497142857144E-2</v>
      </c>
      <c r="CD67" s="7">
        <v>83.099860034782679</v>
      </c>
      <c r="CE67" s="7">
        <v>93.657759006211251</v>
      </c>
      <c r="CF67" s="7">
        <v>662.24534522516342</v>
      </c>
      <c r="CG67" s="7">
        <v>0.3125</v>
      </c>
      <c r="CH67" s="7" t="s">
        <v>150</v>
      </c>
      <c r="CI67" s="7">
        <v>128</v>
      </c>
      <c r="CJ67" s="8" t="b">
        <v>1</v>
      </c>
      <c r="CK67" s="7">
        <v>40</v>
      </c>
      <c r="CL67" s="7">
        <v>40</v>
      </c>
      <c r="CM67" s="7">
        <v>40</v>
      </c>
      <c r="CN67" s="8" t="b">
        <v>0</v>
      </c>
      <c r="CO67" s="7" t="s">
        <v>785</v>
      </c>
      <c r="CP67" s="7">
        <v>665.15945364990432</v>
      </c>
    </row>
    <row r="68" spans="1:94" ht="21" customHeight="1" x14ac:dyDescent="0.45">
      <c r="A68" s="9">
        <v>46235.489583333336</v>
      </c>
      <c r="B68" s="9">
        <v>46235.5</v>
      </c>
      <c r="C68" s="9">
        <v>46235.614583333336</v>
      </c>
      <c r="D68" s="10">
        <v>46235</v>
      </c>
      <c r="E68" s="7">
        <v>0.25</v>
      </c>
      <c r="F68" s="7" t="s">
        <v>770</v>
      </c>
      <c r="G68" s="9">
        <v>46235.458333333336</v>
      </c>
      <c r="H68" s="7">
        <v>15.26</v>
      </c>
      <c r="I68" s="7" t="s">
        <v>887</v>
      </c>
      <c r="J68" s="7">
        <v>15</v>
      </c>
      <c r="K68" s="7" t="s">
        <v>790</v>
      </c>
      <c r="L68" s="10">
        <v>46234</v>
      </c>
      <c r="M68" s="7">
        <v>5.2473000000000001</v>
      </c>
      <c r="N68" s="7" t="s">
        <v>773</v>
      </c>
      <c r="O68" s="7">
        <v>91.903999999999996</v>
      </c>
      <c r="P68" s="7" t="s">
        <v>882</v>
      </c>
      <c r="Q68" s="7" t="s">
        <v>775</v>
      </c>
      <c r="R68" s="7">
        <v>66.224534522516336</v>
      </c>
      <c r="S68" s="7" t="s">
        <v>776</v>
      </c>
      <c r="T68" s="7">
        <v>175</v>
      </c>
      <c r="U68" s="7" t="s">
        <v>883</v>
      </c>
      <c r="V68" s="7" t="s">
        <v>775</v>
      </c>
      <c r="W68" s="7">
        <v>5.1626550797553028</v>
      </c>
      <c r="X68" s="7" t="s">
        <v>776</v>
      </c>
      <c r="Y68" s="7">
        <v>175</v>
      </c>
      <c r="Z68" s="7" t="s">
        <v>884</v>
      </c>
      <c r="AA68" s="7" t="s">
        <v>775</v>
      </c>
      <c r="AB68" s="7">
        <v>6.8606712023326279</v>
      </c>
      <c r="AC68" s="7" t="s">
        <v>776</v>
      </c>
      <c r="AD68" s="7"/>
      <c r="AE68" s="7" t="s">
        <v>779</v>
      </c>
      <c r="AF68" s="7"/>
      <c r="AG68" s="7">
        <v>0</v>
      </c>
      <c r="AH68" s="7" t="s">
        <v>776</v>
      </c>
      <c r="AI68" s="7">
        <v>0</v>
      </c>
      <c r="AJ68" s="7">
        <v>-12.386179559011302</v>
      </c>
      <c r="AK68" s="7" t="s">
        <v>776</v>
      </c>
      <c r="AL68" s="7">
        <v>12.256</v>
      </c>
      <c r="AM68" s="7" t="s">
        <v>780</v>
      </c>
      <c r="AN68" s="7" t="s">
        <v>781</v>
      </c>
      <c r="AO68" s="7" t="s">
        <v>782</v>
      </c>
      <c r="AP68" s="7">
        <v>0</v>
      </c>
      <c r="AQ68" s="7">
        <v>0.28013714285714281</v>
      </c>
      <c r="AR68" s="7">
        <v>0.28013714285714281</v>
      </c>
      <c r="AS68" s="8" t="b">
        <v>1</v>
      </c>
      <c r="AT68" s="8" t="b">
        <v>1</v>
      </c>
      <c r="AU68" s="8" t="b">
        <v>1</v>
      </c>
      <c r="AV68" s="8" t="b">
        <v>1</v>
      </c>
      <c r="AW68" s="8" t="b">
        <v>1</v>
      </c>
      <c r="AX68" s="8" t="b">
        <v>1</v>
      </c>
      <c r="AY68" s="8" t="b">
        <v>1</v>
      </c>
      <c r="AZ68" s="8" t="b">
        <v>1</v>
      </c>
      <c r="BA68" s="7" t="s">
        <v>783</v>
      </c>
      <c r="BB68" s="7" t="s">
        <v>783</v>
      </c>
      <c r="BC68" s="7" t="s">
        <v>784</v>
      </c>
      <c r="BD68" s="7">
        <v>20.81897371546183</v>
      </c>
      <c r="BE68" s="7">
        <v>1.6808228571428572</v>
      </c>
      <c r="BF68" s="7">
        <v>41.164027213995766</v>
      </c>
      <c r="BG68" s="7">
        <v>0.13714285714285715</v>
      </c>
      <c r="BH68" s="7" t="s">
        <v>154</v>
      </c>
      <c r="BI68" s="7">
        <v>175</v>
      </c>
      <c r="BJ68" s="7">
        <v>24</v>
      </c>
      <c r="BK68" s="7">
        <v>24</v>
      </c>
      <c r="BL68" s="7">
        <v>24</v>
      </c>
      <c r="BM68" s="8" t="b">
        <v>1</v>
      </c>
      <c r="BN68" s="7">
        <v>0</v>
      </c>
      <c r="BO68" s="7">
        <v>0</v>
      </c>
      <c r="BP68" s="7">
        <v>30.975930478531815</v>
      </c>
      <c r="BQ68" s="7">
        <v>0.13714285714285715</v>
      </c>
      <c r="BR68" s="7" t="s">
        <v>154</v>
      </c>
      <c r="BS68" s="7">
        <v>175</v>
      </c>
      <c r="BT68" s="7">
        <v>24</v>
      </c>
      <c r="BU68" s="7">
        <v>24</v>
      </c>
      <c r="BV68" s="7">
        <v>24</v>
      </c>
      <c r="BW68" s="7" t="s">
        <v>887</v>
      </c>
      <c r="BX68" s="8" t="b">
        <v>1</v>
      </c>
      <c r="BY68" s="7">
        <v>-137.34</v>
      </c>
      <c r="BZ68" s="7">
        <v>-36</v>
      </c>
      <c r="CA68" s="7">
        <v>46235.5</v>
      </c>
      <c r="CB68" s="7">
        <v>46235.489583333336</v>
      </c>
      <c r="CC68" s="7">
        <v>2.729543619047619E-2</v>
      </c>
      <c r="CD68" s="7">
        <v>93.657759006211251</v>
      </c>
      <c r="CE68" s="7">
        <v>103.48411603478269</v>
      </c>
      <c r="CF68" s="7">
        <v>662.24534522516342</v>
      </c>
      <c r="CG68" s="7">
        <v>0.3125</v>
      </c>
      <c r="CH68" s="7" t="s">
        <v>150</v>
      </c>
      <c r="CI68" s="7">
        <v>128</v>
      </c>
      <c r="CJ68" s="8" t="b">
        <v>1</v>
      </c>
      <c r="CK68" s="7">
        <v>40</v>
      </c>
      <c r="CL68" s="7">
        <v>40</v>
      </c>
      <c r="CM68" s="7">
        <v>40</v>
      </c>
      <c r="CN68" s="8" t="b">
        <v>0</v>
      </c>
      <c r="CO68" s="7" t="s">
        <v>785</v>
      </c>
      <c r="CP68" s="7">
        <v>617.86427663315283</v>
      </c>
    </row>
    <row r="69" spans="1:94" ht="21" customHeight="1" x14ac:dyDescent="0.45">
      <c r="A69" s="9">
        <v>46235.5</v>
      </c>
      <c r="B69" s="9">
        <v>46235.510416666664</v>
      </c>
      <c r="C69" s="9">
        <v>46235.625</v>
      </c>
      <c r="D69" s="10">
        <v>46235</v>
      </c>
      <c r="E69" s="7">
        <v>0.25</v>
      </c>
      <c r="F69" s="7" t="s">
        <v>770</v>
      </c>
      <c r="G69" s="9">
        <v>46235.5</v>
      </c>
      <c r="H69" s="7">
        <v>12.94</v>
      </c>
      <c r="I69" s="7" t="s">
        <v>888</v>
      </c>
      <c r="J69" s="7">
        <v>15</v>
      </c>
      <c r="K69" s="7" t="s">
        <v>790</v>
      </c>
      <c r="L69" s="10">
        <v>46234</v>
      </c>
      <c r="M69" s="7">
        <v>5.2473000000000001</v>
      </c>
      <c r="N69" s="7" t="s">
        <v>773</v>
      </c>
      <c r="O69" s="7">
        <v>91.903999999999996</v>
      </c>
      <c r="P69" s="7" t="s">
        <v>889</v>
      </c>
      <c r="Q69" s="7" t="s">
        <v>775</v>
      </c>
      <c r="R69" s="7">
        <v>66.224534522516336</v>
      </c>
      <c r="S69" s="7" t="s">
        <v>776</v>
      </c>
      <c r="T69" s="7">
        <v>175</v>
      </c>
      <c r="U69" s="7" t="s">
        <v>890</v>
      </c>
      <c r="V69" s="7" t="s">
        <v>775</v>
      </c>
      <c r="W69" s="7">
        <v>5.0654622377222571</v>
      </c>
      <c r="X69" s="7" t="s">
        <v>776</v>
      </c>
      <c r="Y69" s="7">
        <v>175</v>
      </c>
      <c r="Z69" s="7" t="s">
        <v>891</v>
      </c>
      <c r="AA69" s="7" t="s">
        <v>775</v>
      </c>
      <c r="AB69" s="7">
        <v>6.8606712023326279</v>
      </c>
      <c r="AC69" s="7" t="s">
        <v>776</v>
      </c>
      <c r="AD69" s="7"/>
      <c r="AE69" s="7" t="s">
        <v>779</v>
      </c>
      <c r="AF69" s="7"/>
      <c r="AG69" s="7">
        <v>133.21136584529185</v>
      </c>
      <c r="AH69" s="7" t="s">
        <v>776</v>
      </c>
      <c r="AI69" s="7">
        <v>5.1999999999999998E-2</v>
      </c>
      <c r="AJ69" s="7">
        <v>45.676443123129992</v>
      </c>
      <c r="AK69" s="7" t="s">
        <v>776</v>
      </c>
      <c r="AL69" s="7">
        <v>1.73</v>
      </c>
      <c r="AM69" s="7" t="s">
        <v>780</v>
      </c>
      <c r="AN69" s="7" t="s">
        <v>781</v>
      </c>
      <c r="AO69" s="7" t="s">
        <v>782</v>
      </c>
      <c r="AP69" s="7">
        <v>1.1885714285714E-3</v>
      </c>
      <c r="AQ69" s="7">
        <v>3.9542857142857102E-2</v>
      </c>
      <c r="AR69" s="7">
        <v>4.0731428571428502E-2</v>
      </c>
      <c r="AS69" s="8" t="b">
        <v>1</v>
      </c>
      <c r="AT69" s="8" t="b">
        <v>1</v>
      </c>
      <c r="AU69" s="8" t="b">
        <v>1</v>
      </c>
      <c r="AV69" s="8" t="b">
        <v>1</v>
      </c>
      <c r="AW69" s="8" t="b">
        <v>1</v>
      </c>
      <c r="AX69" s="8" t="b">
        <v>1</v>
      </c>
      <c r="AY69" s="8" t="b">
        <v>1</v>
      </c>
      <c r="AZ69" s="8" t="b">
        <v>1</v>
      </c>
      <c r="BA69" s="7" t="s">
        <v>783</v>
      </c>
      <c r="BB69" s="7" t="s">
        <v>783</v>
      </c>
      <c r="BC69" s="7" t="s">
        <v>784</v>
      </c>
      <c r="BD69" s="7">
        <v>-10.385518124967671</v>
      </c>
      <c r="BE69" s="7">
        <v>0.22737142857142859</v>
      </c>
      <c r="BF69" s="7">
        <v>39.448859413412613</v>
      </c>
      <c r="BG69" s="7">
        <v>0.13714285714285715</v>
      </c>
      <c r="BH69" s="7" t="s">
        <v>154</v>
      </c>
      <c r="BI69" s="7">
        <v>175</v>
      </c>
      <c r="BJ69" s="7">
        <v>23</v>
      </c>
      <c r="BK69" s="7">
        <v>24</v>
      </c>
      <c r="BL69" s="7">
        <v>24</v>
      </c>
      <c r="BM69" s="8" t="b">
        <v>1</v>
      </c>
      <c r="BN69" s="7">
        <v>0.94998734042813848</v>
      </c>
      <c r="BO69" s="7">
        <v>7.1314285714285715E-3</v>
      </c>
      <c r="BP69" s="7">
        <v>30.392773426333541</v>
      </c>
      <c r="BQ69" s="7">
        <v>0.13714285714285715</v>
      </c>
      <c r="BR69" s="7" t="s">
        <v>154</v>
      </c>
      <c r="BS69" s="7">
        <v>175</v>
      </c>
      <c r="BT69" s="7">
        <v>24</v>
      </c>
      <c r="BU69" s="7">
        <v>24</v>
      </c>
      <c r="BV69" s="7">
        <v>24</v>
      </c>
      <c r="BW69" s="7" t="s">
        <v>888</v>
      </c>
      <c r="BX69" s="8" t="b">
        <v>1</v>
      </c>
      <c r="BY69" s="7">
        <v>-119.69499999999999</v>
      </c>
      <c r="BZ69" s="7">
        <v>-37</v>
      </c>
      <c r="CA69" s="7">
        <v>46235.510416666664</v>
      </c>
      <c r="CB69" s="7">
        <v>46235.5</v>
      </c>
      <c r="CC69" s="7">
        <v>2.4201724444444447E-2</v>
      </c>
      <c r="CD69" s="7">
        <v>103.48411603478269</v>
      </c>
      <c r="CE69" s="7">
        <v>112.19673683478268</v>
      </c>
      <c r="CF69" s="7">
        <v>662.24534522516342</v>
      </c>
      <c r="CG69" s="7">
        <v>0.3125</v>
      </c>
      <c r="CH69" s="7" t="s">
        <v>150</v>
      </c>
      <c r="CI69" s="7">
        <v>128</v>
      </c>
      <c r="CJ69" s="8" t="b">
        <v>1</v>
      </c>
      <c r="CK69" s="7">
        <v>40</v>
      </c>
      <c r="CL69" s="7">
        <v>40</v>
      </c>
      <c r="CM69" s="7">
        <v>40</v>
      </c>
      <c r="CN69" s="8" t="b">
        <v>0</v>
      </c>
      <c r="CO69" s="7" t="s">
        <v>785</v>
      </c>
      <c r="CP69" s="7">
        <v>602.95644728037007</v>
      </c>
    </row>
    <row r="70" spans="1:94" ht="21" customHeight="1" x14ac:dyDescent="0.45">
      <c r="A70" s="9">
        <v>46235.510416666664</v>
      </c>
      <c r="B70" s="9">
        <v>46235.520833333336</v>
      </c>
      <c r="C70" s="9">
        <v>46235.635416666664</v>
      </c>
      <c r="D70" s="10">
        <v>46235</v>
      </c>
      <c r="E70" s="7">
        <v>0.25</v>
      </c>
      <c r="F70" s="7" t="s">
        <v>770</v>
      </c>
      <c r="G70" s="9">
        <v>46235.5</v>
      </c>
      <c r="H70" s="7">
        <v>12.93</v>
      </c>
      <c r="I70" s="7" t="s">
        <v>892</v>
      </c>
      <c r="J70" s="7">
        <v>15</v>
      </c>
      <c r="K70" s="7" t="s">
        <v>790</v>
      </c>
      <c r="L70" s="10">
        <v>46234</v>
      </c>
      <c r="M70" s="7">
        <v>5.2473000000000001</v>
      </c>
      <c r="N70" s="7" t="s">
        <v>773</v>
      </c>
      <c r="O70" s="7">
        <v>91.903999999999996</v>
      </c>
      <c r="P70" s="7" t="s">
        <v>889</v>
      </c>
      <c r="Q70" s="7" t="s">
        <v>775</v>
      </c>
      <c r="R70" s="7">
        <v>66.224534522516336</v>
      </c>
      <c r="S70" s="7" t="s">
        <v>776</v>
      </c>
      <c r="T70" s="7">
        <v>175</v>
      </c>
      <c r="U70" s="7" t="s">
        <v>890</v>
      </c>
      <c r="V70" s="7" t="s">
        <v>775</v>
      </c>
      <c r="W70" s="7">
        <v>5.0654622377222571</v>
      </c>
      <c r="X70" s="7" t="s">
        <v>776</v>
      </c>
      <c r="Y70" s="7">
        <v>175</v>
      </c>
      <c r="Z70" s="7" t="s">
        <v>891</v>
      </c>
      <c r="AA70" s="7" t="s">
        <v>775</v>
      </c>
      <c r="AB70" s="7">
        <v>6.8606712023326279</v>
      </c>
      <c r="AC70" s="7" t="s">
        <v>776</v>
      </c>
      <c r="AD70" s="7"/>
      <c r="AE70" s="7" t="s">
        <v>779</v>
      </c>
      <c r="AF70" s="7"/>
      <c r="AG70" s="7">
        <v>0</v>
      </c>
      <c r="AH70" s="7" t="s">
        <v>776</v>
      </c>
      <c r="AI70" s="7">
        <v>0</v>
      </c>
      <c r="AJ70" s="7">
        <v>25.69321365273569</v>
      </c>
      <c r="AK70" s="7" t="s">
        <v>776</v>
      </c>
      <c r="AL70" s="7">
        <v>2.4830000000000001</v>
      </c>
      <c r="AM70" s="7" t="s">
        <v>780</v>
      </c>
      <c r="AN70" s="7" t="s">
        <v>781</v>
      </c>
      <c r="AO70" s="7" t="s">
        <v>782</v>
      </c>
      <c r="AP70" s="7">
        <v>0</v>
      </c>
      <c r="AQ70" s="7">
        <v>5.6754285714285702E-2</v>
      </c>
      <c r="AR70" s="7">
        <v>5.6754285714285702E-2</v>
      </c>
      <c r="AS70" s="8" t="b">
        <v>1</v>
      </c>
      <c r="AT70" s="8" t="b">
        <v>1</v>
      </c>
      <c r="AU70" s="8" t="b">
        <v>1</v>
      </c>
      <c r="AV70" s="8" t="b">
        <v>1</v>
      </c>
      <c r="AW70" s="8" t="b">
        <v>1</v>
      </c>
      <c r="AX70" s="8" t="b">
        <v>1</v>
      </c>
      <c r="AY70" s="8" t="b">
        <v>1</v>
      </c>
      <c r="AZ70" s="8" t="b">
        <v>1</v>
      </c>
      <c r="BA70" s="7" t="s">
        <v>783</v>
      </c>
      <c r="BB70" s="7" t="s">
        <v>783</v>
      </c>
      <c r="BC70" s="7" t="s">
        <v>784</v>
      </c>
      <c r="BD70" s="7">
        <v>-8.3846499342519003</v>
      </c>
      <c r="BE70" s="7">
        <v>0.32633714285714288</v>
      </c>
      <c r="BF70" s="7">
        <v>39.448859413412613</v>
      </c>
      <c r="BG70" s="7">
        <v>0.13714285714285715</v>
      </c>
      <c r="BH70" s="7" t="s">
        <v>154</v>
      </c>
      <c r="BI70" s="7">
        <v>175</v>
      </c>
      <c r="BJ70" s="7">
        <v>23</v>
      </c>
      <c r="BK70" s="7">
        <v>24</v>
      </c>
      <c r="BL70" s="7">
        <v>24</v>
      </c>
      <c r="BM70" s="8" t="b">
        <v>1</v>
      </c>
      <c r="BN70" s="7">
        <v>0</v>
      </c>
      <c r="BO70" s="7">
        <v>0</v>
      </c>
      <c r="BP70" s="7">
        <v>30.392773426333541</v>
      </c>
      <c r="BQ70" s="7">
        <v>0.13714285714285715</v>
      </c>
      <c r="BR70" s="7" t="s">
        <v>154</v>
      </c>
      <c r="BS70" s="7">
        <v>175</v>
      </c>
      <c r="BT70" s="7">
        <v>24</v>
      </c>
      <c r="BU70" s="7">
        <v>24</v>
      </c>
      <c r="BV70" s="7">
        <v>24</v>
      </c>
      <c r="BW70" s="7" t="s">
        <v>892</v>
      </c>
      <c r="BX70" s="8" t="b">
        <v>1</v>
      </c>
      <c r="BY70" s="7">
        <v>-119.60249999999999</v>
      </c>
      <c r="BZ70" s="7">
        <v>-37</v>
      </c>
      <c r="CA70" s="7">
        <v>46235.520833333336</v>
      </c>
      <c r="CB70" s="7">
        <v>46235.510416666664</v>
      </c>
      <c r="CC70" s="7">
        <v>2.4472861587301588E-2</v>
      </c>
      <c r="CD70" s="7">
        <v>112.19673683478268</v>
      </c>
      <c r="CE70" s="7">
        <v>121.00696700621126</v>
      </c>
      <c r="CF70" s="7">
        <v>662.24534522516342</v>
      </c>
      <c r="CG70" s="7">
        <v>0.3125</v>
      </c>
      <c r="CH70" s="7" t="s">
        <v>150</v>
      </c>
      <c r="CI70" s="7">
        <v>128</v>
      </c>
      <c r="CJ70" s="8" t="b">
        <v>1</v>
      </c>
      <c r="CK70" s="7">
        <v>40</v>
      </c>
      <c r="CL70" s="7">
        <v>40</v>
      </c>
      <c r="CM70" s="7">
        <v>40</v>
      </c>
      <c r="CN70" s="8" t="b">
        <v>0</v>
      </c>
      <c r="CO70" s="7" t="s">
        <v>785</v>
      </c>
      <c r="CP70" s="7">
        <v>604.09982813065767</v>
      </c>
    </row>
    <row r="71" spans="1:94" ht="21" customHeight="1" x14ac:dyDescent="0.45">
      <c r="A71" s="9">
        <v>46235.520833333336</v>
      </c>
      <c r="B71" s="9">
        <v>46235.53125</v>
      </c>
      <c r="C71" s="9">
        <v>46235.645833333336</v>
      </c>
      <c r="D71" s="10">
        <v>46235</v>
      </c>
      <c r="E71" s="7">
        <v>0.25</v>
      </c>
      <c r="F71" s="7" t="s">
        <v>770</v>
      </c>
      <c r="G71" s="9">
        <v>46235.5</v>
      </c>
      <c r="H71" s="7">
        <v>14.92</v>
      </c>
      <c r="I71" s="7" t="s">
        <v>893</v>
      </c>
      <c r="J71" s="7">
        <v>15</v>
      </c>
      <c r="K71" s="7" t="s">
        <v>790</v>
      </c>
      <c r="L71" s="10">
        <v>46234</v>
      </c>
      <c r="M71" s="7">
        <v>5.2473000000000001</v>
      </c>
      <c r="N71" s="7" t="s">
        <v>773</v>
      </c>
      <c r="O71" s="7">
        <v>91.903999999999996</v>
      </c>
      <c r="P71" s="7" t="s">
        <v>889</v>
      </c>
      <c r="Q71" s="7" t="s">
        <v>775</v>
      </c>
      <c r="R71" s="7">
        <v>66.224534522516336</v>
      </c>
      <c r="S71" s="7" t="s">
        <v>776</v>
      </c>
      <c r="T71" s="7">
        <v>175</v>
      </c>
      <c r="U71" s="7" t="s">
        <v>890</v>
      </c>
      <c r="V71" s="7" t="s">
        <v>775</v>
      </c>
      <c r="W71" s="7">
        <v>5.0654622377222571</v>
      </c>
      <c r="X71" s="7" t="s">
        <v>776</v>
      </c>
      <c r="Y71" s="7">
        <v>175</v>
      </c>
      <c r="Z71" s="7" t="s">
        <v>891</v>
      </c>
      <c r="AA71" s="7" t="s">
        <v>775</v>
      </c>
      <c r="AB71" s="7">
        <v>6.8606712023326279</v>
      </c>
      <c r="AC71" s="7" t="s">
        <v>776</v>
      </c>
      <c r="AD71" s="7"/>
      <c r="AE71" s="7" t="s">
        <v>779</v>
      </c>
      <c r="AF71" s="7"/>
      <c r="AG71" s="7">
        <v>0</v>
      </c>
      <c r="AH71" s="7" t="s">
        <v>776</v>
      </c>
      <c r="AI71" s="7">
        <v>0</v>
      </c>
      <c r="AJ71" s="7">
        <v>-5.6400434509176147</v>
      </c>
      <c r="AK71" s="7" t="s">
        <v>776</v>
      </c>
      <c r="AL71" s="7">
        <v>8.3559999999999999</v>
      </c>
      <c r="AM71" s="7" t="s">
        <v>780</v>
      </c>
      <c r="AN71" s="7" t="s">
        <v>781</v>
      </c>
      <c r="AO71" s="7" t="s">
        <v>782</v>
      </c>
      <c r="AP71" s="7">
        <v>0</v>
      </c>
      <c r="AQ71" s="7">
        <v>0.1909942857142857</v>
      </c>
      <c r="AR71" s="7">
        <v>0.1909942857142857</v>
      </c>
      <c r="AS71" s="8" t="b">
        <v>1</v>
      </c>
      <c r="AT71" s="8" t="b">
        <v>1</v>
      </c>
      <c r="AU71" s="8" t="b">
        <v>1</v>
      </c>
      <c r="AV71" s="8" t="b">
        <v>1</v>
      </c>
      <c r="AW71" s="8" t="b">
        <v>1</v>
      </c>
      <c r="AX71" s="8" t="b">
        <v>1</v>
      </c>
      <c r="AY71" s="8" t="b">
        <v>1</v>
      </c>
      <c r="AZ71" s="8" t="b">
        <v>1</v>
      </c>
      <c r="BA71" s="7" t="s">
        <v>783</v>
      </c>
      <c r="BB71" s="7" t="s">
        <v>783</v>
      </c>
      <c r="BC71" s="7" t="s">
        <v>784</v>
      </c>
      <c r="BD71" s="7">
        <v>6.1939924042568828</v>
      </c>
      <c r="BE71" s="7">
        <v>1.0982171428571428</v>
      </c>
      <c r="BF71" s="7">
        <v>39.448859413412613</v>
      </c>
      <c r="BG71" s="7">
        <v>0.13714285714285715</v>
      </c>
      <c r="BH71" s="7" t="s">
        <v>154</v>
      </c>
      <c r="BI71" s="7">
        <v>175</v>
      </c>
      <c r="BJ71" s="7">
        <v>23</v>
      </c>
      <c r="BK71" s="7">
        <v>24</v>
      </c>
      <c r="BL71" s="7">
        <v>24</v>
      </c>
      <c r="BM71" s="8" t="b">
        <v>1</v>
      </c>
      <c r="BN71" s="7">
        <v>0</v>
      </c>
      <c r="BO71" s="7">
        <v>0</v>
      </c>
      <c r="BP71" s="7">
        <v>30.392773426333541</v>
      </c>
      <c r="BQ71" s="7">
        <v>0.13714285714285715</v>
      </c>
      <c r="BR71" s="7" t="s">
        <v>154</v>
      </c>
      <c r="BS71" s="7">
        <v>175</v>
      </c>
      <c r="BT71" s="7">
        <v>24</v>
      </c>
      <c r="BU71" s="7">
        <v>24</v>
      </c>
      <c r="BV71" s="7">
        <v>24</v>
      </c>
      <c r="BW71" s="7" t="s">
        <v>893</v>
      </c>
      <c r="BX71" s="8" t="b">
        <v>1</v>
      </c>
      <c r="BY71" s="7">
        <v>-138.01</v>
      </c>
      <c r="BZ71" s="7">
        <v>-37</v>
      </c>
      <c r="CA71" s="7">
        <v>46235.53125</v>
      </c>
      <c r="CB71" s="7">
        <v>46235.520833333336</v>
      </c>
      <c r="CC71" s="7">
        <v>2.6445443809523808E-2</v>
      </c>
      <c r="CD71" s="7">
        <v>121.00696700621126</v>
      </c>
      <c r="CE71" s="7">
        <v>130.52732677763981</v>
      </c>
      <c r="CF71" s="7">
        <v>662.24534522516342</v>
      </c>
      <c r="CG71" s="7">
        <v>0.3125</v>
      </c>
      <c r="CH71" s="7" t="s">
        <v>150</v>
      </c>
      <c r="CI71" s="7">
        <v>128</v>
      </c>
      <c r="CJ71" s="8" t="b">
        <v>1</v>
      </c>
      <c r="CK71" s="7">
        <v>40</v>
      </c>
      <c r="CL71" s="7">
        <v>40</v>
      </c>
      <c r="CM71" s="7">
        <v>40</v>
      </c>
      <c r="CN71" s="8" t="b">
        <v>0</v>
      </c>
      <c r="CO71" s="7" t="s">
        <v>785</v>
      </c>
      <c r="CP71" s="7">
        <v>600.27097046916651</v>
      </c>
    </row>
    <row r="72" spans="1:94" ht="21" customHeight="1" x14ac:dyDescent="0.45">
      <c r="A72" s="9">
        <v>46235.53125</v>
      </c>
      <c r="B72" s="9">
        <v>46235.541666666664</v>
      </c>
      <c r="C72" s="9">
        <v>46235.65625</v>
      </c>
      <c r="D72" s="10">
        <v>46235</v>
      </c>
      <c r="E72" s="7">
        <v>0.25</v>
      </c>
      <c r="F72" s="7" t="s">
        <v>770</v>
      </c>
      <c r="G72" s="9">
        <v>46235.5</v>
      </c>
      <c r="H72" s="7">
        <v>26.16</v>
      </c>
      <c r="I72" s="7" t="s">
        <v>894</v>
      </c>
      <c r="J72" s="7">
        <v>15</v>
      </c>
      <c r="K72" s="7" t="s">
        <v>790</v>
      </c>
      <c r="L72" s="10">
        <v>46234</v>
      </c>
      <c r="M72" s="7">
        <v>5.2473000000000001</v>
      </c>
      <c r="N72" s="7" t="s">
        <v>773</v>
      </c>
      <c r="O72" s="7">
        <v>91.903999999999996</v>
      </c>
      <c r="P72" s="7" t="s">
        <v>889</v>
      </c>
      <c r="Q72" s="7" t="s">
        <v>775</v>
      </c>
      <c r="R72" s="7">
        <v>66.224534522516336</v>
      </c>
      <c r="S72" s="7" t="s">
        <v>776</v>
      </c>
      <c r="T72" s="7">
        <v>175</v>
      </c>
      <c r="U72" s="7" t="s">
        <v>890</v>
      </c>
      <c r="V72" s="7" t="s">
        <v>775</v>
      </c>
      <c r="W72" s="7">
        <v>5.0654622377222571</v>
      </c>
      <c r="X72" s="7" t="s">
        <v>776</v>
      </c>
      <c r="Y72" s="7">
        <v>175</v>
      </c>
      <c r="Z72" s="7" t="s">
        <v>891</v>
      </c>
      <c r="AA72" s="7" t="s">
        <v>775</v>
      </c>
      <c r="AB72" s="7">
        <v>6.8606712023326279</v>
      </c>
      <c r="AC72" s="7" t="s">
        <v>776</v>
      </c>
      <c r="AD72" s="7"/>
      <c r="AE72" s="7" t="s">
        <v>779</v>
      </c>
      <c r="AF72" s="7"/>
      <c r="AG72" s="7">
        <v>133.21136584529185</v>
      </c>
      <c r="AH72" s="7" t="s">
        <v>776</v>
      </c>
      <c r="AI72" s="7">
        <v>0.13500000000000001</v>
      </c>
      <c r="AJ72" s="7">
        <v>21.842661940426503</v>
      </c>
      <c r="AK72" s="7" t="s">
        <v>776</v>
      </c>
      <c r="AL72" s="7">
        <v>2.5419999999999998</v>
      </c>
      <c r="AM72" s="7" t="s">
        <v>780</v>
      </c>
      <c r="AN72" s="7" t="s">
        <v>781</v>
      </c>
      <c r="AO72" s="7" t="s">
        <v>782</v>
      </c>
      <c r="AP72" s="7">
        <v>3.0857142857141999E-3</v>
      </c>
      <c r="AQ72" s="7">
        <v>5.8102857142857102E-2</v>
      </c>
      <c r="AR72" s="7">
        <v>6.1188571428571398E-2</v>
      </c>
      <c r="AS72" s="8" t="b">
        <v>1</v>
      </c>
      <c r="AT72" s="8" t="b">
        <v>1</v>
      </c>
      <c r="AU72" s="8" t="b">
        <v>1</v>
      </c>
      <c r="AV72" s="8" t="b">
        <v>1</v>
      </c>
      <c r="AW72" s="8" t="b">
        <v>1</v>
      </c>
      <c r="AX72" s="8" t="b">
        <v>1</v>
      </c>
      <c r="AY72" s="8" t="b">
        <v>1</v>
      </c>
      <c r="AZ72" s="8" t="b">
        <v>1</v>
      </c>
      <c r="BA72" s="7" t="s">
        <v>783</v>
      </c>
      <c r="BB72" s="7" t="s">
        <v>783</v>
      </c>
      <c r="BC72" s="7" t="s">
        <v>784</v>
      </c>
      <c r="BD72" s="7">
        <v>-7.2974461314798615</v>
      </c>
      <c r="BE72" s="7">
        <v>0.33409142857142854</v>
      </c>
      <c r="BF72" s="7">
        <v>39.448859413412613</v>
      </c>
      <c r="BG72" s="7">
        <v>0.13714285714285715</v>
      </c>
      <c r="BH72" s="7" t="s">
        <v>154</v>
      </c>
      <c r="BI72" s="7">
        <v>175</v>
      </c>
      <c r="BJ72" s="7">
        <v>23</v>
      </c>
      <c r="BK72" s="7">
        <v>24</v>
      </c>
      <c r="BL72" s="7">
        <v>24</v>
      </c>
      <c r="BM72" s="8" t="b">
        <v>1</v>
      </c>
      <c r="BN72" s="7">
        <v>2.4663132876499749</v>
      </c>
      <c r="BO72" s="7">
        <v>1.8514285714285716E-2</v>
      </c>
      <c r="BP72" s="7">
        <v>30.392773426333541</v>
      </c>
      <c r="BQ72" s="7">
        <v>0.13714285714285715</v>
      </c>
      <c r="BR72" s="7" t="s">
        <v>154</v>
      </c>
      <c r="BS72" s="7">
        <v>175</v>
      </c>
      <c r="BT72" s="7">
        <v>24</v>
      </c>
      <c r="BU72" s="7">
        <v>24</v>
      </c>
      <c r="BV72" s="7">
        <v>24</v>
      </c>
      <c r="BW72" s="7" t="s">
        <v>894</v>
      </c>
      <c r="BX72" s="8" t="b">
        <v>1</v>
      </c>
      <c r="BY72" s="7">
        <v>0</v>
      </c>
      <c r="BZ72" s="7">
        <v>0</v>
      </c>
      <c r="CA72" s="7">
        <v>46235.541666666664</v>
      </c>
      <c r="CB72" s="7">
        <v>46235.53125</v>
      </c>
      <c r="CC72" s="7">
        <v>9.0968982746721864E-4</v>
      </c>
      <c r="CD72" s="7">
        <v>130.52732677763981</v>
      </c>
      <c r="CE72" s="7">
        <v>130.81456666832304</v>
      </c>
      <c r="CF72" s="7">
        <v>662.24534522516342</v>
      </c>
      <c r="CG72" s="7">
        <v>0.3125</v>
      </c>
      <c r="CH72" s="7" t="s">
        <v>150</v>
      </c>
      <c r="CI72" s="7">
        <v>128</v>
      </c>
      <c r="CJ72" s="8" t="b">
        <v>1</v>
      </c>
      <c r="CK72" s="7">
        <v>40</v>
      </c>
      <c r="CL72" s="7">
        <v>40</v>
      </c>
      <c r="CM72" s="7">
        <v>40</v>
      </c>
      <c r="CN72" s="8" t="b">
        <v>0</v>
      </c>
      <c r="CO72" s="7" t="s">
        <v>785</v>
      </c>
      <c r="CP72" s="7">
        <v>727.25584522107965</v>
      </c>
    </row>
    <row r="73" spans="1:94" ht="21" customHeight="1" x14ac:dyDescent="0.45">
      <c r="A73" s="9">
        <v>46235.541666666664</v>
      </c>
      <c r="B73" s="9">
        <v>46235.552083333336</v>
      </c>
      <c r="C73" s="9">
        <v>46235.666666666664</v>
      </c>
      <c r="D73" s="10">
        <v>46235</v>
      </c>
      <c r="E73" s="7">
        <v>0.25</v>
      </c>
      <c r="F73" s="7" t="s">
        <v>770</v>
      </c>
      <c r="G73" s="9">
        <v>46235.541666666664</v>
      </c>
      <c r="H73" s="7">
        <v>11.26</v>
      </c>
      <c r="I73" s="7" t="s">
        <v>895</v>
      </c>
      <c r="J73" s="7">
        <v>15</v>
      </c>
      <c r="K73" s="7" t="s">
        <v>790</v>
      </c>
      <c r="L73" s="10">
        <v>46234</v>
      </c>
      <c r="M73" s="7">
        <v>5.2473000000000001</v>
      </c>
      <c r="N73" s="7" t="s">
        <v>773</v>
      </c>
      <c r="O73" s="7">
        <v>91.903999999999996</v>
      </c>
      <c r="P73" s="7" t="s">
        <v>896</v>
      </c>
      <c r="Q73" s="7" t="s">
        <v>775</v>
      </c>
      <c r="R73" s="7">
        <v>66.224534522516336</v>
      </c>
      <c r="S73" s="7" t="s">
        <v>776</v>
      </c>
      <c r="T73" s="7">
        <v>175</v>
      </c>
      <c r="U73" s="7" t="s">
        <v>897</v>
      </c>
      <c r="V73" s="7" t="s">
        <v>775</v>
      </c>
      <c r="W73" s="7">
        <v>4.9854210736950435</v>
      </c>
      <c r="X73" s="7" t="s">
        <v>776</v>
      </c>
      <c r="Y73" s="7">
        <v>175</v>
      </c>
      <c r="Z73" s="7" t="s">
        <v>898</v>
      </c>
      <c r="AA73" s="7" t="s">
        <v>775</v>
      </c>
      <c r="AB73" s="7">
        <v>3.0072608770224685</v>
      </c>
      <c r="AC73" s="7" t="s">
        <v>776</v>
      </c>
      <c r="AD73" s="7"/>
      <c r="AE73" s="7" t="s">
        <v>779</v>
      </c>
      <c r="AF73" s="7"/>
      <c r="AG73" s="7">
        <v>133.21136584529185</v>
      </c>
      <c r="AH73" s="7" t="s">
        <v>776</v>
      </c>
      <c r="AI73" s="7">
        <v>0.184</v>
      </c>
      <c r="AJ73" s="7">
        <v>62.031902121090845</v>
      </c>
      <c r="AK73" s="7" t="s">
        <v>776</v>
      </c>
      <c r="AL73" s="7">
        <v>0.23</v>
      </c>
      <c r="AM73" s="7" t="s">
        <v>780</v>
      </c>
      <c r="AN73" s="7" t="s">
        <v>781</v>
      </c>
      <c r="AO73" s="7" t="s">
        <v>782</v>
      </c>
      <c r="AP73" s="7">
        <v>4.2057142857141998E-3</v>
      </c>
      <c r="AQ73" s="7">
        <v>5.2571428571427997E-3</v>
      </c>
      <c r="AR73" s="7">
        <v>9.4628571428570993E-3</v>
      </c>
      <c r="AS73" s="8" t="b">
        <v>1</v>
      </c>
      <c r="AT73" s="8" t="b">
        <v>1</v>
      </c>
      <c r="AU73" s="8" t="b">
        <v>1</v>
      </c>
      <c r="AV73" s="8" t="b">
        <v>1</v>
      </c>
      <c r="AW73" s="8" t="b">
        <v>1</v>
      </c>
      <c r="AX73" s="8" t="b">
        <v>1</v>
      </c>
      <c r="AY73" s="8" t="b">
        <v>1</v>
      </c>
      <c r="AZ73" s="8" t="b">
        <v>1</v>
      </c>
      <c r="BA73" s="7" t="s">
        <v>783</v>
      </c>
      <c r="BB73" s="7" t="s">
        <v>783</v>
      </c>
      <c r="BC73" s="7" t="s">
        <v>784</v>
      </c>
      <c r="BD73" s="7">
        <v>0</v>
      </c>
      <c r="BE73" s="7">
        <v>0</v>
      </c>
      <c r="BF73" s="7">
        <v>0</v>
      </c>
      <c r="BG73" s="7">
        <v>0.13714285714285715</v>
      </c>
      <c r="BH73" s="7" t="s">
        <v>154</v>
      </c>
      <c r="BI73" s="7">
        <v>175</v>
      </c>
      <c r="BJ73" s="7">
        <v>0</v>
      </c>
      <c r="BK73" s="7">
        <v>24</v>
      </c>
      <c r="BL73" s="7">
        <v>24</v>
      </c>
      <c r="BM73" s="8" t="b">
        <v>1</v>
      </c>
      <c r="BN73" s="7">
        <v>3.3614936661303365</v>
      </c>
      <c r="BO73" s="7">
        <v>2.5234285714285716E-2</v>
      </c>
      <c r="BP73" s="7">
        <v>29.912526442170261</v>
      </c>
      <c r="BQ73" s="7">
        <v>0.13714285714285715</v>
      </c>
      <c r="BR73" s="7" t="s">
        <v>154</v>
      </c>
      <c r="BS73" s="7">
        <v>175</v>
      </c>
      <c r="BT73" s="7">
        <v>24</v>
      </c>
      <c r="BU73" s="7">
        <v>24</v>
      </c>
      <c r="BV73" s="7">
        <v>24</v>
      </c>
      <c r="BW73" s="7" t="s">
        <v>895</v>
      </c>
      <c r="BX73" s="8" t="b">
        <v>1</v>
      </c>
      <c r="BY73" s="7">
        <v>-168.9</v>
      </c>
      <c r="BZ73" s="7">
        <v>-60</v>
      </c>
      <c r="CA73" s="7">
        <v>46235.552083333336</v>
      </c>
      <c r="CB73" s="7">
        <v>46235.541666666664</v>
      </c>
      <c r="CC73" s="7">
        <v>3.8268845714285717E-2</v>
      </c>
      <c r="CD73" s="7">
        <v>130.81456666832304</v>
      </c>
      <c r="CE73" s="7">
        <v>144.59135112546591</v>
      </c>
      <c r="CF73" s="7">
        <v>662.24534522516342</v>
      </c>
      <c r="CG73" s="7">
        <v>0.3125</v>
      </c>
      <c r="CH73" s="7" t="s">
        <v>150</v>
      </c>
      <c r="CI73" s="7">
        <v>128</v>
      </c>
      <c r="CJ73" s="8" t="b">
        <v>1</v>
      </c>
      <c r="CK73" s="7">
        <v>40</v>
      </c>
      <c r="CL73" s="7">
        <v>40</v>
      </c>
      <c r="CM73" s="7">
        <v>40</v>
      </c>
      <c r="CN73" s="8" t="b">
        <v>0</v>
      </c>
      <c r="CO73" s="7" t="s">
        <v>785</v>
      </c>
      <c r="CP73" s="7">
        <v>526.61936533346397</v>
      </c>
    </row>
    <row r="74" spans="1:94" ht="21" customHeight="1" x14ac:dyDescent="0.45">
      <c r="A74" s="9">
        <v>46235.552083333336</v>
      </c>
      <c r="B74" s="9">
        <v>46235.5625</v>
      </c>
      <c r="C74" s="9">
        <v>46235.677083333336</v>
      </c>
      <c r="D74" s="10">
        <v>46235</v>
      </c>
      <c r="E74" s="7">
        <v>0.25</v>
      </c>
      <c r="F74" s="7" t="s">
        <v>770</v>
      </c>
      <c r="G74" s="9">
        <v>46235.541666666664</v>
      </c>
      <c r="H74" s="7">
        <v>13.64</v>
      </c>
      <c r="I74" s="7" t="s">
        <v>899</v>
      </c>
      <c r="J74" s="7">
        <v>15</v>
      </c>
      <c r="K74" s="7" t="s">
        <v>790</v>
      </c>
      <c r="L74" s="10">
        <v>46234</v>
      </c>
      <c r="M74" s="7">
        <v>5.2473000000000001</v>
      </c>
      <c r="N74" s="7" t="s">
        <v>773</v>
      </c>
      <c r="O74" s="7">
        <v>91.903999999999996</v>
      </c>
      <c r="P74" s="7" t="s">
        <v>896</v>
      </c>
      <c r="Q74" s="7" t="s">
        <v>775</v>
      </c>
      <c r="R74" s="7">
        <v>66.224534522516336</v>
      </c>
      <c r="S74" s="7" t="s">
        <v>776</v>
      </c>
      <c r="T74" s="7">
        <v>175</v>
      </c>
      <c r="U74" s="7" t="s">
        <v>897</v>
      </c>
      <c r="V74" s="7" t="s">
        <v>775</v>
      </c>
      <c r="W74" s="7">
        <v>4.9854210736950435</v>
      </c>
      <c r="X74" s="7" t="s">
        <v>776</v>
      </c>
      <c r="Y74" s="7">
        <v>175</v>
      </c>
      <c r="Z74" s="7" t="s">
        <v>898</v>
      </c>
      <c r="AA74" s="7" t="s">
        <v>775</v>
      </c>
      <c r="AB74" s="7">
        <v>3.0072608770224685</v>
      </c>
      <c r="AC74" s="7" t="s">
        <v>776</v>
      </c>
      <c r="AD74" s="7"/>
      <c r="AE74" s="7" t="s">
        <v>779</v>
      </c>
      <c r="AF74" s="7"/>
      <c r="AG74" s="7">
        <v>137.18560021344311</v>
      </c>
      <c r="AH74" s="7" t="s">
        <v>776</v>
      </c>
      <c r="AI74" s="7">
        <v>2.4049999999999998</v>
      </c>
      <c r="AJ74" s="7">
        <v>76.229680025918086</v>
      </c>
      <c r="AK74" s="7" t="s">
        <v>776</v>
      </c>
      <c r="AL74" s="7">
        <v>0.107</v>
      </c>
      <c r="AM74" s="7" t="s">
        <v>780</v>
      </c>
      <c r="AN74" s="7" t="s">
        <v>781</v>
      </c>
      <c r="AO74" s="7" t="s">
        <v>782</v>
      </c>
      <c r="AP74" s="7">
        <v>5.4971428571428498E-2</v>
      </c>
      <c r="AQ74" s="7">
        <v>2.4457142857142E-3</v>
      </c>
      <c r="AR74" s="7">
        <v>5.7417142857142799E-2</v>
      </c>
      <c r="AS74" s="8" t="b">
        <v>1</v>
      </c>
      <c r="AT74" s="8" t="b">
        <v>1</v>
      </c>
      <c r="AU74" s="8" t="b">
        <v>1</v>
      </c>
      <c r="AV74" s="8" t="b">
        <v>1</v>
      </c>
      <c r="AW74" s="8" t="b">
        <v>1</v>
      </c>
      <c r="AX74" s="8" t="b">
        <v>1</v>
      </c>
      <c r="AY74" s="8" t="b">
        <v>1</v>
      </c>
      <c r="AZ74" s="8" t="b">
        <v>1</v>
      </c>
      <c r="BA74" s="7" t="s">
        <v>783</v>
      </c>
      <c r="BB74" s="7" t="s">
        <v>783</v>
      </c>
      <c r="BC74" s="7" t="s">
        <v>784</v>
      </c>
      <c r="BD74" s="7">
        <v>0</v>
      </c>
      <c r="BE74" s="7">
        <v>0</v>
      </c>
      <c r="BF74" s="7">
        <v>0</v>
      </c>
      <c r="BG74" s="7">
        <v>0.13714285714285715</v>
      </c>
      <c r="BH74" s="7" t="s">
        <v>154</v>
      </c>
      <c r="BI74" s="7">
        <v>175</v>
      </c>
      <c r="BJ74" s="7">
        <v>0</v>
      </c>
      <c r="BK74" s="7">
        <v>24</v>
      </c>
      <c r="BL74" s="7">
        <v>24</v>
      </c>
      <c r="BM74" s="8" t="b">
        <v>1</v>
      </c>
      <c r="BN74" s="7">
        <v>45.247730538971062</v>
      </c>
      <c r="BO74" s="7">
        <v>0.32982857142857142</v>
      </c>
      <c r="BP74" s="7">
        <v>29.912526442170261</v>
      </c>
      <c r="BQ74" s="7">
        <v>0.13714285714285715</v>
      </c>
      <c r="BR74" s="7" t="s">
        <v>154</v>
      </c>
      <c r="BS74" s="7">
        <v>175</v>
      </c>
      <c r="BT74" s="7">
        <v>24</v>
      </c>
      <c r="BU74" s="7">
        <v>24</v>
      </c>
      <c r="BV74" s="7">
        <v>24</v>
      </c>
      <c r="BW74" s="7" t="s">
        <v>899</v>
      </c>
      <c r="BX74" s="8" t="b">
        <v>1</v>
      </c>
      <c r="BY74" s="7">
        <v>-204.60000000000002</v>
      </c>
      <c r="BZ74" s="7">
        <v>-60</v>
      </c>
      <c r="CA74" s="7">
        <v>46235.5625</v>
      </c>
      <c r="CB74" s="7">
        <v>46235.552083333336</v>
      </c>
      <c r="CC74" s="7">
        <v>3.7490438095238089E-2</v>
      </c>
      <c r="CD74" s="7">
        <v>144.59135112546591</v>
      </c>
      <c r="CE74" s="7">
        <v>158.08790883975163</v>
      </c>
      <c r="CF74" s="7">
        <v>662.24534522516342</v>
      </c>
      <c r="CG74" s="7">
        <v>0.3125</v>
      </c>
      <c r="CH74" s="7" t="s">
        <v>150</v>
      </c>
      <c r="CI74" s="7">
        <v>128</v>
      </c>
      <c r="CJ74" s="8" t="b">
        <v>1</v>
      </c>
      <c r="CK74" s="7">
        <v>40</v>
      </c>
      <c r="CL74" s="7">
        <v>40</v>
      </c>
      <c r="CM74" s="7">
        <v>40</v>
      </c>
      <c r="CN74" s="8" t="b">
        <v>0</v>
      </c>
      <c r="CO74" s="7" t="s">
        <v>785</v>
      </c>
      <c r="CP74" s="7">
        <v>532.80560220630468</v>
      </c>
    </row>
    <row r="75" spans="1:94" ht="21" customHeight="1" x14ac:dyDescent="0.45">
      <c r="A75" s="9">
        <v>46235.5625</v>
      </c>
      <c r="B75" s="9">
        <v>46235.572916666664</v>
      </c>
      <c r="C75" s="9">
        <v>46235.6875</v>
      </c>
      <c r="D75" s="10">
        <v>46235</v>
      </c>
      <c r="E75" s="7">
        <v>0.25</v>
      </c>
      <c r="F75" s="7" t="s">
        <v>770</v>
      </c>
      <c r="G75" s="9">
        <v>46235.541666666664</v>
      </c>
      <c r="H75" s="7">
        <v>23.93</v>
      </c>
      <c r="I75" s="7" t="s">
        <v>900</v>
      </c>
      <c r="J75" s="7">
        <v>15</v>
      </c>
      <c r="K75" s="7" t="s">
        <v>790</v>
      </c>
      <c r="L75" s="10">
        <v>46234</v>
      </c>
      <c r="M75" s="7">
        <v>5.2473000000000001</v>
      </c>
      <c r="N75" s="7" t="s">
        <v>773</v>
      </c>
      <c r="O75" s="7">
        <v>91.903999999999996</v>
      </c>
      <c r="P75" s="7" t="s">
        <v>896</v>
      </c>
      <c r="Q75" s="7" t="s">
        <v>775</v>
      </c>
      <c r="R75" s="7">
        <v>66.224534522516336</v>
      </c>
      <c r="S75" s="7" t="s">
        <v>776</v>
      </c>
      <c r="T75" s="7">
        <v>175</v>
      </c>
      <c r="U75" s="7" t="s">
        <v>897</v>
      </c>
      <c r="V75" s="7" t="s">
        <v>775</v>
      </c>
      <c r="W75" s="7">
        <v>4.9854210736950435</v>
      </c>
      <c r="X75" s="7" t="s">
        <v>776</v>
      </c>
      <c r="Y75" s="7">
        <v>175</v>
      </c>
      <c r="Z75" s="7" t="s">
        <v>898</v>
      </c>
      <c r="AA75" s="7" t="s">
        <v>775</v>
      </c>
      <c r="AB75" s="7">
        <v>3.0072608770224685</v>
      </c>
      <c r="AC75" s="7" t="s">
        <v>776</v>
      </c>
      <c r="AD75" s="7"/>
      <c r="AE75" s="7" t="s">
        <v>779</v>
      </c>
      <c r="AF75" s="7"/>
      <c r="AG75" s="7">
        <v>133.27654222171401</v>
      </c>
      <c r="AH75" s="7" t="s">
        <v>776</v>
      </c>
      <c r="AI75" s="7">
        <v>1.9079999999999999</v>
      </c>
      <c r="AJ75" s="7">
        <v>75.04659539191583</v>
      </c>
      <c r="AK75" s="7" t="s">
        <v>776</v>
      </c>
      <c r="AL75" s="7">
        <v>9.6000000000000002E-2</v>
      </c>
      <c r="AM75" s="7" t="s">
        <v>780</v>
      </c>
      <c r="AN75" s="7" t="s">
        <v>781</v>
      </c>
      <c r="AO75" s="7" t="s">
        <v>782</v>
      </c>
      <c r="AP75" s="7">
        <v>4.3611428571428502E-2</v>
      </c>
      <c r="AQ75" s="7">
        <v>2.1942857142856998E-3</v>
      </c>
      <c r="AR75" s="7">
        <v>4.58057142857142E-2</v>
      </c>
      <c r="AS75" s="8" t="b">
        <v>1</v>
      </c>
      <c r="AT75" s="8" t="b">
        <v>1</v>
      </c>
      <c r="AU75" s="8" t="b">
        <v>1</v>
      </c>
      <c r="AV75" s="8" t="b">
        <v>1</v>
      </c>
      <c r="AW75" s="8" t="b">
        <v>1</v>
      </c>
      <c r="AX75" s="8" t="b">
        <v>1</v>
      </c>
      <c r="AY75" s="8" t="b">
        <v>1</v>
      </c>
      <c r="AZ75" s="8" t="b">
        <v>1</v>
      </c>
      <c r="BA75" s="7" t="s">
        <v>783</v>
      </c>
      <c r="BB75" s="7" t="s">
        <v>783</v>
      </c>
      <c r="BC75" s="7" t="s">
        <v>784</v>
      </c>
      <c r="BD75" s="7">
        <v>0</v>
      </c>
      <c r="BE75" s="7">
        <v>0</v>
      </c>
      <c r="BF75" s="7">
        <v>0</v>
      </c>
      <c r="BG75" s="7">
        <v>0.13714285714285715</v>
      </c>
      <c r="BH75" s="7" t="s">
        <v>154</v>
      </c>
      <c r="BI75" s="7">
        <v>175</v>
      </c>
      <c r="BJ75" s="7">
        <v>0</v>
      </c>
      <c r="BK75" s="7">
        <v>24</v>
      </c>
      <c r="BL75" s="7">
        <v>24</v>
      </c>
      <c r="BM75" s="8" t="b">
        <v>1</v>
      </c>
      <c r="BN75" s="7">
        <v>34.874282408095588</v>
      </c>
      <c r="BO75" s="7">
        <v>0.26166857142857142</v>
      </c>
      <c r="BP75" s="7">
        <v>29.912526442170261</v>
      </c>
      <c r="BQ75" s="7">
        <v>0.13714285714285715</v>
      </c>
      <c r="BR75" s="7" t="s">
        <v>154</v>
      </c>
      <c r="BS75" s="7">
        <v>175</v>
      </c>
      <c r="BT75" s="7">
        <v>24</v>
      </c>
      <c r="BU75" s="7">
        <v>24</v>
      </c>
      <c r="BV75" s="7">
        <v>24</v>
      </c>
      <c r="BW75" s="7" t="s">
        <v>900</v>
      </c>
      <c r="BX75" s="8" t="b">
        <v>1</v>
      </c>
      <c r="BY75" s="7">
        <v>-357.72296963683391</v>
      </c>
      <c r="BZ75" s="7">
        <v>-59.794896721576919</v>
      </c>
      <c r="CA75" s="7">
        <v>46235.572916666664</v>
      </c>
      <c r="CB75" s="7">
        <v>46235.5625</v>
      </c>
      <c r="CC75" s="7">
        <v>3.7533586556245571E-2</v>
      </c>
      <c r="CD75" s="7">
        <v>158.08790883975163</v>
      </c>
      <c r="CE75" s="7">
        <v>171.60000000000005</v>
      </c>
      <c r="CF75" s="7">
        <v>662.24534522516342</v>
      </c>
      <c r="CG75" s="7">
        <v>0.3125</v>
      </c>
      <c r="CH75" s="7" t="s">
        <v>150</v>
      </c>
      <c r="CI75" s="7">
        <v>128</v>
      </c>
      <c r="CJ75" s="8" t="b">
        <v>1</v>
      </c>
      <c r="CK75" s="7">
        <v>40</v>
      </c>
      <c r="CL75" s="7">
        <v>40</v>
      </c>
      <c r="CM75" s="7">
        <v>40</v>
      </c>
      <c r="CN75" s="8" t="b">
        <v>0</v>
      </c>
      <c r="CO75" s="7" t="s">
        <v>785</v>
      </c>
      <c r="CP75" s="7">
        <v>369.30918443859537</v>
      </c>
    </row>
    <row r="76" spans="1:94" ht="21" customHeight="1" x14ac:dyDescent="0.45">
      <c r="A76" s="9">
        <v>46235.572916666664</v>
      </c>
      <c r="B76" s="9">
        <v>46235.583333333336</v>
      </c>
      <c r="C76" s="9">
        <v>46235.697916666664</v>
      </c>
      <c r="D76" s="10">
        <v>46235</v>
      </c>
      <c r="E76" s="7">
        <v>0.25</v>
      </c>
      <c r="F76" s="7" t="s">
        <v>770</v>
      </c>
      <c r="G76" s="9">
        <v>46235.541666666664</v>
      </c>
      <c r="H76" s="7">
        <v>62.7</v>
      </c>
      <c r="I76" s="7" t="s">
        <v>901</v>
      </c>
      <c r="J76" s="7">
        <v>15</v>
      </c>
      <c r="K76" s="7" t="s">
        <v>790</v>
      </c>
      <c r="L76" s="10">
        <v>46234</v>
      </c>
      <c r="M76" s="7">
        <v>5.2473000000000001</v>
      </c>
      <c r="N76" s="7" t="s">
        <v>773</v>
      </c>
      <c r="O76" s="7">
        <v>91.903999999999996</v>
      </c>
      <c r="P76" s="7" t="s">
        <v>896</v>
      </c>
      <c r="Q76" s="7" t="s">
        <v>775</v>
      </c>
      <c r="R76" s="7">
        <v>66.224534522516336</v>
      </c>
      <c r="S76" s="7" t="s">
        <v>776</v>
      </c>
      <c r="T76" s="7">
        <v>175</v>
      </c>
      <c r="U76" s="7" t="s">
        <v>897</v>
      </c>
      <c r="V76" s="7" t="s">
        <v>775</v>
      </c>
      <c r="W76" s="7">
        <v>4.9854210736950435</v>
      </c>
      <c r="X76" s="7" t="s">
        <v>776</v>
      </c>
      <c r="Y76" s="7">
        <v>175</v>
      </c>
      <c r="Z76" s="7" t="s">
        <v>898</v>
      </c>
      <c r="AA76" s="7" t="s">
        <v>775</v>
      </c>
      <c r="AB76" s="7">
        <v>3.0072608770224685</v>
      </c>
      <c r="AC76" s="7" t="s">
        <v>776</v>
      </c>
      <c r="AD76" s="7"/>
      <c r="AE76" s="7" t="s">
        <v>779</v>
      </c>
      <c r="AF76" s="7"/>
      <c r="AG76" s="7">
        <v>133.21136584529185</v>
      </c>
      <c r="AH76" s="7" t="s">
        <v>776</v>
      </c>
      <c r="AI76" s="7">
        <v>0.108</v>
      </c>
      <c r="AJ76" s="7">
        <v>68.87656509061803</v>
      </c>
      <c r="AK76" s="7" t="s">
        <v>776</v>
      </c>
      <c r="AL76" s="7">
        <v>0.36299999999999999</v>
      </c>
      <c r="AM76" s="7" t="s">
        <v>780</v>
      </c>
      <c r="AN76" s="7" t="s">
        <v>781</v>
      </c>
      <c r="AO76" s="7" t="s">
        <v>782</v>
      </c>
      <c r="AP76" s="7">
        <v>2.4685714285713999E-3</v>
      </c>
      <c r="AQ76" s="7">
        <v>8.2971428571427999E-3</v>
      </c>
      <c r="AR76" s="7">
        <v>1.07657142857142E-2</v>
      </c>
      <c r="AS76" s="8" t="b">
        <v>1</v>
      </c>
      <c r="AT76" s="8" t="b">
        <v>1</v>
      </c>
      <c r="AU76" s="8" t="b">
        <v>1</v>
      </c>
      <c r="AV76" s="8" t="b">
        <v>1</v>
      </c>
      <c r="AW76" s="8" t="b">
        <v>1</v>
      </c>
      <c r="AX76" s="8" t="b">
        <v>1</v>
      </c>
      <c r="AY76" s="8" t="b">
        <v>1</v>
      </c>
      <c r="AZ76" s="8" t="b">
        <v>1</v>
      </c>
      <c r="BA76" s="7" t="s">
        <v>783</v>
      </c>
      <c r="BB76" s="7" t="s">
        <v>783</v>
      </c>
      <c r="BC76" s="7" t="s">
        <v>784</v>
      </c>
      <c r="BD76" s="7">
        <v>0</v>
      </c>
      <c r="BE76" s="7">
        <v>0</v>
      </c>
      <c r="BF76" s="7">
        <v>0</v>
      </c>
      <c r="BG76" s="7">
        <v>0.13714285714285715</v>
      </c>
      <c r="BH76" s="7" t="s">
        <v>154</v>
      </c>
      <c r="BI76" s="7">
        <v>175</v>
      </c>
      <c r="BJ76" s="7">
        <v>0</v>
      </c>
      <c r="BK76" s="7">
        <v>24</v>
      </c>
      <c r="BL76" s="7">
        <v>24</v>
      </c>
      <c r="BM76" s="8" t="b">
        <v>1</v>
      </c>
      <c r="BN76" s="7">
        <v>1.9730506301199797</v>
      </c>
      <c r="BO76" s="7">
        <v>1.4811428571428571E-2</v>
      </c>
      <c r="BP76" s="7">
        <v>29.912526442170261</v>
      </c>
      <c r="BQ76" s="7">
        <v>0.13714285714285715</v>
      </c>
      <c r="BR76" s="7" t="s">
        <v>154</v>
      </c>
      <c r="BS76" s="7">
        <v>175</v>
      </c>
      <c r="BT76" s="7">
        <v>24</v>
      </c>
      <c r="BU76" s="7">
        <v>24</v>
      </c>
      <c r="BV76" s="7">
        <v>24</v>
      </c>
      <c r="BW76" s="7" t="s">
        <v>901</v>
      </c>
      <c r="BX76" s="8" t="b">
        <v>1</v>
      </c>
      <c r="BY76" s="7">
        <v>558.00534743000196</v>
      </c>
      <c r="BZ76" s="7">
        <v>35.598427268261688</v>
      </c>
      <c r="CA76" s="7">
        <v>46235.583333333336</v>
      </c>
      <c r="CB76" s="7">
        <v>46235.572916666664</v>
      </c>
      <c r="CC76" s="7">
        <v>2.6915514026681308E-2</v>
      </c>
      <c r="CD76" s="7">
        <v>171.60000000000005</v>
      </c>
      <c r="CE76" s="7">
        <v>161.9104149503948</v>
      </c>
      <c r="CF76" s="7">
        <v>662.24534522516342</v>
      </c>
      <c r="CG76" s="7">
        <v>0.3125</v>
      </c>
      <c r="CH76" s="7" t="s">
        <v>150</v>
      </c>
      <c r="CI76" s="7">
        <v>128</v>
      </c>
      <c r="CJ76" s="8" t="b">
        <v>1</v>
      </c>
      <c r="CK76" s="7">
        <v>40</v>
      </c>
      <c r="CL76" s="7">
        <v>40</v>
      </c>
      <c r="CM76" s="7">
        <v>40</v>
      </c>
      <c r="CN76" s="8" t="b">
        <v>0</v>
      </c>
      <c r="CO76" s="7" t="s">
        <v>785</v>
      </c>
      <c r="CP76" s="7">
        <v>1252.1362697274556</v>
      </c>
    </row>
    <row r="77" spans="1:94" ht="21" customHeight="1" x14ac:dyDescent="0.45">
      <c r="A77" s="9">
        <v>46235.583333333336</v>
      </c>
      <c r="B77" s="9">
        <v>46235.59375</v>
      </c>
      <c r="C77" s="9">
        <v>46235.708333333336</v>
      </c>
      <c r="D77" s="10">
        <v>46235</v>
      </c>
      <c r="E77" s="7">
        <v>0.25</v>
      </c>
      <c r="F77" s="7" t="s">
        <v>770</v>
      </c>
      <c r="G77" s="9">
        <v>46235.583333333336</v>
      </c>
      <c r="H77" s="7">
        <v>24.29</v>
      </c>
      <c r="I77" s="7" t="s">
        <v>902</v>
      </c>
      <c r="J77" s="7">
        <v>15</v>
      </c>
      <c r="K77" s="7" t="s">
        <v>790</v>
      </c>
      <c r="L77" s="10">
        <v>46234</v>
      </c>
      <c r="M77" s="7">
        <v>5.2473000000000001</v>
      </c>
      <c r="N77" s="7" t="s">
        <v>773</v>
      </c>
      <c r="O77" s="7">
        <v>91.903999999999996</v>
      </c>
      <c r="P77" s="7" t="s">
        <v>903</v>
      </c>
      <c r="Q77" s="7" t="s">
        <v>775</v>
      </c>
      <c r="R77" s="7">
        <v>66.224534522516336</v>
      </c>
      <c r="S77" s="7" t="s">
        <v>776</v>
      </c>
      <c r="T77" s="7">
        <v>175</v>
      </c>
      <c r="U77" s="7" t="s">
        <v>904</v>
      </c>
      <c r="V77" s="7" t="s">
        <v>775</v>
      </c>
      <c r="W77" s="7">
        <v>5.6505250319211777</v>
      </c>
      <c r="X77" s="7" t="s">
        <v>776</v>
      </c>
      <c r="Y77" s="7">
        <v>175</v>
      </c>
      <c r="Z77" s="7" t="s">
        <v>905</v>
      </c>
      <c r="AA77" s="7" t="s">
        <v>775</v>
      </c>
      <c r="AB77" s="7">
        <v>3.0072608770224685</v>
      </c>
      <c r="AC77" s="7" t="s">
        <v>776</v>
      </c>
      <c r="AD77" s="7"/>
      <c r="AE77" s="7" t="s">
        <v>779</v>
      </c>
      <c r="AF77" s="7"/>
      <c r="AG77" s="7">
        <v>133.21136584529185</v>
      </c>
      <c r="AH77" s="7" t="s">
        <v>776</v>
      </c>
      <c r="AI77" s="7">
        <v>0.06</v>
      </c>
      <c r="AJ77" s="7">
        <v>55.38772321003183</v>
      </c>
      <c r="AK77" s="7" t="s">
        <v>776</v>
      </c>
      <c r="AL77" s="7">
        <v>1.1240000000000001</v>
      </c>
      <c r="AM77" s="7" t="s">
        <v>780</v>
      </c>
      <c r="AN77" s="7" t="s">
        <v>781</v>
      </c>
      <c r="AO77" s="7" t="s">
        <v>782</v>
      </c>
      <c r="AP77" s="7">
        <v>1.3714285714285001E-3</v>
      </c>
      <c r="AQ77" s="7">
        <v>2.5691428571428501E-2</v>
      </c>
      <c r="AR77" s="7">
        <v>2.70628571428571E-2</v>
      </c>
      <c r="AS77" s="8" t="b">
        <v>1</v>
      </c>
      <c r="AT77" s="8" t="b">
        <v>1</v>
      </c>
      <c r="AU77" s="8" t="b">
        <v>1</v>
      </c>
      <c r="AV77" s="8" t="b">
        <v>1</v>
      </c>
      <c r="AW77" s="8" t="b">
        <v>1</v>
      </c>
      <c r="AX77" s="8" t="b">
        <v>1</v>
      </c>
      <c r="AY77" s="8" t="b">
        <v>1</v>
      </c>
      <c r="AZ77" s="8" t="b">
        <v>1</v>
      </c>
      <c r="BA77" s="7" t="s">
        <v>783</v>
      </c>
      <c r="BB77" s="7" t="s">
        <v>783</v>
      </c>
      <c r="BC77" s="7" t="s">
        <v>784</v>
      </c>
      <c r="BD77" s="7">
        <v>-7.4706961065690933</v>
      </c>
      <c r="BE77" s="7">
        <v>0.13488</v>
      </c>
      <c r="BF77" s="7">
        <v>15.78811960436796</v>
      </c>
      <c r="BG77" s="7">
        <v>0.13714285714285715</v>
      </c>
      <c r="BH77" s="7" t="s">
        <v>154</v>
      </c>
      <c r="BI77" s="7">
        <v>175</v>
      </c>
      <c r="BJ77" s="7">
        <v>21</v>
      </c>
      <c r="BK77" s="7">
        <v>24</v>
      </c>
      <c r="BL77" s="7">
        <v>24</v>
      </c>
      <c r="BM77" s="8" t="b">
        <v>1</v>
      </c>
      <c r="BN77" s="7">
        <v>1.0961392389555444</v>
      </c>
      <c r="BO77" s="7">
        <v>8.2285714285714288E-3</v>
      </c>
      <c r="BP77" s="7">
        <v>33.903150191527068</v>
      </c>
      <c r="BQ77" s="7">
        <v>0.13714285714285715</v>
      </c>
      <c r="BR77" s="7" t="s">
        <v>154</v>
      </c>
      <c r="BS77" s="7">
        <v>175</v>
      </c>
      <c r="BT77" s="7">
        <v>24</v>
      </c>
      <c r="BU77" s="7">
        <v>24</v>
      </c>
      <c r="BV77" s="7">
        <v>24</v>
      </c>
      <c r="BW77" s="7" t="s">
        <v>902</v>
      </c>
      <c r="BX77" s="8" t="b">
        <v>1</v>
      </c>
      <c r="BY77" s="7">
        <v>-236.82749999999987</v>
      </c>
      <c r="BZ77" s="7">
        <v>-38.999999999999979</v>
      </c>
      <c r="CA77" s="7">
        <v>46235.59375</v>
      </c>
      <c r="CB77" s="7">
        <v>46235.583333333336</v>
      </c>
      <c r="CC77" s="7">
        <v>2.5240331428571412E-2</v>
      </c>
      <c r="CD77" s="7">
        <v>161.9104149503948</v>
      </c>
      <c r="CE77" s="7">
        <v>170.9969342646805</v>
      </c>
      <c r="CF77" s="7">
        <v>662.24534522516342</v>
      </c>
      <c r="CG77" s="7">
        <v>0.3125</v>
      </c>
      <c r="CH77" s="7" t="s">
        <v>150</v>
      </c>
      <c r="CI77" s="7">
        <v>128</v>
      </c>
      <c r="CJ77" s="8" t="b">
        <v>1</v>
      </c>
      <c r="CK77" s="7">
        <v>40</v>
      </c>
      <c r="CL77" s="7">
        <v>40</v>
      </c>
      <c r="CM77" s="7">
        <v>40</v>
      </c>
      <c r="CN77" s="8" t="b">
        <v>0</v>
      </c>
      <c r="CO77" s="7" t="s">
        <v>785</v>
      </c>
      <c r="CP77" s="7">
        <v>468.73455815344505</v>
      </c>
    </row>
    <row r="78" spans="1:94" ht="21" customHeight="1" x14ac:dyDescent="0.45">
      <c r="A78" s="9">
        <v>46235.59375</v>
      </c>
      <c r="B78" s="9">
        <v>46235.604166666664</v>
      </c>
      <c r="C78" s="9">
        <v>46235.71875</v>
      </c>
      <c r="D78" s="10">
        <v>46235</v>
      </c>
      <c r="E78" s="7">
        <v>0.25</v>
      </c>
      <c r="F78" s="7" t="s">
        <v>770</v>
      </c>
      <c r="G78" s="9">
        <v>46235.583333333336</v>
      </c>
      <c r="H78" s="7">
        <v>69.88</v>
      </c>
      <c r="I78" s="7" t="s">
        <v>906</v>
      </c>
      <c r="J78" s="7">
        <v>15</v>
      </c>
      <c r="K78" s="7" t="s">
        <v>790</v>
      </c>
      <c r="L78" s="10">
        <v>46234</v>
      </c>
      <c r="M78" s="7">
        <v>5.2473000000000001</v>
      </c>
      <c r="N78" s="7" t="s">
        <v>773</v>
      </c>
      <c r="O78" s="7">
        <v>91.903999999999996</v>
      </c>
      <c r="P78" s="7" t="s">
        <v>903</v>
      </c>
      <c r="Q78" s="7" t="s">
        <v>775</v>
      </c>
      <c r="R78" s="7">
        <v>66.224534522516336</v>
      </c>
      <c r="S78" s="7" t="s">
        <v>776</v>
      </c>
      <c r="T78" s="7">
        <v>175</v>
      </c>
      <c r="U78" s="7" t="s">
        <v>904</v>
      </c>
      <c r="V78" s="7" t="s">
        <v>775</v>
      </c>
      <c r="W78" s="7">
        <v>5.6505250319211777</v>
      </c>
      <c r="X78" s="7" t="s">
        <v>776</v>
      </c>
      <c r="Y78" s="7">
        <v>175</v>
      </c>
      <c r="Z78" s="7" t="s">
        <v>905</v>
      </c>
      <c r="AA78" s="7" t="s">
        <v>775</v>
      </c>
      <c r="AB78" s="7">
        <v>3.0072608770224685</v>
      </c>
      <c r="AC78" s="7" t="s">
        <v>776</v>
      </c>
      <c r="AD78" s="7"/>
      <c r="AE78" s="7" t="s">
        <v>779</v>
      </c>
      <c r="AF78" s="7"/>
      <c r="AG78" s="7">
        <v>133.24948068530483</v>
      </c>
      <c r="AH78" s="7" t="s">
        <v>776</v>
      </c>
      <c r="AI78" s="7">
        <v>1.7490000000000001</v>
      </c>
      <c r="AJ78" s="7">
        <v>-0.21763573647399612</v>
      </c>
      <c r="AK78" s="7" t="s">
        <v>776</v>
      </c>
      <c r="AL78" s="7">
        <v>5.1580000000000004</v>
      </c>
      <c r="AM78" s="7" t="s">
        <v>780</v>
      </c>
      <c r="AN78" s="7" t="s">
        <v>781</v>
      </c>
      <c r="AO78" s="7" t="s">
        <v>782</v>
      </c>
      <c r="AP78" s="7">
        <v>3.9977142857142801E-2</v>
      </c>
      <c r="AQ78" s="7">
        <v>0.1178971428571428</v>
      </c>
      <c r="AR78" s="7">
        <v>0.15787428571428569</v>
      </c>
      <c r="AS78" s="8" t="b">
        <v>1</v>
      </c>
      <c r="AT78" s="8" t="b">
        <v>1</v>
      </c>
      <c r="AU78" s="8" t="b">
        <v>1</v>
      </c>
      <c r="AV78" s="8" t="b">
        <v>1</v>
      </c>
      <c r="AW78" s="8" t="b">
        <v>1</v>
      </c>
      <c r="AX78" s="8" t="b">
        <v>1</v>
      </c>
      <c r="AY78" s="8" t="b">
        <v>1</v>
      </c>
      <c r="AZ78" s="8" t="b">
        <v>1</v>
      </c>
      <c r="BA78" s="7" t="s">
        <v>783</v>
      </c>
      <c r="BB78" s="7" t="s">
        <v>783</v>
      </c>
      <c r="BC78" s="7" t="s">
        <v>784</v>
      </c>
      <c r="BD78" s="7">
        <v>0.13470781544794466</v>
      </c>
      <c r="BE78" s="7">
        <v>0.61896000000000007</v>
      </c>
      <c r="BF78" s="7">
        <v>15.78811960436796</v>
      </c>
      <c r="BG78" s="7">
        <v>0.13714285714285715</v>
      </c>
      <c r="BH78" s="7" t="s">
        <v>154</v>
      </c>
      <c r="BI78" s="7">
        <v>175</v>
      </c>
      <c r="BJ78" s="7">
        <v>21</v>
      </c>
      <c r="BK78" s="7">
        <v>24</v>
      </c>
      <c r="BL78" s="7">
        <v>24</v>
      </c>
      <c r="BM78" s="8" t="b">
        <v>1</v>
      </c>
      <c r="BN78" s="7">
        <v>31.961601149979177</v>
      </c>
      <c r="BO78" s="7">
        <v>0.23986285714285716</v>
      </c>
      <c r="BP78" s="7">
        <v>33.903150191527068</v>
      </c>
      <c r="BQ78" s="7">
        <v>0.13714285714285715</v>
      </c>
      <c r="BR78" s="7" t="s">
        <v>154</v>
      </c>
      <c r="BS78" s="7">
        <v>175</v>
      </c>
      <c r="BT78" s="7">
        <v>24</v>
      </c>
      <c r="BU78" s="7">
        <v>24</v>
      </c>
      <c r="BV78" s="7">
        <v>24</v>
      </c>
      <c r="BW78" s="7" t="s">
        <v>906</v>
      </c>
      <c r="BX78" s="8" t="b">
        <v>1</v>
      </c>
      <c r="BY78" s="7">
        <v>-21.661685542444427</v>
      </c>
      <c r="BZ78" s="7">
        <v>-1.2399362073522855</v>
      </c>
      <c r="CA78" s="7">
        <v>46235.604166666664</v>
      </c>
      <c r="CB78" s="7">
        <v>46235.59375</v>
      </c>
      <c r="CC78" s="7">
        <v>3.0291062888763232E-3</v>
      </c>
      <c r="CD78" s="7">
        <v>170.9969342646805</v>
      </c>
      <c r="CE78" s="7">
        <v>171.59291126689536</v>
      </c>
      <c r="CF78" s="7">
        <v>662.24534522516342</v>
      </c>
      <c r="CG78" s="7">
        <v>0.3125</v>
      </c>
      <c r="CH78" s="7" t="s">
        <v>150</v>
      </c>
      <c r="CI78" s="7">
        <v>128</v>
      </c>
      <c r="CJ78" s="8" t="b">
        <v>1</v>
      </c>
      <c r="CK78" s="7">
        <v>40</v>
      </c>
      <c r="CL78" s="7">
        <v>40</v>
      </c>
      <c r="CM78" s="7">
        <v>40</v>
      </c>
      <c r="CN78" s="8" t="b">
        <v>0</v>
      </c>
      <c r="CO78" s="7" t="s">
        <v>785</v>
      </c>
      <c r="CP78" s="7">
        <v>722.37123844404118</v>
      </c>
    </row>
    <row r="79" spans="1:94" ht="21" customHeight="1" x14ac:dyDescent="0.45">
      <c r="A79" s="9">
        <v>46235.604166666664</v>
      </c>
      <c r="B79" s="9">
        <v>46235.614583333336</v>
      </c>
      <c r="C79" s="9">
        <v>46235.729166666664</v>
      </c>
      <c r="D79" s="10">
        <v>46235</v>
      </c>
      <c r="E79" s="7">
        <v>0.25</v>
      </c>
      <c r="F79" s="7" t="s">
        <v>770</v>
      </c>
      <c r="G79" s="9">
        <v>46235.583333333336</v>
      </c>
      <c r="H79" s="7">
        <v>131.37</v>
      </c>
      <c r="I79" s="7" t="s">
        <v>907</v>
      </c>
      <c r="J79" s="7">
        <v>15</v>
      </c>
      <c r="K79" s="7" t="s">
        <v>790</v>
      </c>
      <c r="L79" s="10">
        <v>46234</v>
      </c>
      <c r="M79" s="7">
        <v>5.2473000000000001</v>
      </c>
      <c r="N79" s="7" t="s">
        <v>773</v>
      </c>
      <c r="O79" s="7">
        <v>91.903999999999996</v>
      </c>
      <c r="P79" s="7" t="s">
        <v>903</v>
      </c>
      <c r="Q79" s="7" t="s">
        <v>775</v>
      </c>
      <c r="R79" s="7">
        <v>66.224534522516336</v>
      </c>
      <c r="S79" s="7" t="s">
        <v>776</v>
      </c>
      <c r="T79" s="7">
        <v>175</v>
      </c>
      <c r="U79" s="7" t="s">
        <v>904</v>
      </c>
      <c r="V79" s="7" t="s">
        <v>775</v>
      </c>
      <c r="W79" s="7">
        <v>5.6505250319211777</v>
      </c>
      <c r="X79" s="7" t="s">
        <v>776</v>
      </c>
      <c r="Y79" s="7">
        <v>175</v>
      </c>
      <c r="Z79" s="7" t="s">
        <v>905</v>
      </c>
      <c r="AA79" s="7" t="s">
        <v>775</v>
      </c>
      <c r="AB79" s="7">
        <v>3.0072608770224685</v>
      </c>
      <c r="AC79" s="7" t="s">
        <v>776</v>
      </c>
      <c r="AD79" s="7"/>
      <c r="AE79" s="7" t="s">
        <v>779</v>
      </c>
      <c r="AF79" s="7"/>
      <c r="AG79" s="7">
        <v>159.05494254187869</v>
      </c>
      <c r="AH79" s="7" t="s">
        <v>776</v>
      </c>
      <c r="AI79" s="7">
        <v>14.249000000000001</v>
      </c>
      <c r="AJ79" s="7">
        <v>73.550778495607261</v>
      </c>
      <c r="AK79" s="7" t="s">
        <v>776</v>
      </c>
      <c r="AL79" s="7">
        <v>5.2999999999999999E-2</v>
      </c>
      <c r="AM79" s="7" t="s">
        <v>780</v>
      </c>
      <c r="AN79" s="7" t="s">
        <v>781</v>
      </c>
      <c r="AO79" s="7" t="s">
        <v>782</v>
      </c>
      <c r="AP79" s="7">
        <v>0.32569142857142858</v>
      </c>
      <c r="AQ79" s="7">
        <v>1.2114285714285001E-3</v>
      </c>
      <c r="AR79" s="7">
        <v>0.32690285714285711</v>
      </c>
      <c r="AS79" s="8" t="b">
        <v>1</v>
      </c>
      <c r="AT79" s="8" t="b">
        <v>1</v>
      </c>
      <c r="AU79" s="8" t="b">
        <v>1</v>
      </c>
      <c r="AV79" s="8" t="b">
        <v>1</v>
      </c>
      <c r="AW79" s="8" t="b">
        <v>1</v>
      </c>
      <c r="AX79" s="8" t="b">
        <v>1</v>
      </c>
      <c r="AY79" s="8" t="b">
        <v>1</v>
      </c>
      <c r="AZ79" s="8" t="b">
        <v>1</v>
      </c>
      <c r="BA79" s="7" t="s">
        <v>783</v>
      </c>
      <c r="BB79" s="7" t="s">
        <v>783</v>
      </c>
      <c r="BC79" s="7" t="s">
        <v>784</v>
      </c>
      <c r="BD79" s="7">
        <v>-0.46778295123206221</v>
      </c>
      <c r="BE79" s="7">
        <v>6.3600000000000002E-3</v>
      </c>
      <c r="BF79" s="7">
        <v>15.78811960436796</v>
      </c>
      <c r="BG79" s="7">
        <v>0.13714285714285715</v>
      </c>
      <c r="BH79" s="7" t="s">
        <v>154</v>
      </c>
      <c r="BI79" s="7">
        <v>175</v>
      </c>
      <c r="BJ79" s="7">
        <v>21</v>
      </c>
      <c r="BK79" s="7">
        <v>24</v>
      </c>
      <c r="BL79" s="7">
        <v>24</v>
      </c>
      <c r="BM79" s="8" t="b">
        <v>1</v>
      </c>
      <c r="BN79" s="7">
        <v>310.81698874686577</v>
      </c>
      <c r="BO79" s="7">
        <v>1.9541485714285716</v>
      </c>
      <c r="BP79" s="7">
        <v>33.903150191527068</v>
      </c>
      <c r="BQ79" s="7">
        <v>0.13714285714285715</v>
      </c>
      <c r="BR79" s="7" t="s">
        <v>154</v>
      </c>
      <c r="BS79" s="7">
        <v>175</v>
      </c>
      <c r="BT79" s="7">
        <v>24</v>
      </c>
      <c r="BU79" s="7">
        <v>24</v>
      </c>
      <c r="BV79" s="7">
        <v>24</v>
      </c>
      <c r="BW79" s="7" t="s">
        <v>907</v>
      </c>
      <c r="BX79" s="8" t="b">
        <v>1</v>
      </c>
      <c r="BY79" s="7">
        <v>-145.87047115470406</v>
      </c>
      <c r="BZ79" s="7">
        <v>-4.441515449637027</v>
      </c>
      <c r="CA79" s="7">
        <v>46235.614583333336</v>
      </c>
      <c r="CB79" s="7">
        <v>46235.604166666664</v>
      </c>
      <c r="CC79" s="7">
        <v>6.7379910251155212E-3</v>
      </c>
      <c r="CD79" s="7">
        <v>171.59291126689536</v>
      </c>
      <c r="CE79" s="7">
        <v>170.55661478925222</v>
      </c>
      <c r="CF79" s="7">
        <v>662.24534522516342</v>
      </c>
      <c r="CG79" s="7">
        <v>0.3125</v>
      </c>
      <c r="CH79" s="7" t="s">
        <v>150</v>
      </c>
      <c r="CI79" s="7">
        <v>128</v>
      </c>
      <c r="CJ79" s="8" t="b">
        <v>1</v>
      </c>
      <c r="CK79" s="7">
        <v>40</v>
      </c>
      <c r="CL79" s="7">
        <v>40</v>
      </c>
      <c r="CM79" s="7">
        <v>40</v>
      </c>
      <c r="CN79" s="8" t="b">
        <v>0</v>
      </c>
      <c r="CO79" s="7" t="s">
        <v>785</v>
      </c>
      <c r="CP79" s="7">
        <v>876.4153496619881</v>
      </c>
    </row>
    <row r="80" spans="1:94" ht="21" customHeight="1" x14ac:dyDescent="0.45">
      <c r="A80" s="9">
        <v>46235.614583333336</v>
      </c>
      <c r="B80" s="9">
        <v>46235.625</v>
      </c>
      <c r="C80" s="9">
        <v>46235.739583333336</v>
      </c>
      <c r="D80" s="10">
        <v>46235</v>
      </c>
      <c r="E80" s="7">
        <v>0.25</v>
      </c>
      <c r="F80" s="7" t="s">
        <v>770</v>
      </c>
      <c r="G80" s="9">
        <v>46235.583333333336</v>
      </c>
      <c r="H80" s="7">
        <v>153.38999999999999</v>
      </c>
      <c r="I80" s="7" t="s">
        <v>908</v>
      </c>
      <c r="J80" s="7">
        <v>15</v>
      </c>
      <c r="K80" s="7" t="s">
        <v>790</v>
      </c>
      <c r="L80" s="10">
        <v>46234</v>
      </c>
      <c r="M80" s="7">
        <v>5.2473000000000001</v>
      </c>
      <c r="N80" s="7" t="s">
        <v>773</v>
      </c>
      <c r="O80" s="7">
        <v>91.903999999999996</v>
      </c>
      <c r="P80" s="7" t="s">
        <v>903</v>
      </c>
      <c r="Q80" s="7" t="s">
        <v>775</v>
      </c>
      <c r="R80" s="7">
        <v>66.224534522516336</v>
      </c>
      <c r="S80" s="7" t="s">
        <v>776</v>
      </c>
      <c r="T80" s="7">
        <v>175</v>
      </c>
      <c r="U80" s="7" t="s">
        <v>904</v>
      </c>
      <c r="V80" s="7" t="s">
        <v>775</v>
      </c>
      <c r="W80" s="7">
        <v>5.6505250319211777</v>
      </c>
      <c r="X80" s="7" t="s">
        <v>776</v>
      </c>
      <c r="Y80" s="7">
        <v>175</v>
      </c>
      <c r="Z80" s="7" t="s">
        <v>905</v>
      </c>
      <c r="AA80" s="7" t="s">
        <v>775</v>
      </c>
      <c r="AB80" s="7">
        <v>3.0072608770224685</v>
      </c>
      <c r="AC80" s="7" t="s">
        <v>776</v>
      </c>
      <c r="AD80" s="7"/>
      <c r="AE80" s="7" t="s">
        <v>779</v>
      </c>
      <c r="AF80" s="7"/>
      <c r="AG80" s="7">
        <v>186.6485621176605</v>
      </c>
      <c r="AH80" s="7" t="s">
        <v>776</v>
      </c>
      <c r="AI80" s="7">
        <v>13.259</v>
      </c>
      <c r="AJ80" s="7">
        <v>0</v>
      </c>
      <c r="AK80" s="7" t="s">
        <v>776</v>
      </c>
      <c r="AL80" s="7">
        <v>0</v>
      </c>
      <c r="AM80" s="7" t="s">
        <v>780</v>
      </c>
      <c r="AN80" s="7" t="s">
        <v>781</v>
      </c>
      <c r="AO80" s="7" t="s">
        <v>782</v>
      </c>
      <c r="AP80" s="7">
        <v>0.30306285714285708</v>
      </c>
      <c r="AQ80" s="7">
        <v>0</v>
      </c>
      <c r="AR80" s="7">
        <v>0.30306285714285708</v>
      </c>
      <c r="AS80" s="8" t="b">
        <v>1</v>
      </c>
      <c r="AT80" s="8" t="b">
        <v>1</v>
      </c>
      <c r="AU80" s="8" t="b">
        <v>1</v>
      </c>
      <c r="AV80" s="8" t="b">
        <v>1</v>
      </c>
      <c r="AW80" s="8" t="b">
        <v>1</v>
      </c>
      <c r="AX80" s="8" t="b">
        <v>1</v>
      </c>
      <c r="AY80" s="8" t="b">
        <v>1</v>
      </c>
      <c r="AZ80" s="8" t="b">
        <v>1</v>
      </c>
      <c r="BA80" s="7" t="s">
        <v>783</v>
      </c>
      <c r="BB80" s="7" t="s">
        <v>783</v>
      </c>
      <c r="BC80" s="7" t="s">
        <v>784</v>
      </c>
      <c r="BD80" s="7">
        <v>0</v>
      </c>
      <c r="BE80" s="7">
        <v>0</v>
      </c>
      <c r="BF80" s="7">
        <v>15.78811960436796</v>
      </c>
      <c r="BG80" s="7">
        <v>0.13714285714285715</v>
      </c>
      <c r="BH80" s="7" t="s">
        <v>154</v>
      </c>
      <c r="BI80" s="7">
        <v>175</v>
      </c>
      <c r="BJ80" s="7">
        <v>21</v>
      </c>
      <c r="BK80" s="7">
        <v>24</v>
      </c>
      <c r="BL80" s="7">
        <v>24</v>
      </c>
      <c r="BM80" s="8" t="b">
        <v>1</v>
      </c>
      <c r="BN80" s="7">
        <v>339.39747910190545</v>
      </c>
      <c r="BO80" s="7">
        <v>1.8183771428571429</v>
      </c>
      <c r="BP80" s="7">
        <v>33.903150191527068</v>
      </c>
      <c r="BQ80" s="7">
        <v>0.13714285714285715</v>
      </c>
      <c r="BR80" s="7" t="s">
        <v>154</v>
      </c>
      <c r="BS80" s="7">
        <v>175</v>
      </c>
      <c r="BT80" s="7">
        <v>24</v>
      </c>
      <c r="BU80" s="7">
        <v>24</v>
      </c>
      <c r="BV80" s="7">
        <v>24</v>
      </c>
      <c r="BW80" s="7" t="s">
        <v>908</v>
      </c>
      <c r="BX80" s="8" t="b">
        <v>1</v>
      </c>
      <c r="BY80" s="7">
        <v>1380.5099999999998</v>
      </c>
      <c r="BZ80" s="7">
        <v>36</v>
      </c>
      <c r="CA80" s="7">
        <v>46235.625</v>
      </c>
      <c r="CB80" s="7">
        <v>46235.614583333336</v>
      </c>
      <c r="CC80" s="7">
        <v>3.2664182194616982E-2</v>
      </c>
      <c r="CD80" s="7">
        <v>170.55661478925222</v>
      </c>
      <c r="CE80" s="7">
        <v>158.79750919919013</v>
      </c>
      <c r="CF80" s="7">
        <v>662.24534522516342</v>
      </c>
      <c r="CG80" s="7">
        <v>0.3125</v>
      </c>
      <c r="CH80" s="7" t="s">
        <v>150</v>
      </c>
      <c r="CI80" s="7">
        <v>128</v>
      </c>
      <c r="CJ80" s="8" t="b">
        <v>1</v>
      </c>
      <c r="CK80" s="7">
        <v>40</v>
      </c>
      <c r="CL80" s="7">
        <v>40</v>
      </c>
      <c r="CM80" s="7">
        <v>40</v>
      </c>
      <c r="CN80" s="8" t="b">
        <v>0</v>
      </c>
      <c r="CO80" s="7" t="s">
        <v>785</v>
      </c>
      <c r="CP80" s="7">
        <v>2431.8440941229637</v>
      </c>
    </row>
    <row r="81" spans="1:94" ht="21" customHeight="1" x14ac:dyDescent="0.45">
      <c r="A81" s="9">
        <v>46235.625</v>
      </c>
      <c r="B81" s="9">
        <v>46235.635416666664</v>
      </c>
      <c r="C81" s="9">
        <v>46235.75</v>
      </c>
      <c r="D81" s="10">
        <v>46235</v>
      </c>
      <c r="E81" s="7">
        <v>0.25</v>
      </c>
      <c r="F81" s="7" t="s">
        <v>770</v>
      </c>
      <c r="G81" s="9">
        <v>46235.625</v>
      </c>
      <c r="H81" s="7">
        <v>105.85</v>
      </c>
      <c r="I81" s="7" t="s">
        <v>909</v>
      </c>
      <c r="J81" s="7">
        <v>15</v>
      </c>
      <c r="K81" s="7" t="s">
        <v>790</v>
      </c>
      <c r="L81" s="10">
        <v>46234</v>
      </c>
      <c r="M81" s="7">
        <v>5.2473000000000001</v>
      </c>
      <c r="N81" s="7" t="s">
        <v>773</v>
      </c>
      <c r="O81" s="7">
        <v>128</v>
      </c>
      <c r="P81" s="7" t="s">
        <v>910</v>
      </c>
      <c r="Q81" s="7" t="s">
        <v>775</v>
      </c>
      <c r="R81" s="7">
        <v>66.224534522516336</v>
      </c>
      <c r="S81" s="7" t="s">
        <v>776</v>
      </c>
      <c r="T81" s="7">
        <v>175</v>
      </c>
      <c r="U81" s="7" t="s">
        <v>911</v>
      </c>
      <c r="V81" s="7" t="s">
        <v>775</v>
      </c>
      <c r="W81" s="7">
        <v>7.1274750824233415</v>
      </c>
      <c r="X81" s="7" t="s">
        <v>776</v>
      </c>
      <c r="Y81" s="7">
        <v>175</v>
      </c>
      <c r="Z81" s="7" t="s">
        <v>912</v>
      </c>
      <c r="AA81" s="7" t="s">
        <v>775</v>
      </c>
      <c r="AB81" s="7">
        <v>2.5937148628818627</v>
      </c>
      <c r="AC81" s="7" t="s">
        <v>776</v>
      </c>
      <c r="AD81" s="7"/>
      <c r="AE81" s="7" t="s">
        <v>779</v>
      </c>
      <c r="AF81" s="7"/>
      <c r="AG81" s="7">
        <v>208.17144055037829</v>
      </c>
      <c r="AH81" s="7" t="s">
        <v>776</v>
      </c>
      <c r="AI81" s="7">
        <v>1.0329999999999999</v>
      </c>
      <c r="AJ81" s="7">
        <v>9.0505593352771907</v>
      </c>
      <c r="AK81" s="7" t="s">
        <v>776</v>
      </c>
      <c r="AL81" s="7">
        <v>18.597000000000001</v>
      </c>
      <c r="AM81" s="7" t="s">
        <v>780</v>
      </c>
      <c r="AN81" s="7" t="s">
        <v>781</v>
      </c>
      <c r="AO81" s="7" t="s">
        <v>782</v>
      </c>
      <c r="AP81" s="7">
        <v>2.3611428571428499E-2</v>
      </c>
      <c r="AQ81" s="7">
        <v>0.42507428571428568</v>
      </c>
      <c r="AR81" s="7">
        <v>0.4486857142857143</v>
      </c>
      <c r="AS81" s="8" t="b">
        <v>1</v>
      </c>
      <c r="AT81" s="8" t="b">
        <v>1</v>
      </c>
      <c r="AU81" s="8" t="b">
        <v>1</v>
      </c>
      <c r="AV81" s="8" t="b">
        <v>1</v>
      </c>
      <c r="AW81" s="8" t="b">
        <v>1</v>
      </c>
      <c r="AX81" s="8" t="b">
        <v>1</v>
      </c>
      <c r="AY81" s="8" t="b">
        <v>1</v>
      </c>
      <c r="AZ81" s="8" t="b">
        <v>1</v>
      </c>
      <c r="BA81" s="7" t="s">
        <v>783</v>
      </c>
      <c r="BB81" s="7" t="s">
        <v>783</v>
      </c>
      <c r="BC81" s="7" t="s">
        <v>784</v>
      </c>
      <c r="BD81" s="7">
        <v>-23.082960268546277</v>
      </c>
      <c r="BE81" s="7">
        <v>2.5504457142857144</v>
      </c>
      <c r="BF81" s="7">
        <v>15.562289177291177</v>
      </c>
      <c r="BG81" s="7">
        <v>0.13714285714285715</v>
      </c>
      <c r="BH81" s="7" t="s">
        <v>154</v>
      </c>
      <c r="BI81" s="7">
        <v>175</v>
      </c>
      <c r="BJ81" s="7">
        <v>24</v>
      </c>
      <c r="BK81" s="7">
        <v>24</v>
      </c>
      <c r="BL81" s="7">
        <v>24</v>
      </c>
      <c r="BM81" s="8" t="b">
        <v>1</v>
      </c>
      <c r="BN81" s="7">
        <v>29.491350594999876</v>
      </c>
      <c r="BO81" s="7">
        <v>0.14166857142857142</v>
      </c>
      <c r="BP81" s="7">
        <v>42.764850494540049</v>
      </c>
      <c r="BQ81" s="7">
        <v>0.13714285714285715</v>
      </c>
      <c r="BR81" s="7" t="s">
        <v>154</v>
      </c>
      <c r="BS81" s="7">
        <v>175</v>
      </c>
      <c r="BT81" s="7">
        <v>24</v>
      </c>
      <c r="BU81" s="7">
        <v>24</v>
      </c>
      <c r="BV81" s="7">
        <v>24</v>
      </c>
      <c r="BW81" s="7" t="s">
        <v>909</v>
      </c>
      <c r="BX81" s="8" t="b">
        <v>1</v>
      </c>
      <c r="BY81" s="7">
        <v>-952.65</v>
      </c>
      <c r="BZ81" s="7">
        <v>-36</v>
      </c>
      <c r="CA81" s="7">
        <v>46235.635416666664</v>
      </c>
      <c r="CB81" s="7">
        <v>46235.625</v>
      </c>
      <c r="CC81" s="7">
        <v>2.915576380952381E-2</v>
      </c>
      <c r="CD81" s="7">
        <v>158.79750919919013</v>
      </c>
      <c r="CE81" s="7">
        <v>169.29358417061871</v>
      </c>
      <c r="CF81" s="7">
        <v>662.24534522516342</v>
      </c>
      <c r="CG81" s="7">
        <v>0.3125</v>
      </c>
      <c r="CH81" s="7" t="s">
        <v>150</v>
      </c>
      <c r="CI81" s="7">
        <v>128</v>
      </c>
      <c r="CJ81" s="8" t="b">
        <v>1</v>
      </c>
      <c r="CK81" s="7">
        <v>40</v>
      </c>
      <c r="CL81" s="7">
        <v>40</v>
      </c>
      <c r="CM81" s="7">
        <v>40</v>
      </c>
      <c r="CN81" s="8" t="b">
        <v>0</v>
      </c>
      <c r="CO81" s="7" t="s">
        <v>785</v>
      </c>
      <c r="CP81" s="7">
        <v>-225.66912477655174</v>
      </c>
    </row>
    <row r="82" spans="1:94" ht="21" customHeight="1" x14ac:dyDescent="0.45">
      <c r="A82" s="9">
        <v>46235.635416666664</v>
      </c>
      <c r="B82" s="9">
        <v>46235.645833333336</v>
      </c>
      <c r="C82" s="9">
        <v>46235.760416666664</v>
      </c>
      <c r="D82" s="10">
        <v>46235</v>
      </c>
      <c r="E82" s="7">
        <v>0.25</v>
      </c>
      <c r="F82" s="7" t="s">
        <v>770</v>
      </c>
      <c r="G82" s="9">
        <v>46235.625</v>
      </c>
      <c r="H82" s="7">
        <v>130.5</v>
      </c>
      <c r="I82" s="7" t="s">
        <v>913</v>
      </c>
      <c r="J82" s="7">
        <v>15</v>
      </c>
      <c r="K82" s="7" t="s">
        <v>790</v>
      </c>
      <c r="L82" s="10">
        <v>46234</v>
      </c>
      <c r="M82" s="7">
        <v>5.2473000000000001</v>
      </c>
      <c r="N82" s="7" t="s">
        <v>773</v>
      </c>
      <c r="O82" s="7">
        <v>128</v>
      </c>
      <c r="P82" s="7" t="s">
        <v>910</v>
      </c>
      <c r="Q82" s="7" t="s">
        <v>775</v>
      </c>
      <c r="R82" s="7">
        <v>66.224534522516336</v>
      </c>
      <c r="S82" s="7" t="s">
        <v>776</v>
      </c>
      <c r="T82" s="7">
        <v>175</v>
      </c>
      <c r="U82" s="7" t="s">
        <v>911</v>
      </c>
      <c r="V82" s="7" t="s">
        <v>775</v>
      </c>
      <c r="W82" s="7">
        <v>7.1274750824233415</v>
      </c>
      <c r="X82" s="7" t="s">
        <v>776</v>
      </c>
      <c r="Y82" s="7">
        <v>175</v>
      </c>
      <c r="Z82" s="7" t="s">
        <v>912</v>
      </c>
      <c r="AA82" s="7" t="s">
        <v>775</v>
      </c>
      <c r="AB82" s="7">
        <v>2.5937148628818627</v>
      </c>
      <c r="AC82" s="7" t="s">
        <v>776</v>
      </c>
      <c r="AD82" s="7"/>
      <c r="AE82" s="7" t="s">
        <v>779</v>
      </c>
      <c r="AF82" s="7"/>
      <c r="AG82" s="7">
        <v>0</v>
      </c>
      <c r="AH82" s="7" t="s">
        <v>776</v>
      </c>
      <c r="AI82" s="7">
        <v>0</v>
      </c>
      <c r="AJ82" s="7">
        <v>50.190764774264856</v>
      </c>
      <c r="AK82" s="7" t="s">
        <v>776</v>
      </c>
      <c r="AL82" s="7">
        <v>7.8070000000000004</v>
      </c>
      <c r="AM82" s="7" t="s">
        <v>780</v>
      </c>
      <c r="AN82" s="7" t="s">
        <v>781</v>
      </c>
      <c r="AO82" s="7" t="s">
        <v>782</v>
      </c>
      <c r="AP82" s="7">
        <v>0</v>
      </c>
      <c r="AQ82" s="7">
        <v>0.17844571428571429</v>
      </c>
      <c r="AR82" s="7">
        <v>0.17844571428571429</v>
      </c>
      <c r="AS82" s="8" t="b">
        <v>1</v>
      </c>
      <c r="AT82" s="8" t="b">
        <v>1</v>
      </c>
      <c r="AU82" s="8" t="b">
        <v>1</v>
      </c>
      <c r="AV82" s="8" t="b">
        <v>1</v>
      </c>
      <c r="AW82" s="8" t="b">
        <v>1</v>
      </c>
      <c r="AX82" s="8" t="b">
        <v>1</v>
      </c>
      <c r="AY82" s="8" t="b">
        <v>1</v>
      </c>
      <c r="AZ82" s="8" t="b">
        <v>1</v>
      </c>
      <c r="BA82" s="7" t="s">
        <v>783</v>
      </c>
      <c r="BB82" s="7" t="s">
        <v>783</v>
      </c>
      <c r="BC82" s="7" t="s">
        <v>784</v>
      </c>
      <c r="BD82" s="7">
        <v>-53.73796122413976</v>
      </c>
      <c r="BE82" s="7">
        <v>1.0706742857142857</v>
      </c>
      <c r="BF82" s="7">
        <v>15.562289177291177</v>
      </c>
      <c r="BG82" s="7">
        <v>0.13714285714285715</v>
      </c>
      <c r="BH82" s="7" t="s">
        <v>154</v>
      </c>
      <c r="BI82" s="7">
        <v>175</v>
      </c>
      <c r="BJ82" s="7">
        <v>24</v>
      </c>
      <c r="BK82" s="7">
        <v>24</v>
      </c>
      <c r="BL82" s="7">
        <v>24</v>
      </c>
      <c r="BM82" s="8" t="b">
        <v>1</v>
      </c>
      <c r="BN82" s="7">
        <v>0</v>
      </c>
      <c r="BO82" s="7">
        <v>0</v>
      </c>
      <c r="BP82" s="7">
        <v>42.764850494540049</v>
      </c>
      <c r="BQ82" s="7">
        <v>0.13714285714285715</v>
      </c>
      <c r="BR82" s="7" t="s">
        <v>154</v>
      </c>
      <c r="BS82" s="7">
        <v>175</v>
      </c>
      <c r="BT82" s="7">
        <v>24</v>
      </c>
      <c r="BU82" s="7">
        <v>24</v>
      </c>
      <c r="BV82" s="7">
        <v>24</v>
      </c>
      <c r="BW82" s="7" t="s">
        <v>913</v>
      </c>
      <c r="BX82" s="8" t="b">
        <v>1</v>
      </c>
      <c r="BY82" s="7">
        <v>0</v>
      </c>
      <c r="BZ82" s="7">
        <v>0</v>
      </c>
      <c r="CA82" s="7">
        <v>46235.645833333336</v>
      </c>
      <c r="CB82" s="7">
        <v>46235.635416666664</v>
      </c>
      <c r="CC82" s="7">
        <v>2.736167619047619E-3</v>
      </c>
      <c r="CD82" s="7">
        <v>169.29358417061871</v>
      </c>
      <c r="CE82" s="7">
        <v>170.27860451347587</v>
      </c>
      <c r="CF82" s="7">
        <v>662.24534522516342</v>
      </c>
      <c r="CG82" s="7">
        <v>0.3125</v>
      </c>
      <c r="CH82" s="7" t="s">
        <v>150</v>
      </c>
      <c r="CI82" s="7">
        <v>128</v>
      </c>
      <c r="CJ82" s="8" t="b">
        <v>1</v>
      </c>
      <c r="CK82" s="7">
        <v>40</v>
      </c>
      <c r="CL82" s="7">
        <v>40</v>
      </c>
      <c r="CM82" s="7">
        <v>40</v>
      </c>
      <c r="CN82" s="8" t="b">
        <v>0</v>
      </c>
      <c r="CO82" s="7" t="s">
        <v>785</v>
      </c>
      <c r="CP82" s="7">
        <v>666.83452367285486</v>
      </c>
    </row>
    <row r="83" spans="1:94" ht="21" customHeight="1" x14ac:dyDescent="0.45">
      <c r="A83" s="9">
        <v>46235.645833333336</v>
      </c>
      <c r="B83" s="9">
        <v>46235.65625</v>
      </c>
      <c r="C83" s="9">
        <v>46235.770833333336</v>
      </c>
      <c r="D83" s="10">
        <v>46235</v>
      </c>
      <c r="E83" s="7">
        <v>0.25</v>
      </c>
      <c r="F83" s="7" t="s">
        <v>770</v>
      </c>
      <c r="G83" s="9">
        <v>46235.625</v>
      </c>
      <c r="H83" s="7">
        <v>166.54</v>
      </c>
      <c r="I83" s="7" t="s">
        <v>914</v>
      </c>
      <c r="J83" s="7">
        <v>15</v>
      </c>
      <c r="K83" s="7" t="s">
        <v>790</v>
      </c>
      <c r="L83" s="10">
        <v>46234</v>
      </c>
      <c r="M83" s="7">
        <v>5.2473000000000001</v>
      </c>
      <c r="N83" s="7" t="s">
        <v>773</v>
      </c>
      <c r="O83" s="7">
        <v>128</v>
      </c>
      <c r="P83" s="7" t="s">
        <v>910</v>
      </c>
      <c r="Q83" s="7" t="s">
        <v>775</v>
      </c>
      <c r="R83" s="7">
        <v>66.224534522516336</v>
      </c>
      <c r="S83" s="7" t="s">
        <v>776</v>
      </c>
      <c r="T83" s="7">
        <v>175</v>
      </c>
      <c r="U83" s="7" t="s">
        <v>911</v>
      </c>
      <c r="V83" s="7" t="s">
        <v>775</v>
      </c>
      <c r="W83" s="7">
        <v>7.1274750824233415</v>
      </c>
      <c r="X83" s="7" t="s">
        <v>776</v>
      </c>
      <c r="Y83" s="7">
        <v>175</v>
      </c>
      <c r="Z83" s="7" t="s">
        <v>912</v>
      </c>
      <c r="AA83" s="7" t="s">
        <v>775</v>
      </c>
      <c r="AB83" s="7">
        <v>2.5937148628818627</v>
      </c>
      <c r="AC83" s="7" t="s">
        <v>776</v>
      </c>
      <c r="AD83" s="7"/>
      <c r="AE83" s="7" t="s">
        <v>779</v>
      </c>
      <c r="AF83" s="7"/>
      <c r="AG83" s="7">
        <v>0</v>
      </c>
      <c r="AH83" s="7" t="s">
        <v>776</v>
      </c>
      <c r="AI83" s="7">
        <v>0</v>
      </c>
      <c r="AJ83" s="7">
        <v>41.101709450574582</v>
      </c>
      <c r="AK83" s="7" t="s">
        <v>776</v>
      </c>
      <c r="AL83" s="7">
        <v>10.657</v>
      </c>
      <c r="AM83" s="7" t="s">
        <v>780</v>
      </c>
      <c r="AN83" s="7" t="s">
        <v>781</v>
      </c>
      <c r="AO83" s="7" t="s">
        <v>782</v>
      </c>
      <c r="AP83" s="7">
        <v>0</v>
      </c>
      <c r="AQ83" s="7">
        <v>0.2435885714285714</v>
      </c>
      <c r="AR83" s="7">
        <v>0.2435885714285714</v>
      </c>
      <c r="AS83" s="8" t="b">
        <v>1</v>
      </c>
      <c r="AT83" s="8" t="b">
        <v>1</v>
      </c>
      <c r="AU83" s="8" t="b">
        <v>1</v>
      </c>
      <c r="AV83" s="8" t="b">
        <v>1</v>
      </c>
      <c r="AW83" s="8" t="b">
        <v>1</v>
      </c>
      <c r="AX83" s="8" t="b">
        <v>1</v>
      </c>
      <c r="AY83" s="8" t="b">
        <v>1</v>
      </c>
      <c r="AZ83" s="8" t="b">
        <v>1</v>
      </c>
      <c r="BA83" s="7" t="s">
        <v>783</v>
      </c>
      <c r="BB83" s="7" t="s">
        <v>783</v>
      </c>
      <c r="BC83" s="7" t="s">
        <v>784</v>
      </c>
      <c r="BD83" s="7">
        <v>-60.071440130026055</v>
      </c>
      <c r="BE83" s="7">
        <v>1.4615314285714285</v>
      </c>
      <c r="BF83" s="7">
        <v>15.562289177291177</v>
      </c>
      <c r="BG83" s="7">
        <v>0.13714285714285715</v>
      </c>
      <c r="BH83" s="7" t="s">
        <v>154</v>
      </c>
      <c r="BI83" s="7">
        <v>175</v>
      </c>
      <c r="BJ83" s="7">
        <v>24</v>
      </c>
      <c r="BK83" s="7">
        <v>24</v>
      </c>
      <c r="BL83" s="7">
        <v>24</v>
      </c>
      <c r="BM83" s="8" t="b">
        <v>1</v>
      </c>
      <c r="BN83" s="7">
        <v>0</v>
      </c>
      <c r="BO83" s="7">
        <v>0</v>
      </c>
      <c r="BP83" s="7">
        <v>42.764850494540049</v>
      </c>
      <c r="BQ83" s="7">
        <v>0.13714285714285715</v>
      </c>
      <c r="BR83" s="7" t="s">
        <v>154</v>
      </c>
      <c r="BS83" s="7">
        <v>175</v>
      </c>
      <c r="BT83" s="7">
        <v>24</v>
      </c>
      <c r="BU83" s="7">
        <v>24</v>
      </c>
      <c r="BV83" s="7">
        <v>24</v>
      </c>
      <c r="BW83" s="7" t="s">
        <v>914</v>
      </c>
      <c r="BX83" s="8" t="b">
        <v>1</v>
      </c>
      <c r="BY83" s="7">
        <v>17.250953277125952</v>
      </c>
      <c r="BZ83" s="7">
        <v>0.4143377753602967</v>
      </c>
      <c r="CA83" s="7">
        <v>46235.65625</v>
      </c>
      <c r="CB83" s="7">
        <v>46235.645833333336</v>
      </c>
      <c r="CC83" s="7">
        <v>3.9071144466943592E-3</v>
      </c>
      <c r="CD83" s="7">
        <v>170.27860451347587</v>
      </c>
      <c r="CE83" s="7">
        <v>171.51483428571444</v>
      </c>
      <c r="CF83" s="7">
        <v>662.24534522516342</v>
      </c>
      <c r="CG83" s="7">
        <v>0.3125</v>
      </c>
      <c r="CH83" s="7" t="s">
        <v>150</v>
      </c>
      <c r="CI83" s="7">
        <v>128</v>
      </c>
      <c r="CJ83" s="8" t="b">
        <v>1</v>
      </c>
      <c r="CK83" s="7">
        <v>40</v>
      </c>
      <c r="CL83" s="7">
        <v>40</v>
      </c>
      <c r="CM83" s="7">
        <v>40</v>
      </c>
      <c r="CN83" s="8" t="b">
        <v>0</v>
      </c>
      <c r="CO83" s="7" t="s">
        <v>785</v>
      </c>
      <c r="CP83" s="7">
        <v>677.75199804409453</v>
      </c>
    </row>
    <row r="84" spans="1:94" ht="21" customHeight="1" x14ac:dyDescent="0.45">
      <c r="A84" s="9">
        <v>46235.65625</v>
      </c>
      <c r="B84" s="9">
        <v>46235.666666666664</v>
      </c>
      <c r="C84" s="9">
        <v>46235.78125</v>
      </c>
      <c r="D84" s="10">
        <v>46235</v>
      </c>
      <c r="E84" s="7">
        <v>0.25</v>
      </c>
      <c r="F84" s="7" t="s">
        <v>770</v>
      </c>
      <c r="G84" s="9">
        <v>46235.625</v>
      </c>
      <c r="H84" s="7">
        <v>179.42</v>
      </c>
      <c r="I84" s="7" t="s">
        <v>915</v>
      </c>
      <c r="J84" s="7">
        <v>15</v>
      </c>
      <c r="K84" s="7" t="s">
        <v>790</v>
      </c>
      <c r="L84" s="10">
        <v>46234</v>
      </c>
      <c r="M84" s="7">
        <v>5.2473000000000001</v>
      </c>
      <c r="N84" s="7" t="s">
        <v>773</v>
      </c>
      <c r="O84" s="7">
        <v>128</v>
      </c>
      <c r="P84" s="7" t="s">
        <v>910</v>
      </c>
      <c r="Q84" s="7" t="s">
        <v>775</v>
      </c>
      <c r="R84" s="7">
        <v>66.224534522516336</v>
      </c>
      <c r="S84" s="7" t="s">
        <v>776</v>
      </c>
      <c r="T84" s="7">
        <v>175</v>
      </c>
      <c r="U84" s="7" t="s">
        <v>911</v>
      </c>
      <c r="V84" s="7" t="s">
        <v>775</v>
      </c>
      <c r="W84" s="7">
        <v>7.1274750824233415</v>
      </c>
      <c r="X84" s="7" t="s">
        <v>776</v>
      </c>
      <c r="Y84" s="7">
        <v>175</v>
      </c>
      <c r="Z84" s="7" t="s">
        <v>912</v>
      </c>
      <c r="AA84" s="7" t="s">
        <v>775</v>
      </c>
      <c r="AB84" s="7">
        <v>2.5937148628818627</v>
      </c>
      <c r="AC84" s="7" t="s">
        <v>776</v>
      </c>
      <c r="AD84" s="7"/>
      <c r="AE84" s="7" t="s">
        <v>779</v>
      </c>
      <c r="AF84" s="7"/>
      <c r="AG84" s="7">
        <v>205.5828711908982</v>
      </c>
      <c r="AH84" s="7" t="s">
        <v>776</v>
      </c>
      <c r="AI84" s="7">
        <v>3.306</v>
      </c>
      <c r="AJ84" s="7">
        <v>67.481371371943666</v>
      </c>
      <c r="AK84" s="7" t="s">
        <v>776</v>
      </c>
      <c r="AL84" s="7">
        <v>0.67500000000000004</v>
      </c>
      <c r="AM84" s="7" t="s">
        <v>780</v>
      </c>
      <c r="AN84" s="7" t="s">
        <v>781</v>
      </c>
      <c r="AO84" s="7" t="s">
        <v>782</v>
      </c>
      <c r="AP84" s="7">
        <v>7.5565714285714194E-2</v>
      </c>
      <c r="AQ84" s="7">
        <v>1.5428571428571399E-2</v>
      </c>
      <c r="AR84" s="7">
        <v>9.0994285714285694E-2</v>
      </c>
      <c r="AS84" s="8" t="b">
        <v>1</v>
      </c>
      <c r="AT84" s="8" t="b">
        <v>1</v>
      </c>
      <c r="AU84" s="8" t="b">
        <v>1</v>
      </c>
      <c r="AV84" s="8" t="b">
        <v>1</v>
      </c>
      <c r="AW84" s="8" t="b">
        <v>1</v>
      </c>
      <c r="AX84" s="8" t="b">
        <v>1</v>
      </c>
      <c r="AY84" s="8" t="b">
        <v>1</v>
      </c>
      <c r="AZ84" s="8" t="b">
        <v>1</v>
      </c>
      <c r="BA84" s="7" t="s">
        <v>783</v>
      </c>
      <c r="BB84" s="7" t="s">
        <v>783</v>
      </c>
      <c r="BC84" s="7" t="s">
        <v>784</v>
      </c>
      <c r="BD84" s="7">
        <v>-6.2468469498599291</v>
      </c>
      <c r="BE84" s="7">
        <v>9.2571428571428582E-2</v>
      </c>
      <c r="BF84" s="7">
        <v>15.562289177291177</v>
      </c>
      <c r="BG84" s="7">
        <v>0.13714285714285715</v>
      </c>
      <c r="BH84" s="7" t="s">
        <v>154</v>
      </c>
      <c r="BI84" s="7">
        <v>175</v>
      </c>
      <c r="BJ84" s="7">
        <v>24</v>
      </c>
      <c r="BK84" s="7">
        <v>24</v>
      </c>
      <c r="BL84" s="7">
        <v>24</v>
      </c>
      <c r="BM84" s="8" t="b">
        <v>1</v>
      </c>
      <c r="BN84" s="7">
        <v>93.210099038689307</v>
      </c>
      <c r="BO84" s="7">
        <v>0.45339428571428575</v>
      </c>
      <c r="BP84" s="7">
        <v>42.764850494540049</v>
      </c>
      <c r="BQ84" s="7">
        <v>0.13714285714285715</v>
      </c>
      <c r="BR84" s="7" t="s">
        <v>154</v>
      </c>
      <c r="BS84" s="7">
        <v>175</v>
      </c>
      <c r="BT84" s="7">
        <v>24</v>
      </c>
      <c r="BU84" s="7">
        <v>24</v>
      </c>
      <c r="BV84" s="7">
        <v>24</v>
      </c>
      <c r="BW84" s="7" t="s">
        <v>915</v>
      </c>
      <c r="BX84" s="8" t="b">
        <v>1</v>
      </c>
      <c r="BY84" s="7">
        <v>0</v>
      </c>
      <c r="BZ84" s="7">
        <v>0</v>
      </c>
      <c r="CA84" s="7">
        <v>46236</v>
      </c>
      <c r="CB84" s="7">
        <v>46235.65625</v>
      </c>
      <c r="CC84" s="7">
        <v>1.6055155279503107E-3</v>
      </c>
      <c r="CD84" s="7">
        <v>171.51483428571444</v>
      </c>
      <c r="CE84" s="7">
        <v>171.10718012422376</v>
      </c>
      <c r="CF84" s="7">
        <v>662.24534522516342</v>
      </c>
      <c r="CG84" s="7">
        <v>0.3125</v>
      </c>
      <c r="CH84" s="7" t="s">
        <v>150</v>
      </c>
      <c r="CI84" s="7">
        <v>128</v>
      </c>
      <c r="CJ84" s="8" t="b">
        <v>1</v>
      </c>
      <c r="CK84" s="7">
        <v>40</v>
      </c>
      <c r="CL84" s="7">
        <v>40</v>
      </c>
      <c r="CM84" s="7">
        <v>40</v>
      </c>
      <c r="CN84" s="8" t="b">
        <v>0</v>
      </c>
      <c r="CO84" s="7" t="s">
        <v>785</v>
      </c>
      <c r="CP84" s="7">
        <v>807.53573698582397</v>
      </c>
    </row>
    <row r="85" spans="1:94" ht="21" customHeight="1" x14ac:dyDescent="0.45">
      <c r="A85" s="9">
        <v>46235.666666666664</v>
      </c>
      <c r="B85" s="9">
        <v>46235.677083333336</v>
      </c>
      <c r="C85" s="9">
        <v>46235.791666666664</v>
      </c>
      <c r="D85" s="10">
        <v>46235</v>
      </c>
      <c r="E85" s="7">
        <v>0.25</v>
      </c>
      <c r="F85" s="7" t="s">
        <v>770</v>
      </c>
      <c r="G85" s="9">
        <v>46235.666666666664</v>
      </c>
      <c r="H85" s="7">
        <v>187.32</v>
      </c>
      <c r="I85" s="7" t="s">
        <v>916</v>
      </c>
      <c r="J85" s="7">
        <v>15</v>
      </c>
      <c r="K85" s="7" t="s">
        <v>790</v>
      </c>
      <c r="L85" s="10">
        <v>46234</v>
      </c>
      <c r="M85" s="7">
        <v>5.2473000000000001</v>
      </c>
      <c r="N85" s="7" t="s">
        <v>773</v>
      </c>
      <c r="O85" s="7">
        <v>131.96799999999999</v>
      </c>
      <c r="P85" s="7" t="s">
        <v>917</v>
      </c>
      <c r="Q85" s="7" t="s">
        <v>775</v>
      </c>
      <c r="R85" s="7">
        <v>66.224534522516336</v>
      </c>
      <c r="S85" s="7" t="s">
        <v>776</v>
      </c>
      <c r="T85" s="7">
        <v>175</v>
      </c>
      <c r="U85" s="7" t="s">
        <v>918</v>
      </c>
      <c r="V85" s="7" t="s">
        <v>775</v>
      </c>
      <c r="W85" s="7">
        <v>7.1027004364149189</v>
      </c>
      <c r="X85" s="7" t="s">
        <v>776</v>
      </c>
      <c r="Y85" s="7">
        <v>175</v>
      </c>
      <c r="Z85" s="7" t="s">
        <v>919</v>
      </c>
      <c r="AA85" s="7" t="s">
        <v>775</v>
      </c>
      <c r="AB85" s="7">
        <v>2.5937148628818627</v>
      </c>
      <c r="AC85" s="7" t="s">
        <v>776</v>
      </c>
      <c r="AD85" s="7"/>
      <c r="AE85" s="7" t="s">
        <v>779</v>
      </c>
      <c r="AF85" s="7"/>
      <c r="AG85" s="7">
        <v>0</v>
      </c>
      <c r="AH85" s="7" t="s">
        <v>776</v>
      </c>
      <c r="AI85" s="7">
        <v>0</v>
      </c>
      <c r="AJ85" s="7">
        <v>11.283707811636461</v>
      </c>
      <c r="AK85" s="7" t="s">
        <v>776</v>
      </c>
      <c r="AL85" s="7">
        <v>14.387</v>
      </c>
      <c r="AM85" s="7" t="s">
        <v>780</v>
      </c>
      <c r="AN85" s="7" t="s">
        <v>781</v>
      </c>
      <c r="AO85" s="7" t="s">
        <v>782</v>
      </c>
      <c r="AP85" s="7">
        <v>0</v>
      </c>
      <c r="AQ85" s="7">
        <v>0.3288457142857143</v>
      </c>
      <c r="AR85" s="7">
        <v>0.3288457142857143</v>
      </c>
      <c r="AS85" s="8" t="b">
        <v>1</v>
      </c>
      <c r="AT85" s="8" t="b">
        <v>1</v>
      </c>
      <c r="AU85" s="8" t="b">
        <v>1</v>
      </c>
      <c r="AV85" s="8" t="b">
        <v>1</v>
      </c>
      <c r="AW85" s="8" t="b">
        <v>1</v>
      </c>
      <c r="AX85" s="8" t="b">
        <v>1</v>
      </c>
      <c r="AY85" s="8" t="b">
        <v>1</v>
      </c>
      <c r="AZ85" s="8" t="b">
        <v>1</v>
      </c>
      <c r="BA85" s="7" t="s">
        <v>783</v>
      </c>
      <c r="BB85" s="7" t="s">
        <v>783</v>
      </c>
      <c r="BC85" s="7" t="s">
        <v>784</v>
      </c>
      <c r="BD85" s="7">
        <v>-22.263593730653316</v>
      </c>
      <c r="BE85" s="7">
        <v>1.9730742857142858</v>
      </c>
      <c r="BF85" s="7">
        <v>15.562289177291177</v>
      </c>
      <c r="BG85" s="7">
        <v>0.13714285714285715</v>
      </c>
      <c r="BH85" s="7" t="s">
        <v>154</v>
      </c>
      <c r="BI85" s="7">
        <v>175</v>
      </c>
      <c r="BJ85" s="7">
        <v>24</v>
      </c>
      <c r="BK85" s="7">
        <v>24</v>
      </c>
      <c r="BL85" s="7">
        <v>24</v>
      </c>
      <c r="BM85" s="8" t="b">
        <v>1</v>
      </c>
      <c r="BN85" s="7">
        <v>0</v>
      </c>
      <c r="BO85" s="7">
        <v>0</v>
      </c>
      <c r="BP85" s="7">
        <v>0</v>
      </c>
      <c r="BQ85" s="7">
        <v>0.13714285714285715</v>
      </c>
      <c r="BR85" s="7" t="s">
        <v>154</v>
      </c>
      <c r="BS85" s="7">
        <v>175</v>
      </c>
      <c r="BT85" s="7">
        <v>0</v>
      </c>
      <c r="BU85" s="7">
        <v>24</v>
      </c>
      <c r="BV85" s="7">
        <v>24</v>
      </c>
      <c r="BW85" s="7" t="s">
        <v>916</v>
      </c>
      <c r="BX85" s="8" t="b">
        <v>1</v>
      </c>
      <c r="BY85" s="7">
        <v>1123.92</v>
      </c>
      <c r="BZ85" s="7">
        <v>24</v>
      </c>
      <c r="CA85" s="7">
        <v>46235.677083333336</v>
      </c>
      <c r="CB85" s="7">
        <v>46236</v>
      </c>
      <c r="CC85" s="7">
        <v>1.2158592132505176E-2</v>
      </c>
      <c r="CD85" s="7">
        <v>171.10718012422376</v>
      </c>
      <c r="CE85" s="7">
        <v>166.73008695652189</v>
      </c>
      <c r="CF85" s="7">
        <v>662.24534522516342</v>
      </c>
      <c r="CG85" s="7">
        <v>0.3125</v>
      </c>
      <c r="CH85" s="7" t="s">
        <v>150</v>
      </c>
      <c r="CI85" s="7">
        <v>128</v>
      </c>
      <c r="CJ85" s="8" t="b">
        <v>1</v>
      </c>
      <c r="CK85" s="7">
        <v>40</v>
      </c>
      <c r="CL85" s="7">
        <v>40</v>
      </c>
      <c r="CM85" s="7">
        <v>40</v>
      </c>
      <c r="CN85" s="8" t="b">
        <v>0</v>
      </c>
      <c r="CO85" s="7" t="s">
        <v>785</v>
      </c>
      <c r="CP85" s="7">
        <v>1779.4640406718013</v>
      </c>
    </row>
    <row r="86" spans="1:94" ht="21" customHeight="1" x14ac:dyDescent="0.45">
      <c r="A86" s="9">
        <v>46235.677083333336</v>
      </c>
      <c r="B86" s="9">
        <v>46235.6875</v>
      </c>
      <c r="C86" s="9">
        <v>46235.802083333336</v>
      </c>
      <c r="D86" s="10">
        <v>46235</v>
      </c>
      <c r="E86" s="7">
        <v>0.25</v>
      </c>
      <c r="F86" s="7" t="s">
        <v>770</v>
      </c>
      <c r="G86" s="9">
        <v>46235.666666666664</v>
      </c>
      <c r="H86" s="7">
        <v>194.64</v>
      </c>
      <c r="I86" s="7" t="s">
        <v>920</v>
      </c>
      <c r="J86" s="7">
        <v>15</v>
      </c>
      <c r="K86" s="7" t="s">
        <v>790</v>
      </c>
      <c r="L86" s="10">
        <v>46234</v>
      </c>
      <c r="M86" s="7">
        <v>5.2473000000000001</v>
      </c>
      <c r="N86" s="7" t="s">
        <v>773</v>
      </c>
      <c r="O86" s="7">
        <v>131.96799999999999</v>
      </c>
      <c r="P86" s="7" t="s">
        <v>917</v>
      </c>
      <c r="Q86" s="7" t="s">
        <v>775</v>
      </c>
      <c r="R86" s="7">
        <v>66.224534522516336</v>
      </c>
      <c r="S86" s="7" t="s">
        <v>776</v>
      </c>
      <c r="T86" s="7">
        <v>175</v>
      </c>
      <c r="U86" s="7" t="s">
        <v>918</v>
      </c>
      <c r="V86" s="7" t="s">
        <v>775</v>
      </c>
      <c r="W86" s="7">
        <v>7.1027004364149189</v>
      </c>
      <c r="X86" s="7" t="s">
        <v>776</v>
      </c>
      <c r="Y86" s="7">
        <v>175</v>
      </c>
      <c r="Z86" s="7" t="s">
        <v>919</v>
      </c>
      <c r="AA86" s="7" t="s">
        <v>775</v>
      </c>
      <c r="AB86" s="7">
        <v>2.5937148628818627</v>
      </c>
      <c r="AC86" s="7" t="s">
        <v>776</v>
      </c>
      <c r="AD86" s="7"/>
      <c r="AE86" s="7" t="s">
        <v>779</v>
      </c>
      <c r="AF86" s="7"/>
      <c r="AG86" s="7">
        <v>189.8326758523431</v>
      </c>
      <c r="AH86" s="7" t="s">
        <v>776</v>
      </c>
      <c r="AI86" s="7">
        <v>0.42299999999999999</v>
      </c>
      <c r="AJ86" s="7">
        <v>48.855030206010717</v>
      </c>
      <c r="AK86" s="7" t="s">
        <v>776</v>
      </c>
      <c r="AL86" s="7">
        <v>6.0679999999999996</v>
      </c>
      <c r="AM86" s="7" t="s">
        <v>780</v>
      </c>
      <c r="AN86" s="7" t="s">
        <v>781</v>
      </c>
      <c r="AO86" s="7" t="s">
        <v>782</v>
      </c>
      <c r="AP86" s="7">
        <v>9.6685714285713997E-3</v>
      </c>
      <c r="AQ86" s="7">
        <v>0.1386971428571428</v>
      </c>
      <c r="AR86" s="7">
        <v>0.14836571428571421</v>
      </c>
      <c r="AS86" s="8" t="b">
        <v>1</v>
      </c>
      <c r="AT86" s="8" t="b">
        <v>1</v>
      </c>
      <c r="AU86" s="8" t="b">
        <v>1</v>
      </c>
      <c r="AV86" s="8" t="b">
        <v>1</v>
      </c>
      <c r="AW86" s="8" t="b">
        <v>1</v>
      </c>
      <c r="AX86" s="8" t="b">
        <v>1</v>
      </c>
      <c r="AY86" s="8" t="b">
        <v>1</v>
      </c>
      <c r="AZ86" s="8" t="b">
        <v>1</v>
      </c>
      <c r="BA86" s="7" t="s">
        <v>783</v>
      </c>
      <c r="BB86" s="7" t="s">
        <v>783</v>
      </c>
      <c r="BC86" s="7" t="s">
        <v>784</v>
      </c>
      <c r="BD86" s="7">
        <v>-40.656318622638587</v>
      </c>
      <c r="BE86" s="7">
        <v>0.83218285714285711</v>
      </c>
      <c r="BF86" s="7">
        <v>15.562289177291177</v>
      </c>
      <c r="BG86" s="7">
        <v>0.13714285714285715</v>
      </c>
      <c r="BH86" s="7" t="s">
        <v>154</v>
      </c>
      <c r="BI86" s="7">
        <v>175</v>
      </c>
      <c r="BJ86" s="7">
        <v>24</v>
      </c>
      <c r="BK86" s="7">
        <v>24</v>
      </c>
      <c r="BL86" s="7">
        <v>24</v>
      </c>
      <c r="BM86" s="8" t="b">
        <v>1</v>
      </c>
      <c r="BN86" s="7">
        <v>0</v>
      </c>
      <c r="BO86" s="7">
        <v>0</v>
      </c>
      <c r="BP86" s="7">
        <v>0</v>
      </c>
      <c r="BQ86" s="7">
        <v>0.13714285714285715</v>
      </c>
      <c r="BR86" s="7" t="s">
        <v>154</v>
      </c>
      <c r="BS86" s="7">
        <v>175</v>
      </c>
      <c r="BT86" s="7">
        <v>0</v>
      </c>
      <c r="BU86" s="7">
        <v>24</v>
      </c>
      <c r="BV86" s="7">
        <v>24</v>
      </c>
      <c r="BW86" s="7" t="s">
        <v>920</v>
      </c>
      <c r="BX86" s="8" t="b">
        <v>1</v>
      </c>
      <c r="BY86" s="7">
        <v>2919.5999999999917</v>
      </c>
      <c r="BZ86" s="7">
        <v>59.999999999999837</v>
      </c>
      <c r="CA86" s="7">
        <v>46235.6875</v>
      </c>
      <c r="CB86" s="7">
        <v>46235.677083333336</v>
      </c>
      <c r="CC86" s="7">
        <v>4.2777225672877721E-2</v>
      </c>
      <c r="CD86" s="7">
        <v>166.73008695652189</v>
      </c>
      <c r="CE86" s="7">
        <v>151.33028571428591</v>
      </c>
      <c r="CF86" s="7">
        <v>662.24534522516342</v>
      </c>
      <c r="CG86" s="7">
        <v>0.3125</v>
      </c>
      <c r="CH86" s="7" t="s">
        <v>150</v>
      </c>
      <c r="CI86" s="7">
        <v>128</v>
      </c>
      <c r="CJ86" s="8" t="b">
        <v>1</v>
      </c>
      <c r="CK86" s="7">
        <v>40</v>
      </c>
      <c r="CL86" s="7">
        <v>40</v>
      </c>
      <c r="CM86" s="7">
        <v>40</v>
      </c>
      <c r="CN86" s="8" t="b">
        <v>0</v>
      </c>
      <c r="CO86" s="7" t="s">
        <v>785</v>
      </c>
      <c r="CP86" s="7">
        <v>3556.7513157798076</v>
      </c>
    </row>
    <row r="87" spans="1:94" ht="21" customHeight="1" x14ac:dyDescent="0.45">
      <c r="A87" s="9">
        <v>46235.6875</v>
      </c>
      <c r="B87" s="9">
        <v>46235.697916666664</v>
      </c>
      <c r="C87" s="9">
        <v>46235.8125</v>
      </c>
      <c r="D87" s="10">
        <v>46235</v>
      </c>
      <c r="E87" s="7">
        <v>0.25</v>
      </c>
      <c r="F87" s="7" t="s">
        <v>770</v>
      </c>
      <c r="G87" s="9">
        <v>46235.666666666664</v>
      </c>
      <c r="H87" s="7">
        <v>192.96</v>
      </c>
      <c r="I87" s="7" t="s">
        <v>921</v>
      </c>
      <c r="J87" s="7">
        <v>15</v>
      </c>
      <c r="K87" s="7" t="s">
        <v>790</v>
      </c>
      <c r="L87" s="10">
        <v>46234</v>
      </c>
      <c r="M87" s="7">
        <v>5.2473000000000001</v>
      </c>
      <c r="N87" s="7" t="s">
        <v>773</v>
      </c>
      <c r="O87" s="7">
        <v>131.96799999999999</v>
      </c>
      <c r="P87" s="7" t="s">
        <v>917</v>
      </c>
      <c r="Q87" s="7" t="s">
        <v>775</v>
      </c>
      <c r="R87" s="7">
        <v>66.224534522516336</v>
      </c>
      <c r="S87" s="7" t="s">
        <v>776</v>
      </c>
      <c r="T87" s="7">
        <v>175</v>
      </c>
      <c r="U87" s="7" t="s">
        <v>918</v>
      </c>
      <c r="V87" s="7" t="s">
        <v>775</v>
      </c>
      <c r="W87" s="7">
        <v>7.1027004364149189</v>
      </c>
      <c r="X87" s="7" t="s">
        <v>776</v>
      </c>
      <c r="Y87" s="7">
        <v>175</v>
      </c>
      <c r="Z87" s="7" t="s">
        <v>919</v>
      </c>
      <c r="AA87" s="7" t="s">
        <v>775</v>
      </c>
      <c r="AB87" s="7">
        <v>2.5937148628818627</v>
      </c>
      <c r="AC87" s="7" t="s">
        <v>776</v>
      </c>
      <c r="AD87" s="7"/>
      <c r="AE87" s="7" t="s">
        <v>779</v>
      </c>
      <c r="AF87" s="7"/>
      <c r="AG87" s="7">
        <v>222.2615440321689</v>
      </c>
      <c r="AH87" s="7" t="s">
        <v>776</v>
      </c>
      <c r="AI87" s="7">
        <v>1.7090000000000001</v>
      </c>
      <c r="AJ87" s="7">
        <v>76.420254225982887</v>
      </c>
      <c r="AK87" s="7" t="s">
        <v>776</v>
      </c>
      <c r="AL87" s="7">
        <v>1E-3</v>
      </c>
      <c r="AM87" s="7" t="s">
        <v>780</v>
      </c>
      <c r="AN87" s="7" t="s">
        <v>781</v>
      </c>
      <c r="AO87" s="7" t="s">
        <v>782</v>
      </c>
      <c r="AP87" s="7">
        <v>3.9062857142857101E-2</v>
      </c>
      <c r="AQ87" s="7">
        <v>2.2857142857142855E-5</v>
      </c>
      <c r="AR87" s="7">
        <v>3.9085714285714203E-2</v>
      </c>
      <c r="AS87" s="8" t="b">
        <v>1</v>
      </c>
      <c r="AT87" s="8" t="b">
        <v>1</v>
      </c>
      <c r="AU87" s="8" t="b">
        <v>1</v>
      </c>
      <c r="AV87" s="8" t="b">
        <v>1</v>
      </c>
      <c r="AW87" s="8" t="b">
        <v>1</v>
      </c>
      <c r="AX87" s="8" t="b">
        <v>1</v>
      </c>
      <c r="AY87" s="8" t="b">
        <v>1</v>
      </c>
      <c r="AZ87" s="8" t="b">
        <v>1</v>
      </c>
      <c r="BA87" s="7" t="s">
        <v>783</v>
      </c>
      <c r="BB87" s="7" t="s">
        <v>783</v>
      </c>
      <c r="BC87" s="7" t="s">
        <v>784</v>
      </c>
      <c r="BD87" s="7">
        <v>-1.0480492008134798E-2</v>
      </c>
      <c r="BE87" s="7">
        <v>1.3714285714285716E-4</v>
      </c>
      <c r="BF87" s="7">
        <v>15.562289177291177</v>
      </c>
      <c r="BG87" s="7">
        <v>0.13714285714285715</v>
      </c>
      <c r="BH87" s="7" t="s">
        <v>154</v>
      </c>
      <c r="BI87" s="7">
        <v>175</v>
      </c>
      <c r="BJ87" s="7">
        <v>24</v>
      </c>
      <c r="BK87" s="7">
        <v>24</v>
      </c>
      <c r="BL87" s="7">
        <v>24</v>
      </c>
      <c r="BM87" s="8" t="b">
        <v>1</v>
      </c>
      <c r="BN87" s="7">
        <v>0</v>
      </c>
      <c r="BO87" s="7">
        <v>0</v>
      </c>
      <c r="BP87" s="7">
        <v>0</v>
      </c>
      <c r="BQ87" s="7">
        <v>0.13714285714285715</v>
      </c>
      <c r="BR87" s="7" t="s">
        <v>154</v>
      </c>
      <c r="BS87" s="7">
        <v>175</v>
      </c>
      <c r="BT87" s="7">
        <v>0</v>
      </c>
      <c r="BU87" s="7">
        <v>24</v>
      </c>
      <c r="BV87" s="7">
        <v>24</v>
      </c>
      <c r="BW87" s="7" t="s">
        <v>921</v>
      </c>
      <c r="BX87" s="8" t="b">
        <v>1</v>
      </c>
      <c r="BY87" s="7">
        <v>0</v>
      </c>
      <c r="BZ87" s="7">
        <v>0</v>
      </c>
      <c r="CA87" s="7">
        <v>46235.697916666664</v>
      </c>
      <c r="CB87" s="7">
        <v>46235.6875</v>
      </c>
      <c r="CC87" s="7">
        <v>3.5047619047619054E-7</v>
      </c>
      <c r="CD87" s="7">
        <v>151.33028571428591</v>
      </c>
      <c r="CE87" s="7">
        <v>151.33041188571448</v>
      </c>
      <c r="CF87" s="7">
        <v>662.24534522516342</v>
      </c>
      <c r="CG87" s="7">
        <v>0.3125</v>
      </c>
      <c r="CH87" s="7" t="s">
        <v>150</v>
      </c>
      <c r="CI87" s="7">
        <v>128</v>
      </c>
      <c r="CJ87" s="8" t="b">
        <v>1</v>
      </c>
      <c r="CK87" s="7">
        <v>40</v>
      </c>
      <c r="CL87" s="7">
        <v>40</v>
      </c>
      <c r="CM87" s="7">
        <v>40</v>
      </c>
      <c r="CN87" s="8" t="b">
        <v>0</v>
      </c>
      <c r="CO87" s="7" t="s">
        <v>785</v>
      </c>
      <c r="CP87" s="7">
        <v>677.79715391044647</v>
      </c>
    </row>
    <row r="88" spans="1:94" ht="21" customHeight="1" x14ac:dyDescent="0.45">
      <c r="A88" s="9">
        <v>46235.697916666664</v>
      </c>
      <c r="B88" s="9">
        <v>46235.708333333336</v>
      </c>
      <c r="C88" s="9">
        <v>46235.822916666664</v>
      </c>
      <c r="D88" s="10">
        <v>46235</v>
      </c>
      <c r="E88" s="7">
        <v>0.25</v>
      </c>
      <c r="F88" s="7" t="s">
        <v>770</v>
      </c>
      <c r="G88" s="9">
        <v>46235.666666666664</v>
      </c>
      <c r="H88" s="7">
        <v>235.85</v>
      </c>
      <c r="I88" s="7" t="s">
        <v>922</v>
      </c>
      <c r="J88" s="7">
        <v>15</v>
      </c>
      <c r="K88" s="7" t="s">
        <v>790</v>
      </c>
      <c r="L88" s="10">
        <v>46234</v>
      </c>
      <c r="M88" s="7">
        <v>5.2473000000000001</v>
      </c>
      <c r="N88" s="7" t="s">
        <v>773</v>
      </c>
      <c r="O88" s="7">
        <v>131.96799999999999</v>
      </c>
      <c r="P88" s="7" t="s">
        <v>917</v>
      </c>
      <c r="Q88" s="7" t="s">
        <v>775</v>
      </c>
      <c r="R88" s="7">
        <v>66.224534522516336</v>
      </c>
      <c r="S88" s="7" t="s">
        <v>776</v>
      </c>
      <c r="T88" s="7">
        <v>175</v>
      </c>
      <c r="U88" s="7" t="s">
        <v>918</v>
      </c>
      <c r="V88" s="7" t="s">
        <v>775</v>
      </c>
      <c r="W88" s="7">
        <v>7.1027004364149189</v>
      </c>
      <c r="X88" s="7" t="s">
        <v>776</v>
      </c>
      <c r="Y88" s="7">
        <v>175</v>
      </c>
      <c r="Z88" s="7" t="s">
        <v>919</v>
      </c>
      <c r="AA88" s="7" t="s">
        <v>775</v>
      </c>
      <c r="AB88" s="7">
        <v>2.5937148628818627</v>
      </c>
      <c r="AC88" s="7" t="s">
        <v>776</v>
      </c>
      <c r="AD88" s="7"/>
      <c r="AE88" s="7" t="s">
        <v>779</v>
      </c>
      <c r="AF88" s="7"/>
      <c r="AG88" s="7">
        <v>229.3261296285709</v>
      </c>
      <c r="AH88" s="7" t="s">
        <v>776</v>
      </c>
      <c r="AI88" s="7">
        <v>6.3410000000000002</v>
      </c>
      <c r="AJ88" s="7">
        <v>0</v>
      </c>
      <c r="AK88" s="7" t="s">
        <v>776</v>
      </c>
      <c r="AL88" s="7">
        <v>0</v>
      </c>
      <c r="AM88" s="7" t="s">
        <v>780</v>
      </c>
      <c r="AN88" s="7" t="s">
        <v>781</v>
      </c>
      <c r="AO88" s="7" t="s">
        <v>782</v>
      </c>
      <c r="AP88" s="7">
        <v>0.14493714285714279</v>
      </c>
      <c r="AQ88" s="7">
        <v>0</v>
      </c>
      <c r="AR88" s="7">
        <v>0.14493714285714279</v>
      </c>
      <c r="AS88" s="8" t="b">
        <v>1</v>
      </c>
      <c r="AT88" s="8" t="b">
        <v>1</v>
      </c>
      <c r="AU88" s="8" t="b">
        <v>1</v>
      </c>
      <c r="AV88" s="8" t="b">
        <v>1</v>
      </c>
      <c r="AW88" s="8" t="b">
        <v>1</v>
      </c>
      <c r="AX88" s="8" t="b">
        <v>1</v>
      </c>
      <c r="AY88" s="8" t="b">
        <v>1</v>
      </c>
      <c r="AZ88" s="8" t="b">
        <v>1</v>
      </c>
      <c r="BA88" s="7" t="s">
        <v>783</v>
      </c>
      <c r="BB88" s="7" t="s">
        <v>783</v>
      </c>
      <c r="BC88" s="7" t="s">
        <v>784</v>
      </c>
      <c r="BD88" s="7">
        <v>0</v>
      </c>
      <c r="BE88" s="7">
        <v>0</v>
      </c>
      <c r="BF88" s="7">
        <v>15.562289177291177</v>
      </c>
      <c r="BG88" s="7">
        <v>0.13714285714285715</v>
      </c>
      <c r="BH88" s="7" t="s">
        <v>154</v>
      </c>
      <c r="BI88" s="7">
        <v>175</v>
      </c>
      <c r="BJ88" s="7">
        <v>24</v>
      </c>
      <c r="BK88" s="7">
        <v>24</v>
      </c>
      <c r="BL88" s="7">
        <v>24</v>
      </c>
      <c r="BM88" s="8" t="b">
        <v>1</v>
      </c>
      <c r="BN88" s="7">
        <v>0</v>
      </c>
      <c r="BO88" s="7">
        <v>0</v>
      </c>
      <c r="BP88" s="7">
        <v>0</v>
      </c>
      <c r="BQ88" s="7">
        <v>0.13714285714285715</v>
      </c>
      <c r="BR88" s="7" t="s">
        <v>154</v>
      </c>
      <c r="BS88" s="7">
        <v>175</v>
      </c>
      <c r="BT88" s="7">
        <v>0</v>
      </c>
      <c r="BU88" s="7">
        <v>24</v>
      </c>
      <c r="BV88" s="7">
        <v>24</v>
      </c>
      <c r="BW88" s="7" t="s">
        <v>922</v>
      </c>
      <c r="BX88" s="8" t="b">
        <v>1</v>
      </c>
      <c r="BY88" s="7">
        <v>3537.75</v>
      </c>
      <c r="BZ88" s="7">
        <v>60</v>
      </c>
      <c r="CA88" s="7">
        <v>46235.708333333336</v>
      </c>
      <c r="CB88" s="7">
        <v>46235.697916666664</v>
      </c>
      <c r="CC88" s="7">
        <v>4.5289855072463768E-2</v>
      </c>
      <c r="CD88" s="7">
        <v>151.33041188571448</v>
      </c>
      <c r="CE88" s="7">
        <v>135.02606405962754</v>
      </c>
      <c r="CF88" s="7">
        <v>662.24534522516342</v>
      </c>
      <c r="CG88" s="7">
        <v>0.3125</v>
      </c>
      <c r="CH88" s="7" t="s">
        <v>150</v>
      </c>
      <c r="CI88" s="7">
        <v>128</v>
      </c>
      <c r="CJ88" s="8" t="b">
        <v>1</v>
      </c>
      <c r="CK88" s="7">
        <v>40</v>
      </c>
      <c r="CL88" s="7">
        <v>40</v>
      </c>
      <c r="CM88" s="7">
        <v>40</v>
      </c>
      <c r="CN88" s="8" t="b">
        <v>0</v>
      </c>
      <c r="CO88" s="7" t="s">
        <v>785</v>
      </c>
      <c r="CP88" s="7">
        <v>4215.5576344024548</v>
      </c>
    </row>
    <row r="89" spans="1:94" ht="21" customHeight="1" x14ac:dyDescent="0.45">
      <c r="A89" s="9">
        <v>46235.708333333336</v>
      </c>
      <c r="B89" s="9">
        <v>46235.71875</v>
      </c>
      <c r="C89" s="9">
        <v>46235.833333333336</v>
      </c>
      <c r="D89" s="10">
        <v>46235</v>
      </c>
      <c r="E89" s="7">
        <v>0.25</v>
      </c>
      <c r="F89" s="7" t="s">
        <v>770</v>
      </c>
      <c r="G89" s="9">
        <v>46235.708333333336</v>
      </c>
      <c r="H89" s="7">
        <v>185.76</v>
      </c>
      <c r="I89" s="7" t="s">
        <v>923</v>
      </c>
      <c r="J89" s="7">
        <v>15</v>
      </c>
      <c r="K89" s="7" t="s">
        <v>790</v>
      </c>
      <c r="L89" s="10">
        <v>46234</v>
      </c>
      <c r="M89" s="7">
        <v>5.2473000000000001</v>
      </c>
      <c r="N89" s="7" t="s">
        <v>773</v>
      </c>
      <c r="O89" s="7">
        <v>131.96799999999999</v>
      </c>
      <c r="P89" s="7" t="s">
        <v>924</v>
      </c>
      <c r="Q89" s="7" t="s">
        <v>775</v>
      </c>
      <c r="R89" s="7">
        <v>66.224534522516336</v>
      </c>
      <c r="S89" s="7" t="s">
        <v>776</v>
      </c>
      <c r="T89" s="7">
        <v>175</v>
      </c>
      <c r="U89" s="7" t="s">
        <v>925</v>
      </c>
      <c r="V89" s="7" t="s">
        <v>775</v>
      </c>
      <c r="W89" s="7">
        <v>3.9143940693308936</v>
      </c>
      <c r="X89" s="7" t="s">
        <v>776</v>
      </c>
      <c r="Y89" s="7">
        <v>175</v>
      </c>
      <c r="Z89" s="7" t="s">
        <v>926</v>
      </c>
      <c r="AA89" s="7" t="s">
        <v>775</v>
      </c>
      <c r="AB89" s="7">
        <v>2.5937148628818627</v>
      </c>
      <c r="AC89" s="7" t="s">
        <v>776</v>
      </c>
      <c r="AD89" s="7"/>
      <c r="AE89" s="7" t="s">
        <v>779</v>
      </c>
      <c r="AF89" s="7"/>
      <c r="AG89" s="7">
        <v>228.22689764259715</v>
      </c>
      <c r="AH89" s="7" t="s">
        <v>776</v>
      </c>
      <c r="AI89" s="7">
        <v>7.0759999999999996</v>
      </c>
      <c r="AJ89" s="7">
        <v>0</v>
      </c>
      <c r="AK89" s="7" t="s">
        <v>776</v>
      </c>
      <c r="AL89" s="7">
        <v>0</v>
      </c>
      <c r="AM89" s="7" t="s">
        <v>780</v>
      </c>
      <c r="AN89" s="7" t="s">
        <v>781</v>
      </c>
      <c r="AO89" s="7" t="s">
        <v>782</v>
      </c>
      <c r="AP89" s="7">
        <v>0.1617371428571428</v>
      </c>
      <c r="AQ89" s="7">
        <v>0</v>
      </c>
      <c r="AR89" s="7">
        <v>0.1617371428571428</v>
      </c>
      <c r="AS89" s="8" t="b">
        <v>1</v>
      </c>
      <c r="AT89" s="8" t="b">
        <v>1</v>
      </c>
      <c r="AU89" s="8" t="b">
        <v>1</v>
      </c>
      <c r="AV89" s="8" t="b">
        <v>1</v>
      </c>
      <c r="AW89" s="8" t="b">
        <v>1</v>
      </c>
      <c r="AX89" s="8" t="b">
        <v>1</v>
      </c>
      <c r="AY89" s="8" t="b">
        <v>1</v>
      </c>
      <c r="AZ89" s="8" t="b">
        <v>1</v>
      </c>
      <c r="BA89" s="7" t="s">
        <v>783</v>
      </c>
      <c r="BB89" s="7" t="s">
        <v>783</v>
      </c>
      <c r="BC89" s="7" t="s">
        <v>784</v>
      </c>
      <c r="BD89" s="7">
        <v>0</v>
      </c>
      <c r="BE89" s="7">
        <v>0</v>
      </c>
      <c r="BF89" s="7">
        <v>15.562289177291177</v>
      </c>
      <c r="BG89" s="7">
        <v>0.13714285714285715</v>
      </c>
      <c r="BH89" s="7" t="s">
        <v>154</v>
      </c>
      <c r="BI89" s="7">
        <v>175</v>
      </c>
      <c r="BJ89" s="7">
        <v>24</v>
      </c>
      <c r="BK89" s="7">
        <v>24</v>
      </c>
      <c r="BL89" s="7">
        <v>24</v>
      </c>
      <c r="BM89" s="8" t="b">
        <v>1</v>
      </c>
      <c r="BN89" s="7">
        <v>0</v>
      </c>
      <c r="BO89" s="7">
        <v>0</v>
      </c>
      <c r="BP89" s="7">
        <v>0</v>
      </c>
      <c r="BQ89" s="7">
        <v>0.13714285714285715</v>
      </c>
      <c r="BR89" s="7" t="s">
        <v>154</v>
      </c>
      <c r="BS89" s="7">
        <v>175</v>
      </c>
      <c r="BT89" s="7">
        <v>0</v>
      </c>
      <c r="BU89" s="7">
        <v>24</v>
      </c>
      <c r="BV89" s="7">
        <v>24</v>
      </c>
      <c r="BW89" s="7" t="s">
        <v>923</v>
      </c>
      <c r="BX89" s="8" t="b">
        <v>1</v>
      </c>
      <c r="BY89" s="7">
        <v>0</v>
      </c>
      <c r="BZ89" s="7">
        <v>0</v>
      </c>
      <c r="CA89" s="7">
        <v>46235.71875</v>
      </c>
      <c r="CB89" s="7">
        <v>46235.708333333336</v>
      </c>
      <c r="CC89" s="7">
        <v>0</v>
      </c>
      <c r="CD89" s="7">
        <v>135.02606405962754</v>
      </c>
      <c r="CE89" s="7">
        <v>135.02606405962754</v>
      </c>
      <c r="CF89" s="7">
        <v>662.24534522516342</v>
      </c>
      <c r="CG89" s="7">
        <v>0.3125</v>
      </c>
      <c r="CH89" s="7" t="s">
        <v>150</v>
      </c>
      <c r="CI89" s="7">
        <v>128</v>
      </c>
      <c r="CJ89" s="8" t="b">
        <v>1</v>
      </c>
      <c r="CK89" s="7">
        <v>40</v>
      </c>
      <c r="CL89" s="7">
        <v>40</v>
      </c>
      <c r="CM89" s="7">
        <v>40</v>
      </c>
      <c r="CN89" s="8" t="b">
        <v>0</v>
      </c>
      <c r="CO89" s="7" t="s">
        <v>785</v>
      </c>
      <c r="CP89" s="7">
        <v>677.8076344024546</v>
      </c>
    </row>
    <row r="90" spans="1:94" ht="21" customHeight="1" x14ac:dyDescent="0.45">
      <c r="A90" s="9">
        <v>46235.71875</v>
      </c>
      <c r="B90" s="9">
        <v>46235.729166666664</v>
      </c>
      <c r="C90" s="9">
        <v>46235.84375</v>
      </c>
      <c r="D90" s="10">
        <v>46235</v>
      </c>
      <c r="E90" s="7">
        <v>0.25</v>
      </c>
      <c r="F90" s="7" t="s">
        <v>770</v>
      </c>
      <c r="G90" s="9">
        <v>46235.708333333336</v>
      </c>
      <c r="H90" s="7">
        <v>189.7</v>
      </c>
      <c r="I90" s="7" t="s">
        <v>927</v>
      </c>
      <c r="J90" s="7">
        <v>15</v>
      </c>
      <c r="K90" s="7" t="s">
        <v>790</v>
      </c>
      <c r="L90" s="10">
        <v>46234</v>
      </c>
      <c r="M90" s="7">
        <v>5.2473000000000001</v>
      </c>
      <c r="N90" s="7" t="s">
        <v>773</v>
      </c>
      <c r="O90" s="7">
        <v>131.96799999999999</v>
      </c>
      <c r="P90" s="7" t="s">
        <v>924</v>
      </c>
      <c r="Q90" s="7" t="s">
        <v>775</v>
      </c>
      <c r="R90" s="7">
        <v>66.224534522516336</v>
      </c>
      <c r="S90" s="7" t="s">
        <v>776</v>
      </c>
      <c r="T90" s="7">
        <v>175</v>
      </c>
      <c r="U90" s="7" t="s">
        <v>925</v>
      </c>
      <c r="V90" s="7" t="s">
        <v>775</v>
      </c>
      <c r="W90" s="7">
        <v>3.9143940693308936</v>
      </c>
      <c r="X90" s="7" t="s">
        <v>776</v>
      </c>
      <c r="Y90" s="7">
        <v>175</v>
      </c>
      <c r="Z90" s="7" t="s">
        <v>926</v>
      </c>
      <c r="AA90" s="7" t="s">
        <v>775</v>
      </c>
      <c r="AB90" s="7">
        <v>2.5937148628818627</v>
      </c>
      <c r="AC90" s="7" t="s">
        <v>776</v>
      </c>
      <c r="AD90" s="7"/>
      <c r="AE90" s="7" t="s">
        <v>779</v>
      </c>
      <c r="AF90" s="7"/>
      <c r="AG90" s="7">
        <v>198.84207116040631</v>
      </c>
      <c r="AH90" s="7" t="s">
        <v>776</v>
      </c>
      <c r="AI90" s="7">
        <v>6.0220000000000002</v>
      </c>
      <c r="AJ90" s="7">
        <v>0</v>
      </c>
      <c r="AK90" s="7" t="s">
        <v>776</v>
      </c>
      <c r="AL90" s="7">
        <v>0</v>
      </c>
      <c r="AM90" s="7" t="s">
        <v>780</v>
      </c>
      <c r="AN90" s="7" t="s">
        <v>781</v>
      </c>
      <c r="AO90" s="7" t="s">
        <v>782</v>
      </c>
      <c r="AP90" s="7">
        <v>0.13764571428571429</v>
      </c>
      <c r="AQ90" s="7">
        <v>0</v>
      </c>
      <c r="AR90" s="7">
        <v>0.13764571428571429</v>
      </c>
      <c r="AS90" s="8" t="b">
        <v>1</v>
      </c>
      <c r="AT90" s="8" t="b">
        <v>1</v>
      </c>
      <c r="AU90" s="8" t="b">
        <v>1</v>
      </c>
      <c r="AV90" s="8" t="b">
        <v>1</v>
      </c>
      <c r="AW90" s="8" t="b">
        <v>1</v>
      </c>
      <c r="AX90" s="8" t="b">
        <v>1</v>
      </c>
      <c r="AY90" s="8" t="b">
        <v>1</v>
      </c>
      <c r="AZ90" s="8" t="b">
        <v>1</v>
      </c>
      <c r="BA90" s="7" t="s">
        <v>783</v>
      </c>
      <c r="BB90" s="7" t="s">
        <v>783</v>
      </c>
      <c r="BC90" s="7" t="s">
        <v>784</v>
      </c>
      <c r="BD90" s="7">
        <v>0</v>
      </c>
      <c r="BE90" s="7">
        <v>0</v>
      </c>
      <c r="BF90" s="7">
        <v>15.562289177291177</v>
      </c>
      <c r="BG90" s="7">
        <v>0.13714285714285715</v>
      </c>
      <c r="BH90" s="7" t="s">
        <v>154</v>
      </c>
      <c r="BI90" s="7">
        <v>175</v>
      </c>
      <c r="BJ90" s="7">
        <v>24</v>
      </c>
      <c r="BK90" s="7">
        <v>24</v>
      </c>
      <c r="BL90" s="7">
        <v>24</v>
      </c>
      <c r="BM90" s="8" t="b">
        <v>1</v>
      </c>
      <c r="BN90" s="7">
        <v>0</v>
      </c>
      <c r="BO90" s="7">
        <v>0</v>
      </c>
      <c r="BP90" s="7">
        <v>0</v>
      </c>
      <c r="BQ90" s="7">
        <v>0.13714285714285715</v>
      </c>
      <c r="BR90" s="7" t="s">
        <v>154</v>
      </c>
      <c r="BS90" s="7">
        <v>175</v>
      </c>
      <c r="BT90" s="7">
        <v>0</v>
      </c>
      <c r="BU90" s="7">
        <v>24</v>
      </c>
      <c r="BV90" s="7">
        <v>24</v>
      </c>
      <c r="BW90" s="7" t="s">
        <v>927</v>
      </c>
      <c r="BX90" s="8" t="b">
        <v>1</v>
      </c>
      <c r="BY90" s="7">
        <v>0</v>
      </c>
      <c r="BZ90" s="7">
        <v>0</v>
      </c>
      <c r="CA90" s="7">
        <v>46235.729166666664</v>
      </c>
      <c r="CB90" s="7">
        <v>46235.71875</v>
      </c>
      <c r="CC90" s="7">
        <v>0</v>
      </c>
      <c r="CD90" s="7">
        <v>135.02606405962754</v>
      </c>
      <c r="CE90" s="7">
        <v>135.02606405962754</v>
      </c>
      <c r="CF90" s="7">
        <v>662.24534522516342</v>
      </c>
      <c r="CG90" s="7">
        <v>0.3125</v>
      </c>
      <c r="CH90" s="7" t="s">
        <v>150</v>
      </c>
      <c r="CI90" s="7">
        <v>128</v>
      </c>
      <c r="CJ90" s="8" t="b">
        <v>1</v>
      </c>
      <c r="CK90" s="7">
        <v>40</v>
      </c>
      <c r="CL90" s="7">
        <v>40</v>
      </c>
      <c r="CM90" s="7">
        <v>40</v>
      </c>
      <c r="CN90" s="8" t="b">
        <v>0</v>
      </c>
      <c r="CO90" s="7" t="s">
        <v>785</v>
      </c>
      <c r="CP90" s="7">
        <v>677.8076344024546</v>
      </c>
    </row>
    <row r="91" spans="1:94" ht="21" customHeight="1" x14ac:dyDescent="0.45">
      <c r="A91" s="9">
        <v>46235.729166666664</v>
      </c>
      <c r="B91" s="9">
        <v>46235.739583333336</v>
      </c>
      <c r="C91" s="9">
        <v>46235.854166666664</v>
      </c>
      <c r="D91" s="10">
        <v>46235</v>
      </c>
      <c r="E91" s="7">
        <v>0.25</v>
      </c>
      <c r="F91" s="7" t="s">
        <v>770</v>
      </c>
      <c r="G91" s="9">
        <v>46235.708333333336</v>
      </c>
      <c r="H91" s="7">
        <v>208.82</v>
      </c>
      <c r="I91" s="7" t="s">
        <v>928</v>
      </c>
      <c r="J91" s="7">
        <v>15</v>
      </c>
      <c r="K91" s="7" t="s">
        <v>790</v>
      </c>
      <c r="L91" s="10">
        <v>46234</v>
      </c>
      <c r="M91" s="7">
        <v>5.2473000000000001</v>
      </c>
      <c r="N91" s="7" t="s">
        <v>773</v>
      </c>
      <c r="O91" s="7">
        <v>131.96799999999999</v>
      </c>
      <c r="P91" s="7" t="s">
        <v>924</v>
      </c>
      <c r="Q91" s="7" t="s">
        <v>775</v>
      </c>
      <c r="R91" s="7">
        <v>66.224534522516336</v>
      </c>
      <c r="S91" s="7" t="s">
        <v>776</v>
      </c>
      <c r="T91" s="7">
        <v>175</v>
      </c>
      <c r="U91" s="7" t="s">
        <v>925</v>
      </c>
      <c r="V91" s="7" t="s">
        <v>775</v>
      </c>
      <c r="W91" s="7">
        <v>3.9143940693308936</v>
      </c>
      <c r="X91" s="7" t="s">
        <v>776</v>
      </c>
      <c r="Y91" s="7">
        <v>175</v>
      </c>
      <c r="Z91" s="7" t="s">
        <v>926</v>
      </c>
      <c r="AA91" s="7" t="s">
        <v>775</v>
      </c>
      <c r="AB91" s="7">
        <v>2.5937148628818627</v>
      </c>
      <c r="AC91" s="7" t="s">
        <v>776</v>
      </c>
      <c r="AD91" s="7"/>
      <c r="AE91" s="7" t="s">
        <v>779</v>
      </c>
      <c r="AF91" s="7"/>
      <c r="AG91" s="7">
        <v>168.07005507594383</v>
      </c>
      <c r="AH91" s="7" t="s">
        <v>776</v>
      </c>
      <c r="AI91" s="7">
        <v>1.0660000000000001</v>
      </c>
      <c r="AJ91" s="7">
        <v>76.420254225982887</v>
      </c>
      <c r="AK91" s="7" t="s">
        <v>776</v>
      </c>
      <c r="AL91" s="7">
        <v>2E-3</v>
      </c>
      <c r="AM91" s="7" t="s">
        <v>780</v>
      </c>
      <c r="AN91" s="7" t="s">
        <v>781</v>
      </c>
      <c r="AO91" s="7" t="s">
        <v>782</v>
      </c>
      <c r="AP91" s="7">
        <v>2.4365714285714199E-2</v>
      </c>
      <c r="AQ91" s="7">
        <v>4.5714285714285723E-5</v>
      </c>
      <c r="AR91" s="7">
        <v>2.4411428571428501E-2</v>
      </c>
      <c r="AS91" s="8" t="b">
        <v>1</v>
      </c>
      <c r="AT91" s="8" t="b">
        <v>1</v>
      </c>
      <c r="AU91" s="8" t="b">
        <v>1</v>
      </c>
      <c r="AV91" s="8" t="b">
        <v>1</v>
      </c>
      <c r="AW91" s="8" t="b">
        <v>1</v>
      </c>
      <c r="AX91" s="8" t="b">
        <v>1</v>
      </c>
      <c r="AY91" s="8" t="b">
        <v>1</v>
      </c>
      <c r="AZ91" s="8" t="b">
        <v>1</v>
      </c>
      <c r="BA91" s="7" t="s">
        <v>783</v>
      </c>
      <c r="BB91" s="7" t="s">
        <v>783</v>
      </c>
      <c r="BC91" s="7" t="s">
        <v>784</v>
      </c>
      <c r="BD91" s="7">
        <v>-2.0960984016269595E-2</v>
      </c>
      <c r="BE91" s="7">
        <v>2.7428571428571432E-4</v>
      </c>
      <c r="BF91" s="7">
        <v>15.562289177291177</v>
      </c>
      <c r="BG91" s="7">
        <v>0.13714285714285715</v>
      </c>
      <c r="BH91" s="7" t="s">
        <v>154</v>
      </c>
      <c r="BI91" s="7">
        <v>175</v>
      </c>
      <c r="BJ91" s="7">
        <v>24</v>
      </c>
      <c r="BK91" s="7">
        <v>24</v>
      </c>
      <c r="BL91" s="7">
        <v>24</v>
      </c>
      <c r="BM91" s="8" t="b">
        <v>1</v>
      </c>
      <c r="BN91" s="7">
        <v>0</v>
      </c>
      <c r="BO91" s="7">
        <v>0</v>
      </c>
      <c r="BP91" s="7">
        <v>0</v>
      </c>
      <c r="BQ91" s="7">
        <v>0.13714285714285715</v>
      </c>
      <c r="BR91" s="7" t="s">
        <v>154</v>
      </c>
      <c r="BS91" s="7">
        <v>175</v>
      </c>
      <c r="BT91" s="7">
        <v>0</v>
      </c>
      <c r="BU91" s="7">
        <v>24</v>
      </c>
      <c r="BV91" s="7">
        <v>24</v>
      </c>
      <c r="BW91" s="7" t="s">
        <v>928</v>
      </c>
      <c r="BX91" s="8" t="b">
        <v>1</v>
      </c>
      <c r="BY91" s="7">
        <v>3132.2999999999997</v>
      </c>
      <c r="BZ91" s="7">
        <v>60</v>
      </c>
      <c r="CA91" s="7">
        <v>46235.739583333336</v>
      </c>
      <c r="CB91" s="7">
        <v>46235.729166666664</v>
      </c>
      <c r="CC91" s="7">
        <v>4.528902691511387E-2</v>
      </c>
      <c r="CD91" s="7">
        <v>135.02606405962754</v>
      </c>
      <c r="CE91" s="7">
        <v>118.72201437018657</v>
      </c>
      <c r="CF91" s="7">
        <v>662.24534522516342</v>
      </c>
      <c r="CG91" s="7">
        <v>0.3125</v>
      </c>
      <c r="CH91" s="7" t="s">
        <v>150</v>
      </c>
      <c r="CI91" s="7">
        <v>128</v>
      </c>
      <c r="CJ91" s="8" t="b">
        <v>1</v>
      </c>
      <c r="CK91" s="7">
        <v>40</v>
      </c>
      <c r="CL91" s="7">
        <v>40</v>
      </c>
      <c r="CM91" s="7">
        <v>40</v>
      </c>
      <c r="CN91" s="8" t="b">
        <v>0</v>
      </c>
      <c r="CO91" s="7" t="s">
        <v>785</v>
      </c>
      <c r="CP91" s="7">
        <v>3810.0866734184378</v>
      </c>
    </row>
    <row r="92" spans="1:94" ht="21" customHeight="1" x14ac:dyDescent="0.45">
      <c r="A92" s="9">
        <v>46235.739583333336</v>
      </c>
      <c r="B92" s="9">
        <v>46235.75</v>
      </c>
      <c r="C92" s="9">
        <v>46235.864583333336</v>
      </c>
      <c r="D92" s="10">
        <v>46235</v>
      </c>
      <c r="E92" s="7">
        <v>0.25</v>
      </c>
      <c r="F92" s="7" t="s">
        <v>770</v>
      </c>
      <c r="G92" s="9">
        <v>46235.708333333336</v>
      </c>
      <c r="H92" s="7">
        <v>208.3</v>
      </c>
      <c r="I92" s="7" t="s">
        <v>929</v>
      </c>
      <c r="J92" s="7">
        <v>15</v>
      </c>
      <c r="K92" s="7" t="s">
        <v>790</v>
      </c>
      <c r="L92" s="10">
        <v>46234</v>
      </c>
      <c r="M92" s="7">
        <v>5.2473000000000001</v>
      </c>
      <c r="N92" s="7" t="s">
        <v>773</v>
      </c>
      <c r="O92" s="7">
        <v>131.96799999999999</v>
      </c>
      <c r="P92" s="7" t="s">
        <v>924</v>
      </c>
      <c r="Q92" s="7" t="s">
        <v>775</v>
      </c>
      <c r="R92" s="7">
        <v>66.224534522516336</v>
      </c>
      <c r="S92" s="7" t="s">
        <v>776</v>
      </c>
      <c r="T92" s="7">
        <v>175</v>
      </c>
      <c r="U92" s="7" t="s">
        <v>925</v>
      </c>
      <c r="V92" s="7" t="s">
        <v>775</v>
      </c>
      <c r="W92" s="7">
        <v>3.9143940693308936</v>
      </c>
      <c r="X92" s="7" t="s">
        <v>776</v>
      </c>
      <c r="Y92" s="7">
        <v>175</v>
      </c>
      <c r="Z92" s="7" t="s">
        <v>926</v>
      </c>
      <c r="AA92" s="7" t="s">
        <v>775</v>
      </c>
      <c r="AB92" s="7">
        <v>2.5937148628818627</v>
      </c>
      <c r="AC92" s="7" t="s">
        <v>776</v>
      </c>
      <c r="AD92" s="7"/>
      <c r="AE92" s="7" t="s">
        <v>779</v>
      </c>
      <c r="AF92" s="7"/>
      <c r="AG92" s="7">
        <v>168.22384845539611</v>
      </c>
      <c r="AH92" s="7" t="s">
        <v>776</v>
      </c>
      <c r="AI92" s="7">
        <v>0.42</v>
      </c>
      <c r="AJ92" s="7">
        <v>76.420254225982887</v>
      </c>
      <c r="AK92" s="7" t="s">
        <v>776</v>
      </c>
      <c r="AL92" s="7">
        <v>7.8E-2</v>
      </c>
      <c r="AM92" s="7" t="s">
        <v>780</v>
      </c>
      <c r="AN92" s="7" t="s">
        <v>781</v>
      </c>
      <c r="AO92" s="7" t="s">
        <v>782</v>
      </c>
      <c r="AP92" s="7">
        <v>9.5999999999999992E-3</v>
      </c>
      <c r="AQ92" s="7">
        <v>1.7828571428571E-3</v>
      </c>
      <c r="AR92" s="7">
        <v>1.1382857142857101E-2</v>
      </c>
      <c r="AS92" s="8" t="b">
        <v>1</v>
      </c>
      <c r="AT92" s="8" t="b">
        <v>1</v>
      </c>
      <c r="AU92" s="8" t="b">
        <v>1</v>
      </c>
      <c r="AV92" s="8" t="b">
        <v>1</v>
      </c>
      <c r="AW92" s="8" t="b">
        <v>1</v>
      </c>
      <c r="AX92" s="8" t="b">
        <v>1</v>
      </c>
      <c r="AY92" s="8" t="b">
        <v>1</v>
      </c>
      <c r="AZ92" s="8" t="b">
        <v>1</v>
      </c>
      <c r="BA92" s="7" t="s">
        <v>783</v>
      </c>
      <c r="BB92" s="7" t="s">
        <v>783</v>
      </c>
      <c r="BC92" s="7" t="s">
        <v>784</v>
      </c>
      <c r="BD92" s="7">
        <v>-0.81747837663451406</v>
      </c>
      <c r="BE92" s="7">
        <v>1.0697142857142856E-2</v>
      </c>
      <c r="BF92" s="7">
        <v>15.562289177291177</v>
      </c>
      <c r="BG92" s="7">
        <v>0.13714285714285715</v>
      </c>
      <c r="BH92" s="7" t="s">
        <v>154</v>
      </c>
      <c r="BI92" s="7">
        <v>175</v>
      </c>
      <c r="BJ92" s="7">
        <v>24</v>
      </c>
      <c r="BK92" s="7">
        <v>24</v>
      </c>
      <c r="BL92" s="7">
        <v>24</v>
      </c>
      <c r="BM92" s="8" t="b">
        <v>1</v>
      </c>
      <c r="BN92" s="7">
        <v>0</v>
      </c>
      <c r="BO92" s="7">
        <v>0</v>
      </c>
      <c r="BP92" s="7">
        <v>0</v>
      </c>
      <c r="BQ92" s="7">
        <v>0.13714285714285715</v>
      </c>
      <c r="BR92" s="7" t="s">
        <v>154</v>
      </c>
      <c r="BS92" s="7">
        <v>175</v>
      </c>
      <c r="BT92" s="7">
        <v>0</v>
      </c>
      <c r="BU92" s="7">
        <v>24</v>
      </c>
      <c r="BV92" s="7">
        <v>24</v>
      </c>
      <c r="BW92" s="7" t="s">
        <v>929</v>
      </c>
      <c r="BX92" s="8" t="b">
        <v>1</v>
      </c>
      <c r="BY92" s="7">
        <v>3124.5</v>
      </c>
      <c r="BZ92" s="7">
        <v>60</v>
      </c>
      <c r="CA92" s="7">
        <v>46235.75</v>
      </c>
      <c r="CB92" s="7">
        <v>46235.739583333336</v>
      </c>
      <c r="CC92" s="7">
        <v>4.5257556935817803E-2</v>
      </c>
      <c r="CD92" s="7">
        <v>118.72201437018657</v>
      </c>
      <c r="CE92" s="7">
        <v>102.42929387329215</v>
      </c>
      <c r="CF92" s="7">
        <v>662.24534522516342</v>
      </c>
      <c r="CG92" s="7">
        <v>0.3125</v>
      </c>
      <c r="CH92" s="7" t="s">
        <v>150</v>
      </c>
      <c r="CI92" s="7">
        <v>128</v>
      </c>
      <c r="CJ92" s="8" t="b">
        <v>1</v>
      </c>
      <c r="CK92" s="7">
        <v>40</v>
      </c>
      <c r="CL92" s="7">
        <v>40</v>
      </c>
      <c r="CM92" s="7">
        <v>40</v>
      </c>
      <c r="CN92" s="8" t="b">
        <v>0</v>
      </c>
      <c r="CO92" s="7" t="s">
        <v>785</v>
      </c>
      <c r="CP92" s="7">
        <v>3801.4901560258199</v>
      </c>
    </row>
    <row r="93" spans="1:94" ht="21" customHeight="1" x14ac:dyDescent="0.45">
      <c r="A93" s="9">
        <v>46235.75</v>
      </c>
      <c r="B93" s="9">
        <v>46235.760416666664</v>
      </c>
      <c r="C93" s="9">
        <v>46235.875</v>
      </c>
      <c r="D93" s="10">
        <v>46235</v>
      </c>
      <c r="E93" s="7">
        <v>0.25</v>
      </c>
      <c r="F93" s="7" t="s">
        <v>770</v>
      </c>
      <c r="G93" s="9">
        <v>46235.75</v>
      </c>
      <c r="H93" s="7">
        <v>194.29</v>
      </c>
      <c r="I93" s="7" t="s">
        <v>930</v>
      </c>
      <c r="J93" s="7">
        <v>15</v>
      </c>
      <c r="K93" s="7" t="s">
        <v>790</v>
      </c>
      <c r="L93" s="10">
        <v>46234</v>
      </c>
      <c r="M93" s="7">
        <v>5.2473000000000001</v>
      </c>
      <c r="N93" s="7" t="s">
        <v>773</v>
      </c>
      <c r="O93" s="7">
        <v>131.96799999999999</v>
      </c>
      <c r="P93" s="7" t="s">
        <v>931</v>
      </c>
      <c r="Q93" s="7" t="s">
        <v>775</v>
      </c>
      <c r="R93" s="7">
        <v>66.224534522516336</v>
      </c>
      <c r="S93" s="7" t="s">
        <v>776</v>
      </c>
      <c r="T93" s="7">
        <v>175</v>
      </c>
      <c r="U93" s="7" t="s">
        <v>932</v>
      </c>
      <c r="V93" s="7" t="s">
        <v>775</v>
      </c>
      <c r="W93" s="7">
        <v>7.0245650143883518</v>
      </c>
      <c r="X93" s="7" t="s">
        <v>776</v>
      </c>
      <c r="Y93" s="7">
        <v>175</v>
      </c>
      <c r="Z93" s="7" t="s">
        <v>933</v>
      </c>
      <c r="AA93" s="7" t="s">
        <v>775</v>
      </c>
      <c r="AB93" s="7">
        <v>2.5937148628818627</v>
      </c>
      <c r="AC93" s="7" t="s">
        <v>776</v>
      </c>
      <c r="AD93" s="7"/>
      <c r="AE93" s="7" t="s">
        <v>779</v>
      </c>
      <c r="AF93" s="7"/>
      <c r="AG93" s="7">
        <v>173.20393345148932</v>
      </c>
      <c r="AH93" s="7" t="s">
        <v>776</v>
      </c>
      <c r="AI93" s="7">
        <v>4.2460000000000004</v>
      </c>
      <c r="AJ93" s="7">
        <v>0</v>
      </c>
      <c r="AK93" s="7" t="s">
        <v>776</v>
      </c>
      <c r="AL93" s="7">
        <v>0</v>
      </c>
      <c r="AM93" s="7" t="s">
        <v>780</v>
      </c>
      <c r="AN93" s="7" t="s">
        <v>781</v>
      </c>
      <c r="AO93" s="7" t="s">
        <v>782</v>
      </c>
      <c r="AP93" s="7">
        <v>9.7051428571428497E-2</v>
      </c>
      <c r="AQ93" s="7">
        <v>0</v>
      </c>
      <c r="AR93" s="7">
        <v>9.7051428571428497E-2</v>
      </c>
      <c r="AS93" s="8" t="b">
        <v>1</v>
      </c>
      <c r="AT93" s="8" t="b">
        <v>1</v>
      </c>
      <c r="AU93" s="8" t="b">
        <v>1</v>
      </c>
      <c r="AV93" s="8" t="b">
        <v>1</v>
      </c>
      <c r="AW93" s="8" t="b">
        <v>1</v>
      </c>
      <c r="AX93" s="8" t="b">
        <v>1</v>
      </c>
      <c r="AY93" s="8" t="b">
        <v>1</v>
      </c>
      <c r="AZ93" s="8" t="b">
        <v>1</v>
      </c>
      <c r="BA93" s="7" t="s">
        <v>783</v>
      </c>
      <c r="BB93" s="7" t="s">
        <v>783</v>
      </c>
      <c r="BC93" s="7" t="s">
        <v>784</v>
      </c>
      <c r="BD93" s="7">
        <v>0</v>
      </c>
      <c r="BE93" s="7">
        <v>0</v>
      </c>
      <c r="BF93" s="7">
        <v>15.562289177291177</v>
      </c>
      <c r="BG93" s="7">
        <v>0.13714285714285715</v>
      </c>
      <c r="BH93" s="7" t="s">
        <v>154</v>
      </c>
      <c r="BI93" s="7">
        <v>175</v>
      </c>
      <c r="BJ93" s="7">
        <v>24</v>
      </c>
      <c r="BK93" s="7">
        <v>24</v>
      </c>
      <c r="BL93" s="7">
        <v>24</v>
      </c>
      <c r="BM93" s="8" t="b">
        <v>1</v>
      </c>
      <c r="BN93" s="7">
        <v>100.85813505394611</v>
      </c>
      <c r="BO93" s="7">
        <v>0.58230857142857151</v>
      </c>
      <c r="BP93" s="7">
        <v>42.147390086330113</v>
      </c>
      <c r="BQ93" s="7">
        <v>0.13714285714285715</v>
      </c>
      <c r="BR93" s="7" t="s">
        <v>154</v>
      </c>
      <c r="BS93" s="7">
        <v>175</v>
      </c>
      <c r="BT93" s="7">
        <v>24</v>
      </c>
      <c r="BU93" s="7">
        <v>24</v>
      </c>
      <c r="BV93" s="7">
        <v>24</v>
      </c>
      <c r="BW93" s="7" t="s">
        <v>930</v>
      </c>
      <c r="BX93" s="8" t="b">
        <v>1</v>
      </c>
      <c r="BY93" s="7">
        <v>1080.9732207850104</v>
      </c>
      <c r="BZ93" s="7">
        <v>22.254840100571528</v>
      </c>
      <c r="CA93" s="7">
        <v>46235.760416666664</v>
      </c>
      <c r="CB93" s="7">
        <v>46235.75</v>
      </c>
      <c r="CC93" s="7">
        <v>1.8556819434092549E-2</v>
      </c>
      <c r="CD93" s="7">
        <v>102.42929387329215</v>
      </c>
      <c r="CE93" s="7">
        <v>95.748838877018841</v>
      </c>
      <c r="CF93" s="7">
        <v>662.24534522516342</v>
      </c>
      <c r="CG93" s="7">
        <v>0.3125</v>
      </c>
      <c r="CH93" s="7" t="s">
        <v>150</v>
      </c>
      <c r="CI93" s="7">
        <v>128</v>
      </c>
      <c r="CJ93" s="8" t="b">
        <v>1</v>
      </c>
      <c r="CK93" s="7">
        <v>40</v>
      </c>
      <c r="CL93" s="7">
        <v>40</v>
      </c>
      <c r="CM93" s="7">
        <v>40</v>
      </c>
      <c r="CN93" s="8" t="b">
        <v>0</v>
      </c>
      <c r="CO93" s="7" t="s">
        <v>785</v>
      </c>
      <c r="CP93" s="7">
        <v>1901.7863803277412</v>
      </c>
    </row>
    <row r="94" spans="1:94" ht="21" customHeight="1" x14ac:dyDescent="0.45">
      <c r="A94" s="9">
        <v>46235.760416666664</v>
      </c>
      <c r="B94" s="9">
        <v>46235.770833333336</v>
      </c>
      <c r="C94" s="9">
        <v>46235.885416666664</v>
      </c>
      <c r="D94" s="10">
        <v>46235</v>
      </c>
      <c r="E94" s="7">
        <v>0.25</v>
      </c>
      <c r="F94" s="7" t="s">
        <v>770</v>
      </c>
      <c r="G94" s="9">
        <v>46235.75</v>
      </c>
      <c r="H94" s="7">
        <v>201.16</v>
      </c>
      <c r="I94" s="7" t="s">
        <v>934</v>
      </c>
      <c r="J94" s="7">
        <v>15</v>
      </c>
      <c r="K94" s="7" t="s">
        <v>790</v>
      </c>
      <c r="L94" s="10">
        <v>46234</v>
      </c>
      <c r="M94" s="7">
        <v>5.2473000000000001</v>
      </c>
      <c r="N94" s="7" t="s">
        <v>773</v>
      </c>
      <c r="O94" s="7">
        <v>131.96799999999999</v>
      </c>
      <c r="P94" s="7" t="s">
        <v>931</v>
      </c>
      <c r="Q94" s="7" t="s">
        <v>775</v>
      </c>
      <c r="R94" s="7">
        <v>66.224534522516336</v>
      </c>
      <c r="S94" s="7" t="s">
        <v>776</v>
      </c>
      <c r="T94" s="7">
        <v>175</v>
      </c>
      <c r="U94" s="7" t="s">
        <v>932</v>
      </c>
      <c r="V94" s="7" t="s">
        <v>775</v>
      </c>
      <c r="W94" s="7">
        <v>7.0245650143883518</v>
      </c>
      <c r="X94" s="7" t="s">
        <v>776</v>
      </c>
      <c r="Y94" s="7">
        <v>175</v>
      </c>
      <c r="Z94" s="7" t="s">
        <v>933</v>
      </c>
      <c r="AA94" s="7" t="s">
        <v>775</v>
      </c>
      <c r="AB94" s="7">
        <v>2.5937148628818627</v>
      </c>
      <c r="AC94" s="7" t="s">
        <v>776</v>
      </c>
      <c r="AD94" s="7"/>
      <c r="AE94" s="7" t="s">
        <v>779</v>
      </c>
      <c r="AF94" s="7"/>
      <c r="AG94" s="7">
        <v>191.72717397518724</v>
      </c>
      <c r="AH94" s="7" t="s">
        <v>776</v>
      </c>
      <c r="AI94" s="7">
        <v>2.1030000000000002</v>
      </c>
      <c r="AJ94" s="7">
        <v>76.420254225982887</v>
      </c>
      <c r="AK94" s="7" t="s">
        <v>776</v>
      </c>
      <c r="AL94" s="7">
        <v>3.6999999999999998E-2</v>
      </c>
      <c r="AM94" s="7" t="s">
        <v>780</v>
      </c>
      <c r="AN94" s="7" t="s">
        <v>781</v>
      </c>
      <c r="AO94" s="7" t="s">
        <v>782</v>
      </c>
      <c r="AP94" s="7">
        <v>4.8068571428571398E-2</v>
      </c>
      <c r="AQ94" s="7">
        <v>8.4571428571420003E-4</v>
      </c>
      <c r="AR94" s="7">
        <v>4.8914285714285702E-2</v>
      </c>
      <c r="AS94" s="8" t="b">
        <v>1</v>
      </c>
      <c r="AT94" s="8" t="b">
        <v>1</v>
      </c>
      <c r="AU94" s="8" t="b">
        <v>1</v>
      </c>
      <c r="AV94" s="8" t="b">
        <v>1</v>
      </c>
      <c r="AW94" s="8" t="b">
        <v>1</v>
      </c>
      <c r="AX94" s="8" t="b">
        <v>1</v>
      </c>
      <c r="AY94" s="8" t="b">
        <v>1</v>
      </c>
      <c r="AZ94" s="8" t="b">
        <v>1</v>
      </c>
      <c r="BA94" s="7" t="s">
        <v>783</v>
      </c>
      <c r="BB94" s="7" t="s">
        <v>783</v>
      </c>
      <c r="BC94" s="7" t="s">
        <v>784</v>
      </c>
      <c r="BD94" s="7">
        <v>-0.38777820430098747</v>
      </c>
      <c r="BE94" s="7">
        <v>5.0742857142857143E-3</v>
      </c>
      <c r="BF94" s="7">
        <v>15.562289177291177</v>
      </c>
      <c r="BG94" s="7">
        <v>0.13714285714285715</v>
      </c>
      <c r="BH94" s="7" t="s">
        <v>154</v>
      </c>
      <c r="BI94" s="7">
        <v>175</v>
      </c>
      <c r="BJ94" s="7">
        <v>24</v>
      </c>
      <c r="BK94" s="7">
        <v>24</v>
      </c>
      <c r="BL94" s="7">
        <v>24</v>
      </c>
      <c r="BM94" s="8" t="b">
        <v>1</v>
      </c>
      <c r="BN94" s="7">
        <v>55.296308142146579</v>
      </c>
      <c r="BO94" s="7">
        <v>0.2884114285714286</v>
      </c>
      <c r="BP94" s="7">
        <v>42.147390086330113</v>
      </c>
      <c r="BQ94" s="7">
        <v>0.13714285714285715</v>
      </c>
      <c r="BR94" s="7" t="s">
        <v>154</v>
      </c>
      <c r="BS94" s="7">
        <v>175</v>
      </c>
      <c r="BT94" s="7">
        <v>24</v>
      </c>
      <c r="BU94" s="7">
        <v>24</v>
      </c>
      <c r="BV94" s="7">
        <v>24</v>
      </c>
      <c r="BW94" s="7" t="s">
        <v>934</v>
      </c>
      <c r="BX94" s="8" t="b">
        <v>1</v>
      </c>
      <c r="BY94" s="7">
        <v>1810.44</v>
      </c>
      <c r="BZ94" s="7">
        <v>36</v>
      </c>
      <c r="CA94" s="7">
        <v>46235.770833333336</v>
      </c>
      <c r="CB94" s="7">
        <v>46235.760416666664</v>
      </c>
      <c r="CC94" s="7">
        <v>2.8029399585921325E-2</v>
      </c>
      <c r="CD94" s="7">
        <v>95.748838877018841</v>
      </c>
      <c r="CE94" s="7">
        <v>85.658255026087161</v>
      </c>
      <c r="CF94" s="7">
        <v>662.24534522516342</v>
      </c>
      <c r="CG94" s="7">
        <v>0.3125</v>
      </c>
      <c r="CH94" s="7" t="s">
        <v>150</v>
      </c>
      <c r="CI94" s="7">
        <v>128</v>
      </c>
      <c r="CJ94" s="8" t="b">
        <v>1</v>
      </c>
      <c r="CK94" s="7">
        <v>40</v>
      </c>
      <c r="CL94" s="7">
        <v>40</v>
      </c>
      <c r="CM94" s="7">
        <v>40</v>
      </c>
      <c r="CN94" s="8" t="b">
        <v>0</v>
      </c>
      <c r="CO94" s="7" t="s">
        <v>785</v>
      </c>
      <c r="CP94" s="7">
        <v>2585.3035544266304</v>
      </c>
    </row>
    <row r="95" spans="1:94" ht="21" customHeight="1" x14ac:dyDescent="0.45">
      <c r="A95" s="9">
        <v>46235.770833333336</v>
      </c>
      <c r="B95" s="9">
        <v>46235.78125</v>
      </c>
      <c r="C95" s="9">
        <v>46235.895833333336</v>
      </c>
      <c r="D95" s="10">
        <v>46235</v>
      </c>
      <c r="E95" s="7">
        <v>0.25</v>
      </c>
      <c r="F95" s="7" t="s">
        <v>770</v>
      </c>
      <c r="G95" s="9">
        <v>46235.75</v>
      </c>
      <c r="H95" s="7">
        <v>199.86</v>
      </c>
      <c r="I95" s="7" t="s">
        <v>935</v>
      </c>
      <c r="J95" s="7">
        <v>15</v>
      </c>
      <c r="K95" s="7" t="s">
        <v>790</v>
      </c>
      <c r="L95" s="10">
        <v>46234</v>
      </c>
      <c r="M95" s="7">
        <v>5.2473000000000001</v>
      </c>
      <c r="N95" s="7" t="s">
        <v>773</v>
      </c>
      <c r="O95" s="7">
        <v>131.96799999999999</v>
      </c>
      <c r="P95" s="7" t="s">
        <v>931</v>
      </c>
      <c r="Q95" s="7" t="s">
        <v>775</v>
      </c>
      <c r="R95" s="7">
        <v>66.224534522516336</v>
      </c>
      <c r="S95" s="7" t="s">
        <v>776</v>
      </c>
      <c r="T95" s="7">
        <v>175</v>
      </c>
      <c r="U95" s="7" t="s">
        <v>932</v>
      </c>
      <c r="V95" s="7" t="s">
        <v>775</v>
      </c>
      <c r="W95" s="7">
        <v>7.0245650143883518</v>
      </c>
      <c r="X95" s="7" t="s">
        <v>776</v>
      </c>
      <c r="Y95" s="7">
        <v>175</v>
      </c>
      <c r="Z95" s="7" t="s">
        <v>933</v>
      </c>
      <c r="AA95" s="7" t="s">
        <v>775</v>
      </c>
      <c r="AB95" s="7">
        <v>2.5937148628818627</v>
      </c>
      <c r="AC95" s="7" t="s">
        <v>776</v>
      </c>
      <c r="AD95" s="7"/>
      <c r="AE95" s="7" t="s">
        <v>779</v>
      </c>
      <c r="AF95" s="7"/>
      <c r="AG95" s="7">
        <v>199.68803003449395</v>
      </c>
      <c r="AH95" s="7" t="s">
        <v>776</v>
      </c>
      <c r="AI95" s="7">
        <v>2.468</v>
      </c>
      <c r="AJ95" s="7">
        <v>76.420254225982887</v>
      </c>
      <c r="AK95" s="7" t="s">
        <v>776</v>
      </c>
      <c r="AL95" s="7">
        <v>7.0000000000000001E-3</v>
      </c>
      <c r="AM95" s="7" t="s">
        <v>780</v>
      </c>
      <c r="AN95" s="7" t="s">
        <v>781</v>
      </c>
      <c r="AO95" s="7" t="s">
        <v>782</v>
      </c>
      <c r="AP95" s="7">
        <v>5.6411428571428501E-2</v>
      </c>
      <c r="AQ95" s="7">
        <v>1.6000000000000001E-4</v>
      </c>
      <c r="AR95" s="7">
        <v>5.6571428571428502E-2</v>
      </c>
      <c r="AS95" s="8" t="b">
        <v>1</v>
      </c>
      <c r="AT95" s="8" t="b">
        <v>1</v>
      </c>
      <c r="AU95" s="8" t="b">
        <v>1</v>
      </c>
      <c r="AV95" s="8" t="b">
        <v>1</v>
      </c>
      <c r="AW95" s="8" t="b">
        <v>1</v>
      </c>
      <c r="AX95" s="8" t="b">
        <v>1</v>
      </c>
      <c r="AY95" s="8" t="b">
        <v>1</v>
      </c>
      <c r="AZ95" s="8" t="b">
        <v>1</v>
      </c>
      <c r="BA95" s="7" t="s">
        <v>783</v>
      </c>
      <c r="BB95" s="7" t="s">
        <v>783</v>
      </c>
      <c r="BC95" s="7" t="s">
        <v>784</v>
      </c>
      <c r="BD95" s="7">
        <v>-7.3363444056943589E-2</v>
      </c>
      <c r="BE95" s="7">
        <v>9.6000000000000013E-4</v>
      </c>
      <c r="BF95" s="7">
        <v>15.562289177291177</v>
      </c>
      <c r="BG95" s="7">
        <v>0.13714285714285715</v>
      </c>
      <c r="BH95" s="7" t="s">
        <v>154</v>
      </c>
      <c r="BI95" s="7">
        <v>175</v>
      </c>
      <c r="BJ95" s="7">
        <v>24</v>
      </c>
      <c r="BK95" s="7">
        <v>24</v>
      </c>
      <c r="BL95" s="7">
        <v>24</v>
      </c>
      <c r="BM95" s="8" t="b">
        <v>1</v>
      </c>
      <c r="BN95" s="7">
        <v>67.588122257160833</v>
      </c>
      <c r="BO95" s="7">
        <v>0.33846857142857145</v>
      </c>
      <c r="BP95" s="7">
        <v>42.147390086330113</v>
      </c>
      <c r="BQ95" s="7">
        <v>0.13714285714285715</v>
      </c>
      <c r="BR95" s="7" t="s">
        <v>154</v>
      </c>
      <c r="BS95" s="7">
        <v>175</v>
      </c>
      <c r="BT95" s="7">
        <v>24</v>
      </c>
      <c r="BU95" s="7">
        <v>24</v>
      </c>
      <c r="BV95" s="7">
        <v>24</v>
      </c>
      <c r="BW95" s="7" t="s">
        <v>935</v>
      </c>
      <c r="BX95" s="8" t="b">
        <v>1</v>
      </c>
      <c r="BY95" s="7">
        <v>1798.7400000000016</v>
      </c>
      <c r="BZ95" s="7">
        <v>36.000000000000028</v>
      </c>
      <c r="CA95" s="7">
        <v>46235.78125</v>
      </c>
      <c r="CB95" s="7">
        <v>46235.770833333336</v>
      </c>
      <c r="CC95" s="7">
        <v>2.8192960662525898E-2</v>
      </c>
      <c r="CD95" s="7">
        <v>85.658255026087161</v>
      </c>
      <c r="CE95" s="7">
        <v>75.508789187577833</v>
      </c>
      <c r="CF95" s="7">
        <v>662.24534522516342</v>
      </c>
      <c r="CG95" s="7">
        <v>0.3125</v>
      </c>
      <c r="CH95" s="7" t="s">
        <v>150</v>
      </c>
      <c r="CI95" s="7">
        <v>128</v>
      </c>
      <c r="CJ95" s="8" t="b">
        <v>1</v>
      </c>
      <c r="CK95" s="7">
        <v>40</v>
      </c>
      <c r="CL95" s="7">
        <v>40</v>
      </c>
      <c r="CM95" s="7">
        <v>40</v>
      </c>
      <c r="CN95" s="8" t="b">
        <v>0</v>
      </c>
      <c r="CO95" s="7" t="s">
        <v>785</v>
      </c>
      <c r="CP95" s="7">
        <v>2586.2097833018902</v>
      </c>
    </row>
    <row r="96" spans="1:94" ht="21" customHeight="1" x14ac:dyDescent="0.45">
      <c r="A96" s="9">
        <v>46235.78125</v>
      </c>
      <c r="B96" s="9">
        <v>46235.791666666664</v>
      </c>
      <c r="C96" s="9">
        <v>46235.90625</v>
      </c>
      <c r="D96" s="10">
        <v>46235</v>
      </c>
      <c r="E96" s="7">
        <v>0.25</v>
      </c>
      <c r="F96" s="7" t="s">
        <v>770</v>
      </c>
      <c r="G96" s="9">
        <v>46235.75</v>
      </c>
      <c r="H96" s="7">
        <v>199.8</v>
      </c>
      <c r="I96" s="7" t="s">
        <v>936</v>
      </c>
      <c r="J96" s="7">
        <v>15</v>
      </c>
      <c r="K96" s="7" t="s">
        <v>790</v>
      </c>
      <c r="L96" s="10">
        <v>46234</v>
      </c>
      <c r="M96" s="7">
        <v>5.2473000000000001</v>
      </c>
      <c r="N96" s="7" t="s">
        <v>773</v>
      </c>
      <c r="O96" s="7">
        <v>131.96799999999999</v>
      </c>
      <c r="P96" s="7" t="s">
        <v>931</v>
      </c>
      <c r="Q96" s="7" t="s">
        <v>775</v>
      </c>
      <c r="R96" s="7">
        <v>66.224534522516336</v>
      </c>
      <c r="S96" s="7" t="s">
        <v>776</v>
      </c>
      <c r="T96" s="7">
        <v>175</v>
      </c>
      <c r="U96" s="7" t="s">
        <v>932</v>
      </c>
      <c r="V96" s="7" t="s">
        <v>775</v>
      </c>
      <c r="W96" s="7">
        <v>7.0245650143883518</v>
      </c>
      <c r="X96" s="7" t="s">
        <v>776</v>
      </c>
      <c r="Y96" s="7">
        <v>175</v>
      </c>
      <c r="Z96" s="7" t="s">
        <v>933</v>
      </c>
      <c r="AA96" s="7" t="s">
        <v>775</v>
      </c>
      <c r="AB96" s="7">
        <v>2.5937148628818627</v>
      </c>
      <c r="AC96" s="7" t="s">
        <v>776</v>
      </c>
      <c r="AD96" s="7"/>
      <c r="AE96" s="7" t="s">
        <v>779</v>
      </c>
      <c r="AF96" s="7"/>
      <c r="AG96" s="7">
        <v>161.71802641358411</v>
      </c>
      <c r="AH96" s="7" t="s">
        <v>776</v>
      </c>
      <c r="AI96" s="7">
        <v>0.127</v>
      </c>
      <c r="AJ96" s="7">
        <v>76.420254225982887</v>
      </c>
      <c r="AK96" s="7" t="s">
        <v>776</v>
      </c>
      <c r="AL96" s="7">
        <v>7.3999999999999996E-2</v>
      </c>
      <c r="AM96" s="7" t="s">
        <v>780</v>
      </c>
      <c r="AN96" s="7" t="s">
        <v>781</v>
      </c>
      <c r="AO96" s="7" t="s">
        <v>782</v>
      </c>
      <c r="AP96" s="7">
        <v>2.9028571428570999E-3</v>
      </c>
      <c r="AQ96" s="7">
        <v>1.6914285714285E-3</v>
      </c>
      <c r="AR96" s="7">
        <v>4.5942857142857001E-3</v>
      </c>
      <c r="AS96" s="8" t="b">
        <v>1</v>
      </c>
      <c r="AT96" s="8" t="b">
        <v>1</v>
      </c>
      <c r="AU96" s="8" t="b">
        <v>1</v>
      </c>
      <c r="AV96" s="8" t="b">
        <v>1</v>
      </c>
      <c r="AW96" s="8" t="b">
        <v>1</v>
      </c>
      <c r="AX96" s="8" t="b">
        <v>1</v>
      </c>
      <c r="AY96" s="8" t="b">
        <v>1</v>
      </c>
      <c r="AZ96" s="8" t="b">
        <v>1</v>
      </c>
      <c r="BA96" s="7" t="s">
        <v>783</v>
      </c>
      <c r="BB96" s="7" t="s">
        <v>783</v>
      </c>
      <c r="BC96" s="7" t="s">
        <v>784</v>
      </c>
      <c r="BD96" s="7">
        <v>-0.77555640860197494</v>
      </c>
      <c r="BE96" s="7">
        <v>1.0148571428571429E-2</v>
      </c>
      <c r="BF96" s="7">
        <v>15.562289177291177</v>
      </c>
      <c r="BG96" s="7">
        <v>0.13714285714285715</v>
      </c>
      <c r="BH96" s="7" t="s">
        <v>154</v>
      </c>
      <c r="BI96" s="7">
        <v>175</v>
      </c>
      <c r="BJ96" s="7">
        <v>24</v>
      </c>
      <c r="BK96" s="7">
        <v>24</v>
      </c>
      <c r="BL96" s="7">
        <v>24</v>
      </c>
      <c r="BM96" s="8" t="b">
        <v>1</v>
      </c>
      <c r="BN96" s="7">
        <v>2.8166659686205961</v>
      </c>
      <c r="BO96" s="7">
        <v>1.7417142857142857E-2</v>
      </c>
      <c r="BP96" s="7">
        <v>42.147390086330113</v>
      </c>
      <c r="BQ96" s="7">
        <v>0.13714285714285715</v>
      </c>
      <c r="BR96" s="7" t="s">
        <v>154</v>
      </c>
      <c r="BS96" s="7">
        <v>175</v>
      </c>
      <c r="BT96" s="7">
        <v>24</v>
      </c>
      <c r="BU96" s="7">
        <v>24</v>
      </c>
      <c r="BV96" s="7">
        <v>24</v>
      </c>
      <c r="BW96" s="7" t="s">
        <v>936</v>
      </c>
      <c r="BX96" s="8" t="b">
        <v>1</v>
      </c>
      <c r="BY96" s="7">
        <v>1798.2</v>
      </c>
      <c r="BZ96" s="7">
        <v>36</v>
      </c>
      <c r="CA96" s="7">
        <v>46235.791666666664</v>
      </c>
      <c r="CB96" s="7">
        <v>46235.78125</v>
      </c>
      <c r="CC96" s="7">
        <v>2.7195859213250514E-2</v>
      </c>
      <c r="CD96" s="7">
        <v>75.508789187577833</v>
      </c>
      <c r="CE96" s="7">
        <v>65.718279870807649</v>
      </c>
      <c r="CF96" s="7">
        <v>662.24534522516342</v>
      </c>
      <c r="CG96" s="7">
        <v>0.3125</v>
      </c>
      <c r="CH96" s="7" t="s">
        <v>150</v>
      </c>
      <c r="CI96" s="7">
        <v>128</v>
      </c>
      <c r="CJ96" s="8" t="b">
        <v>1</v>
      </c>
      <c r="CK96" s="7">
        <v>40</v>
      </c>
      <c r="CL96" s="7">
        <v>40</v>
      </c>
      <c r="CM96" s="7">
        <v>40</v>
      </c>
      <c r="CN96" s="8" t="b">
        <v>0</v>
      </c>
      <c r="CO96" s="7" t="s">
        <v>785</v>
      </c>
      <c r="CP96" s="7">
        <v>2520.1961340488033</v>
      </c>
    </row>
    <row r="97" spans="1:94" ht="21" customHeight="1" x14ac:dyDescent="0.45">
      <c r="A97" s="9">
        <v>46235.791666666664</v>
      </c>
      <c r="B97" s="9">
        <v>46235.802083333336</v>
      </c>
      <c r="C97" s="9">
        <v>46235.916666666664</v>
      </c>
      <c r="D97" s="10">
        <v>46235</v>
      </c>
      <c r="E97" s="7">
        <v>0.25</v>
      </c>
      <c r="F97" s="7" t="s">
        <v>770</v>
      </c>
      <c r="G97" s="9">
        <v>46235.791666666664</v>
      </c>
      <c r="H97" s="7">
        <v>205.01</v>
      </c>
      <c r="I97" s="7" t="s">
        <v>937</v>
      </c>
      <c r="J97" s="7">
        <v>15</v>
      </c>
      <c r="K97" s="7" t="s">
        <v>790</v>
      </c>
      <c r="L97" s="10">
        <v>46234</v>
      </c>
      <c r="M97" s="7">
        <v>5.2473000000000001</v>
      </c>
      <c r="N97" s="7" t="s">
        <v>773</v>
      </c>
      <c r="O97" s="7">
        <v>131.96799999999999</v>
      </c>
      <c r="P97" s="7" t="s">
        <v>938</v>
      </c>
      <c r="Q97" s="7" t="s">
        <v>775</v>
      </c>
      <c r="R97" s="7">
        <v>66.224534522516336</v>
      </c>
      <c r="S97" s="7" t="s">
        <v>776</v>
      </c>
      <c r="T97" s="7">
        <v>175</v>
      </c>
      <c r="U97" s="7" t="s">
        <v>939</v>
      </c>
      <c r="V97" s="7" t="s">
        <v>775</v>
      </c>
      <c r="W97" s="7">
        <v>3.9143940693308936</v>
      </c>
      <c r="X97" s="7" t="s">
        <v>776</v>
      </c>
      <c r="Y97" s="7">
        <v>175</v>
      </c>
      <c r="Z97" s="7" t="s">
        <v>940</v>
      </c>
      <c r="AA97" s="7" t="s">
        <v>775</v>
      </c>
      <c r="AB97" s="7">
        <v>2.5937148628818627</v>
      </c>
      <c r="AC97" s="7" t="s">
        <v>776</v>
      </c>
      <c r="AD97" s="7"/>
      <c r="AE97" s="7" t="s">
        <v>779</v>
      </c>
      <c r="AF97" s="7"/>
      <c r="AG97" s="7">
        <v>196.30552855754388</v>
      </c>
      <c r="AH97" s="7" t="s">
        <v>776</v>
      </c>
      <c r="AI97" s="7">
        <v>4.4749999999999996</v>
      </c>
      <c r="AJ97" s="7">
        <v>0</v>
      </c>
      <c r="AK97" s="7" t="s">
        <v>776</v>
      </c>
      <c r="AL97" s="7">
        <v>0</v>
      </c>
      <c r="AM97" s="7" t="s">
        <v>780</v>
      </c>
      <c r="AN97" s="7" t="s">
        <v>781</v>
      </c>
      <c r="AO97" s="7" t="s">
        <v>782</v>
      </c>
      <c r="AP97" s="7">
        <v>0.1022857142857142</v>
      </c>
      <c r="AQ97" s="7">
        <v>0</v>
      </c>
      <c r="AR97" s="7">
        <v>0.1022857142857142</v>
      </c>
      <c r="AS97" s="8" t="b">
        <v>1</v>
      </c>
      <c r="AT97" s="8" t="b">
        <v>1</v>
      </c>
      <c r="AU97" s="8" t="b">
        <v>1</v>
      </c>
      <c r="AV97" s="8" t="b">
        <v>1</v>
      </c>
      <c r="AW97" s="8" t="b">
        <v>1</v>
      </c>
      <c r="AX97" s="8" t="b">
        <v>1</v>
      </c>
      <c r="AY97" s="8" t="b">
        <v>1</v>
      </c>
      <c r="AZ97" s="8" t="b">
        <v>1</v>
      </c>
      <c r="BA97" s="7" t="s">
        <v>783</v>
      </c>
      <c r="BB97" s="7" t="s">
        <v>783</v>
      </c>
      <c r="BC97" s="7" t="s">
        <v>784</v>
      </c>
      <c r="BD97" s="7">
        <v>0</v>
      </c>
      <c r="BE97" s="7">
        <v>0</v>
      </c>
      <c r="BF97" s="7">
        <v>15.562289177291177</v>
      </c>
      <c r="BG97" s="7">
        <v>0.13714285714285715</v>
      </c>
      <c r="BH97" s="7" t="s">
        <v>154</v>
      </c>
      <c r="BI97" s="7">
        <v>175</v>
      </c>
      <c r="BJ97" s="7">
        <v>24</v>
      </c>
      <c r="BK97" s="7">
        <v>24</v>
      </c>
      <c r="BL97" s="7">
        <v>24</v>
      </c>
      <c r="BM97" s="8" t="b">
        <v>1</v>
      </c>
      <c r="BN97" s="7">
        <v>0</v>
      </c>
      <c r="BO97" s="7">
        <v>0</v>
      </c>
      <c r="BP97" s="7">
        <v>0</v>
      </c>
      <c r="BQ97" s="7">
        <v>0.13714285714285715</v>
      </c>
      <c r="BR97" s="7" t="s">
        <v>154</v>
      </c>
      <c r="BS97" s="7">
        <v>175</v>
      </c>
      <c r="BT97" s="7">
        <v>0</v>
      </c>
      <c r="BU97" s="7">
        <v>24</v>
      </c>
      <c r="BV97" s="7">
        <v>24</v>
      </c>
      <c r="BW97" s="7" t="s">
        <v>937</v>
      </c>
      <c r="BX97" s="8" t="b">
        <v>1</v>
      </c>
      <c r="BY97" s="7">
        <v>3075.1499999999996</v>
      </c>
      <c r="BZ97" s="7">
        <v>60</v>
      </c>
      <c r="CA97" s="7">
        <v>46235.802083333336</v>
      </c>
      <c r="CB97" s="7">
        <v>46235.791666666664</v>
      </c>
      <c r="CC97" s="7">
        <v>4.5289855072463761E-2</v>
      </c>
      <c r="CD97" s="7">
        <v>65.718279870807649</v>
      </c>
      <c r="CE97" s="7">
        <v>49.413932044720696</v>
      </c>
      <c r="CF97" s="7">
        <v>662.24534522516342</v>
      </c>
      <c r="CG97" s="7">
        <v>0.3125</v>
      </c>
      <c r="CH97" s="7" t="s">
        <v>150</v>
      </c>
      <c r="CI97" s="7">
        <v>128</v>
      </c>
      <c r="CJ97" s="8" t="b">
        <v>1</v>
      </c>
      <c r="CK97" s="7">
        <v>40</v>
      </c>
      <c r="CL97" s="7">
        <v>40</v>
      </c>
      <c r="CM97" s="7">
        <v>40</v>
      </c>
      <c r="CN97" s="8" t="b">
        <v>0</v>
      </c>
      <c r="CO97" s="7" t="s">
        <v>785</v>
      </c>
      <c r="CP97" s="7">
        <v>3752.9576344024545</v>
      </c>
    </row>
    <row r="98" spans="1:94" ht="21" customHeight="1" x14ac:dyDescent="0.45">
      <c r="A98" s="9">
        <v>46235.802083333336</v>
      </c>
      <c r="B98" s="9">
        <v>46235.8125</v>
      </c>
      <c r="C98" s="9">
        <v>46235.927083333336</v>
      </c>
      <c r="D98" s="10">
        <v>46235</v>
      </c>
      <c r="E98" s="7">
        <v>0.25</v>
      </c>
      <c r="F98" s="7" t="s">
        <v>770</v>
      </c>
      <c r="G98" s="9">
        <v>46235.791666666664</v>
      </c>
      <c r="H98" s="7">
        <v>201.51</v>
      </c>
      <c r="I98" s="7" t="s">
        <v>941</v>
      </c>
      <c r="J98" s="7">
        <v>15</v>
      </c>
      <c r="K98" s="7" t="s">
        <v>790</v>
      </c>
      <c r="L98" s="10">
        <v>46234</v>
      </c>
      <c r="M98" s="7">
        <v>5.2473000000000001</v>
      </c>
      <c r="N98" s="7" t="s">
        <v>773</v>
      </c>
      <c r="O98" s="7">
        <v>131.96799999999999</v>
      </c>
      <c r="P98" s="7" t="s">
        <v>938</v>
      </c>
      <c r="Q98" s="7" t="s">
        <v>775</v>
      </c>
      <c r="R98" s="7">
        <v>66.224534522516336</v>
      </c>
      <c r="S98" s="7" t="s">
        <v>776</v>
      </c>
      <c r="T98" s="7">
        <v>175</v>
      </c>
      <c r="U98" s="7" t="s">
        <v>939</v>
      </c>
      <c r="V98" s="7" t="s">
        <v>775</v>
      </c>
      <c r="W98" s="7">
        <v>3.9143940693308936</v>
      </c>
      <c r="X98" s="7" t="s">
        <v>776</v>
      </c>
      <c r="Y98" s="7">
        <v>175</v>
      </c>
      <c r="Z98" s="7" t="s">
        <v>940</v>
      </c>
      <c r="AA98" s="7" t="s">
        <v>775</v>
      </c>
      <c r="AB98" s="7">
        <v>2.5937148628818627</v>
      </c>
      <c r="AC98" s="7" t="s">
        <v>776</v>
      </c>
      <c r="AD98" s="7"/>
      <c r="AE98" s="7" t="s">
        <v>779</v>
      </c>
      <c r="AF98" s="7"/>
      <c r="AG98" s="7">
        <v>168.99453052045814</v>
      </c>
      <c r="AH98" s="7" t="s">
        <v>776</v>
      </c>
      <c r="AI98" s="7">
        <v>0.745</v>
      </c>
      <c r="AJ98" s="7">
        <v>72.405427553217848</v>
      </c>
      <c r="AK98" s="7" t="s">
        <v>776</v>
      </c>
      <c r="AL98" s="7">
        <v>0.57999999999999996</v>
      </c>
      <c r="AM98" s="7" t="s">
        <v>780</v>
      </c>
      <c r="AN98" s="7" t="s">
        <v>781</v>
      </c>
      <c r="AO98" s="7" t="s">
        <v>782</v>
      </c>
      <c r="AP98" s="7">
        <v>1.70285714285714E-2</v>
      </c>
      <c r="AQ98" s="7">
        <v>1.3257142857142801E-2</v>
      </c>
      <c r="AR98" s="7">
        <v>3.0285714285714201E-2</v>
      </c>
      <c r="AS98" s="8" t="b">
        <v>1</v>
      </c>
      <c r="AT98" s="8" t="b">
        <v>1</v>
      </c>
      <c r="AU98" s="8" t="b">
        <v>1</v>
      </c>
      <c r="AV98" s="8" t="b">
        <v>1</v>
      </c>
      <c r="AW98" s="8" t="b">
        <v>1</v>
      </c>
      <c r="AX98" s="8" t="b">
        <v>1</v>
      </c>
      <c r="AY98" s="8" t="b">
        <v>1</v>
      </c>
      <c r="AZ98" s="8" t="b">
        <v>1</v>
      </c>
      <c r="BA98" s="7" t="s">
        <v>783</v>
      </c>
      <c r="BB98" s="7" t="s">
        <v>783</v>
      </c>
      <c r="BC98" s="7" t="s">
        <v>784</v>
      </c>
      <c r="BD98" s="7">
        <v>-5.7593345802330989</v>
      </c>
      <c r="BE98" s="7">
        <v>7.9542857142857137E-2</v>
      </c>
      <c r="BF98" s="7">
        <v>15.562289177291177</v>
      </c>
      <c r="BG98" s="7">
        <v>0.13714285714285715</v>
      </c>
      <c r="BH98" s="7" t="s">
        <v>154</v>
      </c>
      <c r="BI98" s="7">
        <v>175</v>
      </c>
      <c r="BJ98" s="7">
        <v>24</v>
      </c>
      <c r="BK98" s="7">
        <v>24</v>
      </c>
      <c r="BL98" s="7">
        <v>24</v>
      </c>
      <c r="BM98" s="8" t="b">
        <v>1</v>
      </c>
      <c r="BN98" s="7">
        <v>0</v>
      </c>
      <c r="BO98" s="7">
        <v>0</v>
      </c>
      <c r="BP98" s="7">
        <v>0</v>
      </c>
      <c r="BQ98" s="7">
        <v>0.13714285714285715</v>
      </c>
      <c r="BR98" s="7" t="s">
        <v>154</v>
      </c>
      <c r="BS98" s="7">
        <v>175</v>
      </c>
      <c r="BT98" s="7">
        <v>0</v>
      </c>
      <c r="BU98" s="7">
        <v>24</v>
      </c>
      <c r="BV98" s="7">
        <v>24</v>
      </c>
      <c r="BW98" s="7" t="s">
        <v>941</v>
      </c>
      <c r="BX98" s="8" t="b">
        <v>1</v>
      </c>
      <c r="BY98" s="7">
        <v>3022.6499999999996</v>
      </c>
      <c r="BZ98" s="7">
        <v>60</v>
      </c>
      <c r="CA98" s="7">
        <v>46235.8125</v>
      </c>
      <c r="CB98" s="7">
        <v>46235.802083333336</v>
      </c>
      <c r="CC98" s="7">
        <v>4.5049689440993787E-2</v>
      </c>
      <c r="CD98" s="7">
        <v>49.413932044720696</v>
      </c>
      <c r="CE98" s="7">
        <v>33.196043845962933</v>
      </c>
      <c r="CF98" s="7">
        <v>662.24534522516342</v>
      </c>
      <c r="CG98" s="7">
        <v>0.3125</v>
      </c>
      <c r="CH98" s="7" t="s">
        <v>150</v>
      </c>
      <c r="CI98" s="7">
        <v>128</v>
      </c>
      <c r="CJ98" s="8" t="b">
        <v>1</v>
      </c>
      <c r="CK98" s="7">
        <v>40</v>
      </c>
      <c r="CL98" s="7">
        <v>40</v>
      </c>
      <c r="CM98" s="7">
        <v>40</v>
      </c>
      <c r="CN98" s="8" t="b">
        <v>0</v>
      </c>
      <c r="CO98" s="7" t="s">
        <v>785</v>
      </c>
      <c r="CP98" s="7">
        <v>3694.6982998222211</v>
      </c>
    </row>
    <row r="99" spans="1:94" ht="21" customHeight="1" x14ac:dyDescent="0.45">
      <c r="A99" s="9">
        <v>46235.8125</v>
      </c>
      <c r="B99" s="9">
        <v>46235.822916666664</v>
      </c>
      <c r="C99" s="9">
        <v>46235.9375</v>
      </c>
      <c r="D99" s="10">
        <v>46235</v>
      </c>
      <c r="E99" s="7">
        <v>0.25</v>
      </c>
      <c r="F99" s="7" t="s">
        <v>770</v>
      </c>
      <c r="G99" s="9">
        <v>46235.791666666664</v>
      </c>
      <c r="H99" s="7">
        <v>182.41</v>
      </c>
      <c r="I99" s="7" t="s">
        <v>942</v>
      </c>
      <c r="J99" s="7">
        <v>15</v>
      </c>
      <c r="K99" s="7" t="s">
        <v>790</v>
      </c>
      <c r="L99" s="10">
        <v>46234</v>
      </c>
      <c r="M99" s="7">
        <v>5.2473000000000001</v>
      </c>
      <c r="N99" s="7" t="s">
        <v>773</v>
      </c>
      <c r="O99" s="7">
        <v>131.96799999999999</v>
      </c>
      <c r="P99" s="7" t="s">
        <v>938</v>
      </c>
      <c r="Q99" s="7" t="s">
        <v>775</v>
      </c>
      <c r="R99" s="7">
        <v>66.224534522516336</v>
      </c>
      <c r="S99" s="7" t="s">
        <v>776</v>
      </c>
      <c r="T99" s="7">
        <v>175</v>
      </c>
      <c r="U99" s="7" t="s">
        <v>939</v>
      </c>
      <c r="V99" s="7" t="s">
        <v>775</v>
      </c>
      <c r="W99" s="7">
        <v>3.9143940693308936</v>
      </c>
      <c r="X99" s="7" t="s">
        <v>776</v>
      </c>
      <c r="Y99" s="7">
        <v>175</v>
      </c>
      <c r="Z99" s="7" t="s">
        <v>940</v>
      </c>
      <c r="AA99" s="7" t="s">
        <v>775</v>
      </c>
      <c r="AB99" s="7">
        <v>2.5937148628818627</v>
      </c>
      <c r="AC99" s="7" t="s">
        <v>776</v>
      </c>
      <c r="AD99" s="7"/>
      <c r="AE99" s="7" t="s">
        <v>779</v>
      </c>
      <c r="AF99" s="7"/>
      <c r="AG99" s="7">
        <v>166.21653040611361</v>
      </c>
      <c r="AH99" s="7" t="s">
        <v>776</v>
      </c>
      <c r="AI99" s="7">
        <v>0.28799999999999998</v>
      </c>
      <c r="AJ99" s="7">
        <v>76.919939778552788</v>
      </c>
      <c r="AK99" s="7" t="s">
        <v>776</v>
      </c>
      <c r="AL99" s="7">
        <v>0.74</v>
      </c>
      <c r="AM99" s="7" t="s">
        <v>780</v>
      </c>
      <c r="AN99" s="7" t="s">
        <v>781</v>
      </c>
      <c r="AO99" s="7" t="s">
        <v>782</v>
      </c>
      <c r="AP99" s="7">
        <v>6.5828571428571004E-3</v>
      </c>
      <c r="AQ99" s="7">
        <v>1.6914285714285701E-2</v>
      </c>
      <c r="AR99" s="7">
        <v>2.34971428571428E-2</v>
      </c>
      <c r="AS99" s="8" t="b">
        <v>1</v>
      </c>
      <c r="AT99" s="8" t="b">
        <v>1</v>
      </c>
      <c r="AU99" s="8" t="b">
        <v>1</v>
      </c>
      <c r="AV99" s="8" t="b">
        <v>1</v>
      </c>
      <c r="AW99" s="8" t="b">
        <v>1</v>
      </c>
      <c r="AX99" s="8" t="b">
        <v>1</v>
      </c>
      <c r="AY99" s="8" t="b">
        <v>1</v>
      </c>
      <c r="AZ99" s="8" t="b">
        <v>1</v>
      </c>
      <c r="BA99" s="7" t="s">
        <v>783</v>
      </c>
      <c r="BB99" s="7" t="s">
        <v>783</v>
      </c>
      <c r="BC99" s="7" t="s">
        <v>784</v>
      </c>
      <c r="BD99" s="7">
        <v>-7.806275031240558</v>
      </c>
      <c r="BE99" s="7">
        <v>0.10148571428571429</v>
      </c>
      <c r="BF99" s="7">
        <v>15.562289177291177</v>
      </c>
      <c r="BG99" s="7">
        <v>0.13714285714285715</v>
      </c>
      <c r="BH99" s="7" t="s">
        <v>154</v>
      </c>
      <c r="BI99" s="7">
        <v>175</v>
      </c>
      <c r="BJ99" s="7">
        <v>24</v>
      </c>
      <c r="BK99" s="7">
        <v>24</v>
      </c>
      <c r="BL99" s="7">
        <v>24</v>
      </c>
      <c r="BM99" s="8" t="b">
        <v>1</v>
      </c>
      <c r="BN99" s="7">
        <v>0</v>
      </c>
      <c r="BO99" s="7">
        <v>0</v>
      </c>
      <c r="BP99" s="7">
        <v>0</v>
      </c>
      <c r="BQ99" s="7">
        <v>0.13714285714285715</v>
      </c>
      <c r="BR99" s="7" t="s">
        <v>154</v>
      </c>
      <c r="BS99" s="7">
        <v>175</v>
      </c>
      <c r="BT99" s="7">
        <v>0</v>
      </c>
      <c r="BU99" s="7">
        <v>24</v>
      </c>
      <c r="BV99" s="7">
        <v>24</v>
      </c>
      <c r="BW99" s="7" t="s">
        <v>942</v>
      </c>
      <c r="BX99" s="8" t="b">
        <v>1</v>
      </c>
      <c r="BY99" s="7">
        <v>0</v>
      </c>
      <c r="BZ99" s="7">
        <v>0</v>
      </c>
      <c r="CA99" s="7">
        <v>46235.822916666664</v>
      </c>
      <c r="CB99" s="7">
        <v>46235.8125</v>
      </c>
      <c r="CC99" s="7">
        <v>2.5935238095238099E-4</v>
      </c>
      <c r="CD99" s="7">
        <v>33.196043845962933</v>
      </c>
      <c r="CE99" s="7">
        <v>33.289410703105787</v>
      </c>
      <c r="CF99" s="7">
        <v>662.24534522516342</v>
      </c>
      <c r="CG99" s="7">
        <v>0.3125</v>
      </c>
      <c r="CH99" s="7" t="s">
        <v>150</v>
      </c>
      <c r="CI99" s="7">
        <v>128</v>
      </c>
      <c r="CJ99" s="8" t="b">
        <v>1</v>
      </c>
      <c r="CK99" s="7">
        <v>40</v>
      </c>
      <c r="CL99" s="7">
        <v>40</v>
      </c>
      <c r="CM99" s="7">
        <v>40</v>
      </c>
      <c r="CN99" s="8" t="b">
        <v>0</v>
      </c>
      <c r="CO99" s="7" t="s">
        <v>785</v>
      </c>
      <c r="CP99" s="7">
        <v>670.00135937121399</v>
      </c>
    </row>
    <row r="100" spans="1:94" ht="21" customHeight="1" x14ac:dyDescent="0.45">
      <c r="A100" s="9">
        <v>46235.822916666664</v>
      </c>
      <c r="B100" s="9">
        <v>46235.833333333336</v>
      </c>
      <c r="C100" s="9">
        <v>46235.947916666664</v>
      </c>
      <c r="D100" s="10">
        <v>46235</v>
      </c>
      <c r="E100" s="7">
        <v>0.25</v>
      </c>
      <c r="F100" s="7" t="s">
        <v>770</v>
      </c>
      <c r="G100" s="9">
        <v>46235.791666666664</v>
      </c>
      <c r="H100" s="7">
        <v>173.85</v>
      </c>
      <c r="I100" s="7" t="s">
        <v>943</v>
      </c>
      <c r="J100" s="7">
        <v>15</v>
      </c>
      <c r="K100" s="7" t="s">
        <v>790</v>
      </c>
      <c r="L100" s="10">
        <v>46234</v>
      </c>
      <c r="M100" s="7">
        <v>5.2473000000000001</v>
      </c>
      <c r="N100" s="7" t="s">
        <v>773</v>
      </c>
      <c r="O100" s="7">
        <v>131.96799999999999</v>
      </c>
      <c r="P100" s="7" t="s">
        <v>938</v>
      </c>
      <c r="Q100" s="7" t="s">
        <v>775</v>
      </c>
      <c r="R100" s="7">
        <v>66.224534522516336</v>
      </c>
      <c r="S100" s="7" t="s">
        <v>776</v>
      </c>
      <c r="T100" s="7">
        <v>175</v>
      </c>
      <c r="U100" s="7" t="s">
        <v>939</v>
      </c>
      <c r="V100" s="7" t="s">
        <v>775</v>
      </c>
      <c r="W100" s="7">
        <v>3.9143940693308936</v>
      </c>
      <c r="X100" s="7" t="s">
        <v>776</v>
      </c>
      <c r="Y100" s="7">
        <v>175</v>
      </c>
      <c r="Z100" s="7" t="s">
        <v>940</v>
      </c>
      <c r="AA100" s="7" t="s">
        <v>775</v>
      </c>
      <c r="AB100" s="7">
        <v>2.5937148628818627</v>
      </c>
      <c r="AC100" s="7" t="s">
        <v>776</v>
      </c>
      <c r="AD100" s="7"/>
      <c r="AE100" s="7" t="s">
        <v>779</v>
      </c>
      <c r="AF100" s="7"/>
      <c r="AG100" s="7">
        <v>164.99228174489738</v>
      </c>
      <c r="AH100" s="7" t="s">
        <v>776</v>
      </c>
      <c r="AI100" s="7">
        <v>0.28000000000000003</v>
      </c>
      <c r="AJ100" s="7">
        <v>70.144645817849181</v>
      </c>
      <c r="AK100" s="7" t="s">
        <v>776</v>
      </c>
      <c r="AL100" s="7">
        <v>2.2679999999999998</v>
      </c>
      <c r="AM100" s="7" t="s">
        <v>780</v>
      </c>
      <c r="AN100" s="7" t="s">
        <v>781</v>
      </c>
      <c r="AO100" s="7" t="s">
        <v>782</v>
      </c>
      <c r="AP100" s="7">
        <v>6.4000000000000003E-3</v>
      </c>
      <c r="AQ100" s="7">
        <v>5.1839999999999997E-2</v>
      </c>
      <c r="AR100" s="7">
        <v>5.824E-2</v>
      </c>
      <c r="AS100" s="8" t="b">
        <v>1</v>
      </c>
      <c r="AT100" s="8" t="b">
        <v>1</v>
      </c>
      <c r="AU100" s="8" t="b">
        <v>1</v>
      </c>
      <c r="AV100" s="8" t="b">
        <v>1</v>
      </c>
      <c r="AW100" s="8" t="b">
        <v>1</v>
      </c>
      <c r="AX100" s="8" t="b">
        <v>1</v>
      </c>
      <c r="AY100" s="8" t="b">
        <v>1</v>
      </c>
      <c r="AZ100" s="8" t="b">
        <v>1</v>
      </c>
      <c r="BA100" s="7" t="s">
        <v>783</v>
      </c>
      <c r="BB100" s="7" t="s">
        <v>783</v>
      </c>
      <c r="BC100" s="7" t="s">
        <v>784</v>
      </c>
      <c r="BD100" s="7">
        <v>-21.817790635183808</v>
      </c>
      <c r="BE100" s="7">
        <v>0.31103999999999998</v>
      </c>
      <c r="BF100" s="7">
        <v>15.562289177291177</v>
      </c>
      <c r="BG100" s="7">
        <v>0.13714285714285715</v>
      </c>
      <c r="BH100" s="7" t="s">
        <v>154</v>
      </c>
      <c r="BI100" s="7">
        <v>175</v>
      </c>
      <c r="BJ100" s="7">
        <v>24</v>
      </c>
      <c r="BK100" s="7">
        <v>24</v>
      </c>
      <c r="BL100" s="7">
        <v>24</v>
      </c>
      <c r="BM100" s="8" t="b">
        <v>1</v>
      </c>
      <c r="BN100" s="7">
        <v>0</v>
      </c>
      <c r="BO100" s="7">
        <v>0</v>
      </c>
      <c r="BP100" s="7">
        <v>0</v>
      </c>
      <c r="BQ100" s="7">
        <v>0.13714285714285715</v>
      </c>
      <c r="BR100" s="7" t="s">
        <v>154</v>
      </c>
      <c r="BS100" s="7">
        <v>175</v>
      </c>
      <c r="BT100" s="7">
        <v>0</v>
      </c>
      <c r="BU100" s="7">
        <v>24</v>
      </c>
      <c r="BV100" s="7">
        <v>24</v>
      </c>
      <c r="BW100" s="7" t="s">
        <v>943</v>
      </c>
      <c r="BX100" s="8" t="b">
        <v>1</v>
      </c>
      <c r="BY100" s="7">
        <v>0</v>
      </c>
      <c r="BZ100" s="7">
        <v>0</v>
      </c>
      <c r="CA100" s="7">
        <v>46235.833333333336</v>
      </c>
      <c r="CB100" s="7">
        <v>46235.822916666664</v>
      </c>
      <c r="CC100" s="7">
        <v>7.9487999999999998E-4</v>
      </c>
      <c r="CD100" s="7">
        <v>33.289410703105787</v>
      </c>
      <c r="CE100" s="7">
        <v>33.575567503105788</v>
      </c>
      <c r="CF100" s="7">
        <v>662.24534522516342</v>
      </c>
      <c r="CG100" s="7">
        <v>0.3125</v>
      </c>
      <c r="CH100" s="7" t="s">
        <v>150</v>
      </c>
      <c r="CI100" s="7">
        <v>128</v>
      </c>
      <c r="CJ100" s="8" t="b">
        <v>1</v>
      </c>
      <c r="CK100" s="7">
        <v>40</v>
      </c>
      <c r="CL100" s="7">
        <v>40</v>
      </c>
      <c r="CM100" s="7">
        <v>40</v>
      </c>
      <c r="CN100" s="8" t="b">
        <v>0</v>
      </c>
      <c r="CO100" s="7" t="s">
        <v>785</v>
      </c>
      <c r="CP100" s="7">
        <v>655.98984376727083</v>
      </c>
    </row>
    <row r="101" spans="1:94" ht="21" customHeight="1" x14ac:dyDescent="0.45">
      <c r="A101" s="9">
        <v>46235.833333333336</v>
      </c>
      <c r="B101" s="9">
        <v>46235.84375</v>
      </c>
      <c r="C101" s="9">
        <v>46235.958333333336</v>
      </c>
      <c r="D101" s="10">
        <v>46235</v>
      </c>
      <c r="E101" s="7">
        <v>0.25</v>
      </c>
      <c r="F101" s="7" t="s">
        <v>770</v>
      </c>
      <c r="G101" s="9">
        <v>46235.833333333336</v>
      </c>
      <c r="H101" s="7">
        <v>190.2</v>
      </c>
      <c r="I101" s="7" t="s">
        <v>944</v>
      </c>
      <c r="J101" s="7">
        <v>15</v>
      </c>
      <c r="K101" s="7" t="s">
        <v>790</v>
      </c>
      <c r="L101" s="10">
        <v>46234</v>
      </c>
      <c r="M101" s="7">
        <v>5.2473000000000001</v>
      </c>
      <c r="N101" s="7" t="s">
        <v>773</v>
      </c>
      <c r="O101" s="7">
        <v>131.96799999999999</v>
      </c>
      <c r="P101" s="7" t="s">
        <v>945</v>
      </c>
      <c r="Q101" s="7" t="s">
        <v>775</v>
      </c>
      <c r="R101" s="7">
        <v>66.224534522516336</v>
      </c>
      <c r="S101" s="7" t="s">
        <v>776</v>
      </c>
      <c r="T101" s="7">
        <v>175</v>
      </c>
      <c r="U101" s="7" t="s">
        <v>946</v>
      </c>
      <c r="V101" s="7" t="s">
        <v>775</v>
      </c>
      <c r="W101" s="7">
        <v>7.1274750824233415</v>
      </c>
      <c r="X101" s="7" t="s">
        <v>776</v>
      </c>
      <c r="Y101" s="7">
        <v>175</v>
      </c>
      <c r="Z101" s="7" t="s">
        <v>947</v>
      </c>
      <c r="AA101" s="7" t="s">
        <v>775</v>
      </c>
      <c r="AB101" s="7">
        <v>2.5937148628818627</v>
      </c>
      <c r="AC101" s="7" t="s">
        <v>776</v>
      </c>
      <c r="AD101" s="7"/>
      <c r="AE101" s="7" t="s">
        <v>779</v>
      </c>
      <c r="AF101" s="7"/>
      <c r="AG101" s="7">
        <v>168.49751300668916</v>
      </c>
      <c r="AH101" s="7" t="s">
        <v>776</v>
      </c>
      <c r="AI101" s="7">
        <v>0.93899999999999995</v>
      </c>
      <c r="AJ101" s="7">
        <v>74.32546261887066</v>
      </c>
      <c r="AK101" s="7" t="s">
        <v>776</v>
      </c>
      <c r="AL101" s="7">
        <v>0.61899999999999999</v>
      </c>
      <c r="AM101" s="7" t="s">
        <v>780</v>
      </c>
      <c r="AN101" s="7" t="s">
        <v>781</v>
      </c>
      <c r="AO101" s="7" t="s">
        <v>782</v>
      </c>
      <c r="AP101" s="7">
        <v>2.14628571428571E-2</v>
      </c>
      <c r="AQ101" s="7">
        <v>1.4148571428571399E-2</v>
      </c>
      <c r="AR101" s="7">
        <v>3.5611428571428502E-2</v>
      </c>
      <c r="AS101" s="8" t="b">
        <v>1</v>
      </c>
      <c r="AT101" s="8" t="b">
        <v>1</v>
      </c>
      <c r="AU101" s="8" t="b">
        <v>1</v>
      </c>
      <c r="AV101" s="8" t="b">
        <v>1</v>
      </c>
      <c r="AW101" s="8" t="b">
        <v>1</v>
      </c>
      <c r="AX101" s="8" t="b">
        <v>1</v>
      </c>
      <c r="AY101" s="8" t="b">
        <v>1</v>
      </c>
      <c r="AZ101" s="8" t="b">
        <v>1</v>
      </c>
      <c r="BA101" s="7" t="s">
        <v>783</v>
      </c>
      <c r="BB101" s="7" t="s">
        <v>783</v>
      </c>
      <c r="BC101" s="7" t="s">
        <v>784</v>
      </c>
      <c r="BD101" s="7">
        <v>-6.3095947009482432</v>
      </c>
      <c r="BE101" s="7">
        <v>8.4891428571428576E-2</v>
      </c>
      <c r="BF101" s="7">
        <v>15.562289177291177</v>
      </c>
      <c r="BG101" s="7">
        <v>0.13714285714285715</v>
      </c>
      <c r="BH101" s="7" t="s">
        <v>154</v>
      </c>
      <c r="BI101" s="7">
        <v>175</v>
      </c>
      <c r="BJ101" s="7">
        <v>24</v>
      </c>
      <c r="BK101" s="7">
        <v>24</v>
      </c>
      <c r="BL101" s="7">
        <v>24</v>
      </c>
      <c r="BM101" s="8" t="b">
        <v>1</v>
      </c>
      <c r="BN101" s="7">
        <v>21.698628303535695</v>
      </c>
      <c r="BO101" s="7">
        <v>0.12877714285714284</v>
      </c>
      <c r="BP101" s="7">
        <v>42.764850494540049</v>
      </c>
      <c r="BQ101" s="7">
        <v>0.13714285714285715</v>
      </c>
      <c r="BR101" s="7" t="s">
        <v>154</v>
      </c>
      <c r="BS101" s="7">
        <v>175</v>
      </c>
      <c r="BT101" s="7">
        <v>24</v>
      </c>
      <c r="BU101" s="7">
        <v>24</v>
      </c>
      <c r="BV101" s="7">
        <v>24</v>
      </c>
      <c r="BW101" s="7" t="s">
        <v>944</v>
      </c>
      <c r="BX101" s="8" t="b">
        <v>1</v>
      </c>
      <c r="BY101" s="7">
        <v>0</v>
      </c>
      <c r="BZ101" s="7">
        <v>0</v>
      </c>
      <c r="CA101" s="7">
        <v>46235.84375</v>
      </c>
      <c r="CB101" s="7">
        <v>46235.833333333336</v>
      </c>
      <c r="CC101" s="7">
        <v>6.0576463768115935E-4</v>
      </c>
      <c r="CD101" s="7">
        <v>33.575567503105788</v>
      </c>
      <c r="CE101" s="7">
        <v>33.513692462112004</v>
      </c>
      <c r="CF101" s="7">
        <v>662.24534522516342</v>
      </c>
      <c r="CG101" s="7">
        <v>0.3125</v>
      </c>
      <c r="CH101" s="7" t="s">
        <v>150</v>
      </c>
      <c r="CI101" s="7">
        <v>128</v>
      </c>
      <c r="CJ101" s="8" t="b">
        <v>1</v>
      </c>
      <c r="CK101" s="7">
        <v>40</v>
      </c>
      <c r="CL101" s="7">
        <v>40</v>
      </c>
      <c r="CM101" s="7">
        <v>40</v>
      </c>
      <c r="CN101" s="8" t="b">
        <v>0</v>
      </c>
      <c r="CO101" s="7" t="s">
        <v>785</v>
      </c>
      <c r="CP101" s="7">
        <v>735.9615184995821</v>
      </c>
    </row>
    <row r="102" spans="1:94" ht="21" customHeight="1" x14ac:dyDescent="0.45">
      <c r="A102" s="9">
        <v>46235.84375</v>
      </c>
      <c r="B102" s="9">
        <v>46235.854166666664</v>
      </c>
      <c r="C102" s="9">
        <v>46235.96875</v>
      </c>
      <c r="D102" s="10">
        <v>46235</v>
      </c>
      <c r="E102" s="7">
        <v>0.25</v>
      </c>
      <c r="F102" s="7" t="s">
        <v>770</v>
      </c>
      <c r="G102" s="9">
        <v>46235.833333333336</v>
      </c>
      <c r="H102" s="7">
        <v>179.69</v>
      </c>
      <c r="I102" s="7" t="s">
        <v>948</v>
      </c>
      <c r="J102" s="7">
        <v>15</v>
      </c>
      <c r="K102" s="7" t="s">
        <v>790</v>
      </c>
      <c r="L102" s="10">
        <v>46234</v>
      </c>
      <c r="M102" s="7">
        <v>5.2473000000000001</v>
      </c>
      <c r="N102" s="7" t="s">
        <v>773</v>
      </c>
      <c r="O102" s="7">
        <v>131.96799999999999</v>
      </c>
      <c r="P102" s="7" t="s">
        <v>945</v>
      </c>
      <c r="Q102" s="7" t="s">
        <v>775</v>
      </c>
      <c r="R102" s="7">
        <v>66.224534522516336</v>
      </c>
      <c r="S102" s="7" t="s">
        <v>776</v>
      </c>
      <c r="T102" s="7">
        <v>175</v>
      </c>
      <c r="U102" s="7" t="s">
        <v>946</v>
      </c>
      <c r="V102" s="7" t="s">
        <v>775</v>
      </c>
      <c r="W102" s="7">
        <v>7.1274750824233415</v>
      </c>
      <c r="X102" s="7" t="s">
        <v>776</v>
      </c>
      <c r="Y102" s="7">
        <v>175</v>
      </c>
      <c r="Z102" s="7" t="s">
        <v>947</v>
      </c>
      <c r="AA102" s="7" t="s">
        <v>775</v>
      </c>
      <c r="AB102" s="7">
        <v>2.5937148628818627</v>
      </c>
      <c r="AC102" s="7" t="s">
        <v>776</v>
      </c>
      <c r="AD102" s="7"/>
      <c r="AE102" s="7" t="s">
        <v>779</v>
      </c>
      <c r="AF102" s="7"/>
      <c r="AG102" s="7">
        <v>206.42520915518455</v>
      </c>
      <c r="AH102" s="7" t="s">
        <v>776</v>
      </c>
      <c r="AI102" s="7">
        <v>4.4820000000000002</v>
      </c>
      <c r="AJ102" s="7">
        <v>0</v>
      </c>
      <c r="AK102" s="7" t="s">
        <v>776</v>
      </c>
      <c r="AL102" s="7">
        <v>0</v>
      </c>
      <c r="AM102" s="7" t="s">
        <v>780</v>
      </c>
      <c r="AN102" s="7" t="s">
        <v>781</v>
      </c>
      <c r="AO102" s="7" t="s">
        <v>782</v>
      </c>
      <c r="AP102" s="7">
        <v>0.1024457142857142</v>
      </c>
      <c r="AQ102" s="7">
        <v>0</v>
      </c>
      <c r="AR102" s="7">
        <v>0.1024457142857142</v>
      </c>
      <c r="AS102" s="8" t="b">
        <v>1</v>
      </c>
      <c r="AT102" s="8" t="b">
        <v>1</v>
      </c>
      <c r="AU102" s="8" t="b">
        <v>1</v>
      </c>
      <c r="AV102" s="8" t="b">
        <v>1</v>
      </c>
      <c r="AW102" s="8" t="b">
        <v>1</v>
      </c>
      <c r="AX102" s="8" t="b">
        <v>1</v>
      </c>
      <c r="AY102" s="8" t="b">
        <v>1</v>
      </c>
      <c r="AZ102" s="8" t="b">
        <v>1</v>
      </c>
      <c r="BA102" s="7" t="s">
        <v>783</v>
      </c>
      <c r="BB102" s="7" t="s">
        <v>783</v>
      </c>
      <c r="BC102" s="7" t="s">
        <v>784</v>
      </c>
      <c r="BD102" s="7">
        <v>0</v>
      </c>
      <c r="BE102" s="7">
        <v>0</v>
      </c>
      <c r="BF102" s="7">
        <v>15.562289177291177</v>
      </c>
      <c r="BG102" s="7">
        <v>0.13714285714285715</v>
      </c>
      <c r="BH102" s="7" t="s">
        <v>154</v>
      </c>
      <c r="BI102" s="7">
        <v>175</v>
      </c>
      <c r="BJ102" s="7">
        <v>24</v>
      </c>
      <c r="BK102" s="7">
        <v>24</v>
      </c>
      <c r="BL102" s="7">
        <v>24</v>
      </c>
      <c r="BM102" s="8" t="b">
        <v>1</v>
      </c>
      <c r="BN102" s="7">
        <v>126.88426799088509</v>
      </c>
      <c r="BO102" s="7">
        <v>0.61467428571428573</v>
      </c>
      <c r="BP102" s="7">
        <v>42.764850494540049</v>
      </c>
      <c r="BQ102" s="7">
        <v>0.13714285714285715</v>
      </c>
      <c r="BR102" s="7" t="s">
        <v>154</v>
      </c>
      <c r="BS102" s="7">
        <v>175</v>
      </c>
      <c r="BT102" s="7">
        <v>24</v>
      </c>
      <c r="BU102" s="7">
        <v>24</v>
      </c>
      <c r="BV102" s="7">
        <v>24</v>
      </c>
      <c r="BW102" s="7" t="s">
        <v>948</v>
      </c>
      <c r="BX102" s="8" t="b">
        <v>1</v>
      </c>
      <c r="BY102" s="7">
        <v>0</v>
      </c>
      <c r="BZ102" s="7">
        <v>0</v>
      </c>
      <c r="CA102" s="7">
        <v>46235.854166666664</v>
      </c>
      <c r="CB102" s="7">
        <v>46235.84375</v>
      </c>
      <c r="CC102" s="7">
        <v>1.8559006211180124E-3</v>
      </c>
      <c r="CD102" s="7">
        <v>33.513692462112004</v>
      </c>
      <c r="CE102" s="7">
        <v>32.845568238509522</v>
      </c>
      <c r="CF102" s="7">
        <v>662.24534522516342</v>
      </c>
      <c r="CG102" s="7">
        <v>0.3125</v>
      </c>
      <c r="CH102" s="7" t="s">
        <v>150</v>
      </c>
      <c r="CI102" s="7">
        <v>128</v>
      </c>
      <c r="CJ102" s="8" t="b">
        <v>1</v>
      </c>
      <c r="CK102" s="7">
        <v>40</v>
      </c>
      <c r="CL102" s="7">
        <v>40</v>
      </c>
      <c r="CM102" s="7">
        <v>40</v>
      </c>
      <c r="CN102" s="8" t="b">
        <v>0</v>
      </c>
      <c r="CO102" s="7" t="s">
        <v>785</v>
      </c>
      <c r="CP102" s="7">
        <v>847.4567528878797</v>
      </c>
    </row>
    <row r="103" spans="1:94" ht="21" customHeight="1" x14ac:dyDescent="0.45">
      <c r="A103" s="9">
        <v>46235.854166666664</v>
      </c>
      <c r="B103" s="9">
        <v>46235.864583333336</v>
      </c>
      <c r="C103" s="9">
        <v>46235.979166666664</v>
      </c>
      <c r="D103" s="10">
        <v>46235</v>
      </c>
      <c r="E103" s="7">
        <v>0.25</v>
      </c>
      <c r="F103" s="7" t="s">
        <v>770</v>
      </c>
      <c r="G103" s="9">
        <v>46235.833333333336</v>
      </c>
      <c r="H103" s="7">
        <v>175.2</v>
      </c>
      <c r="I103" s="7" t="s">
        <v>949</v>
      </c>
      <c r="J103" s="7">
        <v>15</v>
      </c>
      <c r="K103" s="7" t="s">
        <v>790</v>
      </c>
      <c r="L103" s="10">
        <v>46234</v>
      </c>
      <c r="M103" s="7">
        <v>5.2473000000000001</v>
      </c>
      <c r="N103" s="7" t="s">
        <v>773</v>
      </c>
      <c r="O103" s="7">
        <v>131.96799999999999</v>
      </c>
      <c r="P103" s="7" t="s">
        <v>945</v>
      </c>
      <c r="Q103" s="7" t="s">
        <v>775</v>
      </c>
      <c r="R103" s="7">
        <v>66.224534522516336</v>
      </c>
      <c r="S103" s="7" t="s">
        <v>776</v>
      </c>
      <c r="T103" s="7">
        <v>175</v>
      </c>
      <c r="U103" s="7" t="s">
        <v>946</v>
      </c>
      <c r="V103" s="7" t="s">
        <v>775</v>
      </c>
      <c r="W103" s="7">
        <v>7.1274750824233415</v>
      </c>
      <c r="X103" s="7" t="s">
        <v>776</v>
      </c>
      <c r="Y103" s="7">
        <v>175</v>
      </c>
      <c r="Z103" s="7" t="s">
        <v>947</v>
      </c>
      <c r="AA103" s="7" t="s">
        <v>775</v>
      </c>
      <c r="AB103" s="7">
        <v>2.5937148628818627</v>
      </c>
      <c r="AC103" s="7" t="s">
        <v>776</v>
      </c>
      <c r="AD103" s="7"/>
      <c r="AE103" s="7" t="s">
        <v>779</v>
      </c>
      <c r="AF103" s="7"/>
      <c r="AG103" s="7">
        <v>211.47980866350315</v>
      </c>
      <c r="AH103" s="7" t="s">
        <v>776</v>
      </c>
      <c r="AI103" s="7">
        <v>5.3879999999999999</v>
      </c>
      <c r="AJ103" s="7">
        <v>0</v>
      </c>
      <c r="AK103" s="7" t="s">
        <v>776</v>
      </c>
      <c r="AL103" s="7">
        <v>0</v>
      </c>
      <c r="AM103" s="7" t="s">
        <v>780</v>
      </c>
      <c r="AN103" s="7" t="s">
        <v>781</v>
      </c>
      <c r="AO103" s="7" t="s">
        <v>782</v>
      </c>
      <c r="AP103" s="7">
        <v>0.1231542857142857</v>
      </c>
      <c r="AQ103" s="7">
        <v>0</v>
      </c>
      <c r="AR103" s="7">
        <v>0.1231542857142857</v>
      </c>
      <c r="AS103" s="8" t="b">
        <v>1</v>
      </c>
      <c r="AT103" s="8" t="b">
        <v>1</v>
      </c>
      <c r="AU103" s="8" t="b">
        <v>1</v>
      </c>
      <c r="AV103" s="8" t="b">
        <v>1</v>
      </c>
      <c r="AW103" s="8" t="b">
        <v>1</v>
      </c>
      <c r="AX103" s="8" t="b">
        <v>1</v>
      </c>
      <c r="AY103" s="8" t="b">
        <v>1</v>
      </c>
      <c r="AZ103" s="8" t="b">
        <v>1</v>
      </c>
      <c r="BA103" s="7" t="s">
        <v>783</v>
      </c>
      <c r="BB103" s="7" t="s">
        <v>783</v>
      </c>
      <c r="BC103" s="7" t="s">
        <v>784</v>
      </c>
      <c r="BD103" s="7">
        <v>0</v>
      </c>
      <c r="BE103" s="7">
        <v>0</v>
      </c>
      <c r="BF103" s="7">
        <v>15.562289177291177</v>
      </c>
      <c r="BG103" s="7">
        <v>0.13714285714285715</v>
      </c>
      <c r="BH103" s="7" t="s">
        <v>154</v>
      </c>
      <c r="BI103" s="7">
        <v>175</v>
      </c>
      <c r="BJ103" s="7">
        <v>24</v>
      </c>
      <c r="BK103" s="7">
        <v>24</v>
      </c>
      <c r="BL103" s="7">
        <v>24</v>
      </c>
      <c r="BM103" s="8" t="b">
        <v>1</v>
      </c>
      <c r="BN103" s="7">
        <v>156.26786867368526</v>
      </c>
      <c r="BO103" s="7">
        <v>0.7389257142857143</v>
      </c>
      <c r="BP103" s="7">
        <v>42.764850494540049</v>
      </c>
      <c r="BQ103" s="7">
        <v>0.13714285714285715</v>
      </c>
      <c r="BR103" s="7" t="s">
        <v>154</v>
      </c>
      <c r="BS103" s="7">
        <v>175</v>
      </c>
      <c r="BT103" s="7">
        <v>24</v>
      </c>
      <c r="BU103" s="7">
        <v>24</v>
      </c>
      <c r="BV103" s="7">
        <v>24</v>
      </c>
      <c r="BW103" s="7" t="s">
        <v>949</v>
      </c>
      <c r="BX103" s="8" t="b">
        <v>1</v>
      </c>
      <c r="BY103" s="7">
        <v>0</v>
      </c>
      <c r="BZ103" s="7">
        <v>0</v>
      </c>
      <c r="CA103" s="7">
        <v>46235.864583333336</v>
      </c>
      <c r="CB103" s="7">
        <v>46235.854166666664</v>
      </c>
      <c r="CC103" s="7">
        <v>2.2310559006211176E-3</v>
      </c>
      <c r="CD103" s="7">
        <v>32.845568238509522</v>
      </c>
      <c r="CE103" s="7">
        <v>32.04238811428592</v>
      </c>
      <c r="CF103" s="7">
        <v>662.24534522516342</v>
      </c>
      <c r="CG103" s="7">
        <v>0.3125</v>
      </c>
      <c r="CH103" s="7" t="s">
        <v>150</v>
      </c>
      <c r="CI103" s="7">
        <v>128</v>
      </c>
      <c r="CJ103" s="8" t="b">
        <v>1</v>
      </c>
      <c r="CK103" s="7">
        <v>40</v>
      </c>
      <c r="CL103" s="7">
        <v>40</v>
      </c>
      <c r="CM103" s="7">
        <v>40</v>
      </c>
      <c r="CN103" s="8" t="b">
        <v>0</v>
      </c>
      <c r="CO103" s="7" t="s">
        <v>785</v>
      </c>
      <c r="CP103" s="7">
        <v>876.84035357067989</v>
      </c>
    </row>
    <row r="104" spans="1:94" ht="21" customHeight="1" x14ac:dyDescent="0.45">
      <c r="A104" s="9">
        <v>46235.864583333336</v>
      </c>
      <c r="B104" s="9">
        <v>46235.875</v>
      </c>
      <c r="C104" s="9">
        <v>46235.989583333336</v>
      </c>
      <c r="D104" s="10">
        <v>46235</v>
      </c>
      <c r="E104" s="7">
        <v>0.25</v>
      </c>
      <c r="F104" s="7" t="s">
        <v>770</v>
      </c>
      <c r="G104" s="9">
        <v>46235.833333333336</v>
      </c>
      <c r="H104" s="7">
        <v>169.1</v>
      </c>
      <c r="I104" s="7" t="s">
        <v>950</v>
      </c>
      <c r="J104" s="7">
        <v>15</v>
      </c>
      <c r="K104" s="7" t="s">
        <v>790</v>
      </c>
      <c r="L104" s="10">
        <v>46234</v>
      </c>
      <c r="M104" s="7">
        <v>5.2473000000000001</v>
      </c>
      <c r="N104" s="7" t="s">
        <v>773</v>
      </c>
      <c r="O104" s="7">
        <v>131.96799999999999</v>
      </c>
      <c r="P104" s="7" t="s">
        <v>945</v>
      </c>
      <c r="Q104" s="7" t="s">
        <v>775</v>
      </c>
      <c r="R104" s="7">
        <v>66.224534522516336</v>
      </c>
      <c r="S104" s="7" t="s">
        <v>776</v>
      </c>
      <c r="T104" s="7">
        <v>175</v>
      </c>
      <c r="U104" s="7" t="s">
        <v>946</v>
      </c>
      <c r="V104" s="7" t="s">
        <v>775</v>
      </c>
      <c r="W104" s="7">
        <v>7.1274750824233415</v>
      </c>
      <c r="X104" s="7" t="s">
        <v>776</v>
      </c>
      <c r="Y104" s="7">
        <v>175</v>
      </c>
      <c r="Z104" s="7" t="s">
        <v>947</v>
      </c>
      <c r="AA104" s="7" t="s">
        <v>775</v>
      </c>
      <c r="AB104" s="7">
        <v>2.5937148628818627</v>
      </c>
      <c r="AC104" s="7" t="s">
        <v>776</v>
      </c>
      <c r="AD104" s="7"/>
      <c r="AE104" s="7" t="s">
        <v>779</v>
      </c>
      <c r="AF104" s="7"/>
      <c r="AG104" s="7">
        <v>198.77746650658435</v>
      </c>
      <c r="AH104" s="7" t="s">
        <v>776</v>
      </c>
      <c r="AI104" s="7">
        <v>2.141</v>
      </c>
      <c r="AJ104" s="7">
        <v>77.182551026242066</v>
      </c>
      <c r="AK104" s="7" t="s">
        <v>776</v>
      </c>
      <c r="AL104" s="7">
        <v>0.126</v>
      </c>
      <c r="AM104" s="7" t="s">
        <v>780</v>
      </c>
      <c r="AN104" s="7" t="s">
        <v>781</v>
      </c>
      <c r="AO104" s="7" t="s">
        <v>782</v>
      </c>
      <c r="AP104" s="7">
        <v>4.8937142857142797E-2</v>
      </c>
      <c r="AQ104" s="7">
        <v>2.8800000000000002E-3</v>
      </c>
      <c r="AR104" s="7">
        <v>5.1817142857142798E-2</v>
      </c>
      <c r="AS104" s="8" t="b">
        <v>1</v>
      </c>
      <c r="AT104" s="8" t="b">
        <v>1</v>
      </c>
      <c r="AU104" s="8" t="b">
        <v>1</v>
      </c>
      <c r="AV104" s="8" t="b">
        <v>1</v>
      </c>
      <c r="AW104" s="8" t="b">
        <v>1</v>
      </c>
      <c r="AX104" s="8" t="b">
        <v>1</v>
      </c>
      <c r="AY104" s="8" t="b">
        <v>1</v>
      </c>
      <c r="AZ104" s="8" t="b">
        <v>1</v>
      </c>
      <c r="BA104" s="7" t="s">
        <v>783</v>
      </c>
      <c r="BB104" s="7" t="s">
        <v>783</v>
      </c>
      <c r="BC104" s="7" t="s">
        <v>784</v>
      </c>
      <c r="BD104" s="7">
        <v>-1.333714481733463</v>
      </c>
      <c r="BE104" s="7">
        <v>1.728E-2</v>
      </c>
      <c r="BF104" s="7">
        <v>15.562289177291177</v>
      </c>
      <c r="BG104" s="7">
        <v>0.13714285714285715</v>
      </c>
      <c r="BH104" s="7" t="s">
        <v>154</v>
      </c>
      <c r="BI104" s="7">
        <v>175</v>
      </c>
      <c r="BJ104" s="7">
        <v>24</v>
      </c>
      <c r="BK104" s="7">
        <v>24</v>
      </c>
      <c r="BL104" s="7">
        <v>24</v>
      </c>
      <c r="BM104" s="8" t="b">
        <v>1</v>
      </c>
      <c r="BN104" s="7">
        <v>58.365607651281891</v>
      </c>
      <c r="BO104" s="7">
        <v>0.29362285714285719</v>
      </c>
      <c r="BP104" s="7">
        <v>42.764850494540049</v>
      </c>
      <c r="BQ104" s="7">
        <v>0.13714285714285715</v>
      </c>
      <c r="BR104" s="7" t="s">
        <v>154</v>
      </c>
      <c r="BS104" s="7">
        <v>175</v>
      </c>
      <c r="BT104" s="7">
        <v>24</v>
      </c>
      <c r="BU104" s="7">
        <v>24</v>
      </c>
      <c r="BV104" s="7">
        <v>24</v>
      </c>
      <c r="BW104" s="7" t="s">
        <v>950</v>
      </c>
      <c r="BX104" s="8" t="b">
        <v>1</v>
      </c>
      <c r="BY104" s="7">
        <v>0</v>
      </c>
      <c r="BZ104" s="7">
        <v>0</v>
      </c>
      <c r="CA104" s="7">
        <v>46235.875</v>
      </c>
      <c r="CB104" s="7">
        <v>46235.864583333336</v>
      </c>
      <c r="CC104" s="7">
        <v>9.3070244306418229E-4</v>
      </c>
      <c r="CD104" s="7">
        <v>32.04238811428592</v>
      </c>
      <c r="CE104" s="7">
        <v>31.739130434782815</v>
      </c>
      <c r="CF104" s="7">
        <v>662.24534522516342</v>
      </c>
      <c r="CG104" s="7">
        <v>0.3125</v>
      </c>
      <c r="CH104" s="7" t="s">
        <v>150</v>
      </c>
      <c r="CI104" s="7">
        <v>128</v>
      </c>
      <c r="CJ104" s="8" t="b">
        <v>1</v>
      </c>
      <c r="CK104" s="7">
        <v>40</v>
      </c>
      <c r="CL104" s="7">
        <v>40</v>
      </c>
      <c r="CM104" s="7">
        <v>40</v>
      </c>
      <c r="CN104" s="8" t="b">
        <v>0</v>
      </c>
      <c r="CO104" s="7" t="s">
        <v>785</v>
      </c>
      <c r="CP104" s="7">
        <v>777.60437806654306</v>
      </c>
    </row>
    <row r="105" spans="1:94" ht="21" customHeight="1" x14ac:dyDescent="0.45">
      <c r="A105" s="9">
        <v>46235.875</v>
      </c>
      <c r="B105" s="9">
        <v>46235.885416666664</v>
      </c>
      <c r="C105" s="9">
        <v>46236</v>
      </c>
      <c r="D105" s="10">
        <v>46236</v>
      </c>
      <c r="E105" s="7">
        <v>0.25</v>
      </c>
      <c r="F105" s="7" t="s">
        <v>770</v>
      </c>
      <c r="G105" s="9">
        <v>46235.875</v>
      </c>
      <c r="H105" s="7">
        <v>172.11</v>
      </c>
      <c r="I105" s="7" t="s">
        <v>951</v>
      </c>
      <c r="J105" s="7">
        <v>15</v>
      </c>
      <c r="K105" s="7" t="s">
        <v>790</v>
      </c>
      <c r="L105" s="10">
        <v>46234</v>
      </c>
      <c r="M105" s="7">
        <v>5.2473000000000001</v>
      </c>
      <c r="N105" s="7" t="s">
        <v>773</v>
      </c>
      <c r="O105" s="7">
        <v>131.96799999999999</v>
      </c>
      <c r="P105" s="7" t="s">
        <v>952</v>
      </c>
      <c r="Q105" s="7" t="s">
        <v>775</v>
      </c>
      <c r="R105" s="7">
        <v>66.224534522516336</v>
      </c>
      <c r="S105" s="7" t="s">
        <v>776</v>
      </c>
      <c r="T105" s="7">
        <v>175</v>
      </c>
      <c r="U105" s="7" t="s">
        <v>953</v>
      </c>
      <c r="V105" s="7" t="s">
        <v>775</v>
      </c>
      <c r="W105" s="7">
        <v>7.1274750824233415</v>
      </c>
      <c r="X105" s="7" t="s">
        <v>776</v>
      </c>
      <c r="Y105" s="7">
        <v>175</v>
      </c>
      <c r="Z105" s="7" t="s">
        <v>954</v>
      </c>
      <c r="AA105" s="7" t="s">
        <v>775</v>
      </c>
      <c r="AB105" s="7">
        <v>2.7061536409200921</v>
      </c>
      <c r="AC105" s="7" t="s">
        <v>776</v>
      </c>
      <c r="AD105" s="7"/>
      <c r="AE105" s="7" t="s">
        <v>779</v>
      </c>
      <c r="AF105" s="7"/>
      <c r="AG105" s="7">
        <v>184.11030434699751</v>
      </c>
      <c r="AH105" s="7" t="s">
        <v>776</v>
      </c>
      <c r="AI105" s="7">
        <v>2.2890000000000001</v>
      </c>
      <c r="AJ105" s="7">
        <v>77.182551026242066</v>
      </c>
      <c r="AK105" s="7" t="s">
        <v>776</v>
      </c>
      <c r="AL105" s="7">
        <v>0.35299999999999998</v>
      </c>
      <c r="AM105" s="7" t="s">
        <v>780</v>
      </c>
      <c r="AN105" s="7" t="s">
        <v>781</v>
      </c>
      <c r="AO105" s="7" t="s">
        <v>782</v>
      </c>
      <c r="AP105" s="7">
        <v>5.2319999999999998E-2</v>
      </c>
      <c r="AQ105" s="7">
        <v>8.0685714285714007E-3</v>
      </c>
      <c r="AR105" s="7">
        <v>6.0388571428571403E-2</v>
      </c>
      <c r="AS105" s="8" t="b">
        <v>1</v>
      </c>
      <c r="AT105" s="8" t="b">
        <v>1</v>
      </c>
      <c r="AU105" s="8" t="b">
        <v>1</v>
      </c>
      <c r="AV105" s="8" t="b">
        <v>1</v>
      </c>
      <c r="AW105" s="8" t="b">
        <v>1</v>
      </c>
      <c r="AX105" s="8" t="b">
        <v>1</v>
      </c>
      <c r="AY105" s="8" t="b">
        <v>1</v>
      </c>
      <c r="AZ105" s="8" t="b">
        <v>1</v>
      </c>
      <c r="BA105" s="7" t="s">
        <v>783</v>
      </c>
      <c r="BB105" s="7" t="s">
        <v>783</v>
      </c>
      <c r="BC105" s="7" t="s">
        <v>784</v>
      </c>
      <c r="BD105" s="7">
        <v>-3.7365175559675587</v>
      </c>
      <c r="BE105" s="7">
        <v>4.8411428571428571E-2</v>
      </c>
      <c r="BF105" s="7">
        <v>16.236921845520552</v>
      </c>
      <c r="BG105" s="7">
        <v>0.13714285714285715</v>
      </c>
      <c r="BH105" s="7" t="s">
        <v>154</v>
      </c>
      <c r="BI105" s="7">
        <v>175</v>
      </c>
      <c r="BJ105" s="7">
        <v>24</v>
      </c>
      <c r="BK105" s="7">
        <v>24</v>
      </c>
      <c r="BL105" s="7">
        <v>24</v>
      </c>
      <c r="BM105" s="8" t="b">
        <v>1</v>
      </c>
      <c r="BN105" s="7">
        <v>57.795906740609468</v>
      </c>
      <c r="BO105" s="7">
        <v>0.31392000000000003</v>
      </c>
      <c r="BP105" s="7">
        <v>42.764850494540049</v>
      </c>
      <c r="BQ105" s="7">
        <v>0.13714285714285715</v>
      </c>
      <c r="BR105" s="7" t="s">
        <v>154</v>
      </c>
      <c r="BS105" s="7">
        <v>175</v>
      </c>
      <c r="BT105" s="7">
        <v>24</v>
      </c>
      <c r="BU105" s="7">
        <v>24</v>
      </c>
      <c r="BV105" s="7">
        <v>24</v>
      </c>
      <c r="BW105" s="7" t="s">
        <v>951</v>
      </c>
      <c r="BX105" s="8" t="b">
        <v>1</v>
      </c>
      <c r="BY105" s="7">
        <v>-794.20277098078236</v>
      </c>
      <c r="BZ105" s="7">
        <v>-18.458027330911214</v>
      </c>
      <c r="CA105" s="7">
        <v>46235.885416666664</v>
      </c>
      <c r="CB105" s="7">
        <v>46235.875</v>
      </c>
      <c r="CC105" s="7">
        <v>1.1518224102056879E-2</v>
      </c>
      <c r="CD105" s="7">
        <v>31.739130434782815</v>
      </c>
      <c r="CE105" s="7">
        <v>35.728106323454419</v>
      </c>
      <c r="CF105" s="7">
        <v>662.24534522516342</v>
      </c>
      <c r="CG105" s="7">
        <v>0.3125</v>
      </c>
      <c r="CH105" s="7" t="s">
        <v>150</v>
      </c>
      <c r="CI105" s="7">
        <v>128</v>
      </c>
      <c r="CJ105" s="8" t="b">
        <v>1</v>
      </c>
      <c r="CK105" s="7">
        <v>40</v>
      </c>
      <c r="CL105" s="7">
        <v>40</v>
      </c>
      <c r="CM105" s="7">
        <v>40</v>
      </c>
      <c r="CN105" s="8" t="b">
        <v>0</v>
      </c>
      <c r="CO105" s="7" t="s">
        <v>955</v>
      </c>
      <c r="CP105" s="7">
        <v>-18.896264230916433</v>
      </c>
    </row>
    <row r="106" spans="1:94" ht="21" customHeight="1" x14ac:dyDescent="0.45">
      <c r="A106" s="9">
        <v>46235.885416666664</v>
      </c>
      <c r="B106" s="9">
        <v>46235.895833333336</v>
      </c>
      <c r="C106" s="9">
        <v>46236.010416666664</v>
      </c>
      <c r="D106" s="10">
        <v>46236</v>
      </c>
      <c r="E106" s="7">
        <v>0.25</v>
      </c>
      <c r="F106" s="7" t="s">
        <v>770</v>
      </c>
      <c r="G106" s="9">
        <v>46235.875</v>
      </c>
      <c r="H106" s="7">
        <v>171.94</v>
      </c>
      <c r="I106" s="7" t="s">
        <v>956</v>
      </c>
      <c r="J106" s="7">
        <v>15</v>
      </c>
      <c r="K106" s="7" t="s">
        <v>790</v>
      </c>
      <c r="L106" s="10">
        <v>46234</v>
      </c>
      <c r="M106" s="7">
        <v>5.2473000000000001</v>
      </c>
      <c r="N106" s="7" t="s">
        <v>773</v>
      </c>
      <c r="O106" s="7">
        <v>131.96799999999999</v>
      </c>
      <c r="P106" s="7" t="s">
        <v>952</v>
      </c>
      <c r="Q106" s="7" t="s">
        <v>775</v>
      </c>
      <c r="R106" s="7">
        <v>66.224534522516336</v>
      </c>
      <c r="S106" s="7" t="s">
        <v>776</v>
      </c>
      <c r="T106" s="7">
        <v>175</v>
      </c>
      <c r="U106" s="7" t="s">
        <v>953</v>
      </c>
      <c r="V106" s="7" t="s">
        <v>775</v>
      </c>
      <c r="W106" s="7">
        <v>7.1274750824233415</v>
      </c>
      <c r="X106" s="7" t="s">
        <v>776</v>
      </c>
      <c r="Y106" s="7">
        <v>175</v>
      </c>
      <c r="Z106" s="7" t="s">
        <v>954</v>
      </c>
      <c r="AA106" s="7" t="s">
        <v>775</v>
      </c>
      <c r="AB106" s="7">
        <v>2.7061536409200921</v>
      </c>
      <c r="AC106" s="7" t="s">
        <v>776</v>
      </c>
      <c r="AD106" s="7"/>
      <c r="AE106" s="7" t="s">
        <v>779</v>
      </c>
      <c r="AF106" s="7"/>
      <c r="AG106" s="7">
        <v>0</v>
      </c>
      <c r="AH106" s="7" t="s">
        <v>776</v>
      </c>
      <c r="AI106" s="7">
        <v>0</v>
      </c>
      <c r="AJ106" s="7">
        <v>70.316734320507692</v>
      </c>
      <c r="AK106" s="7" t="s">
        <v>776</v>
      </c>
      <c r="AL106" s="7">
        <v>5.6159999999999997</v>
      </c>
      <c r="AM106" s="7" t="s">
        <v>780</v>
      </c>
      <c r="AN106" s="7" t="s">
        <v>781</v>
      </c>
      <c r="AO106" s="7" t="s">
        <v>782</v>
      </c>
      <c r="AP106" s="7">
        <v>0</v>
      </c>
      <c r="AQ106" s="7">
        <v>0.12836571428571419</v>
      </c>
      <c r="AR106" s="7">
        <v>0.12836571428571419</v>
      </c>
      <c r="AS106" s="8" t="b">
        <v>1</v>
      </c>
      <c r="AT106" s="8" t="b">
        <v>1</v>
      </c>
      <c r="AU106" s="8" t="b">
        <v>1</v>
      </c>
      <c r="AV106" s="8" t="b">
        <v>1</v>
      </c>
      <c r="AW106" s="8" t="b">
        <v>1</v>
      </c>
      <c r="AX106" s="8" t="b">
        <v>1</v>
      </c>
      <c r="AY106" s="8" t="b">
        <v>1</v>
      </c>
      <c r="AZ106" s="8" t="b">
        <v>1</v>
      </c>
      <c r="BA106" s="7" t="s">
        <v>783</v>
      </c>
      <c r="BB106" s="7" t="s">
        <v>783</v>
      </c>
      <c r="BC106" s="7" t="s">
        <v>784</v>
      </c>
      <c r="BD106" s="7">
        <v>-54.157546963744615</v>
      </c>
      <c r="BE106" s="7">
        <v>0.77019428571428561</v>
      </c>
      <c r="BF106" s="7">
        <v>16.236921845520552</v>
      </c>
      <c r="BG106" s="7">
        <v>0.13714285714285715</v>
      </c>
      <c r="BH106" s="7" t="s">
        <v>154</v>
      </c>
      <c r="BI106" s="7">
        <v>175</v>
      </c>
      <c r="BJ106" s="7">
        <v>24</v>
      </c>
      <c r="BK106" s="7">
        <v>24</v>
      </c>
      <c r="BL106" s="7">
        <v>24</v>
      </c>
      <c r="BM106" s="8" t="b">
        <v>1</v>
      </c>
      <c r="BN106" s="7">
        <v>0</v>
      </c>
      <c r="BO106" s="7">
        <v>0</v>
      </c>
      <c r="BP106" s="7">
        <v>42.764850494540049</v>
      </c>
      <c r="BQ106" s="7">
        <v>0.13714285714285715</v>
      </c>
      <c r="BR106" s="7" t="s">
        <v>154</v>
      </c>
      <c r="BS106" s="7">
        <v>175</v>
      </c>
      <c r="BT106" s="7">
        <v>24</v>
      </c>
      <c r="BU106" s="7">
        <v>24</v>
      </c>
      <c r="BV106" s="7">
        <v>24</v>
      </c>
      <c r="BW106" s="7" t="s">
        <v>956</v>
      </c>
      <c r="BX106" s="8" t="b">
        <v>1</v>
      </c>
      <c r="BY106" s="7">
        <v>0</v>
      </c>
      <c r="BZ106" s="7">
        <v>0</v>
      </c>
      <c r="CA106" s="7">
        <v>46235.895833333336</v>
      </c>
      <c r="CB106" s="7">
        <v>46235.885416666664</v>
      </c>
      <c r="CC106" s="7">
        <v>1.9682742857142855E-3</v>
      </c>
      <c r="CD106" s="7">
        <v>35.728106323454419</v>
      </c>
      <c r="CE106" s="7">
        <v>36.436685066311561</v>
      </c>
      <c r="CF106" s="7">
        <v>662.24534522516342</v>
      </c>
      <c r="CG106" s="7">
        <v>0.3125</v>
      </c>
      <c r="CH106" s="7" t="s">
        <v>150</v>
      </c>
      <c r="CI106" s="7">
        <v>128</v>
      </c>
      <c r="CJ106" s="8" t="b">
        <v>1</v>
      </c>
      <c r="CK106" s="7">
        <v>40</v>
      </c>
      <c r="CL106" s="7">
        <v>40</v>
      </c>
      <c r="CM106" s="7">
        <v>40</v>
      </c>
      <c r="CN106" s="8" t="b">
        <v>0</v>
      </c>
      <c r="CO106" s="7" t="s">
        <v>955</v>
      </c>
      <c r="CP106" s="7">
        <v>667.08957060147941</v>
      </c>
    </row>
    <row r="107" spans="1:94" ht="21" customHeight="1" x14ac:dyDescent="0.45">
      <c r="A107" s="9">
        <v>46235.895833333336</v>
      </c>
      <c r="B107" s="9">
        <v>46235.90625</v>
      </c>
      <c r="C107" s="9">
        <v>46236.020833333336</v>
      </c>
      <c r="D107" s="10">
        <v>46236</v>
      </c>
      <c r="E107" s="7">
        <v>0.25</v>
      </c>
      <c r="F107" s="7" t="s">
        <v>770</v>
      </c>
      <c r="G107" s="9">
        <v>46235.875</v>
      </c>
      <c r="H107" s="7">
        <v>171.23</v>
      </c>
      <c r="I107" s="7" t="s">
        <v>957</v>
      </c>
      <c r="J107" s="7">
        <v>15</v>
      </c>
      <c r="K107" s="7" t="s">
        <v>790</v>
      </c>
      <c r="L107" s="10">
        <v>46234</v>
      </c>
      <c r="M107" s="7">
        <v>5.2473000000000001</v>
      </c>
      <c r="N107" s="7" t="s">
        <v>773</v>
      </c>
      <c r="O107" s="7">
        <v>131.96799999999999</v>
      </c>
      <c r="P107" s="7" t="s">
        <v>952</v>
      </c>
      <c r="Q107" s="7" t="s">
        <v>775</v>
      </c>
      <c r="R107" s="7">
        <v>66.224534522516336</v>
      </c>
      <c r="S107" s="7" t="s">
        <v>776</v>
      </c>
      <c r="T107" s="7">
        <v>175</v>
      </c>
      <c r="U107" s="7" t="s">
        <v>953</v>
      </c>
      <c r="V107" s="7" t="s">
        <v>775</v>
      </c>
      <c r="W107" s="7">
        <v>7.1274750824233415</v>
      </c>
      <c r="X107" s="7" t="s">
        <v>776</v>
      </c>
      <c r="Y107" s="7">
        <v>175</v>
      </c>
      <c r="Z107" s="7" t="s">
        <v>954</v>
      </c>
      <c r="AA107" s="7" t="s">
        <v>775</v>
      </c>
      <c r="AB107" s="7">
        <v>2.7061536409200921</v>
      </c>
      <c r="AC107" s="7" t="s">
        <v>776</v>
      </c>
      <c r="AD107" s="7"/>
      <c r="AE107" s="7" t="s">
        <v>779</v>
      </c>
      <c r="AF107" s="7"/>
      <c r="AG107" s="7">
        <v>176.42482800678445</v>
      </c>
      <c r="AH107" s="7" t="s">
        <v>776</v>
      </c>
      <c r="AI107" s="7">
        <v>0.871</v>
      </c>
      <c r="AJ107" s="7">
        <v>70.125588397842705</v>
      </c>
      <c r="AK107" s="7" t="s">
        <v>776</v>
      </c>
      <c r="AL107" s="7">
        <v>1.2390000000000001</v>
      </c>
      <c r="AM107" s="7" t="s">
        <v>780</v>
      </c>
      <c r="AN107" s="7" t="s">
        <v>781</v>
      </c>
      <c r="AO107" s="7" t="s">
        <v>782</v>
      </c>
      <c r="AP107" s="7">
        <v>1.99085714285714E-2</v>
      </c>
      <c r="AQ107" s="7">
        <v>2.8320000000000001E-2</v>
      </c>
      <c r="AR107" s="7">
        <v>4.8228571428571398E-2</v>
      </c>
      <c r="AS107" s="8" t="b">
        <v>1</v>
      </c>
      <c r="AT107" s="8" t="b">
        <v>1</v>
      </c>
      <c r="AU107" s="8" t="b">
        <v>1</v>
      </c>
      <c r="AV107" s="8" t="b">
        <v>1</v>
      </c>
      <c r="AW107" s="8" t="b">
        <v>1</v>
      </c>
      <c r="AX107" s="8" t="b">
        <v>1</v>
      </c>
      <c r="AY107" s="8" t="b">
        <v>1</v>
      </c>
      <c r="AZ107" s="8" t="b">
        <v>1</v>
      </c>
      <c r="BA107" s="7" t="s">
        <v>783</v>
      </c>
      <c r="BB107" s="7" t="s">
        <v>783</v>
      </c>
      <c r="BC107" s="7" t="s">
        <v>784</v>
      </c>
      <c r="BD107" s="7">
        <v>-11.915739980561433</v>
      </c>
      <c r="BE107" s="7">
        <v>0.16992000000000002</v>
      </c>
      <c r="BF107" s="7">
        <v>16.236921845520552</v>
      </c>
      <c r="BG107" s="7">
        <v>0.13714285714285715</v>
      </c>
      <c r="BH107" s="7" t="s">
        <v>154</v>
      </c>
      <c r="BI107" s="7">
        <v>175</v>
      </c>
      <c r="BJ107" s="7">
        <v>24</v>
      </c>
      <c r="BK107" s="7">
        <v>24</v>
      </c>
      <c r="BL107" s="7">
        <v>24</v>
      </c>
      <c r="BM107" s="8" t="b">
        <v>1</v>
      </c>
      <c r="BN107" s="7">
        <v>21.074197740878983</v>
      </c>
      <c r="BO107" s="7">
        <v>0.11945142857142857</v>
      </c>
      <c r="BP107" s="7">
        <v>42.764850494540049</v>
      </c>
      <c r="BQ107" s="7">
        <v>0.13714285714285715</v>
      </c>
      <c r="BR107" s="7" t="s">
        <v>154</v>
      </c>
      <c r="BS107" s="7">
        <v>175</v>
      </c>
      <c r="BT107" s="7">
        <v>24</v>
      </c>
      <c r="BU107" s="7">
        <v>24</v>
      </c>
      <c r="BV107" s="7">
        <v>24</v>
      </c>
      <c r="BW107" s="7" t="s">
        <v>957</v>
      </c>
      <c r="BX107" s="8" t="b">
        <v>1</v>
      </c>
      <c r="BY107" s="7">
        <v>0</v>
      </c>
      <c r="BZ107" s="7">
        <v>0</v>
      </c>
      <c r="CA107" s="7">
        <v>46235.90625</v>
      </c>
      <c r="CB107" s="7">
        <v>46235.895833333336</v>
      </c>
      <c r="CC107" s="7">
        <v>7.949025258799172E-4</v>
      </c>
      <c r="CD107" s="7">
        <v>36.436685066311561</v>
      </c>
      <c r="CE107" s="7">
        <v>36.463172956994789</v>
      </c>
      <c r="CF107" s="7">
        <v>662.24534522516342</v>
      </c>
      <c r="CG107" s="7">
        <v>0.3125</v>
      </c>
      <c r="CH107" s="7" t="s">
        <v>150</v>
      </c>
      <c r="CI107" s="7">
        <v>128</v>
      </c>
      <c r="CJ107" s="8" t="b">
        <v>1</v>
      </c>
      <c r="CK107" s="7">
        <v>40</v>
      </c>
      <c r="CL107" s="7">
        <v>40</v>
      </c>
      <c r="CM107" s="7">
        <v>40</v>
      </c>
      <c r="CN107" s="8" t="b">
        <v>0</v>
      </c>
      <c r="CO107" s="7" t="s">
        <v>955</v>
      </c>
      <c r="CP107" s="7">
        <v>730.40557532554158</v>
      </c>
    </row>
    <row r="108" spans="1:94" ht="21" customHeight="1" x14ac:dyDescent="0.45">
      <c r="A108" s="9">
        <v>46235.90625</v>
      </c>
      <c r="B108" s="9">
        <v>46235.916666666664</v>
      </c>
      <c r="C108" s="9">
        <v>46236.03125</v>
      </c>
      <c r="D108" s="10">
        <v>46236</v>
      </c>
      <c r="E108" s="7">
        <v>0.25</v>
      </c>
      <c r="F108" s="7" t="s">
        <v>770</v>
      </c>
      <c r="G108" s="9">
        <v>46235.875</v>
      </c>
      <c r="H108" s="7">
        <v>164.72</v>
      </c>
      <c r="I108" s="7" t="s">
        <v>958</v>
      </c>
      <c r="J108" s="7">
        <v>15</v>
      </c>
      <c r="K108" s="7" t="s">
        <v>790</v>
      </c>
      <c r="L108" s="10">
        <v>46234</v>
      </c>
      <c r="M108" s="7">
        <v>5.2473000000000001</v>
      </c>
      <c r="N108" s="7" t="s">
        <v>773</v>
      </c>
      <c r="O108" s="7">
        <v>131.96799999999999</v>
      </c>
      <c r="P108" s="7" t="s">
        <v>952</v>
      </c>
      <c r="Q108" s="7" t="s">
        <v>775</v>
      </c>
      <c r="R108" s="7">
        <v>66.224534522516336</v>
      </c>
      <c r="S108" s="7" t="s">
        <v>776</v>
      </c>
      <c r="T108" s="7">
        <v>175</v>
      </c>
      <c r="U108" s="7" t="s">
        <v>953</v>
      </c>
      <c r="V108" s="7" t="s">
        <v>775</v>
      </c>
      <c r="W108" s="7">
        <v>7.1274750824233415</v>
      </c>
      <c r="X108" s="7" t="s">
        <v>776</v>
      </c>
      <c r="Y108" s="7">
        <v>175</v>
      </c>
      <c r="Z108" s="7" t="s">
        <v>954</v>
      </c>
      <c r="AA108" s="7" t="s">
        <v>775</v>
      </c>
      <c r="AB108" s="7">
        <v>2.7061536409200921</v>
      </c>
      <c r="AC108" s="7" t="s">
        <v>776</v>
      </c>
      <c r="AD108" s="7"/>
      <c r="AE108" s="7" t="s">
        <v>779</v>
      </c>
      <c r="AF108" s="7"/>
      <c r="AG108" s="7">
        <v>157.46479141653802</v>
      </c>
      <c r="AH108" s="7" t="s">
        <v>776</v>
      </c>
      <c r="AI108" s="7">
        <v>0.14699999999999999</v>
      </c>
      <c r="AJ108" s="7">
        <v>76.98549730337507</v>
      </c>
      <c r="AK108" s="7" t="s">
        <v>776</v>
      </c>
      <c r="AL108" s="7">
        <v>1.01</v>
      </c>
      <c r="AM108" s="7" t="s">
        <v>780</v>
      </c>
      <c r="AN108" s="7" t="s">
        <v>781</v>
      </c>
      <c r="AO108" s="7" t="s">
        <v>782</v>
      </c>
      <c r="AP108" s="7">
        <v>3.3599999999999E-3</v>
      </c>
      <c r="AQ108" s="7">
        <v>2.3085714285714199E-2</v>
      </c>
      <c r="AR108" s="7">
        <v>2.6445714285714201E-2</v>
      </c>
      <c r="AS108" s="8" t="b">
        <v>1</v>
      </c>
      <c r="AT108" s="8" t="b">
        <v>1</v>
      </c>
      <c r="AU108" s="8" t="b">
        <v>1</v>
      </c>
      <c r="AV108" s="8" t="b">
        <v>1</v>
      </c>
      <c r="AW108" s="8" t="b">
        <v>1</v>
      </c>
      <c r="AX108" s="8" t="b">
        <v>1</v>
      </c>
      <c r="AY108" s="8" t="b">
        <v>1</v>
      </c>
      <c r="AZ108" s="8" t="b">
        <v>1</v>
      </c>
      <c r="BA108" s="7" t="s">
        <v>783</v>
      </c>
      <c r="BB108" s="7" t="s">
        <v>783</v>
      </c>
      <c r="BC108" s="7" t="s">
        <v>784</v>
      </c>
      <c r="BD108" s="7">
        <v>-10.663591169336065</v>
      </c>
      <c r="BE108" s="7">
        <v>0.1385142857142857</v>
      </c>
      <c r="BF108" s="7">
        <v>16.236921845520552</v>
      </c>
      <c r="BG108" s="7">
        <v>0.13714285714285715</v>
      </c>
      <c r="BH108" s="7" t="s">
        <v>154</v>
      </c>
      <c r="BI108" s="7">
        <v>175</v>
      </c>
      <c r="BJ108" s="7">
        <v>24</v>
      </c>
      <c r="BK108" s="7">
        <v>24</v>
      </c>
      <c r="BL108" s="7">
        <v>24</v>
      </c>
      <c r="BM108" s="8" t="b">
        <v>1</v>
      </c>
      <c r="BN108" s="7">
        <v>3.1744901949574063</v>
      </c>
      <c r="BO108" s="7">
        <v>2.0159999999999997E-2</v>
      </c>
      <c r="BP108" s="7">
        <v>42.764850494540049</v>
      </c>
      <c r="BQ108" s="7">
        <v>0.13714285714285715</v>
      </c>
      <c r="BR108" s="7" t="s">
        <v>154</v>
      </c>
      <c r="BS108" s="7">
        <v>175</v>
      </c>
      <c r="BT108" s="7">
        <v>24</v>
      </c>
      <c r="BU108" s="7">
        <v>24</v>
      </c>
      <c r="BV108" s="7">
        <v>24</v>
      </c>
      <c r="BW108" s="7" t="s">
        <v>958</v>
      </c>
      <c r="BX108" s="8" t="b">
        <v>1</v>
      </c>
      <c r="BY108" s="7">
        <v>0</v>
      </c>
      <c r="BZ108" s="7">
        <v>0</v>
      </c>
      <c r="CA108" s="7">
        <v>46235.916666666664</v>
      </c>
      <c r="CB108" s="7">
        <v>46235.90625</v>
      </c>
      <c r="CC108" s="7">
        <v>4.1485051759834366E-4</v>
      </c>
      <c r="CD108" s="7">
        <v>36.463172956994789</v>
      </c>
      <c r="CE108" s="7">
        <v>36.568693056373668</v>
      </c>
      <c r="CF108" s="7">
        <v>662.24534522516342</v>
      </c>
      <c r="CG108" s="7">
        <v>0.3125</v>
      </c>
      <c r="CH108" s="7" t="s">
        <v>150</v>
      </c>
      <c r="CI108" s="7">
        <v>128</v>
      </c>
      <c r="CJ108" s="8" t="b">
        <v>1</v>
      </c>
      <c r="CK108" s="7">
        <v>40</v>
      </c>
      <c r="CL108" s="7">
        <v>40</v>
      </c>
      <c r="CM108" s="7">
        <v>40</v>
      </c>
      <c r="CN108" s="8" t="b">
        <v>0</v>
      </c>
      <c r="CO108" s="7" t="s">
        <v>955</v>
      </c>
      <c r="CP108" s="7">
        <v>713.75801659084539</v>
      </c>
    </row>
    <row r="109" spans="1:94" ht="21" customHeight="1" x14ac:dyDescent="0.45">
      <c r="A109" s="9">
        <v>46235.916666666664</v>
      </c>
      <c r="B109" s="9">
        <v>46235.927083333336</v>
      </c>
      <c r="C109" s="9">
        <v>46236.041666666664</v>
      </c>
      <c r="D109" s="10">
        <v>46236</v>
      </c>
      <c r="E109" s="7">
        <v>0.25</v>
      </c>
      <c r="F109" s="7" t="s">
        <v>770</v>
      </c>
      <c r="G109" s="9">
        <v>46235.916666666664</v>
      </c>
      <c r="H109" s="7">
        <v>189.01</v>
      </c>
      <c r="I109" s="7" t="s">
        <v>959</v>
      </c>
      <c r="J109" s="7">
        <v>15</v>
      </c>
      <c r="K109" s="7" t="s">
        <v>960</v>
      </c>
      <c r="L109" s="10">
        <v>46234</v>
      </c>
      <c r="M109" s="7">
        <v>5.2473000000000001</v>
      </c>
      <c r="N109" s="7" t="s">
        <v>773</v>
      </c>
      <c r="O109" s="7">
        <v>128</v>
      </c>
      <c r="P109" s="7" t="s">
        <v>961</v>
      </c>
      <c r="Q109" s="7" t="s">
        <v>775</v>
      </c>
      <c r="R109" s="7">
        <v>66.224534522516336</v>
      </c>
      <c r="S109" s="7" t="s">
        <v>776</v>
      </c>
      <c r="T109" s="7">
        <v>175</v>
      </c>
      <c r="U109" s="7" t="s">
        <v>962</v>
      </c>
      <c r="V109" s="7" t="s">
        <v>775</v>
      </c>
      <c r="W109" s="7">
        <v>7.1274750824233415</v>
      </c>
      <c r="X109" s="7" t="s">
        <v>776</v>
      </c>
      <c r="Y109" s="7">
        <v>175</v>
      </c>
      <c r="Z109" s="7" t="s">
        <v>963</v>
      </c>
      <c r="AA109" s="7" t="s">
        <v>775</v>
      </c>
      <c r="AB109" s="7">
        <v>2.7061536409200921</v>
      </c>
      <c r="AC109" s="7" t="s">
        <v>776</v>
      </c>
      <c r="AD109" s="7"/>
      <c r="AE109" s="7" t="s">
        <v>779</v>
      </c>
      <c r="AF109" s="7"/>
      <c r="AG109" s="7">
        <v>0</v>
      </c>
      <c r="AH109" s="7" t="s">
        <v>776</v>
      </c>
      <c r="AI109" s="7">
        <v>0</v>
      </c>
      <c r="AJ109" s="7">
        <v>76.829988756122191</v>
      </c>
      <c r="AK109" s="7" t="s">
        <v>776</v>
      </c>
      <c r="AL109" s="7">
        <v>6.2709999999999999</v>
      </c>
      <c r="AM109" s="7" t="s">
        <v>780</v>
      </c>
      <c r="AN109" s="7" t="s">
        <v>781</v>
      </c>
      <c r="AO109" s="7" t="s">
        <v>782</v>
      </c>
      <c r="AP109" s="7">
        <v>0</v>
      </c>
      <c r="AQ109" s="7">
        <v>0.1433371428571428</v>
      </c>
      <c r="AR109" s="7">
        <v>0.1433371428571428</v>
      </c>
      <c r="AS109" s="8" t="b">
        <v>1</v>
      </c>
      <c r="AT109" s="8" t="b">
        <v>1</v>
      </c>
      <c r="AU109" s="8" t="b">
        <v>1</v>
      </c>
      <c r="AV109" s="8" t="b">
        <v>1</v>
      </c>
      <c r="AW109" s="8" t="b">
        <v>1</v>
      </c>
      <c r="AX109" s="8" t="b">
        <v>1</v>
      </c>
      <c r="AY109" s="8" t="b">
        <v>1</v>
      </c>
      <c r="AZ109" s="8" t="b">
        <v>1</v>
      </c>
      <c r="BA109" s="7" t="s">
        <v>783</v>
      </c>
      <c r="BB109" s="7" t="s">
        <v>783</v>
      </c>
      <c r="BC109" s="7" t="s">
        <v>784</v>
      </c>
      <c r="BD109" s="7">
        <v>-66.075546444293806</v>
      </c>
      <c r="BE109" s="7">
        <v>0.8600228571428572</v>
      </c>
      <c r="BF109" s="7">
        <v>16.236921845520552</v>
      </c>
      <c r="BG109" s="7">
        <v>0.13714285714285715</v>
      </c>
      <c r="BH109" s="7" t="s">
        <v>154</v>
      </c>
      <c r="BI109" s="7">
        <v>175</v>
      </c>
      <c r="BJ109" s="7">
        <v>24</v>
      </c>
      <c r="BK109" s="7">
        <v>24</v>
      </c>
      <c r="BL109" s="7">
        <v>24</v>
      </c>
      <c r="BM109" s="8" t="b">
        <v>1</v>
      </c>
      <c r="BN109" s="7">
        <v>0</v>
      </c>
      <c r="BO109" s="7">
        <v>0</v>
      </c>
      <c r="BP109" s="7">
        <v>42.764850494540049</v>
      </c>
      <c r="BQ109" s="7">
        <v>0.13714285714285715</v>
      </c>
      <c r="BR109" s="7" t="s">
        <v>154</v>
      </c>
      <c r="BS109" s="7">
        <v>175</v>
      </c>
      <c r="BT109" s="7">
        <v>24</v>
      </c>
      <c r="BU109" s="7">
        <v>24</v>
      </c>
      <c r="BV109" s="7">
        <v>24</v>
      </c>
      <c r="BW109" s="7" t="s">
        <v>959</v>
      </c>
      <c r="BX109" s="8" t="b">
        <v>1</v>
      </c>
      <c r="BY109" s="7">
        <v>999.39687877284643</v>
      </c>
      <c r="BZ109" s="7">
        <v>21.150137638703697</v>
      </c>
      <c r="CA109" s="7">
        <v>46235.927083333336</v>
      </c>
      <c r="CB109" s="7">
        <v>46235.916666666664</v>
      </c>
      <c r="CC109" s="7">
        <v>1.3937412612936299E-2</v>
      </c>
      <c r="CD109" s="7">
        <v>36.568693056373668</v>
      </c>
      <c r="CE109" s="7">
        <v>31.739130434782588</v>
      </c>
      <c r="CF109" s="7">
        <v>662.24534522516342</v>
      </c>
      <c r="CG109" s="7">
        <v>0.3125</v>
      </c>
      <c r="CH109" s="7" t="s">
        <v>150</v>
      </c>
      <c r="CI109" s="7">
        <v>128</v>
      </c>
      <c r="CJ109" s="8" t="b">
        <v>1</v>
      </c>
      <c r="CK109" s="7">
        <v>40</v>
      </c>
      <c r="CL109" s="7">
        <v>40</v>
      </c>
      <c r="CM109" s="7">
        <v>40</v>
      </c>
      <c r="CN109" s="8" t="b">
        <v>0</v>
      </c>
      <c r="CO109" s="7" t="s">
        <v>955</v>
      </c>
      <c r="CP109" s="7">
        <v>1654.5684498937767</v>
      </c>
    </row>
    <row r="110" spans="1:94" ht="21" customHeight="1" x14ac:dyDescent="0.45">
      <c r="A110" s="9">
        <v>46235.927083333336</v>
      </c>
      <c r="B110" s="9">
        <v>46235.9375</v>
      </c>
      <c r="C110" s="9">
        <v>46236.052083333336</v>
      </c>
      <c r="D110" s="10">
        <v>46236</v>
      </c>
      <c r="E110" s="7">
        <v>0.25</v>
      </c>
      <c r="F110" s="7" t="s">
        <v>770</v>
      </c>
      <c r="G110" s="9">
        <v>46235.916666666664</v>
      </c>
      <c r="H110" s="7">
        <v>171.26</v>
      </c>
      <c r="I110" s="7" t="s">
        <v>964</v>
      </c>
      <c r="J110" s="7">
        <v>15</v>
      </c>
      <c r="K110" s="7" t="s">
        <v>960</v>
      </c>
      <c r="L110" s="10">
        <v>46234</v>
      </c>
      <c r="M110" s="7">
        <v>5.2473000000000001</v>
      </c>
      <c r="N110" s="7" t="s">
        <v>773</v>
      </c>
      <c r="O110" s="7">
        <v>128</v>
      </c>
      <c r="P110" s="7" t="s">
        <v>961</v>
      </c>
      <c r="Q110" s="7" t="s">
        <v>775</v>
      </c>
      <c r="R110" s="7">
        <v>66.224534522516336</v>
      </c>
      <c r="S110" s="7" t="s">
        <v>776</v>
      </c>
      <c r="T110" s="7">
        <v>175</v>
      </c>
      <c r="U110" s="7" t="s">
        <v>962</v>
      </c>
      <c r="V110" s="7" t="s">
        <v>775</v>
      </c>
      <c r="W110" s="7">
        <v>7.1274750824233415</v>
      </c>
      <c r="X110" s="7" t="s">
        <v>776</v>
      </c>
      <c r="Y110" s="7">
        <v>175</v>
      </c>
      <c r="Z110" s="7" t="s">
        <v>963</v>
      </c>
      <c r="AA110" s="7" t="s">
        <v>775</v>
      </c>
      <c r="AB110" s="7">
        <v>2.7061536409200921</v>
      </c>
      <c r="AC110" s="7" t="s">
        <v>776</v>
      </c>
      <c r="AD110" s="7"/>
      <c r="AE110" s="7" t="s">
        <v>779</v>
      </c>
      <c r="AF110" s="7"/>
      <c r="AG110" s="7">
        <v>152.45936005183617</v>
      </c>
      <c r="AH110" s="7" t="s">
        <v>776</v>
      </c>
      <c r="AI110" s="7">
        <v>4.0000000000000001E-3</v>
      </c>
      <c r="AJ110" s="7">
        <v>77.033712575991458</v>
      </c>
      <c r="AK110" s="7" t="s">
        <v>776</v>
      </c>
      <c r="AL110" s="7">
        <v>1.214</v>
      </c>
      <c r="AM110" s="7" t="s">
        <v>780</v>
      </c>
      <c r="AN110" s="7" t="s">
        <v>781</v>
      </c>
      <c r="AO110" s="7" t="s">
        <v>782</v>
      </c>
      <c r="AP110" s="7">
        <v>9.1428571428571446E-5</v>
      </c>
      <c r="AQ110" s="7">
        <v>2.77485714285714E-2</v>
      </c>
      <c r="AR110" s="7">
        <v>2.784E-2</v>
      </c>
      <c r="AS110" s="8" t="b">
        <v>1</v>
      </c>
      <c r="AT110" s="8" t="b">
        <v>1</v>
      </c>
      <c r="AU110" s="8" t="b">
        <v>1</v>
      </c>
      <c r="AV110" s="8" t="b">
        <v>1</v>
      </c>
      <c r="AW110" s="8" t="b">
        <v>1</v>
      </c>
      <c r="AX110" s="8" t="b">
        <v>1</v>
      </c>
      <c r="AY110" s="8" t="b">
        <v>1</v>
      </c>
      <c r="AZ110" s="8" t="b">
        <v>1</v>
      </c>
      <c r="BA110" s="7" t="s">
        <v>783</v>
      </c>
      <c r="BB110" s="7" t="s">
        <v>783</v>
      </c>
      <c r="BC110" s="7" t="s">
        <v>784</v>
      </c>
      <c r="BD110" s="7">
        <v>-12.825452854937641</v>
      </c>
      <c r="BE110" s="7">
        <v>0.16649142857142857</v>
      </c>
      <c r="BF110" s="7">
        <v>16.236921845520552</v>
      </c>
      <c r="BG110" s="7">
        <v>0.13714285714285715</v>
      </c>
      <c r="BH110" s="7" t="s">
        <v>154</v>
      </c>
      <c r="BI110" s="7">
        <v>175</v>
      </c>
      <c r="BJ110" s="7">
        <v>24</v>
      </c>
      <c r="BK110" s="7">
        <v>24</v>
      </c>
      <c r="BL110" s="7">
        <v>24</v>
      </c>
      <c r="BM110" s="8" t="b">
        <v>1</v>
      </c>
      <c r="BN110" s="7">
        <v>8.3634848942721565E-2</v>
      </c>
      <c r="BO110" s="7">
        <v>5.4857142857142865E-4</v>
      </c>
      <c r="BP110" s="7">
        <v>42.764850494540049</v>
      </c>
      <c r="BQ110" s="7">
        <v>0.13714285714285715</v>
      </c>
      <c r="BR110" s="7" t="s">
        <v>154</v>
      </c>
      <c r="BS110" s="7">
        <v>175</v>
      </c>
      <c r="BT110" s="7">
        <v>24</v>
      </c>
      <c r="BU110" s="7">
        <v>24</v>
      </c>
      <c r="BV110" s="7">
        <v>24</v>
      </c>
      <c r="BW110" s="7" t="s">
        <v>964</v>
      </c>
      <c r="BX110" s="8" t="b">
        <v>1</v>
      </c>
      <c r="BY110" s="7">
        <v>0</v>
      </c>
      <c r="BZ110" s="7">
        <v>0</v>
      </c>
      <c r="CA110" s="7">
        <v>46235.9375</v>
      </c>
      <c r="CB110" s="7">
        <v>46235.927083333336</v>
      </c>
      <c r="CC110" s="7">
        <v>4.2713440993788818E-4</v>
      </c>
      <c r="CD110" s="7">
        <v>31.739130434782588</v>
      </c>
      <c r="CE110" s="7">
        <v>31.891706275776375</v>
      </c>
      <c r="CF110" s="7">
        <v>662.24534522516342</v>
      </c>
      <c r="CG110" s="7">
        <v>0.3125</v>
      </c>
      <c r="CH110" s="7" t="s">
        <v>150</v>
      </c>
      <c r="CI110" s="7">
        <v>128</v>
      </c>
      <c r="CJ110" s="8" t="b">
        <v>1</v>
      </c>
      <c r="CK110" s="7">
        <v>40</v>
      </c>
      <c r="CL110" s="7">
        <v>40</v>
      </c>
      <c r="CM110" s="7">
        <v>40</v>
      </c>
      <c r="CN110" s="8" t="b">
        <v>0</v>
      </c>
      <c r="CO110" s="7" t="s">
        <v>955</v>
      </c>
      <c r="CP110" s="7">
        <v>708.50529955922912</v>
      </c>
    </row>
    <row r="111" spans="1:94" ht="21" customHeight="1" x14ac:dyDescent="0.45">
      <c r="A111" s="9">
        <v>46235.9375</v>
      </c>
      <c r="B111" s="9">
        <v>46235.947916666664</v>
      </c>
      <c r="C111" s="9">
        <v>46236.0625</v>
      </c>
      <c r="D111" s="10">
        <v>46236</v>
      </c>
      <c r="E111" s="7">
        <v>0.25</v>
      </c>
      <c r="F111" s="7" t="s">
        <v>770</v>
      </c>
      <c r="G111" s="9">
        <v>46235.916666666664</v>
      </c>
      <c r="H111" s="7">
        <v>161.1</v>
      </c>
      <c r="I111" s="7" t="s">
        <v>965</v>
      </c>
      <c r="J111" s="7">
        <v>15</v>
      </c>
      <c r="K111" s="7" t="s">
        <v>960</v>
      </c>
      <c r="L111" s="10">
        <v>46234</v>
      </c>
      <c r="M111" s="7">
        <v>5.2473000000000001</v>
      </c>
      <c r="N111" s="7" t="s">
        <v>773</v>
      </c>
      <c r="O111" s="7">
        <v>128</v>
      </c>
      <c r="P111" s="7" t="s">
        <v>961</v>
      </c>
      <c r="Q111" s="7" t="s">
        <v>775</v>
      </c>
      <c r="R111" s="7">
        <v>66.224534522516336</v>
      </c>
      <c r="S111" s="7" t="s">
        <v>776</v>
      </c>
      <c r="T111" s="7">
        <v>175</v>
      </c>
      <c r="U111" s="7" t="s">
        <v>962</v>
      </c>
      <c r="V111" s="7" t="s">
        <v>775</v>
      </c>
      <c r="W111" s="7">
        <v>7.1274750824233415</v>
      </c>
      <c r="X111" s="7" t="s">
        <v>776</v>
      </c>
      <c r="Y111" s="7">
        <v>175</v>
      </c>
      <c r="Z111" s="7" t="s">
        <v>963</v>
      </c>
      <c r="AA111" s="7" t="s">
        <v>775</v>
      </c>
      <c r="AB111" s="7">
        <v>2.7061536409200921</v>
      </c>
      <c r="AC111" s="7" t="s">
        <v>776</v>
      </c>
      <c r="AD111" s="7"/>
      <c r="AE111" s="7" t="s">
        <v>779</v>
      </c>
      <c r="AF111" s="7"/>
      <c r="AG111" s="7">
        <v>152.45936005183617</v>
      </c>
      <c r="AH111" s="7" t="s">
        <v>776</v>
      </c>
      <c r="AI111" s="7">
        <v>9.0999999999999998E-2</v>
      </c>
      <c r="AJ111" s="7">
        <v>77.182551026242066</v>
      </c>
      <c r="AK111" s="7" t="s">
        <v>776</v>
      </c>
      <c r="AL111" s="7">
        <v>1.431</v>
      </c>
      <c r="AM111" s="7" t="s">
        <v>780</v>
      </c>
      <c r="AN111" s="7" t="s">
        <v>781</v>
      </c>
      <c r="AO111" s="7" t="s">
        <v>782</v>
      </c>
      <c r="AP111" s="7">
        <v>2.0799999999999998E-3</v>
      </c>
      <c r="AQ111" s="7">
        <v>3.2708571428571399E-2</v>
      </c>
      <c r="AR111" s="7">
        <v>3.4788571428571398E-2</v>
      </c>
      <c r="AS111" s="8" t="b">
        <v>1</v>
      </c>
      <c r="AT111" s="8" t="b">
        <v>1</v>
      </c>
      <c r="AU111" s="8" t="b">
        <v>1</v>
      </c>
      <c r="AV111" s="8" t="b">
        <v>1</v>
      </c>
      <c r="AW111" s="8" t="b">
        <v>1</v>
      </c>
      <c r="AX111" s="8" t="b">
        <v>1</v>
      </c>
      <c r="AY111" s="8" t="b">
        <v>1</v>
      </c>
      <c r="AZ111" s="8" t="b">
        <v>1</v>
      </c>
      <c r="BA111" s="7" t="s">
        <v>783</v>
      </c>
      <c r="BB111" s="7" t="s">
        <v>783</v>
      </c>
      <c r="BC111" s="7" t="s">
        <v>784</v>
      </c>
      <c r="BD111" s="7">
        <v>-15.147185899687186</v>
      </c>
      <c r="BE111" s="7">
        <v>0.19625142857142858</v>
      </c>
      <c r="BF111" s="7">
        <v>16.236921845520552</v>
      </c>
      <c r="BG111" s="7">
        <v>0.13714285714285715</v>
      </c>
      <c r="BH111" s="7" t="s">
        <v>154</v>
      </c>
      <c r="BI111" s="7">
        <v>175</v>
      </c>
      <c r="BJ111" s="7">
        <v>24</v>
      </c>
      <c r="BK111" s="7">
        <v>24</v>
      </c>
      <c r="BL111" s="7">
        <v>24</v>
      </c>
      <c r="BM111" s="8" t="b">
        <v>1</v>
      </c>
      <c r="BN111" s="7">
        <v>1.9026928134469152</v>
      </c>
      <c r="BO111" s="7">
        <v>1.2479999999999998E-2</v>
      </c>
      <c r="BP111" s="7">
        <v>42.764850494540049</v>
      </c>
      <c r="BQ111" s="7">
        <v>0.13714285714285715</v>
      </c>
      <c r="BR111" s="7" t="s">
        <v>154</v>
      </c>
      <c r="BS111" s="7">
        <v>175</v>
      </c>
      <c r="BT111" s="7">
        <v>24</v>
      </c>
      <c r="BU111" s="7">
        <v>24</v>
      </c>
      <c r="BV111" s="7">
        <v>24</v>
      </c>
      <c r="BW111" s="7" t="s">
        <v>965</v>
      </c>
      <c r="BX111" s="8" t="b">
        <v>1</v>
      </c>
      <c r="BY111" s="7">
        <v>0</v>
      </c>
      <c r="BZ111" s="7">
        <v>0</v>
      </c>
      <c r="CA111" s="7">
        <v>46235.947916666664</v>
      </c>
      <c r="CB111" s="7">
        <v>46235.9375</v>
      </c>
      <c r="CC111" s="7">
        <v>5.3921258799171843E-4</v>
      </c>
      <c r="CD111" s="7">
        <v>31.891706275776375</v>
      </c>
      <c r="CE111" s="7">
        <v>32.058692372670784</v>
      </c>
      <c r="CF111" s="7">
        <v>662.24534522516342</v>
      </c>
      <c r="CG111" s="7">
        <v>0.3125</v>
      </c>
      <c r="CH111" s="7" t="s">
        <v>150</v>
      </c>
      <c r="CI111" s="7">
        <v>128</v>
      </c>
      <c r="CJ111" s="8" t="b">
        <v>1</v>
      </c>
      <c r="CK111" s="7">
        <v>40</v>
      </c>
      <c r="CL111" s="7">
        <v>40</v>
      </c>
      <c r="CM111" s="7">
        <v>40</v>
      </c>
      <c r="CN111" s="8" t="b">
        <v>0</v>
      </c>
      <c r="CO111" s="7" t="s">
        <v>955</v>
      </c>
      <c r="CP111" s="7">
        <v>708.00262447898376</v>
      </c>
    </row>
    <row r="112" spans="1:94" ht="21" customHeight="1" x14ac:dyDescent="0.45">
      <c r="A112" s="9">
        <v>46235.947916666664</v>
      </c>
      <c r="B112" s="9">
        <v>46235.958333333336</v>
      </c>
      <c r="C112" s="9">
        <v>46236.072916666664</v>
      </c>
      <c r="D112" s="10">
        <v>46236</v>
      </c>
      <c r="E112" s="7">
        <v>0.25</v>
      </c>
      <c r="F112" s="7" t="s">
        <v>770</v>
      </c>
      <c r="G112" s="9">
        <v>46235.916666666664</v>
      </c>
      <c r="H112" s="7">
        <v>160.43</v>
      </c>
      <c r="I112" s="7" t="s">
        <v>966</v>
      </c>
      <c r="J112" s="7">
        <v>15</v>
      </c>
      <c r="K112" s="7" t="s">
        <v>960</v>
      </c>
      <c r="L112" s="10">
        <v>46234</v>
      </c>
      <c r="M112" s="7">
        <v>5.2473000000000001</v>
      </c>
      <c r="N112" s="7" t="s">
        <v>773</v>
      </c>
      <c r="O112" s="7">
        <v>128</v>
      </c>
      <c r="P112" s="7" t="s">
        <v>961</v>
      </c>
      <c r="Q112" s="7" t="s">
        <v>775</v>
      </c>
      <c r="R112" s="7">
        <v>66.224534522516336</v>
      </c>
      <c r="S112" s="7" t="s">
        <v>776</v>
      </c>
      <c r="T112" s="7">
        <v>175</v>
      </c>
      <c r="U112" s="7" t="s">
        <v>962</v>
      </c>
      <c r="V112" s="7" t="s">
        <v>775</v>
      </c>
      <c r="W112" s="7">
        <v>7.1274750824233415</v>
      </c>
      <c r="X112" s="7" t="s">
        <v>776</v>
      </c>
      <c r="Y112" s="7">
        <v>175</v>
      </c>
      <c r="Z112" s="7" t="s">
        <v>963</v>
      </c>
      <c r="AA112" s="7" t="s">
        <v>775</v>
      </c>
      <c r="AB112" s="7">
        <v>2.7061536409200921</v>
      </c>
      <c r="AC112" s="7" t="s">
        <v>776</v>
      </c>
      <c r="AD112" s="7"/>
      <c r="AE112" s="7" t="s">
        <v>779</v>
      </c>
      <c r="AF112" s="7"/>
      <c r="AG112" s="7">
        <v>165.0061936615021</v>
      </c>
      <c r="AH112" s="7" t="s">
        <v>776</v>
      </c>
      <c r="AI112" s="7">
        <v>0.20300000000000001</v>
      </c>
      <c r="AJ112" s="7">
        <v>77.182551026242066</v>
      </c>
      <c r="AK112" s="7" t="s">
        <v>776</v>
      </c>
      <c r="AL112" s="7">
        <v>0.45500000000000002</v>
      </c>
      <c r="AM112" s="7" t="s">
        <v>780</v>
      </c>
      <c r="AN112" s="7" t="s">
        <v>781</v>
      </c>
      <c r="AO112" s="7" t="s">
        <v>782</v>
      </c>
      <c r="AP112" s="7">
        <v>4.64E-3</v>
      </c>
      <c r="AQ112" s="7">
        <v>1.04E-2</v>
      </c>
      <c r="AR112" s="7">
        <v>1.504E-2</v>
      </c>
      <c r="AS112" s="8" t="b">
        <v>1</v>
      </c>
      <c r="AT112" s="8" t="b">
        <v>1</v>
      </c>
      <c r="AU112" s="8" t="b">
        <v>1</v>
      </c>
      <c r="AV112" s="8" t="b">
        <v>1</v>
      </c>
      <c r="AW112" s="8" t="b">
        <v>1</v>
      </c>
      <c r="AX112" s="8" t="b">
        <v>1</v>
      </c>
      <c r="AY112" s="8" t="b">
        <v>1</v>
      </c>
      <c r="AZ112" s="8" t="b">
        <v>1</v>
      </c>
      <c r="BA112" s="7" t="s">
        <v>783</v>
      </c>
      <c r="BB112" s="7" t="s">
        <v>783</v>
      </c>
      <c r="BC112" s="7" t="s">
        <v>784</v>
      </c>
      <c r="BD112" s="7">
        <v>-4.8161911840375051</v>
      </c>
      <c r="BE112" s="7">
        <v>6.2399999999999997E-2</v>
      </c>
      <c r="BF112" s="7">
        <v>16.236921845520552</v>
      </c>
      <c r="BG112" s="7">
        <v>0.13714285714285715</v>
      </c>
      <c r="BH112" s="7" t="s">
        <v>154</v>
      </c>
      <c r="BI112" s="7">
        <v>175</v>
      </c>
      <c r="BJ112" s="7">
        <v>24</v>
      </c>
      <c r="BK112" s="7">
        <v>24</v>
      </c>
      <c r="BL112" s="7">
        <v>24</v>
      </c>
      <c r="BM112" s="8" t="b">
        <v>1</v>
      </c>
      <c r="BN112" s="7">
        <v>4.5937724315362187</v>
      </c>
      <c r="BO112" s="7">
        <v>2.784E-2</v>
      </c>
      <c r="BP112" s="7">
        <v>42.764850494540049</v>
      </c>
      <c r="BQ112" s="7">
        <v>0.13714285714285715</v>
      </c>
      <c r="BR112" s="7" t="s">
        <v>154</v>
      </c>
      <c r="BS112" s="7">
        <v>175</v>
      </c>
      <c r="BT112" s="7">
        <v>24</v>
      </c>
      <c r="BU112" s="7">
        <v>24</v>
      </c>
      <c r="BV112" s="7">
        <v>24</v>
      </c>
      <c r="BW112" s="7" t="s">
        <v>966</v>
      </c>
      <c r="BX112" s="8" t="b">
        <v>1</v>
      </c>
      <c r="BY112" s="7">
        <v>0</v>
      </c>
      <c r="BZ112" s="7">
        <v>0</v>
      </c>
      <c r="CA112" s="7">
        <v>46235.958333333336</v>
      </c>
      <c r="CB112" s="7">
        <v>46235.947916666664</v>
      </c>
      <c r="CC112" s="7">
        <v>2.4352463768115943E-4</v>
      </c>
      <c r="CD112" s="7">
        <v>32.058692372670784</v>
      </c>
      <c r="CE112" s="7">
        <v>32.085839503105568</v>
      </c>
      <c r="CF112" s="7">
        <v>662.24534522516342</v>
      </c>
      <c r="CG112" s="7">
        <v>0.3125</v>
      </c>
      <c r="CH112" s="7" t="s">
        <v>150</v>
      </c>
      <c r="CI112" s="7">
        <v>128</v>
      </c>
      <c r="CJ112" s="8" t="b">
        <v>1</v>
      </c>
      <c r="CK112" s="7">
        <v>40</v>
      </c>
      <c r="CL112" s="7">
        <v>40</v>
      </c>
      <c r="CM112" s="7">
        <v>40</v>
      </c>
      <c r="CN112" s="8" t="b">
        <v>0</v>
      </c>
      <c r="CO112" s="7" t="s">
        <v>955</v>
      </c>
      <c r="CP112" s="7">
        <v>721.0246988127227</v>
      </c>
    </row>
    <row r="113" spans="1:94" ht="21" customHeight="1" x14ac:dyDescent="0.45">
      <c r="A113" s="9">
        <v>46235.958333333336</v>
      </c>
      <c r="B113" s="9">
        <v>46235.96875</v>
      </c>
      <c r="C113" s="9">
        <v>46236.083333333336</v>
      </c>
      <c r="D113" s="10">
        <v>46236</v>
      </c>
      <c r="E113" s="7">
        <v>0.25</v>
      </c>
      <c r="F113" s="7" t="s">
        <v>770</v>
      </c>
      <c r="G113" s="9">
        <v>46235.958333333336</v>
      </c>
      <c r="H113" s="7">
        <v>160.86000000000001</v>
      </c>
      <c r="I113" s="7" t="s">
        <v>967</v>
      </c>
      <c r="J113" s="7">
        <v>15</v>
      </c>
      <c r="K113" s="7" t="s">
        <v>960</v>
      </c>
      <c r="L113" s="10">
        <v>46234</v>
      </c>
      <c r="M113" s="7">
        <v>5.2473000000000001</v>
      </c>
      <c r="N113" s="7" t="s">
        <v>773</v>
      </c>
      <c r="O113" s="7">
        <v>128</v>
      </c>
      <c r="P113" s="7" t="s">
        <v>968</v>
      </c>
      <c r="Q113" s="7" t="s">
        <v>775</v>
      </c>
      <c r="R113" s="7">
        <v>66.224534522516336</v>
      </c>
      <c r="S113" s="7" t="s">
        <v>776</v>
      </c>
      <c r="T113" s="7">
        <v>175</v>
      </c>
      <c r="U113" s="7" t="s">
        <v>969</v>
      </c>
      <c r="V113" s="7" t="s">
        <v>775</v>
      </c>
      <c r="W113" s="7">
        <v>7.1274750824233415</v>
      </c>
      <c r="X113" s="7" t="s">
        <v>776</v>
      </c>
      <c r="Y113" s="7">
        <v>175</v>
      </c>
      <c r="Z113" s="7" t="s">
        <v>970</v>
      </c>
      <c r="AA113" s="7" t="s">
        <v>775</v>
      </c>
      <c r="AB113" s="7">
        <v>2.7061536409200921</v>
      </c>
      <c r="AC113" s="7" t="s">
        <v>776</v>
      </c>
      <c r="AD113" s="7"/>
      <c r="AE113" s="7" t="s">
        <v>779</v>
      </c>
      <c r="AF113" s="7"/>
      <c r="AG113" s="7">
        <v>178.91715739523184</v>
      </c>
      <c r="AH113" s="7" t="s">
        <v>776</v>
      </c>
      <c r="AI113" s="7">
        <v>2.1890000000000001</v>
      </c>
      <c r="AJ113" s="7">
        <v>0</v>
      </c>
      <c r="AK113" s="7" t="s">
        <v>776</v>
      </c>
      <c r="AL113" s="7">
        <v>0</v>
      </c>
      <c r="AM113" s="7" t="s">
        <v>780</v>
      </c>
      <c r="AN113" s="7" t="s">
        <v>781</v>
      </c>
      <c r="AO113" s="7" t="s">
        <v>782</v>
      </c>
      <c r="AP113" s="7">
        <v>5.0034285714285698E-2</v>
      </c>
      <c r="AQ113" s="7">
        <v>0</v>
      </c>
      <c r="AR113" s="7">
        <v>5.0034285714285698E-2</v>
      </c>
      <c r="AS113" s="8" t="b">
        <v>1</v>
      </c>
      <c r="AT113" s="8" t="b">
        <v>1</v>
      </c>
      <c r="AU113" s="8" t="b">
        <v>1</v>
      </c>
      <c r="AV113" s="8" t="b">
        <v>1</v>
      </c>
      <c r="AW113" s="8" t="b">
        <v>1</v>
      </c>
      <c r="AX113" s="8" t="b">
        <v>1</v>
      </c>
      <c r="AY113" s="8" t="b">
        <v>1</v>
      </c>
      <c r="AZ113" s="8" t="b">
        <v>1</v>
      </c>
      <c r="BA113" s="7" t="s">
        <v>783</v>
      </c>
      <c r="BB113" s="7" t="s">
        <v>783</v>
      </c>
      <c r="BC113" s="7" t="s">
        <v>784</v>
      </c>
      <c r="BD113" s="7">
        <v>0</v>
      </c>
      <c r="BE113" s="7">
        <v>0</v>
      </c>
      <c r="BF113" s="7">
        <v>16.236921845520552</v>
      </c>
      <c r="BG113" s="7">
        <v>0.13714285714285715</v>
      </c>
      <c r="BH113" s="7" t="s">
        <v>154</v>
      </c>
      <c r="BI113" s="7">
        <v>175</v>
      </c>
      <c r="BJ113" s="7">
        <v>24</v>
      </c>
      <c r="BK113" s="7">
        <v>24</v>
      </c>
      <c r="BL113" s="7">
        <v>24</v>
      </c>
      <c r="BM113" s="8" t="b">
        <v>1</v>
      </c>
      <c r="BN113" s="7">
        <v>53.711953033805145</v>
      </c>
      <c r="BO113" s="7">
        <v>0.3002057142857143</v>
      </c>
      <c r="BP113" s="7">
        <v>42.764850494540049</v>
      </c>
      <c r="BQ113" s="7">
        <v>0.13714285714285715</v>
      </c>
      <c r="BR113" s="7" t="s">
        <v>154</v>
      </c>
      <c r="BS113" s="7">
        <v>175</v>
      </c>
      <c r="BT113" s="7">
        <v>24</v>
      </c>
      <c r="BU113" s="7">
        <v>24</v>
      </c>
      <c r="BV113" s="7">
        <v>24</v>
      </c>
      <c r="BW113" s="7" t="s">
        <v>967</v>
      </c>
      <c r="BX113" s="8" t="b">
        <v>1</v>
      </c>
      <c r="BY113" s="7">
        <v>-7.2486739603267525</v>
      </c>
      <c r="BZ113" s="7">
        <v>-0.18024801592258491</v>
      </c>
      <c r="CA113" s="7">
        <v>46235.96875</v>
      </c>
      <c r="CB113" s="7">
        <v>46235.958333333336</v>
      </c>
      <c r="CC113" s="7">
        <v>1.009007299489253E-3</v>
      </c>
      <c r="CD113" s="7">
        <v>32.085839503105568</v>
      </c>
      <c r="CE113" s="7">
        <v>31.801362415478895</v>
      </c>
      <c r="CF113" s="7">
        <v>662.24534522516342</v>
      </c>
      <c r="CG113" s="7">
        <v>0.3125</v>
      </c>
      <c r="CH113" s="7" t="s">
        <v>150</v>
      </c>
      <c r="CI113" s="7">
        <v>128</v>
      </c>
      <c r="CJ113" s="8" t="b">
        <v>1</v>
      </c>
      <c r="CK113" s="7">
        <v>40</v>
      </c>
      <c r="CL113" s="7">
        <v>40</v>
      </c>
      <c r="CM113" s="7">
        <v>40</v>
      </c>
      <c r="CN113" s="8" t="b">
        <v>0</v>
      </c>
      <c r="CO113" s="7" t="s">
        <v>955</v>
      </c>
      <c r="CP113" s="7">
        <v>767.71039663870238</v>
      </c>
    </row>
    <row r="114" spans="1:94" ht="21" customHeight="1" x14ac:dyDescent="0.45">
      <c r="A114" s="9">
        <v>46235.96875</v>
      </c>
      <c r="B114" s="9">
        <v>46235.979166666664</v>
      </c>
      <c r="C114" s="9">
        <v>46236.09375</v>
      </c>
      <c r="D114" s="10">
        <v>46236</v>
      </c>
      <c r="E114" s="7">
        <v>0.25</v>
      </c>
      <c r="F114" s="7" t="s">
        <v>770</v>
      </c>
      <c r="G114" s="9">
        <v>46235.958333333336</v>
      </c>
      <c r="H114" s="7">
        <v>156.81</v>
      </c>
      <c r="I114" s="7" t="s">
        <v>971</v>
      </c>
      <c r="J114" s="7">
        <v>15</v>
      </c>
      <c r="K114" s="7" t="s">
        <v>960</v>
      </c>
      <c r="L114" s="10">
        <v>46234</v>
      </c>
      <c r="M114" s="7">
        <v>5.2473000000000001</v>
      </c>
      <c r="N114" s="7" t="s">
        <v>773</v>
      </c>
      <c r="O114" s="7">
        <v>128</v>
      </c>
      <c r="P114" s="7" t="s">
        <v>968</v>
      </c>
      <c r="Q114" s="7" t="s">
        <v>775</v>
      </c>
      <c r="R114" s="7">
        <v>66.224534522516336</v>
      </c>
      <c r="S114" s="7" t="s">
        <v>776</v>
      </c>
      <c r="T114" s="7">
        <v>175</v>
      </c>
      <c r="U114" s="7" t="s">
        <v>969</v>
      </c>
      <c r="V114" s="7" t="s">
        <v>775</v>
      </c>
      <c r="W114" s="7">
        <v>7.1274750824233415</v>
      </c>
      <c r="X114" s="7" t="s">
        <v>776</v>
      </c>
      <c r="Y114" s="7">
        <v>175</v>
      </c>
      <c r="Z114" s="7" t="s">
        <v>970</v>
      </c>
      <c r="AA114" s="7" t="s">
        <v>775</v>
      </c>
      <c r="AB114" s="7">
        <v>2.7061536409200921</v>
      </c>
      <c r="AC114" s="7" t="s">
        <v>776</v>
      </c>
      <c r="AD114" s="7"/>
      <c r="AE114" s="7" t="s">
        <v>779</v>
      </c>
      <c r="AF114" s="7"/>
      <c r="AG114" s="7">
        <v>171.41329826768052</v>
      </c>
      <c r="AH114" s="7" t="s">
        <v>776</v>
      </c>
      <c r="AI114" s="7">
        <v>2.75</v>
      </c>
      <c r="AJ114" s="7">
        <v>76.94566729556152</v>
      </c>
      <c r="AK114" s="7" t="s">
        <v>776</v>
      </c>
      <c r="AL114" s="7">
        <v>1.345</v>
      </c>
      <c r="AM114" s="7" t="s">
        <v>780</v>
      </c>
      <c r="AN114" s="7" t="s">
        <v>781</v>
      </c>
      <c r="AO114" s="7" t="s">
        <v>782</v>
      </c>
      <c r="AP114" s="7">
        <v>6.2857142857142806E-2</v>
      </c>
      <c r="AQ114" s="7">
        <v>3.07428571428571E-2</v>
      </c>
      <c r="AR114" s="7">
        <v>9.3600000000000003E-2</v>
      </c>
      <c r="AS114" s="8" t="b">
        <v>1</v>
      </c>
      <c r="AT114" s="8" t="b">
        <v>1</v>
      </c>
      <c r="AU114" s="8" t="b">
        <v>1</v>
      </c>
      <c r="AV114" s="8" t="b">
        <v>1</v>
      </c>
      <c r="AW114" s="8" t="b">
        <v>1</v>
      </c>
      <c r="AX114" s="8" t="b">
        <v>1</v>
      </c>
      <c r="AY114" s="8" t="b">
        <v>1</v>
      </c>
      <c r="AZ114" s="8" t="b">
        <v>1</v>
      </c>
      <c r="BA114" s="7" t="s">
        <v>783</v>
      </c>
      <c r="BB114" s="7" t="s">
        <v>783</v>
      </c>
      <c r="BC114" s="7" t="s">
        <v>784</v>
      </c>
      <c r="BD114" s="7">
        <v>-14.193177944575575</v>
      </c>
      <c r="BE114" s="7">
        <v>0.18445714285714285</v>
      </c>
      <c r="BF114" s="7">
        <v>16.236921845520552</v>
      </c>
      <c r="BG114" s="7">
        <v>0.13714285714285715</v>
      </c>
      <c r="BH114" s="7" t="s">
        <v>154</v>
      </c>
      <c r="BI114" s="7">
        <v>175</v>
      </c>
      <c r="BJ114" s="7">
        <v>24</v>
      </c>
      <c r="BK114" s="7">
        <v>24</v>
      </c>
      <c r="BL114" s="7">
        <v>24</v>
      </c>
      <c r="BM114" s="8" t="b">
        <v>1</v>
      </c>
      <c r="BN114" s="7">
        <v>64.647301060953794</v>
      </c>
      <c r="BO114" s="7">
        <v>0.37714285714285717</v>
      </c>
      <c r="BP114" s="7">
        <v>42.764850494540049</v>
      </c>
      <c r="BQ114" s="7">
        <v>0.13714285714285715</v>
      </c>
      <c r="BR114" s="7" t="s">
        <v>154</v>
      </c>
      <c r="BS114" s="7">
        <v>175</v>
      </c>
      <c r="BT114" s="7">
        <v>24</v>
      </c>
      <c r="BU114" s="7">
        <v>24</v>
      </c>
      <c r="BV114" s="7">
        <v>24</v>
      </c>
      <c r="BW114" s="7" t="s">
        <v>971</v>
      </c>
      <c r="BX114" s="8" t="b">
        <v>1</v>
      </c>
      <c r="BY114" s="7">
        <v>-288.93545229235457</v>
      </c>
      <c r="BZ114" s="7">
        <v>-7.370332307693503</v>
      </c>
      <c r="CA114" s="7">
        <v>46235.979166666664</v>
      </c>
      <c r="CB114" s="7">
        <v>46235.96875</v>
      </c>
      <c r="CC114" s="7">
        <v>5.6732504835808467E-3</v>
      </c>
      <c r="CD114" s="7">
        <v>31.801362415478895</v>
      </c>
      <c r="CE114" s="7">
        <v>33.275638351632061</v>
      </c>
      <c r="CF114" s="7">
        <v>662.24534522516342</v>
      </c>
      <c r="CG114" s="7">
        <v>0.3125</v>
      </c>
      <c r="CH114" s="7" t="s">
        <v>150</v>
      </c>
      <c r="CI114" s="7">
        <v>128</v>
      </c>
      <c r="CJ114" s="8" t="b">
        <v>1</v>
      </c>
      <c r="CK114" s="7">
        <v>40</v>
      </c>
      <c r="CL114" s="7">
        <v>40</v>
      </c>
      <c r="CM114" s="7">
        <v>40</v>
      </c>
      <c r="CN114" s="8" t="b">
        <v>0</v>
      </c>
      <c r="CO114" s="7" t="s">
        <v>955</v>
      </c>
      <c r="CP114" s="7">
        <v>482.76578838924769</v>
      </c>
    </row>
    <row r="115" spans="1:94" ht="21" customHeight="1" x14ac:dyDescent="0.45">
      <c r="A115" s="9">
        <v>46235.979166666664</v>
      </c>
      <c r="B115" s="9">
        <v>46235.989583333336</v>
      </c>
      <c r="C115" s="9">
        <v>46236.104166666664</v>
      </c>
      <c r="D115" s="10">
        <v>46236</v>
      </c>
      <c r="E115" s="7">
        <v>0.25</v>
      </c>
      <c r="F115" s="7" t="s">
        <v>770</v>
      </c>
      <c r="G115" s="9">
        <v>46235.958333333336</v>
      </c>
      <c r="H115" s="7">
        <v>162.01</v>
      </c>
      <c r="I115" s="7" t="s">
        <v>972</v>
      </c>
      <c r="J115" s="7">
        <v>15</v>
      </c>
      <c r="K115" s="7" t="s">
        <v>960</v>
      </c>
      <c r="L115" s="10">
        <v>46234</v>
      </c>
      <c r="M115" s="7">
        <v>5.2473000000000001</v>
      </c>
      <c r="N115" s="7" t="s">
        <v>773</v>
      </c>
      <c r="O115" s="7">
        <v>128</v>
      </c>
      <c r="P115" s="7" t="s">
        <v>968</v>
      </c>
      <c r="Q115" s="7" t="s">
        <v>775</v>
      </c>
      <c r="R115" s="7">
        <v>66.224534522516336</v>
      </c>
      <c r="S115" s="7" t="s">
        <v>776</v>
      </c>
      <c r="T115" s="7">
        <v>175</v>
      </c>
      <c r="U115" s="7" t="s">
        <v>969</v>
      </c>
      <c r="V115" s="7" t="s">
        <v>775</v>
      </c>
      <c r="W115" s="7">
        <v>7.1274750824233415</v>
      </c>
      <c r="X115" s="7" t="s">
        <v>776</v>
      </c>
      <c r="Y115" s="7">
        <v>175</v>
      </c>
      <c r="Z115" s="7" t="s">
        <v>970</v>
      </c>
      <c r="AA115" s="7" t="s">
        <v>775</v>
      </c>
      <c r="AB115" s="7">
        <v>2.7061536409200921</v>
      </c>
      <c r="AC115" s="7" t="s">
        <v>776</v>
      </c>
      <c r="AD115" s="7"/>
      <c r="AE115" s="7" t="s">
        <v>779</v>
      </c>
      <c r="AF115" s="7"/>
      <c r="AG115" s="7">
        <v>171.25702742362736</v>
      </c>
      <c r="AH115" s="7" t="s">
        <v>776</v>
      </c>
      <c r="AI115" s="7">
        <v>4.1900000000000004</v>
      </c>
      <c r="AJ115" s="7">
        <v>77.182551026242066</v>
      </c>
      <c r="AK115" s="7" t="s">
        <v>776</v>
      </c>
      <c r="AL115" s="7">
        <v>1.7000000000000001E-2</v>
      </c>
      <c r="AM115" s="7" t="s">
        <v>780</v>
      </c>
      <c r="AN115" s="7" t="s">
        <v>781</v>
      </c>
      <c r="AO115" s="7" t="s">
        <v>782</v>
      </c>
      <c r="AP115" s="7">
        <v>9.5771428571428494E-2</v>
      </c>
      <c r="AQ115" s="7">
        <v>3.8857142857139998E-4</v>
      </c>
      <c r="AR115" s="7">
        <v>9.6159999999999995E-2</v>
      </c>
      <c r="AS115" s="8" t="b">
        <v>1</v>
      </c>
      <c r="AT115" s="8" t="b">
        <v>1</v>
      </c>
      <c r="AU115" s="8" t="b">
        <v>1</v>
      </c>
      <c r="AV115" s="8" t="b">
        <v>1</v>
      </c>
      <c r="AW115" s="8" t="b">
        <v>1</v>
      </c>
      <c r="AX115" s="8" t="b">
        <v>1</v>
      </c>
      <c r="AY115" s="8" t="b">
        <v>1</v>
      </c>
      <c r="AZ115" s="8" t="b">
        <v>1</v>
      </c>
      <c r="BA115" s="7" t="s">
        <v>783</v>
      </c>
      <c r="BB115" s="7" t="s">
        <v>783</v>
      </c>
      <c r="BC115" s="7" t="s">
        <v>784</v>
      </c>
      <c r="BD115" s="7">
        <v>-0.17994560467832438</v>
      </c>
      <c r="BE115" s="7">
        <v>2.3314285714285715E-3</v>
      </c>
      <c r="BF115" s="7">
        <v>16.236921845520552</v>
      </c>
      <c r="BG115" s="7">
        <v>0.13714285714285715</v>
      </c>
      <c r="BH115" s="7" t="s">
        <v>154</v>
      </c>
      <c r="BI115" s="7">
        <v>175</v>
      </c>
      <c r="BJ115" s="7">
        <v>24</v>
      </c>
      <c r="BK115" s="7">
        <v>24</v>
      </c>
      <c r="BL115" s="7">
        <v>24</v>
      </c>
      <c r="BM115" s="8" t="b">
        <v>1</v>
      </c>
      <c r="BN115" s="7">
        <v>98.409181015542686</v>
      </c>
      <c r="BO115" s="7">
        <v>0.57462857142857149</v>
      </c>
      <c r="BP115" s="7">
        <v>42.764850494540049</v>
      </c>
      <c r="BQ115" s="7">
        <v>0.13714285714285715</v>
      </c>
      <c r="BR115" s="7" t="s">
        <v>154</v>
      </c>
      <c r="BS115" s="7">
        <v>175</v>
      </c>
      <c r="BT115" s="7">
        <v>24</v>
      </c>
      <c r="BU115" s="7">
        <v>24</v>
      </c>
      <c r="BV115" s="7">
        <v>24</v>
      </c>
      <c r="BW115" s="7" t="s">
        <v>972</v>
      </c>
      <c r="BX115" s="8" t="b">
        <v>1</v>
      </c>
      <c r="BY115" s="7">
        <v>0</v>
      </c>
      <c r="BZ115" s="7">
        <v>0</v>
      </c>
      <c r="CA115" s="7">
        <v>46235.989583333336</v>
      </c>
      <c r="CB115" s="7">
        <v>46235.979166666664</v>
      </c>
      <c r="CC115" s="7">
        <v>1.7409477432712215E-3</v>
      </c>
      <c r="CD115" s="7">
        <v>33.275638351632061</v>
      </c>
      <c r="CE115" s="7">
        <v>32.653186992625848</v>
      </c>
      <c r="CF115" s="7">
        <v>662.24534522516342</v>
      </c>
      <c r="CG115" s="7">
        <v>0.3125</v>
      </c>
      <c r="CH115" s="7" t="s">
        <v>150</v>
      </c>
      <c r="CI115" s="7">
        <v>128</v>
      </c>
      <c r="CJ115" s="8" t="b">
        <v>1</v>
      </c>
      <c r="CK115" s="7">
        <v>40</v>
      </c>
      <c r="CL115" s="7">
        <v>40</v>
      </c>
      <c r="CM115" s="7">
        <v>40</v>
      </c>
      <c r="CN115" s="8" t="b">
        <v>0</v>
      </c>
      <c r="CO115" s="7" t="s">
        <v>955</v>
      </c>
      <c r="CP115" s="7">
        <v>819.47635297608838</v>
      </c>
    </row>
    <row r="116" spans="1:94" ht="21" customHeight="1" x14ac:dyDescent="0.45">
      <c r="A116" s="9">
        <v>46235.989583333336</v>
      </c>
      <c r="B116" s="9">
        <v>46236</v>
      </c>
      <c r="C116" s="9">
        <v>46236.114583333336</v>
      </c>
      <c r="D116" s="10">
        <v>46236</v>
      </c>
      <c r="E116" s="7">
        <v>0.25</v>
      </c>
      <c r="F116" s="7" t="s">
        <v>770</v>
      </c>
      <c r="G116" s="9">
        <v>46235.958333333336</v>
      </c>
      <c r="H116" s="7">
        <v>160.5</v>
      </c>
      <c r="I116" s="7" t="s">
        <v>973</v>
      </c>
      <c r="J116" s="7">
        <v>15</v>
      </c>
      <c r="K116" s="7" t="s">
        <v>960</v>
      </c>
      <c r="L116" s="10">
        <v>46234</v>
      </c>
      <c r="M116" s="7">
        <v>5.2473000000000001</v>
      </c>
      <c r="N116" s="7" t="s">
        <v>773</v>
      </c>
      <c r="O116" s="7">
        <v>128</v>
      </c>
      <c r="P116" s="7" t="s">
        <v>968</v>
      </c>
      <c r="Q116" s="7" t="s">
        <v>775</v>
      </c>
      <c r="R116" s="7">
        <v>66.224534522516336</v>
      </c>
      <c r="S116" s="7" t="s">
        <v>776</v>
      </c>
      <c r="T116" s="7">
        <v>175</v>
      </c>
      <c r="U116" s="7" t="s">
        <v>969</v>
      </c>
      <c r="V116" s="7" t="s">
        <v>775</v>
      </c>
      <c r="W116" s="7">
        <v>7.1274750824233415</v>
      </c>
      <c r="X116" s="7" t="s">
        <v>776</v>
      </c>
      <c r="Y116" s="7">
        <v>175</v>
      </c>
      <c r="Z116" s="7" t="s">
        <v>970</v>
      </c>
      <c r="AA116" s="7" t="s">
        <v>775</v>
      </c>
      <c r="AB116" s="7">
        <v>2.7061536409200921</v>
      </c>
      <c r="AC116" s="7" t="s">
        <v>776</v>
      </c>
      <c r="AD116" s="7"/>
      <c r="AE116" s="7" t="s">
        <v>779</v>
      </c>
      <c r="AF116" s="7"/>
      <c r="AG116" s="7">
        <v>161.23339622281935</v>
      </c>
      <c r="AH116" s="7" t="s">
        <v>776</v>
      </c>
      <c r="AI116" s="7">
        <v>0.32900000000000001</v>
      </c>
      <c r="AJ116" s="7">
        <v>0</v>
      </c>
      <c r="AK116" s="7" t="s">
        <v>776</v>
      </c>
      <c r="AL116" s="7">
        <v>0</v>
      </c>
      <c r="AM116" s="7" t="s">
        <v>780</v>
      </c>
      <c r="AN116" s="7" t="s">
        <v>781</v>
      </c>
      <c r="AO116" s="7" t="s">
        <v>782</v>
      </c>
      <c r="AP116" s="7">
        <v>7.5199999999999998E-3</v>
      </c>
      <c r="AQ116" s="7">
        <v>0</v>
      </c>
      <c r="AR116" s="7">
        <v>7.5199999999999998E-3</v>
      </c>
      <c r="AS116" s="8" t="b">
        <v>1</v>
      </c>
      <c r="AT116" s="8" t="b">
        <v>1</v>
      </c>
      <c r="AU116" s="8" t="b">
        <v>1</v>
      </c>
      <c r="AV116" s="8" t="b">
        <v>1</v>
      </c>
      <c r="AW116" s="8" t="b">
        <v>1</v>
      </c>
      <c r="AX116" s="8" t="b">
        <v>1</v>
      </c>
      <c r="AY116" s="8" t="b">
        <v>1</v>
      </c>
      <c r="AZ116" s="8" t="b">
        <v>1</v>
      </c>
      <c r="BA116" s="7" t="s">
        <v>783</v>
      </c>
      <c r="BB116" s="7" t="s">
        <v>783</v>
      </c>
      <c r="BC116" s="7" t="s">
        <v>784</v>
      </c>
      <c r="BD116" s="7">
        <v>0</v>
      </c>
      <c r="BE116" s="7">
        <v>0</v>
      </c>
      <c r="BF116" s="7">
        <v>16.236921845520552</v>
      </c>
      <c r="BG116" s="7">
        <v>0.13714285714285715</v>
      </c>
      <c r="BH116" s="7" t="s">
        <v>154</v>
      </c>
      <c r="BI116" s="7">
        <v>175</v>
      </c>
      <c r="BJ116" s="7">
        <v>24</v>
      </c>
      <c r="BK116" s="7">
        <v>24</v>
      </c>
      <c r="BL116" s="7">
        <v>24</v>
      </c>
      <c r="BM116" s="8" t="b">
        <v>1</v>
      </c>
      <c r="BN116" s="7">
        <v>7.2748508375736103</v>
      </c>
      <c r="BO116" s="7">
        <v>4.5120000000000007E-2</v>
      </c>
      <c r="BP116" s="7">
        <v>42.764850494540049</v>
      </c>
      <c r="BQ116" s="7">
        <v>0.13714285714285715</v>
      </c>
      <c r="BR116" s="7" t="s">
        <v>154</v>
      </c>
      <c r="BS116" s="7">
        <v>175</v>
      </c>
      <c r="BT116" s="7">
        <v>24</v>
      </c>
      <c r="BU116" s="7">
        <v>24</v>
      </c>
      <c r="BV116" s="7">
        <v>24</v>
      </c>
      <c r="BW116" s="7" t="s">
        <v>973</v>
      </c>
      <c r="BX116" s="8" t="b">
        <v>1</v>
      </c>
      <c r="BY116" s="7">
        <v>0</v>
      </c>
      <c r="BZ116" s="7">
        <v>0</v>
      </c>
      <c r="CA116" s="7">
        <v>46236</v>
      </c>
      <c r="CB116" s="7">
        <v>46235.989583333336</v>
      </c>
      <c r="CC116" s="7">
        <v>1.3623188405797104E-4</v>
      </c>
      <c r="CD116" s="7">
        <v>32.653186992625848</v>
      </c>
      <c r="CE116" s="7">
        <v>32.604143514364978</v>
      </c>
      <c r="CF116" s="7">
        <v>662.24534522516342</v>
      </c>
      <c r="CG116" s="7">
        <v>0.3125</v>
      </c>
      <c r="CH116" s="7" t="s">
        <v>150</v>
      </c>
      <c r="CI116" s="7">
        <v>128</v>
      </c>
      <c r="CJ116" s="8" t="b">
        <v>1</v>
      </c>
      <c r="CK116" s="7">
        <v>40</v>
      </c>
      <c r="CL116" s="7">
        <v>40</v>
      </c>
      <c r="CM116" s="7">
        <v>40</v>
      </c>
      <c r="CN116" s="8" t="b">
        <v>0</v>
      </c>
      <c r="CO116" s="7" t="s">
        <v>955</v>
      </c>
      <c r="CP116" s="7">
        <v>728.5219684027976</v>
      </c>
    </row>
    <row r="117" spans="1:94" ht="21" customHeight="1" x14ac:dyDescent="0.45">
      <c r="A117" s="9">
        <v>46236</v>
      </c>
      <c r="B117" s="9">
        <v>46236.010416666664</v>
      </c>
      <c r="C117" s="9">
        <v>46236.125</v>
      </c>
      <c r="D117" s="10">
        <v>46236</v>
      </c>
      <c r="E117" s="7">
        <v>0.25</v>
      </c>
      <c r="F117" s="7" t="s">
        <v>770</v>
      </c>
      <c r="G117" s="9">
        <v>46236</v>
      </c>
      <c r="H117" s="7">
        <v>159.1</v>
      </c>
      <c r="I117" s="7" t="s">
        <v>974</v>
      </c>
      <c r="J117" s="7">
        <v>15</v>
      </c>
      <c r="K117" s="7" t="s">
        <v>960</v>
      </c>
      <c r="L117" s="10">
        <v>46234</v>
      </c>
      <c r="M117" s="7">
        <v>5.2473000000000001</v>
      </c>
      <c r="N117" s="7" t="s">
        <v>773</v>
      </c>
      <c r="O117" s="7">
        <v>128</v>
      </c>
      <c r="P117" s="7" t="s">
        <v>975</v>
      </c>
      <c r="Q117" s="7" t="s">
        <v>775</v>
      </c>
      <c r="R117" s="7">
        <v>66.224534522516336</v>
      </c>
      <c r="S117" s="7" t="s">
        <v>776</v>
      </c>
      <c r="T117" s="7">
        <v>175</v>
      </c>
      <c r="U117" s="7" t="s">
        <v>976</v>
      </c>
      <c r="V117" s="7" t="s">
        <v>775</v>
      </c>
      <c r="W117" s="7">
        <v>7.1274750824233415</v>
      </c>
      <c r="X117" s="7" t="s">
        <v>776</v>
      </c>
      <c r="Y117" s="7">
        <v>175</v>
      </c>
      <c r="Z117" s="7" t="s">
        <v>977</v>
      </c>
      <c r="AA117" s="7" t="s">
        <v>775</v>
      </c>
      <c r="AB117" s="7">
        <v>4.2097840794313264</v>
      </c>
      <c r="AC117" s="7" t="s">
        <v>776</v>
      </c>
      <c r="AD117" s="7"/>
      <c r="AE117" s="7" t="s">
        <v>779</v>
      </c>
      <c r="AF117" s="7"/>
      <c r="AG117" s="7">
        <v>168.15162083357154</v>
      </c>
      <c r="AH117" s="7" t="s">
        <v>776</v>
      </c>
      <c r="AI117" s="7">
        <v>1.0640000000000001</v>
      </c>
      <c r="AJ117" s="7">
        <v>0</v>
      </c>
      <c r="AK117" s="7" t="s">
        <v>776</v>
      </c>
      <c r="AL117" s="7">
        <v>0</v>
      </c>
      <c r="AM117" s="7" t="s">
        <v>780</v>
      </c>
      <c r="AN117" s="7" t="s">
        <v>781</v>
      </c>
      <c r="AO117" s="7" t="s">
        <v>782</v>
      </c>
      <c r="AP117" s="7">
        <v>2.4320000000000001E-2</v>
      </c>
      <c r="AQ117" s="7">
        <v>0</v>
      </c>
      <c r="AR117" s="7">
        <v>2.4320000000000001E-2</v>
      </c>
      <c r="AS117" s="8" t="b">
        <v>1</v>
      </c>
      <c r="AT117" s="8" t="b">
        <v>1</v>
      </c>
      <c r="AU117" s="8" t="b">
        <v>1</v>
      </c>
      <c r="AV117" s="8" t="b">
        <v>1</v>
      </c>
      <c r="AW117" s="8" t="b">
        <v>1</v>
      </c>
      <c r="AX117" s="8" t="b">
        <v>1</v>
      </c>
      <c r="AY117" s="8" t="b">
        <v>1</v>
      </c>
      <c r="AZ117" s="8" t="b">
        <v>1</v>
      </c>
      <c r="BA117" s="7" t="s">
        <v>783</v>
      </c>
      <c r="BB117" s="7" t="s">
        <v>783</v>
      </c>
      <c r="BC117" s="7" t="s">
        <v>784</v>
      </c>
      <c r="BD117" s="7">
        <v>0</v>
      </c>
      <c r="BE117" s="7">
        <v>0</v>
      </c>
      <c r="BF117" s="7">
        <v>25.258704476587958</v>
      </c>
      <c r="BG117" s="7">
        <v>0.13714285714285715</v>
      </c>
      <c r="BH117" s="7" t="s">
        <v>154</v>
      </c>
      <c r="BI117" s="7">
        <v>175</v>
      </c>
      <c r="BJ117" s="7">
        <v>24</v>
      </c>
      <c r="BK117" s="7">
        <v>24</v>
      </c>
      <c r="BL117" s="7">
        <v>24</v>
      </c>
      <c r="BM117" s="8" t="b">
        <v>1</v>
      </c>
      <c r="BN117" s="7">
        <v>24.536684512034757</v>
      </c>
      <c r="BO117" s="7">
        <v>0.14591999999999999</v>
      </c>
      <c r="BP117" s="7">
        <v>42.764850494540049</v>
      </c>
      <c r="BQ117" s="7">
        <v>0.13714285714285715</v>
      </c>
      <c r="BR117" s="7" t="s">
        <v>154</v>
      </c>
      <c r="BS117" s="7">
        <v>175</v>
      </c>
      <c r="BT117" s="7">
        <v>24</v>
      </c>
      <c r="BU117" s="7">
        <v>24</v>
      </c>
      <c r="BV117" s="7">
        <v>24</v>
      </c>
      <c r="BW117" s="7" t="s">
        <v>974</v>
      </c>
      <c r="BX117" s="8" t="b">
        <v>1</v>
      </c>
      <c r="BY117" s="7">
        <v>0</v>
      </c>
      <c r="BZ117" s="7">
        <v>0</v>
      </c>
      <c r="CA117" s="7">
        <v>46236.010416666664</v>
      </c>
      <c r="CB117" s="7">
        <v>46236</v>
      </c>
      <c r="CC117" s="7">
        <v>4.4057971014492748E-4</v>
      </c>
      <c r="CD117" s="7">
        <v>32.604143514364978</v>
      </c>
      <c r="CE117" s="7">
        <v>32.445534818712801</v>
      </c>
      <c r="CF117" s="7">
        <v>662.24534522516342</v>
      </c>
      <c r="CG117" s="7">
        <v>0.3125</v>
      </c>
      <c r="CH117" s="7" t="s">
        <v>150</v>
      </c>
      <c r="CI117" s="7">
        <v>128</v>
      </c>
      <c r="CJ117" s="8" t="b">
        <v>1</v>
      </c>
      <c r="CK117" s="7">
        <v>40</v>
      </c>
      <c r="CL117" s="7">
        <v>40</v>
      </c>
      <c r="CM117" s="7">
        <v>40</v>
      </c>
      <c r="CN117" s="8" t="b">
        <v>0</v>
      </c>
      <c r="CO117" s="7" t="s">
        <v>955</v>
      </c>
      <c r="CP117" s="7">
        <v>754.80558470832614</v>
      </c>
    </row>
    <row r="118" spans="1:94" ht="21" customHeight="1" x14ac:dyDescent="0.45">
      <c r="A118" s="9">
        <v>46236.010416666664</v>
      </c>
      <c r="B118" s="9">
        <v>46236.020833333336</v>
      </c>
      <c r="C118" s="9">
        <v>46236.135416666664</v>
      </c>
      <c r="D118" s="10">
        <v>46236</v>
      </c>
      <c r="E118" s="7">
        <v>0.25</v>
      </c>
      <c r="F118" s="7" t="s">
        <v>770</v>
      </c>
      <c r="G118" s="9">
        <v>46236</v>
      </c>
      <c r="H118" s="7">
        <v>156.86000000000001</v>
      </c>
      <c r="I118" s="7" t="s">
        <v>978</v>
      </c>
      <c r="J118" s="7">
        <v>15</v>
      </c>
      <c r="K118" s="7" t="s">
        <v>960</v>
      </c>
      <c r="L118" s="10">
        <v>46234</v>
      </c>
      <c r="M118" s="7">
        <v>5.2473000000000001</v>
      </c>
      <c r="N118" s="7" t="s">
        <v>773</v>
      </c>
      <c r="O118" s="7">
        <v>128</v>
      </c>
      <c r="P118" s="7" t="s">
        <v>975</v>
      </c>
      <c r="Q118" s="7" t="s">
        <v>775</v>
      </c>
      <c r="R118" s="7">
        <v>66.224534522516336</v>
      </c>
      <c r="S118" s="7" t="s">
        <v>776</v>
      </c>
      <c r="T118" s="7">
        <v>175</v>
      </c>
      <c r="U118" s="7" t="s">
        <v>976</v>
      </c>
      <c r="V118" s="7" t="s">
        <v>775</v>
      </c>
      <c r="W118" s="7">
        <v>7.1274750824233415</v>
      </c>
      <c r="X118" s="7" t="s">
        <v>776</v>
      </c>
      <c r="Y118" s="7">
        <v>175</v>
      </c>
      <c r="Z118" s="7" t="s">
        <v>977</v>
      </c>
      <c r="AA118" s="7" t="s">
        <v>775</v>
      </c>
      <c r="AB118" s="7">
        <v>4.2097840794313264</v>
      </c>
      <c r="AC118" s="7" t="s">
        <v>776</v>
      </c>
      <c r="AD118" s="7"/>
      <c r="AE118" s="7" t="s">
        <v>779</v>
      </c>
      <c r="AF118" s="7"/>
      <c r="AG118" s="7">
        <v>176.55403731442837</v>
      </c>
      <c r="AH118" s="7" t="s">
        <v>776</v>
      </c>
      <c r="AI118" s="7">
        <v>5.85</v>
      </c>
      <c r="AJ118" s="7">
        <v>0</v>
      </c>
      <c r="AK118" s="7" t="s">
        <v>776</v>
      </c>
      <c r="AL118" s="7">
        <v>0</v>
      </c>
      <c r="AM118" s="7" t="s">
        <v>780</v>
      </c>
      <c r="AN118" s="7" t="s">
        <v>781</v>
      </c>
      <c r="AO118" s="7" t="s">
        <v>782</v>
      </c>
      <c r="AP118" s="7">
        <v>0.1337142857142857</v>
      </c>
      <c r="AQ118" s="7">
        <v>0</v>
      </c>
      <c r="AR118" s="7">
        <v>0.1337142857142857</v>
      </c>
      <c r="AS118" s="8" t="b">
        <v>1</v>
      </c>
      <c r="AT118" s="8" t="b">
        <v>1</v>
      </c>
      <c r="AU118" s="8" t="b">
        <v>1</v>
      </c>
      <c r="AV118" s="8" t="b">
        <v>1</v>
      </c>
      <c r="AW118" s="8" t="b">
        <v>1</v>
      </c>
      <c r="AX118" s="8" t="b">
        <v>1</v>
      </c>
      <c r="AY118" s="8" t="b">
        <v>1</v>
      </c>
      <c r="AZ118" s="8" t="b">
        <v>1</v>
      </c>
      <c r="BA118" s="7" t="s">
        <v>783</v>
      </c>
      <c r="BB118" s="7" t="s">
        <v>783</v>
      </c>
      <c r="BC118" s="7" t="s">
        <v>784</v>
      </c>
      <c r="BD118" s="7">
        <v>0</v>
      </c>
      <c r="BE118" s="7">
        <v>0</v>
      </c>
      <c r="BF118" s="7">
        <v>25.258704476587958</v>
      </c>
      <c r="BG118" s="7">
        <v>0.13714285714285715</v>
      </c>
      <c r="BH118" s="7" t="s">
        <v>154</v>
      </c>
      <c r="BI118" s="7">
        <v>175</v>
      </c>
      <c r="BJ118" s="7">
        <v>24</v>
      </c>
      <c r="BK118" s="7">
        <v>24</v>
      </c>
      <c r="BL118" s="7">
        <v>24</v>
      </c>
      <c r="BM118" s="8" t="b">
        <v>1</v>
      </c>
      <c r="BN118" s="7">
        <v>141.64678193683281</v>
      </c>
      <c r="BO118" s="7">
        <v>0.80228571428571427</v>
      </c>
      <c r="BP118" s="7">
        <v>42.764850494540049</v>
      </c>
      <c r="BQ118" s="7">
        <v>0.13714285714285715</v>
      </c>
      <c r="BR118" s="7" t="s">
        <v>154</v>
      </c>
      <c r="BS118" s="7">
        <v>175</v>
      </c>
      <c r="BT118" s="7">
        <v>24</v>
      </c>
      <c r="BU118" s="7">
        <v>24</v>
      </c>
      <c r="BV118" s="7">
        <v>24</v>
      </c>
      <c r="BW118" s="7" t="s">
        <v>978</v>
      </c>
      <c r="BX118" s="8" t="b">
        <v>1</v>
      </c>
      <c r="BY118" s="7">
        <v>-178.77276676108966</v>
      </c>
      <c r="BZ118" s="7">
        <v>-4.5587853311510811</v>
      </c>
      <c r="CA118" s="7">
        <v>46236.020833333336</v>
      </c>
      <c r="CB118" s="7">
        <v>46236.010416666664</v>
      </c>
      <c r="CC118" s="7">
        <v>4.4853411764184947E-3</v>
      </c>
      <c r="CD118" s="7">
        <v>32.445534818712801</v>
      </c>
      <c r="CE118" s="7">
        <v>32.647448874363008</v>
      </c>
      <c r="CF118" s="7">
        <v>662.24534522516342</v>
      </c>
      <c r="CG118" s="7">
        <v>0.3125</v>
      </c>
      <c r="CH118" s="7" t="s">
        <v>150</v>
      </c>
      <c r="CI118" s="7">
        <v>128</v>
      </c>
      <c r="CJ118" s="8" t="b">
        <v>1</v>
      </c>
      <c r="CK118" s="7">
        <v>40</v>
      </c>
      <c r="CL118" s="7">
        <v>40</v>
      </c>
      <c r="CM118" s="7">
        <v>40</v>
      </c>
      <c r="CN118" s="8" t="b">
        <v>0</v>
      </c>
      <c r="CO118" s="7" t="s">
        <v>955</v>
      </c>
      <c r="CP118" s="7">
        <v>693.14291537203462</v>
      </c>
    </row>
    <row r="119" spans="1:94" ht="21" customHeight="1" x14ac:dyDescent="0.45">
      <c r="A119" s="9">
        <v>46236.020833333336</v>
      </c>
      <c r="B119" s="9">
        <v>46236.03125</v>
      </c>
      <c r="C119" s="9">
        <v>46236.145833333336</v>
      </c>
      <c r="D119" s="10">
        <v>46236</v>
      </c>
      <c r="E119" s="7">
        <v>0.25</v>
      </c>
      <c r="F119" s="7" t="s">
        <v>770</v>
      </c>
      <c r="G119" s="9">
        <v>46236</v>
      </c>
      <c r="H119" s="7">
        <v>157.31</v>
      </c>
      <c r="I119" s="7" t="s">
        <v>979</v>
      </c>
      <c r="J119" s="7">
        <v>15</v>
      </c>
      <c r="K119" s="7" t="s">
        <v>960</v>
      </c>
      <c r="L119" s="10">
        <v>46234</v>
      </c>
      <c r="M119" s="7">
        <v>5.2473000000000001</v>
      </c>
      <c r="N119" s="7" t="s">
        <v>773</v>
      </c>
      <c r="O119" s="7">
        <v>128</v>
      </c>
      <c r="P119" s="7" t="s">
        <v>975</v>
      </c>
      <c r="Q119" s="7" t="s">
        <v>775</v>
      </c>
      <c r="R119" s="7">
        <v>66.224534522516336</v>
      </c>
      <c r="S119" s="7" t="s">
        <v>776</v>
      </c>
      <c r="T119" s="7">
        <v>175</v>
      </c>
      <c r="U119" s="7" t="s">
        <v>976</v>
      </c>
      <c r="V119" s="7" t="s">
        <v>775</v>
      </c>
      <c r="W119" s="7">
        <v>7.1274750824233415</v>
      </c>
      <c r="X119" s="7" t="s">
        <v>776</v>
      </c>
      <c r="Y119" s="7">
        <v>175</v>
      </c>
      <c r="Z119" s="7" t="s">
        <v>977</v>
      </c>
      <c r="AA119" s="7" t="s">
        <v>775</v>
      </c>
      <c r="AB119" s="7">
        <v>4.2097840794313264</v>
      </c>
      <c r="AC119" s="7" t="s">
        <v>776</v>
      </c>
      <c r="AD119" s="7"/>
      <c r="AE119" s="7" t="s">
        <v>779</v>
      </c>
      <c r="AF119" s="7"/>
      <c r="AG119" s="7">
        <v>173.58984620662056</v>
      </c>
      <c r="AH119" s="7" t="s">
        <v>776</v>
      </c>
      <c r="AI119" s="7">
        <v>7.1340000000000003</v>
      </c>
      <c r="AJ119" s="7">
        <v>0</v>
      </c>
      <c r="AK119" s="7" t="s">
        <v>776</v>
      </c>
      <c r="AL119" s="7">
        <v>0</v>
      </c>
      <c r="AM119" s="7" t="s">
        <v>780</v>
      </c>
      <c r="AN119" s="7" t="s">
        <v>781</v>
      </c>
      <c r="AO119" s="7" t="s">
        <v>782</v>
      </c>
      <c r="AP119" s="7">
        <v>0.16306285714285709</v>
      </c>
      <c r="AQ119" s="7">
        <v>0</v>
      </c>
      <c r="AR119" s="7">
        <v>0.16306285714285709</v>
      </c>
      <c r="AS119" s="8" t="b">
        <v>1</v>
      </c>
      <c r="AT119" s="8" t="b">
        <v>1</v>
      </c>
      <c r="AU119" s="8" t="b">
        <v>1</v>
      </c>
      <c r="AV119" s="8" t="b">
        <v>1</v>
      </c>
      <c r="AW119" s="8" t="b">
        <v>1</v>
      </c>
      <c r="AX119" s="8" t="b">
        <v>1</v>
      </c>
      <c r="AY119" s="8" t="b">
        <v>1</v>
      </c>
      <c r="AZ119" s="8" t="b">
        <v>1</v>
      </c>
      <c r="BA119" s="7" t="s">
        <v>783</v>
      </c>
      <c r="BB119" s="7" t="s">
        <v>783</v>
      </c>
      <c r="BC119" s="7" t="s">
        <v>784</v>
      </c>
      <c r="BD119" s="7">
        <v>0</v>
      </c>
      <c r="BE119" s="7">
        <v>0</v>
      </c>
      <c r="BF119" s="7">
        <v>25.258704476587958</v>
      </c>
      <c r="BG119" s="7">
        <v>0.13714285714285715</v>
      </c>
      <c r="BH119" s="7" t="s">
        <v>154</v>
      </c>
      <c r="BI119" s="7">
        <v>175</v>
      </c>
      <c r="BJ119" s="7">
        <v>24</v>
      </c>
      <c r="BK119" s="7">
        <v>24</v>
      </c>
      <c r="BL119" s="7">
        <v>24</v>
      </c>
      <c r="BM119" s="8" t="b">
        <v>1</v>
      </c>
      <c r="BN119" s="7">
        <v>169.83633776064426</v>
      </c>
      <c r="BO119" s="7">
        <v>0.97837714285714283</v>
      </c>
      <c r="BP119" s="7">
        <v>42.764850494540049</v>
      </c>
      <c r="BQ119" s="7">
        <v>0.13714285714285715</v>
      </c>
      <c r="BR119" s="7" t="s">
        <v>154</v>
      </c>
      <c r="BS119" s="7">
        <v>175</v>
      </c>
      <c r="BT119" s="7">
        <v>24</v>
      </c>
      <c r="BU119" s="7">
        <v>24</v>
      </c>
      <c r="BV119" s="7">
        <v>24</v>
      </c>
      <c r="BW119" s="7" t="s">
        <v>979</v>
      </c>
      <c r="BX119" s="8" t="b">
        <v>1</v>
      </c>
      <c r="BY119" s="7">
        <v>-137.68886982779082</v>
      </c>
      <c r="BZ119" s="7">
        <v>-3.5010837156643779</v>
      </c>
      <c r="CA119" s="7">
        <v>46236.03125</v>
      </c>
      <c r="CB119" s="7">
        <v>46236.020833333336</v>
      </c>
      <c r="CC119" s="7">
        <v>4.39517069448765E-3</v>
      </c>
      <c r="CD119" s="7">
        <v>32.647448874363008</v>
      </c>
      <c r="CE119" s="7">
        <v>32.413073445217691</v>
      </c>
      <c r="CF119" s="7">
        <v>662.24534522516342</v>
      </c>
      <c r="CG119" s="7">
        <v>0.3125</v>
      </c>
      <c r="CH119" s="7" t="s">
        <v>150</v>
      </c>
      <c r="CI119" s="7">
        <v>128</v>
      </c>
      <c r="CJ119" s="8" t="b">
        <v>1</v>
      </c>
      <c r="CK119" s="7">
        <v>40</v>
      </c>
      <c r="CL119" s="7">
        <v>40</v>
      </c>
      <c r="CM119" s="7">
        <v>40</v>
      </c>
      <c r="CN119" s="8" t="b">
        <v>0</v>
      </c>
      <c r="CO119" s="7" t="s">
        <v>955</v>
      </c>
      <c r="CP119" s="7">
        <v>762.41636812914487</v>
      </c>
    </row>
    <row r="120" spans="1:94" ht="21" customHeight="1" x14ac:dyDescent="0.45">
      <c r="A120" s="9">
        <v>46236.03125</v>
      </c>
      <c r="B120" s="9">
        <v>46236.041666666664</v>
      </c>
      <c r="C120" s="9">
        <v>46236.15625</v>
      </c>
      <c r="D120" s="10">
        <v>46236</v>
      </c>
      <c r="E120" s="7">
        <v>0.25</v>
      </c>
      <c r="F120" s="7" t="s">
        <v>770</v>
      </c>
      <c r="G120" s="9">
        <v>46236</v>
      </c>
      <c r="H120" s="7">
        <v>154.80000000000001</v>
      </c>
      <c r="I120" s="7" t="s">
        <v>980</v>
      </c>
      <c r="J120" s="7">
        <v>15</v>
      </c>
      <c r="K120" s="7" t="s">
        <v>960</v>
      </c>
      <c r="L120" s="10">
        <v>46234</v>
      </c>
      <c r="M120" s="7">
        <v>5.2473000000000001</v>
      </c>
      <c r="N120" s="7" t="s">
        <v>773</v>
      </c>
      <c r="O120" s="7">
        <v>128</v>
      </c>
      <c r="P120" s="7" t="s">
        <v>975</v>
      </c>
      <c r="Q120" s="7" t="s">
        <v>775</v>
      </c>
      <c r="R120" s="7">
        <v>66.224534522516336</v>
      </c>
      <c r="S120" s="7" t="s">
        <v>776</v>
      </c>
      <c r="T120" s="7">
        <v>175</v>
      </c>
      <c r="U120" s="7" t="s">
        <v>976</v>
      </c>
      <c r="V120" s="7" t="s">
        <v>775</v>
      </c>
      <c r="W120" s="7">
        <v>7.1274750824233415</v>
      </c>
      <c r="X120" s="7" t="s">
        <v>776</v>
      </c>
      <c r="Y120" s="7">
        <v>175</v>
      </c>
      <c r="Z120" s="7" t="s">
        <v>977</v>
      </c>
      <c r="AA120" s="7" t="s">
        <v>775</v>
      </c>
      <c r="AB120" s="7">
        <v>4.2097840794313264</v>
      </c>
      <c r="AC120" s="7" t="s">
        <v>776</v>
      </c>
      <c r="AD120" s="7"/>
      <c r="AE120" s="7" t="s">
        <v>779</v>
      </c>
      <c r="AF120" s="7"/>
      <c r="AG120" s="7">
        <v>185.35837478322185</v>
      </c>
      <c r="AH120" s="7" t="s">
        <v>776</v>
      </c>
      <c r="AI120" s="7">
        <v>10.827</v>
      </c>
      <c r="AJ120" s="7">
        <v>0</v>
      </c>
      <c r="AK120" s="7" t="s">
        <v>776</v>
      </c>
      <c r="AL120" s="7">
        <v>0</v>
      </c>
      <c r="AM120" s="7" t="s">
        <v>780</v>
      </c>
      <c r="AN120" s="7" t="s">
        <v>781</v>
      </c>
      <c r="AO120" s="7" t="s">
        <v>782</v>
      </c>
      <c r="AP120" s="7">
        <v>0.2474742857142857</v>
      </c>
      <c r="AQ120" s="7">
        <v>0</v>
      </c>
      <c r="AR120" s="7">
        <v>0.2474742857142857</v>
      </c>
      <c r="AS120" s="8" t="b">
        <v>1</v>
      </c>
      <c r="AT120" s="8" t="b">
        <v>1</v>
      </c>
      <c r="AU120" s="8" t="b">
        <v>1</v>
      </c>
      <c r="AV120" s="8" t="b">
        <v>1</v>
      </c>
      <c r="AW120" s="8" t="b">
        <v>1</v>
      </c>
      <c r="AX120" s="8" t="b">
        <v>1</v>
      </c>
      <c r="AY120" s="8" t="b">
        <v>1</v>
      </c>
      <c r="AZ120" s="8" t="b">
        <v>1</v>
      </c>
      <c r="BA120" s="7" t="s">
        <v>783</v>
      </c>
      <c r="BB120" s="7" t="s">
        <v>783</v>
      </c>
      <c r="BC120" s="7" t="s">
        <v>784</v>
      </c>
      <c r="BD120" s="7">
        <v>0</v>
      </c>
      <c r="BE120" s="7">
        <v>0</v>
      </c>
      <c r="BF120" s="7">
        <v>25.258704476587958</v>
      </c>
      <c r="BG120" s="7">
        <v>0.13714285714285715</v>
      </c>
      <c r="BH120" s="7" t="s">
        <v>154</v>
      </c>
      <c r="BI120" s="7">
        <v>175</v>
      </c>
      <c r="BJ120" s="7">
        <v>24</v>
      </c>
      <c r="BK120" s="7">
        <v>24</v>
      </c>
      <c r="BL120" s="7">
        <v>24</v>
      </c>
      <c r="BM120" s="8" t="b">
        <v>1</v>
      </c>
      <c r="BN120" s="7">
        <v>275.22858840383213</v>
      </c>
      <c r="BO120" s="7">
        <v>1.4848457142857141</v>
      </c>
      <c r="BP120" s="7">
        <v>42.764850494540049</v>
      </c>
      <c r="BQ120" s="7">
        <v>0.13714285714285715</v>
      </c>
      <c r="BR120" s="7" t="s">
        <v>154</v>
      </c>
      <c r="BS120" s="7">
        <v>175</v>
      </c>
      <c r="BT120" s="7">
        <v>24</v>
      </c>
      <c r="BU120" s="7">
        <v>24</v>
      </c>
      <c r="BV120" s="7">
        <v>24</v>
      </c>
      <c r="BW120" s="7" t="s">
        <v>980</v>
      </c>
      <c r="BX120" s="8" t="b">
        <v>1</v>
      </c>
      <c r="BY120" s="7">
        <v>-540.96064328825435</v>
      </c>
      <c r="BZ120" s="7">
        <v>-13.978311196078922</v>
      </c>
      <c r="CA120" s="7">
        <v>46236.041666666664</v>
      </c>
      <c r="CB120" s="7">
        <v>46236.03125</v>
      </c>
      <c r="CC120" s="7">
        <v>8.5925608122852538E-3</v>
      </c>
      <c r="CD120" s="7">
        <v>32.413073445217691</v>
      </c>
      <c r="CE120" s="7">
        <v>34.15850931677015</v>
      </c>
      <c r="CF120" s="7">
        <v>662.24534522516342</v>
      </c>
      <c r="CG120" s="7">
        <v>0.3125</v>
      </c>
      <c r="CH120" s="7" t="s">
        <v>150</v>
      </c>
      <c r="CI120" s="7">
        <v>128</v>
      </c>
      <c r="CJ120" s="8" t="b">
        <v>1</v>
      </c>
      <c r="CK120" s="7">
        <v>40</v>
      </c>
      <c r="CL120" s="7">
        <v>40</v>
      </c>
      <c r="CM120" s="7">
        <v>40</v>
      </c>
      <c r="CN120" s="8" t="b">
        <v>0</v>
      </c>
      <c r="CO120" s="7" t="s">
        <v>955</v>
      </c>
      <c r="CP120" s="7">
        <v>464.53684531186923</v>
      </c>
    </row>
    <row r="121" spans="1:94" ht="21" customHeight="1" x14ac:dyDescent="0.45">
      <c r="A121" s="9">
        <v>46236.041666666664</v>
      </c>
      <c r="B121" s="9">
        <v>46236.052083333336</v>
      </c>
      <c r="C121" s="9">
        <v>46236.166666666664</v>
      </c>
      <c r="D121" s="10">
        <v>46236</v>
      </c>
      <c r="E121" s="7">
        <v>0.25</v>
      </c>
      <c r="F121" s="7" t="s">
        <v>770</v>
      </c>
      <c r="G121" s="9">
        <v>46236.041666666664</v>
      </c>
      <c r="H121" s="7">
        <v>157.47999999999999</v>
      </c>
      <c r="I121" s="7" t="s">
        <v>981</v>
      </c>
      <c r="J121" s="7">
        <v>15</v>
      </c>
      <c r="K121" s="7" t="s">
        <v>960</v>
      </c>
      <c r="L121" s="10">
        <v>46234</v>
      </c>
      <c r="M121" s="7">
        <v>5.2473000000000001</v>
      </c>
      <c r="N121" s="7" t="s">
        <v>773</v>
      </c>
      <c r="O121" s="7">
        <v>128</v>
      </c>
      <c r="P121" s="7" t="s">
        <v>982</v>
      </c>
      <c r="Q121" s="7" t="s">
        <v>775</v>
      </c>
      <c r="R121" s="7">
        <v>66.224534522516336</v>
      </c>
      <c r="S121" s="7" t="s">
        <v>776</v>
      </c>
      <c r="T121" s="7">
        <v>175</v>
      </c>
      <c r="U121" s="7" t="s">
        <v>983</v>
      </c>
      <c r="V121" s="7" t="s">
        <v>775</v>
      </c>
      <c r="W121" s="7">
        <v>7.1274750824233415</v>
      </c>
      <c r="X121" s="7" t="s">
        <v>776</v>
      </c>
      <c r="Y121" s="7">
        <v>175</v>
      </c>
      <c r="Z121" s="7" t="s">
        <v>984</v>
      </c>
      <c r="AA121" s="7" t="s">
        <v>775</v>
      </c>
      <c r="AB121" s="7">
        <v>5.0768966897261452</v>
      </c>
      <c r="AC121" s="7" t="s">
        <v>776</v>
      </c>
      <c r="AD121" s="7"/>
      <c r="AE121" s="7" t="s">
        <v>779</v>
      </c>
      <c r="AF121" s="7"/>
      <c r="AG121" s="7">
        <v>217.78781468564785</v>
      </c>
      <c r="AH121" s="7" t="s">
        <v>776</v>
      </c>
      <c r="AI121" s="7">
        <v>16.23</v>
      </c>
      <c r="AJ121" s="7">
        <v>0</v>
      </c>
      <c r="AK121" s="7" t="s">
        <v>776</v>
      </c>
      <c r="AL121" s="7">
        <v>0</v>
      </c>
      <c r="AM121" s="7" t="s">
        <v>780</v>
      </c>
      <c r="AN121" s="7" t="s">
        <v>781</v>
      </c>
      <c r="AO121" s="7" t="s">
        <v>782</v>
      </c>
      <c r="AP121" s="7">
        <v>0.37097142857142851</v>
      </c>
      <c r="AQ121" s="7">
        <v>0</v>
      </c>
      <c r="AR121" s="7">
        <v>0.37097142857142851</v>
      </c>
      <c r="AS121" s="8" t="b">
        <v>1</v>
      </c>
      <c r="AT121" s="8" t="b">
        <v>1</v>
      </c>
      <c r="AU121" s="8" t="b">
        <v>1</v>
      </c>
      <c r="AV121" s="8" t="b">
        <v>1</v>
      </c>
      <c r="AW121" s="8" t="b">
        <v>1</v>
      </c>
      <c r="AX121" s="8" t="b">
        <v>1</v>
      </c>
      <c r="AY121" s="8" t="b">
        <v>1</v>
      </c>
      <c r="AZ121" s="8" t="b">
        <v>1</v>
      </c>
      <c r="BA121" s="7" t="s">
        <v>783</v>
      </c>
      <c r="BB121" s="7" t="s">
        <v>783</v>
      </c>
      <c r="BC121" s="7" t="s">
        <v>784</v>
      </c>
      <c r="BD121" s="7">
        <v>0</v>
      </c>
      <c r="BE121" s="7">
        <v>0</v>
      </c>
      <c r="BF121" s="7">
        <v>30.461380138356873</v>
      </c>
      <c r="BG121" s="7">
        <v>0.13714285714285715</v>
      </c>
      <c r="BH121" s="7" t="s">
        <v>154</v>
      </c>
      <c r="BI121" s="7">
        <v>175</v>
      </c>
      <c r="BJ121" s="7">
        <v>24</v>
      </c>
      <c r="BK121" s="7">
        <v>24</v>
      </c>
      <c r="BL121" s="7">
        <v>24</v>
      </c>
      <c r="BM121" s="8" t="b">
        <v>1</v>
      </c>
      <c r="BN121" s="7">
        <v>484.75834043630601</v>
      </c>
      <c r="BO121" s="7">
        <v>2.2258285714285715</v>
      </c>
      <c r="BP121" s="7">
        <v>42.764850494540049</v>
      </c>
      <c r="BQ121" s="7">
        <v>0.13714285714285715</v>
      </c>
      <c r="BR121" s="7" t="s">
        <v>154</v>
      </c>
      <c r="BS121" s="7">
        <v>175</v>
      </c>
      <c r="BT121" s="7">
        <v>24</v>
      </c>
      <c r="BU121" s="7">
        <v>24</v>
      </c>
      <c r="BV121" s="7">
        <v>24</v>
      </c>
      <c r="BW121" s="7" t="s">
        <v>981</v>
      </c>
      <c r="BX121" s="8" t="b">
        <v>1</v>
      </c>
      <c r="BY121" s="7">
        <v>0</v>
      </c>
      <c r="BZ121" s="7">
        <v>0</v>
      </c>
      <c r="CA121" s="7">
        <v>46236.052083333336</v>
      </c>
      <c r="CB121" s="7">
        <v>46236.041666666664</v>
      </c>
      <c r="CC121" s="7">
        <v>6.7204968944099379E-3</v>
      </c>
      <c r="CD121" s="7">
        <v>34.15850931677015</v>
      </c>
      <c r="CE121" s="7">
        <v>31.739130434782574</v>
      </c>
      <c r="CF121" s="7">
        <v>662.24534522516342</v>
      </c>
      <c r="CG121" s="7">
        <v>0.3125</v>
      </c>
      <c r="CH121" s="7" t="s">
        <v>150</v>
      </c>
      <c r="CI121" s="7">
        <v>128</v>
      </c>
      <c r="CJ121" s="8" t="b">
        <v>1</v>
      </c>
      <c r="CK121" s="7">
        <v>40</v>
      </c>
      <c r="CL121" s="7">
        <v>40</v>
      </c>
      <c r="CM121" s="7">
        <v>40</v>
      </c>
      <c r="CN121" s="8" t="b">
        <v>0</v>
      </c>
      <c r="CO121" s="7" t="s">
        <v>955</v>
      </c>
      <c r="CP121" s="7">
        <v>1220.2299162943664</v>
      </c>
    </row>
    <row r="122" spans="1:94" ht="21" customHeight="1" x14ac:dyDescent="0.45">
      <c r="A122" s="9">
        <v>46236.052083333336</v>
      </c>
      <c r="B122" s="9">
        <v>46236.0625</v>
      </c>
      <c r="C122" s="9">
        <v>46236.177083333336</v>
      </c>
      <c r="D122" s="10">
        <v>46236</v>
      </c>
      <c r="E122" s="7">
        <v>0.25</v>
      </c>
      <c r="F122" s="7" t="s">
        <v>770</v>
      </c>
      <c r="G122" s="9">
        <v>46236.041666666664</v>
      </c>
      <c r="H122" s="7">
        <v>154.01</v>
      </c>
      <c r="I122" s="7" t="s">
        <v>985</v>
      </c>
      <c r="J122" s="7">
        <v>15</v>
      </c>
      <c r="K122" s="7" t="s">
        <v>960</v>
      </c>
      <c r="L122" s="10">
        <v>46234</v>
      </c>
      <c r="M122" s="7">
        <v>5.2473000000000001</v>
      </c>
      <c r="N122" s="7" t="s">
        <v>773</v>
      </c>
      <c r="O122" s="7">
        <v>128</v>
      </c>
      <c r="P122" s="7" t="s">
        <v>982</v>
      </c>
      <c r="Q122" s="7" t="s">
        <v>775</v>
      </c>
      <c r="R122" s="7">
        <v>66.224534522516336</v>
      </c>
      <c r="S122" s="7" t="s">
        <v>776</v>
      </c>
      <c r="T122" s="7">
        <v>175</v>
      </c>
      <c r="U122" s="7" t="s">
        <v>983</v>
      </c>
      <c r="V122" s="7" t="s">
        <v>775</v>
      </c>
      <c r="W122" s="7">
        <v>7.1274750824233415</v>
      </c>
      <c r="X122" s="7" t="s">
        <v>776</v>
      </c>
      <c r="Y122" s="7">
        <v>175</v>
      </c>
      <c r="Z122" s="7" t="s">
        <v>984</v>
      </c>
      <c r="AA122" s="7" t="s">
        <v>775</v>
      </c>
      <c r="AB122" s="7">
        <v>5.0768966897261452</v>
      </c>
      <c r="AC122" s="7" t="s">
        <v>776</v>
      </c>
      <c r="AD122" s="7"/>
      <c r="AE122" s="7" t="s">
        <v>779</v>
      </c>
      <c r="AF122" s="7"/>
      <c r="AG122" s="7">
        <v>211.27665656623407</v>
      </c>
      <c r="AH122" s="7" t="s">
        <v>776</v>
      </c>
      <c r="AI122" s="7">
        <v>17.353000000000002</v>
      </c>
      <c r="AJ122" s="7">
        <v>0</v>
      </c>
      <c r="AK122" s="7" t="s">
        <v>776</v>
      </c>
      <c r="AL122" s="7">
        <v>0</v>
      </c>
      <c r="AM122" s="7" t="s">
        <v>780</v>
      </c>
      <c r="AN122" s="7" t="s">
        <v>781</v>
      </c>
      <c r="AO122" s="7" t="s">
        <v>782</v>
      </c>
      <c r="AP122" s="7">
        <v>0.39663999999999999</v>
      </c>
      <c r="AQ122" s="7">
        <v>0</v>
      </c>
      <c r="AR122" s="7">
        <v>0.39663999999999999</v>
      </c>
      <c r="AS122" s="8" t="b">
        <v>1</v>
      </c>
      <c r="AT122" s="8" t="b">
        <v>1</v>
      </c>
      <c r="AU122" s="8" t="b">
        <v>1</v>
      </c>
      <c r="AV122" s="8" t="b">
        <v>1</v>
      </c>
      <c r="AW122" s="8" t="b">
        <v>1</v>
      </c>
      <c r="AX122" s="8" t="b">
        <v>1</v>
      </c>
      <c r="AY122" s="8" t="b">
        <v>1</v>
      </c>
      <c r="AZ122" s="8" t="b">
        <v>1</v>
      </c>
      <c r="BA122" s="7" t="s">
        <v>783</v>
      </c>
      <c r="BB122" s="7" t="s">
        <v>783</v>
      </c>
      <c r="BC122" s="7" t="s">
        <v>784</v>
      </c>
      <c r="BD122" s="7">
        <v>0</v>
      </c>
      <c r="BE122" s="7">
        <v>0</v>
      </c>
      <c r="BF122" s="7">
        <v>30.461380138356873</v>
      </c>
      <c r="BG122" s="7">
        <v>0.13714285714285715</v>
      </c>
      <c r="BH122" s="7" t="s">
        <v>154</v>
      </c>
      <c r="BI122" s="7">
        <v>175</v>
      </c>
      <c r="BJ122" s="7">
        <v>24</v>
      </c>
      <c r="BK122" s="7">
        <v>24</v>
      </c>
      <c r="BL122" s="7">
        <v>24</v>
      </c>
      <c r="BM122" s="8" t="b">
        <v>1</v>
      </c>
      <c r="BN122" s="7">
        <v>502.8046383625865</v>
      </c>
      <c r="BO122" s="7">
        <v>2.3798400000000002</v>
      </c>
      <c r="BP122" s="7">
        <v>42.764850494540049</v>
      </c>
      <c r="BQ122" s="7">
        <v>0.13714285714285715</v>
      </c>
      <c r="BR122" s="7" t="s">
        <v>154</v>
      </c>
      <c r="BS122" s="7">
        <v>175</v>
      </c>
      <c r="BT122" s="7">
        <v>24</v>
      </c>
      <c r="BU122" s="7">
        <v>24</v>
      </c>
      <c r="BV122" s="7">
        <v>24</v>
      </c>
      <c r="BW122" s="7" t="s">
        <v>985</v>
      </c>
      <c r="BX122" s="8" t="b">
        <v>1</v>
      </c>
      <c r="BY122" s="7">
        <v>-924.06</v>
      </c>
      <c r="BZ122" s="7">
        <v>-24</v>
      </c>
      <c r="CA122" s="7">
        <v>46236.0625</v>
      </c>
      <c r="CB122" s="7">
        <v>46236.052083333336</v>
      </c>
      <c r="CC122" s="7">
        <v>9.2515199999999975E-3</v>
      </c>
      <c r="CD122" s="7">
        <v>31.739130434782574</v>
      </c>
      <c r="CE122" s="7">
        <v>35.069677634782572</v>
      </c>
      <c r="CF122" s="7">
        <v>662.24534522516342</v>
      </c>
      <c r="CG122" s="7">
        <v>0.3125</v>
      </c>
      <c r="CH122" s="7" t="s">
        <v>150</v>
      </c>
      <c r="CI122" s="7">
        <v>128</v>
      </c>
      <c r="CJ122" s="8" t="b">
        <v>1</v>
      </c>
      <c r="CK122" s="7">
        <v>40</v>
      </c>
      <c r="CL122" s="7">
        <v>40</v>
      </c>
      <c r="CM122" s="7">
        <v>40</v>
      </c>
      <c r="CN122" s="8" t="b">
        <v>0</v>
      </c>
      <c r="CO122" s="7" t="s">
        <v>955</v>
      </c>
      <c r="CP122" s="7">
        <v>314.21621422064692</v>
      </c>
    </row>
    <row r="123" spans="1:94" ht="21" customHeight="1" x14ac:dyDescent="0.45">
      <c r="A123" s="9">
        <v>46236.0625</v>
      </c>
      <c r="B123" s="9">
        <v>46236.072916666664</v>
      </c>
      <c r="C123" s="9">
        <v>46236.1875</v>
      </c>
      <c r="D123" s="10">
        <v>46236</v>
      </c>
      <c r="E123" s="7">
        <v>0.25</v>
      </c>
      <c r="F123" s="7" t="s">
        <v>770</v>
      </c>
      <c r="G123" s="9">
        <v>46236.041666666664</v>
      </c>
      <c r="H123" s="7">
        <v>154.82</v>
      </c>
      <c r="I123" s="7" t="s">
        <v>986</v>
      </c>
      <c r="J123" s="7">
        <v>15</v>
      </c>
      <c r="K123" s="7" t="s">
        <v>960</v>
      </c>
      <c r="L123" s="10">
        <v>46234</v>
      </c>
      <c r="M123" s="7">
        <v>5.2473000000000001</v>
      </c>
      <c r="N123" s="7" t="s">
        <v>773</v>
      </c>
      <c r="O123" s="7">
        <v>128</v>
      </c>
      <c r="P123" s="7" t="s">
        <v>982</v>
      </c>
      <c r="Q123" s="7" t="s">
        <v>775</v>
      </c>
      <c r="R123" s="7">
        <v>66.224534522516336</v>
      </c>
      <c r="S123" s="7" t="s">
        <v>776</v>
      </c>
      <c r="T123" s="7">
        <v>175</v>
      </c>
      <c r="U123" s="7" t="s">
        <v>983</v>
      </c>
      <c r="V123" s="7" t="s">
        <v>775</v>
      </c>
      <c r="W123" s="7">
        <v>7.1274750824233415</v>
      </c>
      <c r="X123" s="7" t="s">
        <v>776</v>
      </c>
      <c r="Y123" s="7">
        <v>175</v>
      </c>
      <c r="Z123" s="7" t="s">
        <v>984</v>
      </c>
      <c r="AA123" s="7" t="s">
        <v>775</v>
      </c>
      <c r="AB123" s="7">
        <v>5.0768966897261452</v>
      </c>
      <c r="AC123" s="7" t="s">
        <v>776</v>
      </c>
      <c r="AD123" s="7"/>
      <c r="AE123" s="7" t="s">
        <v>779</v>
      </c>
      <c r="AF123" s="7"/>
      <c r="AG123" s="7">
        <v>223.7628875802794</v>
      </c>
      <c r="AH123" s="7" t="s">
        <v>776</v>
      </c>
      <c r="AI123" s="7">
        <v>20.731999999999999</v>
      </c>
      <c r="AJ123" s="7">
        <v>0</v>
      </c>
      <c r="AK123" s="7" t="s">
        <v>776</v>
      </c>
      <c r="AL123" s="7">
        <v>0</v>
      </c>
      <c r="AM123" s="7" t="s">
        <v>780</v>
      </c>
      <c r="AN123" s="7" t="s">
        <v>781</v>
      </c>
      <c r="AO123" s="7" t="s">
        <v>782</v>
      </c>
      <c r="AP123" s="7">
        <v>0.47387428571428569</v>
      </c>
      <c r="AQ123" s="7">
        <v>0</v>
      </c>
      <c r="AR123" s="7">
        <v>0.47387428571428569</v>
      </c>
      <c r="AS123" s="8" t="b">
        <v>1</v>
      </c>
      <c r="AT123" s="8" t="b">
        <v>1</v>
      </c>
      <c r="AU123" s="8" t="b">
        <v>1</v>
      </c>
      <c r="AV123" s="8" t="b">
        <v>1</v>
      </c>
      <c r="AW123" s="8" t="b">
        <v>1</v>
      </c>
      <c r="AX123" s="8" t="b">
        <v>1</v>
      </c>
      <c r="AY123" s="8" t="b">
        <v>1</v>
      </c>
      <c r="AZ123" s="8" t="b">
        <v>1</v>
      </c>
      <c r="BA123" s="7" t="s">
        <v>783</v>
      </c>
      <c r="BB123" s="7" t="s">
        <v>783</v>
      </c>
      <c r="BC123" s="7" t="s">
        <v>784</v>
      </c>
      <c r="BD123" s="7">
        <v>0</v>
      </c>
      <c r="BE123" s="7">
        <v>0</v>
      </c>
      <c r="BF123" s="7">
        <v>30.461380138356873</v>
      </c>
      <c r="BG123" s="7">
        <v>0.13714285714285715</v>
      </c>
      <c r="BH123" s="7" t="s">
        <v>154</v>
      </c>
      <c r="BI123" s="7">
        <v>175</v>
      </c>
      <c r="BJ123" s="7">
        <v>24</v>
      </c>
      <c r="BK123" s="7">
        <v>24</v>
      </c>
      <c r="BL123" s="7">
        <v>24</v>
      </c>
      <c r="BM123" s="8" t="b">
        <v>1</v>
      </c>
      <c r="BN123" s="7">
        <v>636.21287112882544</v>
      </c>
      <c r="BO123" s="7">
        <v>2.8432457142857142</v>
      </c>
      <c r="BP123" s="7">
        <v>42.764850494540049</v>
      </c>
      <c r="BQ123" s="7">
        <v>0.13714285714285715</v>
      </c>
      <c r="BR123" s="7" t="s">
        <v>154</v>
      </c>
      <c r="BS123" s="7">
        <v>175</v>
      </c>
      <c r="BT123" s="7">
        <v>24</v>
      </c>
      <c r="BU123" s="7">
        <v>24</v>
      </c>
      <c r="BV123" s="7">
        <v>24</v>
      </c>
      <c r="BW123" s="7" t="s">
        <v>986</v>
      </c>
      <c r="BX123" s="8" t="b">
        <v>1</v>
      </c>
      <c r="BY123" s="7">
        <v>-885.32931958760901</v>
      </c>
      <c r="BZ123" s="7">
        <v>-22.87377133671642</v>
      </c>
      <c r="CA123" s="7">
        <v>46236.072916666664</v>
      </c>
      <c r="CB123" s="7">
        <v>46236.0625</v>
      </c>
      <c r="CC123" s="7">
        <v>8.0915414163973479E-3</v>
      </c>
      <c r="CD123" s="7">
        <v>35.069677634782572</v>
      </c>
      <c r="CE123" s="7">
        <v>37.69258319503102</v>
      </c>
      <c r="CF123" s="7">
        <v>662.24534522516342</v>
      </c>
      <c r="CG123" s="7">
        <v>0.3125</v>
      </c>
      <c r="CH123" s="7" t="s">
        <v>150</v>
      </c>
      <c r="CI123" s="7">
        <v>128</v>
      </c>
      <c r="CJ123" s="8" t="b">
        <v>1</v>
      </c>
      <c r="CK123" s="7">
        <v>40</v>
      </c>
      <c r="CL123" s="7">
        <v>40</v>
      </c>
      <c r="CM123" s="7">
        <v>40</v>
      </c>
      <c r="CN123" s="8" t="b">
        <v>0</v>
      </c>
      <c r="CO123" s="7" t="s">
        <v>955</v>
      </c>
      <c r="CP123" s="7">
        <v>486.3551273992768</v>
      </c>
    </row>
    <row r="124" spans="1:94" ht="21" customHeight="1" x14ac:dyDescent="0.45">
      <c r="A124" s="9">
        <v>46236.072916666664</v>
      </c>
      <c r="B124" s="9">
        <v>46236.083333333336</v>
      </c>
      <c r="C124" s="9">
        <v>46236.197916666664</v>
      </c>
      <c r="D124" s="10">
        <v>46236</v>
      </c>
      <c r="E124" s="7">
        <v>0.25</v>
      </c>
      <c r="F124" s="7" t="s">
        <v>770</v>
      </c>
      <c r="G124" s="9">
        <v>46236.041666666664</v>
      </c>
      <c r="H124" s="7">
        <v>154.78</v>
      </c>
      <c r="I124" s="7" t="s">
        <v>987</v>
      </c>
      <c r="J124" s="7">
        <v>15</v>
      </c>
      <c r="K124" s="7" t="s">
        <v>960</v>
      </c>
      <c r="L124" s="10">
        <v>46234</v>
      </c>
      <c r="M124" s="7">
        <v>5.2473000000000001</v>
      </c>
      <c r="N124" s="7" t="s">
        <v>773</v>
      </c>
      <c r="O124" s="7">
        <v>128</v>
      </c>
      <c r="P124" s="7" t="s">
        <v>982</v>
      </c>
      <c r="Q124" s="7" t="s">
        <v>775</v>
      </c>
      <c r="R124" s="7">
        <v>66.224534522516336</v>
      </c>
      <c r="S124" s="7" t="s">
        <v>776</v>
      </c>
      <c r="T124" s="7">
        <v>175</v>
      </c>
      <c r="U124" s="7" t="s">
        <v>983</v>
      </c>
      <c r="V124" s="7" t="s">
        <v>775</v>
      </c>
      <c r="W124" s="7">
        <v>7.1274750824233415</v>
      </c>
      <c r="X124" s="7" t="s">
        <v>776</v>
      </c>
      <c r="Y124" s="7">
        <v>175</v>
      </c>
      <c r="Z124" s="7" t="s">
        <v>984</v>
      </c>
      <c r="AA124" s="7" t="s">
        <v>775</v>
      </c>
      <c r="AB124" s="7">
        <v>5.0768966897261452</v>
      </c>
      <c r="AC124" s="7" t="s">
        <v>776</v>
      </c>
      <c r="AD124" s="7"/>
      <c r="AE124" s="7" t="s">
        <v>779</v>
      </c>
      <c r="AF124" s="7"/>
      <c r="AG124" s="7">
        <v>190.96849808472928</v>
      </c>
      <c r="AH124" s="7" t="s">
        <v>776</v>
      </c>
      <c r="AI124" s="7">
        <v>14.108000000000001</v>
      </c>
      <c r="AJ124" s="7">
        <v>0</v>
      </c>
      <c r="AK124" s="7" t="s">
        <v>776</v>
      </c>
      <c r="AL124" s="7">
        <v>0</v>
      </c>
      <c r="AM124" s="7" t="s">
        <v>780</v>
      </c>
      <c r="AN124" s="7" t="s">
        <v>781</v>
      </c>
      <c r="AO124" s="7" t="s">
        <v>782</v>
      </c>
      <c r="AP124" s="7">
        <v>0.32246857142857138</v>
      </c>
      <c r="AQ124" s="7">
        <v>0</v>
      </c>
      <c r="AR124" s="7">
        <v>0.32246857142857138</v>
      </c>
      <c r="AS124" s="8" t="b">
        <v>1</v>
      </c>
      <c r="AT124" s="8" t="b">
        <v>1</v>
      </c>
      <c r="AU124" s="8" t="b">
        <v>1</v>
      </c>
      <c r="AV124" s="8" t="b">
        <v>1</v>
      </c>
      <c r="AW124" s="8" t="b">
        <v>1</v>
      </c>
      <c r="AX124" s="8" t="b">
        <v>1</v>
      </c>
      <c r="AY124" s="8" t="b">
        <v>1</v>
      </c>
      <c r="AZ124" s="8" t="b">
        <v>1</v>
      </c>
      <c r="BA124" s="7" t="s">
        <v>783</v>
      </c>
      <c r="BB124" s="7" t="s">
        <v>783</v>
      </c>
      <c r="BC124" s="7" t="s">
        <v>784</v>
      </c>
      <c r="BD124" s="7">
        <v>0</v>
      </c>
      <c r="BE124" s="7">
        <v>0</v>
      </c>
      <c r="BF124" s="7">
        <v>30.461380138356873</v>
      </c>
      <c r="BG124" s="7">
        <v>0.13714285714285715</v>
      </c>
      <c r="BH124" s="7" t="s">
        <v>154</v>
      </c>
      <c r="BI124" s="7">
        <v>175</v>
      </c>
      <c r="BJ124" s="7">
        <v>24</v>
      </c>
      <c r="BK124" s="7">
        <v>24</v>
      </c>
      <c r="BL124" s="7">
        <v>24</v>
      </c>
      <c r="BM124" s="8" t="b">
        <v>1</v>
      </c>
      <c r="BN124" s="7">
        <v>369.48803259145518</v>
      </c>
      <c r="BO124" s="7">
        <v>1.9348114285714286</v>
      </c>
      <c r="BP124" s="7">
        <v>42.764850494540049</v>
      </c>
      <c r="BQ124" s="7">
        <v>0.13714285714285715</v>
      </c>
      <c r="BR124" s="7" t="s">
        <v>154</v>
      </c>
      <c r="BS124" s="7">
        <v>175</v>
      </c>
      <c r="BT124" s="7">
        <v>24</v>
      </c>
      <c r="BU124" s="7">
        <v>24</v>
      </c>
      <c r="BV124" s="7">
        <v>24</v>
      </c>
      <c r="BW124" s="7" t="s">
        <v>987</v>
      </c>
      <c r="BX124" s="8" t="b">
        <v>1</v>
      </c>
      <c r="BY124" s="7">
        <v>0</v>
      </c>
      <c r="BZ124" s="7">
        <v>0</v>
      </c>
      <c r="CA124" s="7">
        <v>46236.083333333336</v>
      </c>
      <c r="CB124" s="7">
        <v>46236.072916666664</v>
      </c>
      <c r="CC124" s="7">
        <v>5.8418219461697724E-3</v>
      </c>
      <c r="CD124" s="7">
        <v>37.69258319503102</v>
      </c>
      <c r="CE124" s="7">
        <v>35.589527294409905</v>
      </c>
      <c r="CF124" s="7">
        <v>662.24534522516342</v>
      </c>
      <c r="CG124" s="7">
        <v>0.3125</v>
      </c>
      <c r="CH124" s="7" t="s">
        <v>150</v>
      </c>
      <c r="CI124" s="7">
        <v>128</v>
      </c>
      <c r="CJ124" s="8" t="b">
        <v>1</v>
      </c>
      <c r="CK124" s="7">
        <v>40</v>
      </c>
      <c r="CL124" s="7">
        <v>40</v>
      </c>
      <c r="CM124" s="7">
        <v>40</v>
      </c>
      <c r="CN124" s="8" t="b">
        <v>0</v>
      </c>
      <c r="CO124" s="7" t="s">
        <v>955</v>
      </c>
      <c r="CP124" s="7">
        <v>1104.9596084495156</v>
      </c>
    </row>
    <row r="125" spans="1:94" ht="21" customHeight="1" x14ac:dyDescent="0.45">
      <c r="A125" s="9">
        <v>46236.083333333336</v>
      </c>
      <c r="B125" s="9">
        <v>46236.09375</v>
      </c>
      <c r="C125" s="9">
        <v>46236.208333333336</v>
      </c>
      <c r="D125" s="10">
        <v>46236</v>
      </c>
      <c r="E125" s="7">
        <v>0.25</v>
      </c>
      <c r="F125" s="7" t="s">
        <v>770</v>
      </c>
      <c r="G125" s="9">
        <v>46236.083333333336</v>
      </c>
      <c r="H125" s="7">
        <v>157.47</v>
      </c>
      <c r="I125" s="7" t="s">
        <v>988</v>
      </c>
      <c r="J125" s="7">
        <v>15</v>
      </c>
      <c r="K125" s="7" t="s">
        <v>960</v>
      </c>
      <c r="L125" s="10">
        <v>46234</v>
      </c>
      <c r="M125" s="7">
        <v>5.2473000000000001</v>
      </c>
      <c r="N125" s="7" t="s">
        <v>773</v>
      </c>
      <c r="O125" s="7">
        <v>128</v>
      </c>
      <c r="P125" s="7" t="s">
        <v>989</v>
      </c>
      <c r="Q125" s="7" t="s">
        <v>775</v>
      </c>
      <c r="R125" s="7">
        <v>66.224534522516336</v>
      </c>
      <c r="S125" s="7" t="s">
        <v>776</v>
      </c>
      <c r="T125" s="7">
        <v>175</v>
      </c>
      <c r="U125" s="7" t="s">
        <v>990</v>
      </c>
      <c r="V125" s="7" t="s">
        <v>775</v>
      </c>
      <c r="W125" s="7">
        <v>7.1274750824233415</v>
      </c>
      <c r="X125" s="7" t="s">
        <v>776</v>
      </c>
      <c r="Y125" s="7">
        <v>175</v>
      </c>
      <c r="Z125" s="7" t="s">
        <v>991</v>
      </c>
      <c r="AA125" s="7" t="s">
        <v>775</v>
      </c>
      <c r="AB125" s="7">
        <v>5.0730852057248494</v>
      </c>
      <c r="AC125" s="7" t="s">
        <v>776</v>
      </c>
      <c r="AD125" s="7"/>
      <c r="AE125" s="7" t="s">
        <v>779</v>
      </c>
      <c r="AF125" s="7"/>
      <c r="AG125" s="7">
        <v>188.99853257865951</v>
      </c>
      <c r="AH125" s="7" t="s">
        <v>776</v>
      </c>
      <c r="AI125" s="7">
        <v>7.274</v>
      </c>
      <c r="AJ125" s="7">
        <v>0</v>
      </c>
      <c r="AK125" s="7" t="s">
        <v>776</v>
      </c>
      <c r="AL125" s="7">
        <v>0</v>
      </c>
      <c r="AM125" s="7" t="s">
        <v>780</v>
      </c>
      <c r="AN125" s="7" t="s">
        <v>781</v>
      </c>
      <c r="AO125" s="7" t="s">
        <v>782</v>
      </c>
      <c r="AP125" s="7">
        <v>0.1662628571428571</v>
      </c>
      <c r="AQ125" s="7">
        <v>0</v>
      </c>
      <c r="AR125" s="7">
        <v>0.1662628571428571</v>
      </c>
      <c r="AS125" s="8" t="b">
        <v>1</v>
      </c>
      <c r="AT125" s="8" t="b">
        <v>1</v>
      </c>
      <c r="AU125" s="8" t="b">
        <v>1</v>
      </c>
      <c r="AV125" s="8" t="b">
        <v>1</v>
      </c>
      <c r="AW125" s="8" t="b">
        <v>1</v>
      </c>
      <c r="AX125" s="8" t="b">
        <v>1</v>
      </c>
      <c r="AY125" s="8" t="b">
        <v>1</v>
      </c>
      <c r="AZ125" s="8" t="b">
        <v>1</v>
      </c>
      <c r="BA125" s="7" t="s">
        <v>783</v>
      </c>
      <c r="BB125" s="7" t="s">
        <v>783</v>
      </c>
      <c r="BC125" s="7" t="s">
        <v>784</v>
      </c>
      <c r="BD125" s="7">
        <v>0</v>
      </c>
      <c r="BE125" s="7">
        <v>0</v>
      </c>
      <c r="BF125" s="7">
        <v>30.438511234349097</v>
      </c>
      <c r="BG125" s="7">
        <v>0.13714285714285715</v>
      </c>
      <c r="BH125" s="7" t="s">
        <v>154</v>
      </c>
      <c r="BI125" s="7">
        <v>175</v>
      </c>
      <c r="BJ125" s="7">
        <v>24</v>
      </c>
      <c r="BK125" s="7">
        <v>24</v>
      </c>
      <c r="BL125" s="7">
        <v>24</v>
      </c>
      <c r="BM125" s="8" t="b">
        <v>1</v>
      </c>
      <c r="BN125" s="7">
        <v>188.5406161340118</v>
      </c>
      <c r="BO125" s="7">
        <v>0.99757714285714294</v>
      </c>
      <c r="BP125" s="7">
        <v>42.764850494540049</v>
      </c>
      <c r="BQ125" s="7">
        <v>0.13714285714285715</v>
      </c>
      <c r="BR125" s="7" t="s">
        <v>154</v>
      </c>
      <c r="BS125" s="7">
        <v>175</v>
      </c>
      <c r="BT125" s="7">
        <v>24</v>
      </c>
      <c r="BU125" s="7">
        <v>24</v>
      </c>
      <c r="BV125" s="7">
        <v>24</v>
      </c>
      <c r="BW125" s="7" t="s">
        <v>988</v>
      </c>
      <c r="BX125" s="8" t="b">
        <v>1</v>
      </c>
      <c r="BY125" s="7">
        <v>0</v>
      </c>
      <c r="BZ125" s="7">
        <v>0</v>
      </c>
      <c r="CA125" s="7">
        <v>46236.09375</v>
      </c>
      <c r="CB125" s="7">
        <v>46236.083333333336</v>
      </c>
      <c r="CC125" s="7">
        <v>3.0120082815734989E-3</v>
      </c>
      <c r="CD125" s="7">
        <v>35.589527294409905</v>
      </c>
      <c r="CE125" s="7">
        <v>34.505204313043443</v>
      </c>
      <c r="CF125" s="7">
        <v>662.24534522516342</v>
      </c>
      <c r="CG125" s="7">
        <v>0.3125</v>
      </c>
      <c r="CH125" s="7" t="s">
        <v>150</v>
      </c>
      <c r="CI125" s="7">
        <v>128</v>
      </c>
      <c r="CJ125" s="8" t="b">
        <v>1</v>
      </c>
      <c r="CK125" s="7">
        <v>40</v>
      </c>
      <c r="CL125" s="7">
        <v>40</v>
      </c>
      <c r="CM125" s="7">
        <v>40</v>
      </c>
      <c r="CN125" s="8" t="b">
        <v>0</v>
      </c>
      <c r="CO125" s="7" t="s">
        <v>955</v>
      </c>
      <c r="CP125" s="7">
        <v>923.98932308806434</v>
      </c>
    </row>
    <row r="126" spans="1:94" ht="21" customHeight="1" x14ac:dyDescent="0.45">
      <c r="A126" s="9">
        <v>46236.09375</v>
      </c>
      <c r="B126" s="9">
        <v>46236.104166666664</v>
      </c>
      <c r="C126" s="9">
        <v>46236.21875</v>
      </c>
      <c r="D126" s="10">
        <v>46236</v>
      </c>
      <c r="E126" s="7">
        <v>0.25</v>
      </c>
      <c r="F126" s="7" t="s">
        <v>770</v>
      </c>
      <c r="G126" s="9">
        <v>46236.083333333336</v>
      </c>
      <c r="H126" s="7">
        <v>153.84</v>
      </c>
      <c r="I126" s="7" t="s">
        <v>992</v>
      </c>
      <c r="J126" s="7">
        <v>15</v>
      </c>
      <c r="K126" s="7" t="s">
        <v>960</v>
      </c>
      <c r="L126" s="10">
        <v>46234</v>
      </c>
      <c r="M126" s="7">
        <v>5.2473000000000001</v>
      </c>
      <c r="N126" s="7" t="s">
        <v>773</v>
      </c>
      <c r="O126" s="7">
        <v>128</v>
      </c>
      <c r="P126" s="7" t="s">
        <v>989</v>
      </c>
      <c r="Q126" s="7" t="s">
        <v>775</v>
      </c>
      <c r="R126" s="7">
        <v>66.224534522516336</v>
      </c>
      <c r="S126" s="7" t="s">
        <v>776</v>
      </c>
      <c r="T126" s="7">
        <v>175</v>
      </c>
      <c r="U126" s="7" t="s">
        <v>990</v>
      </c>
      <c r="V126" s="7" t="s">
        <v>775</v>
      </c>
      <c r="W126" s="7">
        <v>7.1274750824233415</v>
      </c>
      <c r="X126" s="7" t="s">
        <v>776</v>
      </c>
      <c r="Y126" s="7">
        <v>175</v>
      </c>
      <c r="Z126" s="7" t="s">
        <v>991</v>
      </c>
      <c r="AA126" s="7" t="s">
        <v>775</v>
      </c>
      <c r="AB126" s="7">
        <v>5.0730852057248494</v>
      </c>
      <c r="AC126" s="7" t="s">
        <v>776</v>
      </c>
      <c r="AD126" s="7"/>
      <c r="AE126" s="7" t="s">
        <v>779</v>
      </c>
      <c r="AF126" s="7"/>
      <c r="AG126" s="7">
        <v>179.4326606064071</v>
      </c>
      <c r="AH126" s="7" t="s">
        <v>776</v>
      </c>
      <c r="AI126" s="7">
        <v>5.5970000000000004</v>
      </c>
      <c r="AJ126" s="7">
        <v>0</v>
      </c>
      <c r="AK126" s="7" t="s">
        <v>776</v>
      </c>
      <c r="AL126" s="7">
        <v>0</v>
      </c>
      <c r="AM126" s="7" t="s">
        <v>780</v>
      </c>
      <c r="AN126" s="7" t="s">
        <v>781</v>
      </c>
      <c r="AO126" s="7" t="s">
        <v>782</v>
      </c>
      <c r="AP126" s="7">
        <v>0.1279314285714285</v>
      </c>
      <c r="AQ126" s="7">
        <v>0</v>
      </c>
      <c r="AR126" s="7">
        <v>0.1279314285714285</v>
      </c>
      <c r="AS126" s="8" t="b">
        <v>1</v>
      </c>
      <c r="AT126" s="8" t="b">
        <v>1</v>
      </c>
      <c r="AU126" s="8" t="b">
        <v>1</v>
      </c>
      <c r="AV126" s="8" t="b">
        <v>1</v>
      </c>
      <c r="AW126" s="8" t="b">
        <v>1</v>
      </c>
      <c r="AX126" s="8" t="b">
        <v>1</v>
      </c>
      <c r="AY126" s="8" t="b">
        <v>1</v>
      </c>
      <c r="AZ126" s="8" t="b">
        <v>1</v>
      </c>
      <c r="BA126" s="7" t="s">
        <v>783</v>
      </c>
      <c r="BB126" s="7" t="s">
        <v>783</v>
      </c>
      <c r="BC126" s="7" t="s">
        <v>784</v>
      </c>
      <c r="BD126" s="7">
        <v>0</v>
      </c>
      <c r="BE126" s="7">
        <v>0</v>
      </c>
      <c r="BF126" s="7">
        <v>30.438511234349097</v>
      </c>
      <c r="BG126" s="7">
        <v>0.13714285714285715</v>
      </c>
      <c r="BH126" s="7" t="s">
        <v>154</v>
      </c>
      <c r="BI126" s="7">
        <v>175</v>
      </c>
      <c r="BJ126" s="7">
        <v>24</v>
      </c>
      <c r="BK126" s="7">
        <v>24</v>
      </c>
      <c r="BL126" s="7">
        <v>24</v>
      </c>
      <c r="BM126" s="8" t="b">
        <v>1</v>
      </c>
      <c r="BN126" s="7">
        <v>137.73045962249975</v>
      </c>
      <c r="BO126" s="7">
        <v>0.76758857142857151</v>
      </c>
      <c r="BP126" s="7">
        <v>42.764850494540049</v>
      </c>
      <c r="BQ126" s="7">
        <v>0.13714285714285715</v>
      </c>
      <c r="BR126" s="7" t="s">
        <v>154</v>
      </c>
      <c r="BS126" s="7">
        <v>175</v>
      </c>
      <c r="BT126" s="7">
        <v>24</v>
      </c>
      <c r="BU126" s="7">
        <v>24</v>
      </c>
      <c r="BV126" s="7">
        <v>24</v>
      </c>
      <c r="BW126" s="7" t="s">
        <v>992</v>
      </c>
      <c r="BX126" s="8" t="b">
        <v>1</v>
      </c>
      <c r="BY126" s="7">
        <v>0</v>
      </c>
      <c r="BZ126" s="7">
        <v>0</v>
      </c>
      <c r="CA126" s="7">
        <v>46236.104166666664</v>
      </c>
      <c r="CB126" s="7">
        <v>46236.09375</v>
      </c>
      <c r="CC126" s="7">
        <v>2.3175983436853004E-3</v>
      </c>
      <c r="CD126" s="7">
        <v>34.505204313043443</v>
      </c>
      <c r="CE126" s="7">
        <v>33.670868909316738</v>
      </c>
      <c r="CF126" s="7">
        <v>662.24534522516342</v>
      </c>
      <c r="CG126" s="7">
        <v>0.3125</v>
      </c>
      <c r="CH126" s="7" t="s">
        <v>150</v>
      </c>
      <c r="CI126" s="7">
        <v>128</v>
      </c>
      <c r="CJ126" s="8" t="b">
        <v>1</v>
      </c>
      <c r="CK126" s="7">
        <v>40</v>
      </c>
      <c r="CL126" s="7">
        <v>40</v>
      </c>
      <c r="CM126" s="7">
        <v>40</v>
      </c>
      <c r="CN126" s="8" t="b">
        <v>0</v>
      </c>
      <c r="CO126" s="7" t="s">
        <v>955</v>
      </c>
      <c r="CP126" s="7">
        <v>873.17916657655235</v>
      </c>
    </row>
    <row r="127" spans="1:94" ht="21" customHeight="1" x14ac:dyDescent="0.45">
      <c r="A127" s="9">
        <v>46236.104166666664</v>
      </c>
      <c r="B127" s="9">
        <v>46236.114583333336</v>
      </c>
      <c r="C127" s="9">
        <v>46236.229166666664</v>
      </c>
      <c r="D127" s="10">
        <v>46236</v>
      </c>
      <c r="E127" s="7">
        <v>0.25</v>
      </c>
      <c r="F127" s="7" t="s">
        <v>770</v>
      </c>
      <c r="G127" s="9">
        <v>46236.083333333336</v>
      </c>
      <c r="H127" s="7">
        <v>154.19</v>
      </c>
      <c r="I127" s="7" t="s">
        <v>993</v>
      </c>
      <c r="J127" s="7">
        <v>15</v>
      </c>
      <c r="K127" s="7" t="s">
        <v>960</v>
      </c>
      <c r="L127" s="10">
        <v>46234</v>
      </c>
      <c r="M127" s="7">
        <v>5.2473000000000001</v>
      </c>
      <c r="N127" s="7" t="s">
        <v>773</v>
      </c>
      <c r="O127" s="7">
        <v>128</v>
      </c>
      <c r="P127" s="7" t="s">
        <v>989</v>
      </c>
      <c r="Q127" s="7" t="s">
        <v>775</v>
      </c>
      <c r="R127" s="7">
        <v>66.224534522516336</v>
      </c>
      <c r="S127" s="7" t="s">
        <v>776</v>
      </c>
      <c r="T127" s="7">
        <v>175</v>
      </c>
      <c r="U127" s="7" t="s">
        <v>990</v>
      </c>
      <c r="V127" s="7" t="s">
        <v>775</v>
      </c>
      <c r="W127" s="7">
        <v>7.1274750824233415</v>
      </c>
      <c r="X127" s="7" t="s">
        <v>776</v>
      </c>
      <c r="Y127" s="7">
        <v>175</v>
      </c>
      <c r="Z127" s="7" t="s">
        <v>991</v>
      </c>
      <c r="AA127" s="7" t="s">
        <v>775</v>
      </c>
      <c r="AB127" s="7">
        <v>5.0730852057248494</v>
      </c>
      <c r="AC127" s="7" t="s">
        <v>776</v>
      </c>
      <c r="AD127" s="7"/>
      <c r="AE127" s="7" t="s">
        <v>779</v>
      </c>
      <c r="AF127" s="7"/>
      <c r="AG127" s="7">
        <v>174.57816400815656</v>
      </c>
      <c r="AH127" s="7" t="s">
        <v>776</v>
      </c>
      <c r="AI127" s="7">
        <v>3.1789999999999998</v>
      </c>
      <c r="AJ127" s="7">
        <v>0</v>
      </c>
      <c r="AK127" s="7" t="s">
        <v>776</v>
      </c>
      <c r="AL127" s="7">
        <v>0</v>
      </c>
      <c r="AM127" s="7" t="s">
        <v>780</v>
      </c>
      <c r="AN127" s="7" t="s">
        <v>781</v>
      </c>
      <c r="AO127" s="7" t="s">
        <v>782</v>
      </c>
      <c r="AP127" s="7">
        <v>7.2662857142857099E-2</v>
      </c>
      <c r="AQ127" s="7">
        <v>0</v>
      </c>
      <c r="AR127" s="7">
        <v>7.2662857142857099E-2</v>
      </c>
      <c r="AS127" s="8" t="b">
        <v>1</v>
      </c>
      <c r="AT127" s="8" t="b">
        <v>1</v>
      </c>
      <c r="AU127" s="8" t="b">
        <v>1</v>
      </c>
      <c r="AV127" s="8" t="b">
        <v>1</v>
      </c>
      <c r="AW127" s="8" t="b">
        <v>1</v>
      </c>
      <c r="AX127" s="8" t="b">
        <v>1</v>
      </c>
      <c r="AY127" s="8" t="b">
        <v>1</v>
      </c>
      <c r="AZ127" s="8" t="b">
        <v>1</v>
      </c>
      <c r="BA127" s="7" t="s">
        <v>783</v>
      </c>
      <c r="BB127" s="7" t="s">
        <v>783</v>
      </c>
      <c r="BC127" s="7" t="s">
        <v>784</v>
      </c>
      <c r="BD127" s="7">
        <v>0</v>
      </c>
      <c r="BE127" s="7">
        <v>0</v>
      </c>
      <c r="BF127" s="7">
        <v>30.438511234349097</v>
      </c>
      <c r="BG127" s="7">
        <v>0.13714285714285715</v>
      </c>
      <c r="BH127" s="7" t="s">
        <v>154</v>
      </c>
      <c r="BI127" s="7">
        <v>175</v>
      </c>
      <c r="BJ127" s="7">
        <v>24</v>
      </c>
      <c r="BK127" s="7">
        <v>24</v>
      </c>
      <c r="BL127" s="7">
        <v>24</v>
      </c>
      <c r="BM127" s="8" t="b">
        <v>1</v>
      </c>
      <c r="BN127" s="7">
        <v>76.112089149521793</v>
      </c>
      <c r="BO127" s="7">
        <v>0.43597714285714284</v>
      </c>
      <c r="BP127" s="7">
        <v>42.764850494540049</v>
      </c>
      <c r="BQ127" s="7">
        <v>0.13714285714285715</v>
      </c>
      <c r="BR127" s="7" t="s">
        <v>154</v>
      </c>
      <c r="BS127" s="7">
        <v>175</v>
      </c>
      <c r="BT127" s="7">
        <v>24</v>
      </c>
      <c r="BU127" s="7">
        <v>24</v>
      </c>
      <c r="BV127" s="7">
        <v>24</v>
      </c>
      <c r="BW127" s="7" t="s">
        <v>993</v>
      </c>
      <c r="BX127" s="8" t="b">
        <v>1</v>
      </c>
      <c r="BY127" s="7">
        <v>0</v>
      </c>
      <c r="BZ127" s="7">
        <v>0</v>
      </c>
      <c r="CA127" s="7">
        <v>46236.114583333336</v>
      </c>
      <c r="CB127" s="7">
        <v>46236.104166666664</v>
      </c>
      <c r="CC127" s="7">
        <v>1.3163561076604555E-3</v>
      </c>
      <c r="CD127" s="7">
        <v>33.670868909316738</v>
      </c>
      <c r="CE127" s="7">
        <v>33.196980710558975</v>
      </c>
      <c r="CF127" s="7">
        <v>662.24534522516342</v>
      </c>
      <c r="CG127" s="7">
        <v>0.3125</v>
      </c>
      <c r="CH127" s="7" t="s">
        <v>150</v>
      </c>
      <c r="CI127" s="7">
        <v>128</v>
      </c>
      <c r="CJ127" s="8" t="b">
        <v>1</v>
      </c>
      <c r="CK127" s="7">
        <v>40</v>
      </c>
      <c r="CL127" s="7">
        <v>40</v>
      </c>
      <c r="CM127" s="7">
        <v>40</v>
      </c>
      <c r="CN127" s="8" t="b">
        <v>0</v>
      </c>
      <c r="CO127" s="7" t="s">
        <v>955</v>
      </c>
      <c r="CP127" s="7">
        <v>811.56079610357438</v>
      </c>
    </row>
    <row r="128" spans="1:94" ht="21" customHeight="1" x14ac:dyDescent="0.45">
      <c r="A128" s="9">
        <v>46236.114583333336</v>
      </c>
      <c r="B128" s="9">
        <v>46236.125</v>
      </c>
      <c r="C128" s="9">
        <v>46236.239583333336</v>
      </c>
      <c r="D128" s="10">
        <v>46236</v>
      </c>
      <c r="E128" s="7">
        <v>0.25</v>
      </c>
      <c r="F128" s="7" t="s">
        <v>770</v>
      </c>
      <c r="G128" s="9">
        <v>46236.083333333336</v>
      </c>
      <c r="H128" s="7">
        <v>153.26</v>
      </c>
      <c r="I128" s="7" t="s">
        <v>994</v>
      </c>
      <c r="J128" s="7">
        <v>15</v>
      </c>
      <c r="K128" s="7" t="s">
        <v>960</v>
      </c>
      <c r="L128" s="10">
        <v>46234</v>
      </c>
      <c r="M128" s="7">
        <v>5.2473000000000001</v>
      </c>
      <c r="N128" s="7" t="s">
        <v>773</v>
      </c>
      <c r="O128" s="7">
        <v>128</v>
      </c>
      <c r="P128" s="7" t="s">
        <v>989</v>
      </c>
      <c r="Q128" s="7" t="s">
        <v>775</v>
      </c>
      <c r="R128" s="7">
        <v>66.224534522516336</v>
      </c>
      <c r="S128" s="7" t="s">
        <v>776</v>
      </c>
      <c r="T128" s="7">
        <v>175</v>
      </c>
      <c r="U128" s="7" t="s">
        <v>990</v>
      </c>
      <c r="V128" s="7" t="s">
        <v>775</v>
      </c>
      <c r="W128" s="7">
        <v>7.1274750824233415</v>
      </c>
      <c r="X128" s="7" t="s">
        <v>776</v>
      </c>
      <c r="Y128" s="7">
        <v>175</v>
      </c>
      <c r="Z128" s="7" t="s">
        <v>991</v>
      </c>
      <c r="AA128" s="7" t="s">
        <v>775</v>
      </c>
      <c r="AB128" s="7">
        <v>5.0730852057248494</v>
      </c>
      <c r="AC128" s="7" t="s">
        <v>776</v>
      </c>
      <c r="AD128" s="7"/>
      <c r="AE128" s="7" t="s">
        <v>779</v>
      </c>
      <c r="AF128" s="7"/>
      <c r="AG128" s="7">
        <v>169.63790901987687</v>
      </c>
      <c r="AH128" s="7" t="s">
        <v>776</v>
      </c>
      <c r="AI128" s="7">
        <v>1.1599999999999999</v>
      </c>
      <c r="AJ128" s="7">
        <v>77.182551026242066</v>
      </c>
      <c r="AK128" s="7" t="s">
        <v>776</v>
      </c>
      <c r="AL128" s="7">
        <v>3.4000000000000002E-2</v>
      </c>
      <c r="AM128" s="7" t="s">
        <v>780</v>
      </c>
      <c r="AN128" s="7" t="s">
        <v>781</v>
      </c>
      <c r="AO128" s="7" t="s">
        <v>782</v>
      </c>
      <c r="AP128" s="7">
        <v>2.6514285714285699E-2</v>
      </c>
      <c r="AQ128" s="7">
        <v>7.7714285714279997E-4</v>
      </c>
      <c r="AR128" s="7">
        <v>2.7291428571428501E-2</v>
      </c>
      <c r="AS128" s="8" t="b">
        <v>1</v>
      </c>
      <c r="AT128" s="8" t="b">
        <v>1</v>
      </c>
      <c r="AU128" s="8" t="b">
        <v>1</v>
      </c>
      <c r="AV128" s="8" t="b">
        <v>1</v>
      </c>
      <c r="AW128" s="8" t="b">
        <v>1</v>
      </c>
      <c r="AX128" s="8" t="b">
        <v>1</v>
      </c>
      <c r="AY128" s="8" t="b">
        <v>1</v>
      </c>
      <c r="AZ128" s="8" t="b">
        <v>1</v>
      </c>
      <c r="BA128" s="7" t="s">
        <v>783</v>
      </c>
      <c r="BB128" s="7" t="s">
        <v>783</v>
      </c>
      <c r="BC128" s="7" t="s">
        <v>784</v>
      </c>
      <c r="BD128" s="7">
        <v>-0.35989120935664876</v>
      </c>
      <c r="BE128" s="7">
        <v>4.6628571428571431E-3</v>
      </c>
      <c r="BF128" s="7">
        <v>30.438511234349097</v>
      </c>
      <c r="BG128" s="7">
        <v>0.13714285714285715</v>
      </c>
      <c r="BH128" s="7" t="s">
        <v>154</v>
      </c>
      <c r="BI128" s="7">
        <v>175</v>
      </c>
      <c r="BJ128" s="7">
        <v>24</v>
      </c>
      <c r="BK128" s="7">
        <v>24</v>
      </c>
      <c r="BL128" s="7">
        <v>24</v>
      </c>
      <c r="BM128" s="8" t="b">
        <v>1</v>
      </c>
      <c r="BN128" s="7">
        <v>26.986967926362123</v>
      </c>
      <c r="BO128" s="7">
        <v>0.15908571428571427</v>
      </c>
      <c r="BP128" s="7">
        <v>42.764850494540049</v>
      </c>
      <c r="BQ128" s="7">
        <v>0.13714285714285715</v>
      </c>
      <c r="BR128" s="7" t="s">
        <v>154</v>
      </c>
      <c r="BS128" s="7">
        <v>175</v>
      </c>
      <c r="BT128" s="7">
        <v>24</v>
      </c>
      <c r="BU128" s="7">
        <v>24</v>
      </c>
      <c r="BV128" s="7">
        <v>24</v>
      </c>
      <c r="BW128" s="7" t="s">
        <v>994</v>
      </c>
      <c r="BX128" s="8" t="b">
        <v>1</v>
      </c>
      <c r="BY128" s="7">
        <v>0</v>
      </c>
      <c r="BZ128" s="7">
        <v>0</v>
      </c>
      <c r="CA128" s="7">
        <v>46236.125</v>
      </c>
      <c r="CB128" s="7">
        <v>46236.114583333336</v>
      </c>
      <c r="CC128" s="7">
        <v>4.9224745341614894E-4</v>
      </c>
      <c r="CD128" s="7">
        <v>33.196980710558975</v>
      </c>
      <c r="CE128" s="7">
        <v>33.028351284472024</v>
      </c>
      <c r="CF128" s="7">
        <v>662.24534522516342</v>
      </c>
      <c r="CG128" s="7">
        <v>0.3125</v>
      </c>
      <c r="CH128" s="7" t="s">
        <v>150</v>
      </c>
      <c r="CI128" s="7">
        <v>128</v>
      </c>
      <c r="CJ128" s="8" t="b">
        <v>1</v>
      </c>
      <c r="CK128" s="7">
        <v>40</v>
      </c>
      <c r="CL128" s="7">
        <v>40</v>
      </c>
      <c r="CM128" s="7">
        <v>40</v>
      </c>
      <c r="CN128" s="8" t="b">
        <v>0</v>
      </c>
      <c r="CO128" s="7" t="s">
        <v>955</v>
      </c>
      <c r="CP128" s="7">
        <v>762.07578367105805</v>
      </c>
    </row>
    <row r="129" spans="1:94" ht="21" customHeight="1" x14ac:dyDescent="0.45">
      <c r="A129" s="9">
        <v>46236.125</v>
      </c>
      <c r="B129" s="9">
        <v>46236.135416666664</v>
      </c>
      <c r="C129" s="9">
        <v>46236.25</v>
      </c>
      <c r="D129" s="10">
        <v>46236</v>
      </c>
      <c r="E129" s="7">
        <v>0.25</v>
      </c>
      <c r="F129" s="7" t="s">
        <v>770</v>
      </c>
      <c r="G129" s="9">
        <v>46236.125</v>
      </c>
      <c r="H129" s="7">
        <v>160.44</v>
      </c>
      <c r="I129" s="7" t="s">
        <v>995</v>
      </c>
      <c r="J129" s="7">
        <v>15</v>
      </c>
      <c r="K129" s="7" t="s">
        <v>960</v>
      </c>
      <c r="L129" s="10">
        <v>46234</v>
      </c>
      <c r="M129" s="7">
        <v>5.2473000000000001</v>
      </c>
      <c r="N129" s="7" t="s">
        <v>773</v>
      </c>
      <c r="O129" s="7">
        <v>128</v>
      </c>
      <c r="P129" s="7" t="s">
        <v>996</v>
      </c>
      <c r="Q129" s="7" t="s">
        <v>775</v>
      </c>
      <c r="R129" s="7">
        <v>66.224534522516336</v>
      </c>
      <c r="S129" s="7" t="s">
        <v>776</v>
      </c>
      <c r="T129" s="7">
        <v>175</v>
      </c>
      <c r="U129" s="7" t="s">
        <v>997</v>
      </c>
      <c r="V129" s="7" t="s">
        <v>775</v>
      </c>
      <c r="W129" s="7">
        <v>7.0626798544013116</v>
      </c>
      <c r="X129" s="7" t="s">
        <v>776</v>
      </c>
      <c r="Y129" s="7">
        <v>175</v>
      </c>
      <c r="Z129" s="7" t="s">
        <v>998</v>
      </c>
      <c r="AA129" s="7" t="s">
        <v>775</v>
      </c>
      <c r="AB129" s="7">
        <v>2.8376498389648011</v>
      </c>
      <c r="AC129" s="7" t="s">
        <v>776</v>
      </c>
      <c r="AD129" s="7"/>
      <c r="AE129" s="7" t="s">
        <v>779</v>
      </c>
      <c r="AF129" s="7"/>
      <c r="AG129" s="7">
        <v>171.11314390257846</v>
      </c>
      <c r="AH129" s="7" t="s">
        <v>776</v>
      </c>
      <c r="AI129" s="7">
        <v>2.3530000000000002</v>
      </c>
      <c r="AJ129" s="7">
        <v>77.182551026242066</v>
      </c>
      <c r="AK129" s="7" t="s">
        <v>776</v>
      </c>
      <c r="AL129" s="7">
        <v>0.05</v>
      </c>
      <c r="AM129" s="7" t="s">
        <v>780</v>
      </c>
      <c r="AN129" s="7" t="s">
        <v>781</v>
      </c>
      <c r="AO129" s="7" t="s">
        <v>782</v>
      </c>
      <c r="AP129" s="7">
        <v>5.3782857142857098E-2</v>
      </c>
      <c r="AQ129" s="7">
        <v>1.1428571428571E-3</v>
      </c>
      <c r="AR129" s="7">
        <v>5.4925714285714203E-2</v>
      </c>
      <c r="AS129" s="8" t="b">
        <v>1</v>
      </c>
      <c r="AT129" s="8" t="b">
        <v>1</v>
      </c>
      <c r="AU129" s="8" t="b">
        <v>1</v>
      </c>
      <c r="AV129" s="8" t="b">
        <v>1</v>
      </c>
      <c r="AW129" s="8" t="b">
        <v>1</v>
      </c>
      <c r="AX129" s="8" t="b">
        <v>1</v>
      </c>
      <c r="AY129" s="8" t="b">
        <v>1</v>
      </c>
      <c r="AZ129" s="8" t="b">
        <v>1</v>
      </c>
      <c r="BA129" s="7" t="s">
        <v>783</v>
      </c>
      <c r="BB129" s="7" t="s">
        <v>783</v>
      </c>
      <c r="BC129" s="7" t="s">
        <v>784</v>
      </c>
      <c r="BD129" s="7">
        <v>-0.52925177846565996</v>
      </c>
      <c r="BE129" s="7">
        <v>6.8571428571428577E-3</v>
      </c>
      <c r="BF129" s="7">
        <v>17.025899033788807</v>
      </c>
      <c r="BG129" s="7">
        <v>0.13714285714285715</v>
      </c>
      <c r="BH129" s="7" t="s">
        <v>154</v>
      </c>
      <c r="BI129" s="7">
        <v>175</v>
      </c>
      <c r="BJ129" s="7">
        <v>24</v>
      </c>
      <c r="BK129" s="7">
        <v>24</v>
      </c>
      <c r="BL129" s="7">
        <v>24</v>
      </c>
      <c r="BM129" s="8" t="b">
        <v>1</v>
      </c>
      <c r="BN129" s="7">
        <v>55.217722642665208</v>
      </c>
      <c r="BO129" s="7">
        <v>0.3226971428571429</v>
      </c>
      <c r="BP129" s="7">
        <v>42.376079126407873</v>
      </c>
      <c r="BQ129" s="7">
        <v>0.13714285714285715</v>
      </c>
      <c r="BR129" s="7" t="s">
        <v>154</v>
      </c>
      <c r="BS129" s="7">
        <v>175</v>
      </c>
      <c r="BT129" s="7">
        <v>24</v>
      </c>
      <c r="BU129" s="7">
        <v>24</v>
      </c>
      <c r="BV129" s="7">
        <v>24</v>
      </c>
      <c r="BW129" s="7" t="s">
        <v>995</v>
      </c>
      <c r="BX129" s="8" t="b">
        <v>1</v>
      </c>
      <c r="BY129" s="7">
        <v>0</v>
      </c>
      <c r="BZ129" s="7">
        <v>0</v>
      </c>
      <c r="CA129" s="7">
        <v>46236.135416666664</v>
      </c>
      <c r="CB129" s="7">
        <v>46236.125</v>
      </c>
      <c r="CC129" s="7">
        <v>9.918509316770188E-4</v>
      </c>
      <c r="CD129" s="7">
        <v>33.028351284472024</v>
      </c>
      <c r="CE129" s="7">
        <v>32.683902091925439</v>
      </c>
      <c r="CF129" s="7">
        <v>662.24534522516342</v>
      </c>
      <c r="CG129" s="7">
        <v>0.3125</v>
      </c>
      <c r="CH129" s="7" t="s">
        <v>150</v>
      </c>
      <c r="CI129" s="7">
        <v>128</v>
      </c>
      <c r="CJ129" s="8" t="b">
        <v>1</v>
      </c>
      <c r="CK129" s="7">
        <v>40</v>
      </c>
      <c r="CL129" s="7">
        <v>40</v>
      </c>
      <c r="CM129" s="7">
        <v>40</v>
      </c>
      <c r="CN129" s="8" t="b">
        <v>0</v>
      </c>
      <c r="CO129" s="7" t="s">
        <v>955</v>
      </c>
      <c r="CP129" s="7">
        <v>776.33579424955963</v>
      </c>
    </row>
    <row r="130" spans="1:94" ht="21" customHeight="1" x14ac:dyDescent="0.45">
      <c r="A130" s="9">
        <v>46236.135416666664</v>
      </c>
      <c r="B130" s="9">
        <v>46236.145833333336</v>
      </c>
      <c r="C130" s="9">
        <v>46236.260416666664</v>
      </c>
      <c r="D130" s="10">
        <v>46236</v>
      </c>
      <c r="E130" s="7">
        <v>0.25</v>
      </c>
      <c r="F130" s="7" t="s">
        <v>770</v>
      </c>
      <c r="G130" s="9">
        <v>46236.125</v>
      </c>
      <c r="H130" s="7">
        <v>163.34</v>
      </c>
      <c r="I130" s="7" t="s">
        <v>999</v>
      </c>
      <c r="J130" s="7">
        <v>15</v>
      </c>
      <c r="K130" s="7" t="s">
        <v>960</v>
      </c>
      <c r="L130" s="10">
        <v>46234</v>
      </c>
      <c r="M130" s="7">
        <v>5.2473000000000001</v>
      </c>
      <c r="N130" s="7" t="s">
        <v>773</v>
      </c>
      <c r="O130" s="7">
        <v>128</v>
      </c>
      <c r="P130" s="7" t="s">
        <v>996</v>
      </c>
      <c r="Q130" s="7" t="s">
        <v>775</v>
      </c>
      <c r="R130" s="7">
        <v>66.224534522516336</v>
      </c>
      <c r="S130" s="7" t="s">
        <v>776</v>
      </c>
      <c r="T130" s="7">
        <v>175</v>
      </c>
      <c r="U130" s="7" t="s">
        <v>997</v>
      </c>
      <c r="V130" s="7" t="s">
        <v>775</v>
      </c>
      <c r="W130" s="7">
        <v>7.0626798544013116</v>
      </c>
      <c r="X130" s="7" t="s">
        <v>776</v>
      </c>
      <c r="Y130" s="7">
        <v>175</v>
      </c>
      <c r="Z130" s="7" t="s">
        <v>998</v>
      </c>
      <c r="AA130" s="7" t="s">
        <v>775</v>
      </c>
      <c r="AB130" s="7">
        <v>2.8376498389648011</v>
      </c>
      <c r="AC130" s="7" t="s">
        <v>776</v>
      </c>
      <c r="AD130" s="7"/>
      <c r="AE130" s="7" t="s">
        <v>779</v>
      </c>
      <c r="AF130" s="7"/>
      <c r="AG130" s="7">
        <v>171.09866026337355</v>
      </c>
      <c r="AH130" s="7" t="s">
        <v>776</v>
      </c>
      <c r="AI130" s="7">
        <v>2.8540000000000001</v>
      </c>
      <c r="AJ130" s="7">
        <v>0</v>
      </c>
      <c r="AK130" s="7" t="s">
        <v>776</v>
      </c>
      <c r="AL130" s="7">
        <v>0</v>
      </c>
      <c r="AM130" s="7" t="s">
        <v>780</v>
      </c>
      <c r="AN130" s="7" t="s">
        <v>781</v>
      </c>
      <c r="AO130" s="7" t="s">
        <v>782</v>
      </c>
      <c r="AP130" s="7">
        <v>6.5234285714285703E-2</v>
      </c>
      <c r="AQ130" s="7">
        <v>0</v>
      </c>
      <c r="AR130" s="7">
        <v>6.5234285714285703E-2</v>
      </c>
      <c r="AS130" s="8" t="b">
        <v>1</v>
      </c>
      <c r="AT130" s="8" t="b">
        <v>1</v>
      </c>
      <c r="AU130" s="8" t="b">
        <v>1</v>
      </c>
      <c r="AV130" s="8" t="b">
        <v>1</v>
      </c>
      <c r="AW130" s="8" t="b">
        <v>1</v>
      </c>
      <c r="AX130" s="8" t="b">
        <v>1</v>
      </c>
      <c r="AY130" s="8" t="b">
        <v>1</v>
      </c>
      <c r="AZ130" s="8" t="b">
        <v>1</v>
      </c>
      <c r="BA130" s="7" t="s">
        <v>783</v>
      </c>
      <c r="BB130" s="7" t="s">
        <v>783</v>
      </c>
      <c r="BC130" s="7" t="s">
        <v>784</v>
      </c>
      <c r="BD130" s="7">
        <v>0</v>
      </c>
      <c r="BE130" s="7">
        <v>0</v>
      </c>
      <c r="BF130" s="7">
        <v>17.025899033788807</v>
      </c>
      <c r="BG130" s="7">
        <v>0.13714285714285715</v>
      </c>
      <c r="BH130" s="7" t="s">
        <v>154</v>
      </c>
      <c r="BI130" s="7">
        <v>175</v>
      </c>
      <c r="BJ130" s="7">
        <v>24</v>
      </c>
      <c r="BK130" s="7">
        <v>24</v>
      </c>
      <c r="BL130" s="7">
        <v>24</v>
      </c>
      <c r="BM130" s="8" t="b">
        <v>1</v>
      </c>
      <c r="BN130" s="7">
        <v>66.968993333714479</v>
      </c>
      <c r="BO130" s="7">
        <v>0.3914057142857143</v>
      </c>
      <c r="BP130" s="7">
        <v>42.376079126407873</v>
      </c>
      <c r="BQ130" s="7">
        <v>0.13714285714285715</v>
      </c>
      <c r="BR130" s="7" t="s">
        <v>154</v>
      </c>
      <c r="BS130" s="7">
        <v>175</v>
      </c>
      <c r="BT130" s="7">
        <v>24</v>
      </c>
      <c r="BU130" s="7">
        <v>24</v>
      </c>
      <c r="BV130" s="7">
        <v>24</v>
      </c>
      <c r="BW130" s="7" t="s">
        <v>999</v>
      </c>
      <c r="BX130" s="8" t="b">
        <v>1</v>
      </c>
      <c r="BY130" s="7">
        <v>0</v>
      </c>
      <c r="BZ130" s="7">
        <v>0</v>
      </c>
      <c r="CA130" s="7">
        <v>46236.145833333336</v>
      </c>
      <c r="CB130" s="7">
        <v>46236.135416666664</v>
      </c>
      <c r="CC130" s="7">
        <v>1.1817805383022774E-3</v>
      </c>
      <c r="CD130" s="7">
        <v>32.683902091925439</v>
      </c>
      <c r="CE130" s="7">
        <v>32.258461098136621</v>
      </c>
      <c r="CF130" s="7">
        <v>662.24534522516342</v>
      </c>
      <c r="CG130" s="7">
        <v>0.3125</v>
      </c>
      <c r="CH130" s="7" t="s">
        <v>150</v>
      </c>
      <c r="CI130" s="7">
        <v>128</v>
      </c>
      <c r="CJ130" s="8" t="b">
        <v>1</v>
      </c>
      <c r="CK130" s="7">
        <v>40</v>
      </c>
      <c r="CL130" s="7">
        <v>40</v>
      </c>
      <c r="CM130" s="7">
        <v>40</v>
      </c>
      <c r="CN130" s="8" t="b">
        <v>0</v>
      </c>
      <c r="CO130" s="7" t="s">
        <v>955</v>
      </c>
      <c r="CP130" s="7">
        <v>788.61631671907458</v>
      </c>
    </row>
    <row r="131" spans="1:94" ht="21" customHeight="1" x14ac:dyDescent="0.45">
      <c r="A131" s="9">
        <v>46236.145833333336</v>
      </c>
      <c r="B131" s="9">
        <v>46236.15625</v>
      </c>
      <c r="C131" s="9">
        <v>46236.270833333336</v>
      </c>
      <c r="D131" s="10">
        <v>46236</v>
      </c>
      <c r="E131" s="7">
        <v>0.25</v>
      </c>
      <c r="F131" s="7" t="s">
        <v>770</v>
      </c>
      <c r="G131" s="9">
        <v>46236.125</v>
      </c>
      <c r="H131" s="7">
        <v>161.41</v>
      </c>
      <c r="I131" s="7" t="s">
        <v>1000</v>
      </c>
      <c r="J131" s="7">
        <v>15</v>
      </c>
      <c r="K131" s="7" t="s">
        <v>960</v>
      </c>
      <c r="L131" s="10">
        <v>46234</v>
      </c>
      <c r="M131" s="7">
        <v>5.2473000000000001</v>
      </c>
      <c r="N131" s="7" t="s">
        <v>773</v>
      </c>
      <c r="O131" s="7">
        <v>128</v>
      </c>
      <c r="P131" s="7" t="s">
        <v>996</v>
      </c>
      <c r="Q131" s="7" t="s">
        <v>775</v>
      </c>
      <c r="R131" s="7">
        <v>66.224534522516336</v>
      </c>
      <c r="S131" s="7" t="s">
        <v>776</v>
      </c>
      <c r="T131" s="7">
        <v>175</v>
      </c>
      <c r="U131" s="7" t="s">
        <v>997</v>
      </c>
      <c r="V131" s="7" t="s">
        <v>775</v>
      </c>
      <c r="W131" s="7">
        <v>7.0626798544013116</v>
      </c>
      <c r="X131" s="7" t="s">
        <v>776</v>
      </c>
      <c r="Y131" s="7">
        <v>175</v>
      </c>
      <c r="Z131" s="7" t="s">
        <v>998</v>
      </c>
      <c r="AA131" s="7" t="s">
        <v>775</v>
      </c>
      <c r="AB131" s="7">
        <v>2.8376498389648011</v>
      </c>
      <c r="AC131" s="7" t="s">
        <v>776</v>
      </c>
      <c r="AD131" s="7"/>
      <c r="AE131" s="7" t="s">
        <v>779</v>
      </c>
      <c r="AF131" s="7"/>
      <c r="AG131" s="7">
        <v>179.47096602062012</v>
      </c>
      <c r="AH131" s="7" t="s">
        <v>776</v>
      </c>
      <c r="AI131" s="7">
        <v>3.4940000000000002</v>
      </c>
      <c r="AJ131" s="7">
        <v>77.182551026242066</v>
      </c>
      <c r="AK131" s="7" t="s">
        <v>776</v>
      </c>
      <c r="AL131" s="7">
        <v>1.2E-2</v>
      </c>
      <c r="AM131" s="7" t="s">
        <v>780</v>
      </c>
      <c r="AN131" s="7" t="s">
        <v>781</v>
      </c>
      <c r="AO131" s="7" t="s">
        <v>782</v>
      </c>
      <c r="AP131" s="7">
        <v>7.9862857142857097E-2</v>
      </c>
      <c r="AQ131" s="7">
        <v>2.7428571428570001E-4</v>
      </c>
      <c r="AR131" s="7">
        <v>8.0137142857142796E-2</v>
      </c>
      <c r="AS131" s="8" t="b">
        <v>1</v>
      </c>
      <c r="AT131" s="8" t="b">
        <v>1</v>
      </c>
      <c r="AU131" s="8" t="b">
        <v>1</v>
      </c>
      <c r="AV131" s="8" t="b">
        <v>1</v>
      </c>
      <c r="AW131" s="8" t="b">
        <v>1</v>
      </c>
      <c r="AX131" s="8" t="b">
        <v>1</v>
      </c>
      <c r="AY131" s="8" t="b">
        <v>1</v>
      </c>
      <c r="AZ131" s="8" t="b">
        <v>1</v>
      </c>
      <c r="BA131" s="7" t="s">
        <v>783</v>
      </c>
      <c r="BB131" s="7" t="s">
        <v>783</v>
      </c>
      <c r="BC131" s="7" t="s">
        <v>784</v>
      </c>
      <c r="BD131" s="7">
        <v>-0.12702042683175835</v>
      </c>
      <c r="BE131" s="7">
        <v>1.6457142857142855E-3</v>
      </c>
      <c r="BF131" s="7">
        <v>17.025899033788807</v>
      </c>
      <c r="BG131" s="7">
        <v>0.13714285714285715</v>
      </c>
      <c r="BH131" s="7" t="s">
        <v>154</v>
      </c>
      <c r="BI131" s="7">
        <v>175</v>
      </c>
      <c r="BJ131" s="7">
        <v>24</v>
      </c>
      <c r="BK131" s="7">
        <v>24</v>
      </c>
      <c r="BL131" s="7">
        <v>24</v>
      </c>
      <c r="BM131" s="8" t="b">
        <v>1</v>
      </c>
      <c r="BN131" s="7">
        <v>85.99838472357213</v>
      </c>
      <c r="BO131" s="7">
        <v>0.47917714285714291</v>
      </c>
      <c r="BP131" s="7">
        <v>42.376079126407873</v>
      </c>
      <c r="BQ131" s="7">
        <v>0.13714285714285715</v>
      </c>
      <c r="BR131" s="7" t="s">
        <v>154</v>
      </c>
      <c r="BS131" s="7">
        <v>175</v>
      </c>
      <c r="BT131" s="7">
        <v>24</v>
      </c>
      <c r="BU131" s="7">
        <v>24</v>
      </c>
      <c r="BV131" s="7">
        <v>24</v>
      </c>
      <c r="BW131" s="7" t="s">
        <v>1000</v>
      </c>
      <c r="BX131" s="8" t="b">
        <v>1</v>
      </c>
      <c r="BY131" s="7">
        <v>0</v>
      </c>
      <c r="BZ131" s="7">
        <v>0</v>
      </c>
      <c r="CA131" s="7">
        <v>46236.15625</v>
      </c>
      <c r="CB131" s="7">
        <v>46236.145833333336</v>
      </c>
      <c r="CC131" s="7">
        <v>1.4509966045548656E-3</v>
      </c>
      <c r="CD131" s="7">
        <v>32.258461098136621</v>
      </c>
      <c r="CE131" s="7">
        <v>31.739130434782581</v>
      </c>
      <c r="CF131" s="7">
        <v>662.24534522516342</v>
      </c>
      <c r="CG131" s="7">
        <v>0.3125</v>
      </c>
      <c r="CH131" s="7" t="s">
        <v>150</v>
      </c>
      <c r="CI131" s="7">
        <v>128</v>
      </c>
      <c r="CJ131" s="8" t="b">
        <v>1</v>
      </c>
      <c r="CK131" s="7">
        <v>40</v>
      </c>
      <c r="CL131" s="7">
        <v>40</v>
      </c>
      <c r="CM131" s="7">
        <v>40</v>
      </c>
      <c r="CN131" s="8" t="b">
        <v>0</v>
      </c>
      <c r="CO131" s="7" t="s">
        <v>955</v>
      </c>
      <c r="CP131" s="7">
        <v>807.51868768210045</v>
      </c>
    </row>
    <row r="132" spans="1:94" ht="21" customHeight="1" x14ac:dyDescent="0.45">
      <c r="A132" s="9">
        <v>46236.15625</v>
      </c>
      <c r="B132" s="9">
        <v>46236.166666666664</v>
      </c>
      <c r="C132" s="9">
        <v>46236.28125</v>
      </c>
      <c r="D132" s="10">
        <v>46236</v>
      </c>
      <c r="E132" s="7">
        <v>0.25</v>
      </c>
      <c r="F132" s="7" t="s">
        <v>770</v>
      </c>
      <c r="G132" s="9">
        <v>46236.125</v>
      </c>
      <c r="H132" s="7">
        <v>159.02000000000001</v>
      </c>
      <c r="I132" s="7" t="s">
        <v>1001</v>
      </c>
      <c r="J132" s="7">
        <v>15</v>
      </c>
      <c r="K132" s="7" t="s">
        <v>960</v>
      </c>
      <c r="L132" s="10">
        <v>46234</v>
      </c>
      <c r="M132" s="7">
        <v>5.2473000000000001</v>
      </c>
      <c r="N132" s="7" t="s">
        <v>773</v>
      </c>
      <c r="O132" s="7">
        <v>128</v>
      </c>
      <c r="P132" s="7" t="s">
        <v>996</v>
      </c>
      <c r="Q132" s="7" t="s">
        <v>775</v>
      </c>
      <c r="R132" s="7">
        <v>66.224534522516336</v>
      </c>
      <c r="S132" s="7" t="s">
        <v>776</v>
      </c>
      <c r="T132" s="7">
        <v>175</v>
      </c>
      <c r="U132" s="7" t="s">
        <v>997</v>
      </c>
      <c r="V132" s="7" t="s">
        <v>775</v>
      </c>
      <c r="W132" s="7">
        <v>7.0626798544013116</v>
      </c>
      <c r="X132" s="7" t="s">
        <v>776</v>
      </c>
      <c r="Y132" s="7">
        <v>175</v>
      </c>
      <c r="Z132" s="7" t="s">
        <v>998</v>
      </c>
      <c r="AA132" s="7" t="s">
        <v>775</v>
      </c>
      <c r="AB132" s="7">
        <v>2.8376498389648011</v>
      </c>
      <c r="AC132" s="7" t="s">
        <v>776</v>
      </c>
      <c r="AD132" s="7"/>
      <c r="AE132" s="7" t="s">
        <v>779</v>
      </c>
      <c r="AF132" s="7"/>
      <c r="AG132" s="7">
        <v>169.81285613553635</v>
      </c>
      <c r="AH132" s="7" t="s">
        <v>776</v>
      </c>
      <c r="AI132" s="7">
        <v>0.55900000000000005</v>
      </c>
      <c r="AJ132" s="7">
        <v>71.125150077182539</v>
      </c>
      <c r="AK132" s="7" t="s">
        <v>776</v>
      </c>
      <c r="AL132" s="7">
        <v>4.09</v>
      </c>
      <c r="AM132" s="7" t="s">
        <v>780</v>
      </c>
      <c r="AN132" s="7" t="s">
        <v>781</v>
      </c>
      <c r="AO132" s="7" t="s">
        <v>782</v>
      </c>
      <c r="AP132" s="7">
        <v>1.2777142857142799E-2</v>
      </c>
      <c r="AQ132" s="7">
        <v>9.34857142857142E-2</v>
      </c>
      <c r="AR132" s="7">
        <v>0.1062628571428571</v>
      </c>
      <c r="AS132" s="8" t="b">
        <v>1</v>
      </c>
      <c r="AT132" s="8" t="b">
        <v>1</v>
      </c>
      <c r="AU132" s="8" t="b">
        <v>1</v>
      </c>
      <c r="AV132" s="8" t="b">
        <v>1</v>
      </c>
      <c r="AW132" s="8" t="b">
        <v>1</v>
      </c>
      <c r="AX132" s="8" t="b">
        <v>1</v>
      </c>
      <c r="AY132" s="8" t="b">
        <v>1</v>
      </c>
      <c r="AZ132" s="8" t="b">
        <v>1</v>
      </c>
      <c r="BA132" s="7" t="s">
        <v>783</v>
      </c>
      <c r="BB132" s="7" t="s">
        <v>783</v>
      </c>
      <c r="BC132" s="7" t="s">
        <v>784</v>
      </c>
      <c r="BD132" s="7">
        <v>-39.895112751864218</v>
      </c>
      <c r="BE132" s="7">
        <v>0.5609142857142857</v>
      </c>
      <c r="BF132" s="7">
        <v>17.025899033788807</v>
      </c>
      <c r="BG132" s="7">
        <v>0.13714285714285715</v>
      </c>
      <c r="BH132" s="7" t="s">
        <v>154</v>
      </c>
      <c r="BI132" s="7">
        <v>175</v>
      </c>
      <c r="BJ132" s="7">
        <v>24</v>
      </c>
      <c r="BK132" s="7">
        <v>24</v>
      </c>
      <c r="BL132" s="7">
        <v>24</v>
      </c>
      <c r="BM132" s="8" t="b">
        <v>1</v>
      </c>
      <c r="BN132" s="7">
        <v>13.018338730939176</v>
      </c>
      <c r="BO132" s="7">
        <v>7.6662857142857144E-2</v>
      </c>
      <c r="BP132" s="7">
        <v>42.376079126407873</v>
      </c>
      <c r="BQ132" s="7">
        <v>0.13714285714285715</v>
      </c>
      <c r="BR132" s="7" t="s">
        <v>154</v>
      </c>
      <c r="BS132" s="7">
        <v>175</v>
      </c>
      <c r="BT132" s="7">
        <v>24</v>
      </c>
      <c r="BU132" s="7">
        <v>24</v>
      </c>
      <c r="BV132" s="7">
        <v>24</v>
      </c>
      <c r="BW132" s="7" t="s">
        <v>1001</v>
      </c>
      <c r="BX132" s="8" t="b">
        <v>1</v>
      </c>
      <c r="BY132" s="7">
        <v>0</v>
      </c>
      <c r="BZ132" s="7">
        <v>0</v>
      </c>
      <c r="CA132" s="7">
        <v>46236.166666666664</v>
      </c>
      <c r="CB132" s="7">
        <v>46236.15625</v>
      </c>
      <c r="CC132" s="7">
        <v>1.6649175983436855E-3</v>
      </c>
      <c r="CD132" s="7">
        <v>31.739130434782581</v>
      </c>
      <c r="CE132" s="7">
        <v>32.171842385093136</v>
      </c>
      <c r="CF132" s="7">
        <v>662.24534522516342</v>
      </c>
      <c r="CG132" s="7">
        <v>0.3125</v>
      </c>
      <c r="CH132" s="7" t="s">
        <v>150</v>
      </c>
      <c r="CI132" s="7">
        <v>128</v>
      </c>
      <c r="CJ132" s="8" t="b">
        <v>1</v>
      </c>
      <c r="CK132" s="7">
        <v>40</v>
      </c>
      <c r="CL132" s="7">
        <v>40</v>
      </c>
      <c r="CM132" s="7">
        <v>40</v>
      </c>
      <c r="CN132" s="8" t="b">
        <v>0</v>
      </c>
      <c r="CO132" s="7" t="s">
        <v>955</v>
      </c>
      <c r="CP132" s="7">
        <v>694.77054936443506</v>
      </c>
    </row>
    <row r="133" spans="1:94" ht="21" customHeight="1" x14ac:dyDescent="0.45">
      <c r="A133" s="9">
        <v>46236.166666666664</v>
      </c>
      <c r="B133" s="9">
        <v>46236.177083333336</v>
      </c>
      <c r="C133" s="9">
        <v>46236.291666666664</v>
      </c>
      <c r="D133" s="10">
        <v>46236</v>
      </c>
      <c r="E133" s="7">
        <v>0.25</v>
      </c>
      <c r="F133" s="7" t="s">
        <v>770</v>
      </c>
      <c r="G133" s="9">
        <v>46236.166666666664</v>
      </c>
      <c r="H133" s="7">
        <v>162.12</v>
      </c>
      <c r="I133" s="7" t="s">
        <v>1002</v>
      </c>
      <c r="J133" s="7">
        <v>15</v>
      </c>
      <c r="K133" s="7" t="s">
        <v>960</v>
      </c>
      <c r="L133" s="10">
        <v>46234</v>
      </c>
      <c r="M133" s="7">
        <v>5.2473000000000001</v>
      </c>
      <c r="N133" s="7" t="s">
        <v>773</v>
      </c>
      <c r="O133" s="7">
        <v>128</v>
      </c>
      <c r="P133" s="7" t="s">
        <v>1003</v>
      </c>
      <c r="Q133" s="7" t="s">
        <v>775</v>
      </c>
      <c r="R133" s="7">
        <v>66.224534522516336</v>
      </c>
      <c r="S133" s="7" t="s">
        <v>776</v>
      </c>
      <c r="T133" s="7">
        <v>175</v>
      </c>
      <c r="U133" s="7" t="s">
        <v>1004</v>
      </c>
      <c r="V133" s="7" t="s">
        <v>775</v>
      </c>
      <c r="W133" s="7">
        <v>6.6910601642749601</v>
      </c>
      <c r="X133" s="7" t="s">
        <v>776</v>
      </c>
      <c r="Y133" s="7">
        <v>175</v>
      </c>
      <c r="Z133" s="7" t="s">
        <v>1005</v>
      </c>
      <c r="AA133" s="7" t="s">
        <v>775</v>
      </c>
      <c r="AB133" s="7">
        <v>2.6070550568863986</v>
      </c>
      <c r="AC133" s="7" t="s">
        <v>776</v>
      </c>
      <c r="AD133" s="7"/>
      <c r="AE133" s="7" t="s">
        <v>779</v>
      </c>
      <c r="AF133" s="7"/>
      <c r="AG133" s="7">
        <v>0</v>
      </c>
      <c r="AH133" s="7" t="s">
        <v>776</v>
      </c>
      <c r="AI133" s="7">
        <v>0</v>
      </c>
      <c r="AJ133" s="7">
        <v>74.818859222838412</v>
      </c>
      <c r="AK133" s="7" t="s">
        <v>776</v>
      </c>
      <c r="AL133" s="7">
        <v>4.1980000000000004</v>
      </c>
      <c r="AM133" s="7" t="s">
        <v>780</v>
      </c>
      <c r="AN133" s="7" t="s">
        <v>781</v>
      </c>
      <c r="AO133" s="7" t="s">
        <v>782</v>
      </c>
      <c r="AP133" s="7">
        <v>0</v>
      </c>
      <c r="AQ133" s="7">
        <v>9.59542857142857E-2</v>
      </c>
      <c r="AR133" s="7">
        <v>9.59542857142857E-2</v>
      </c>
      <c r="AS133" s="8" t="b">
        <v>1</v>
      </c>
      <c r="AT133" s="8" t="b">
        <v>1</v>
      </c>
      <c r="AU133" s="8" t="b">
        <v>1</v>
      </c>
      <c r="AV133" s="8" t="b">
        <v>1</v>
      </c>
      <c r="AW133" s="8" t="b">
        <v>1</v>
      </c>
      <c r="AX133" s="8" t="b">
        <v>1</v>
      </c>
      <c r="AY133" s="8" t="b">
        <v>1</v>
      </c>
      <c r="AZ133" s="8" t="b">
        <v>1</v>
      </c>
      <c r="BA133" s="7" t="s">
        <v>783</v>
      </c>
      <c r="BB133" s="7" t="s">
        <v>783</v>
      </c>
      <c r="BC133" s="7" t="s">
        <v>784</v>
      </c>
      <c r="BD133" s="7">
        <v>-43.075141168110953</v>
      </c>
      <c r="BE133" s="7">
        <v>0.5757257142857144</v>
      </c>
      <c r="BF133" s="7">
        <v>15.642330341318392</v>
      </c>
      <c r="BG133" s="7">
        <v>0.13714285714285715</v>
      </c>
      <c r="BH133" s="7" t="s">
        <v>154</v>
      </c>
      <c r="BI133" s="7">
        <v>175</v>
      </c>
      <c r="BJ133" s="7">
        <v>24</v>
      </c>
      <c r="BK133" s="7">
        <v>24</v>
      </c>
      <c r="BL133" s="7">
        <v>24</v>
      </c>
      <c r="BM133" s="8" t="b">
        <v>1</v>
      </c>
      <c r="BN133" s="7">
        <v>0</v>
      </c>
      <c r="BO133" s="7">
        <v>0</v>
      </c>
      <c r="BP133" s="7">
        <v>40.146360985649764</v>
      </c>
      <c r="BQ133" s="7">
        <v>0.13714285714285715</v>
      </c>
      <c r="BR133" s="7" t="s">
        <v>154</v>
      </c>
      <c r="BS133" s="7">
        <v>175</v>
      </c>
      <c r="BT133" s="7">
        <v>24</v>
      </c>
      <c r="BU133" s="7">
        <v>24</v>
      </c>
      <c r="BV133" s="7">
        <v>24</v>
      </c>
      <c r="BW133" s="7" t="s">
        <v>1002</v>
      </c>
      <c r="BX133" s="8" t="b">
        <v>1</v>
      </c>
      <c r="BY133" s="7">
        <v>145.68651551765092</v>
      </c>
      <c r="BZ133" s="7">
        <v>3.5945352952788281</v>
      </c>
      <c r="CA133" s="7">
        <v>46236.177083333336</v>
      </c>
      <c r="CB133" s="7">
        <v>46236.166666666664</v>
      </c>
      <c r="CC133" s="7">
        <v>3.7038560386082687E-3</v>
      </c>
      <c r="CD133" s="7">
        <v>32.171842385093136</v>
      </c>
      <c r="CE133" s="7">
        <v>31.739130434782567</v>
      </c>
      <c r="CF133" s="7">
        <v>662.24534522516342</v>
      </c>
      <c r="CG133" s="7">
        <v>0.3125</v>
      </c>
      <c r="CH133" s="7" t="s">
        <v>150</v>
      </c>
      <c r="CI133" s="7">
        <v>128</v>
      </c>
      <c r="CJ133" s="8" t="b">
        <v>1</v>
      </c>
      <c r="CK133" s="7">
        <v>40</v>
      </c>
      <c r="CL133" s="7">
        <v>40</v>
      </c>
      <c r="CM133" s="7">
        <v>40</v>
      </c>
      <c r="CN133" s="8" t="b">
        <v>0</v>
      </c>
      <c r="CO133" s="7" t="s">
        <v>955</v>
      </c>
      <c r="CP133" s="7">
        <v>820.64541090167154</v>
      </c>
    </row>
    <row r="134" spans="1:94" ht="21" customHeight="1" x14ac:dyDescent="0.45">
      <c r="A134" s="9">
        <v>46236.177083333336</v>
      </c>
      <c r="B134" s="9">
        <v>46236.1875</v>
      </c>
      <c r="C134" s="9">
        <v>46236.302083333336</v>
      </c>
      <c r="D134" s="10">
        <v>46236</v>
      </c>
      <c r="E134" s="7">
        <v>0.25</v>
      </c>
      <c r="F134" s="7" t="s">
        <v>770</v>
      </c>
      <c r="G134" s="9">
        <v>46236.166666666664</v>
      </c>
      <c r="H134" s="7">
        <v>154.66999999999999</v>
      </c>
      <c r="I134" s="7" t="s">
        <v>1006</v>
      </c>
      <c r="J134" s="7">
        <v>15</v>
      </c>
      <c r="K134" s="7" t="s">
        <v>960</v>
      </c>
      <c r="L134" s="10">
        <v>46234</v>
      </c>
      <c r="M134" s="7">
        <v>5.2473000000000001</v>
      </c>
      <c r="N134" s="7" t="s">
        <v>773</v>
      </c>
      <c r="O134" s="7">
        <v>128</v>
      </c>
      <c r="P134" s="7" t="s">
        <v>1003</v>
      </c>
      <c r="Q134" s="7" t="s">
        <v>775</v>
      </c>
      <c r="R134" s="7">
        <v>66.224534522516336</v>
      </c>
      <c r="S134" s="7" t="s">
        <v>776</v>
      </c>
      <c r="T134" s="7">
        <v>175</v>
      </c>
      <c r="U134" s="7" t="s">
        <v>1004</v>
      </c>
      <c r="V134" s="7" t="s">
        <v>775</v>
      </c>
      <c r="W134" s="7">
        <v>6.6910601642749601</v>
      </c>
      <c r="X134" s="7" t="s">
        <v>776</v>
      </c>
      <c r="Y134" s="7">
        <v>175</v>
      </c>
      <c r="Z134" s="7" t="s">
        <v>1005</v>
      </c>
      <c r="AA134" s="7" t="s">
        <v>775</v>
      </c>
      <c r="AB134" s="7">
        <v>2.6070550568863986</v>
      </c>
      <c r="AC134" s="7" t="s">
        <v>776</v>
      </c>
      <c r="AD134" s="7"/>
      <c r="AE134" s="7" t="s">
        <v>779</v>
      </c>
      <c r="AF134" s="7"/>
      <c r="AG134" s="7">
        <v>152.45936005183617</v>
      </c>
      <c r="AH134" s="7" t="s">
        <v>776</v>
      </c>
      <c r="AI134" s="7">
        <v>3.0000000000000001E-3</v>
      </c>
      <c r="AJ134" s="7">
        <v>68.254912050006666</v>
      </c>
      <c r="AK134" s="7" t="s">
        <v>776</v>
      </c>
      <c r="AL134" s="7">
        <v>6.5209999999999999</v>
      </c>
      <c r="AM134" s="7" t="s">
        <v>780</v>
      </c>
      <c r="AN134" s="7" t="s">
        <v>781</v>
      </c>
      <c r="AO134" s="7" t="s">
        <v>782</v>
      </c>
      <c r="AP134" s="7">
        <v>6.8571428571428567E-5</v>
      </c>
      <c r="AQ134" s="7">
        <v>0.1490514285714285</v>
      </c>
      <c r="AR134" s="7">
        <v>0.14911999999999989</v>
      </c>
      <c r="AS134" s="8" t="b">
        <v>1</v>
      </c>
      <c r="AT134" s="8" t="b">
        <v>1</v>
      </c>
      <c r="AU134" s="8" t="b">
        <v>1</v>
      </c>
      <c r="AV134" s="8" t="b">
        <v>1</v>
      </c>
      <c r="AW134" s="8" t="b">
        <v>1</v>
      </c>
      <c r="AX134" s="8" t="b">
        <v>1</v>
      </c>
      <c r="AY134" s="8" t="b">
        <v>1</v>
      </c>
      <c r="AZ134" s="8" t="b">
        <v>1</v>
      </c>
      <c r="BA134" s="7" t="s">
        <v>783</v>
      </c>
      <c r="BB134" s="7" t="s">
        <v>783</v>
      </c>
      <c r="BC134" s="7" t="s">
        <v>784</v>
      </c>
      <c r="BD134" s="7">
        <v>-61.040952888424243</v>
      </c>
      <c r="BE134" s="7">
        <v>0.89430857142857134</v>
      </c>
      <c r="BF134" s="7">
        <v>15.642330341318392</v>
      </c>
      <c r="BG134" s="7">
        <v>0.13714285714285715</v>
      </c>
      <c r="BH134" s="7" t="s">
        <v>154</v>
      </c>
      <c r="BI134" s="7">
        <v>175</v>
      </c>
      <c r="BJ134" s="7">
        <v>24</v>
      </c>
      <c r="BK134" s="7">
        <v>24</v>
      </c>
      <c r="BL134" s="7">
        <v>24</v>
      </c>
      <c r="BM134" s="8" t="b">
        <v>1</v>
      </c>
      <c r="BN134" s="7">
        <v>6.2726136707041164E-2</v>
      </c>
      <c r="BO134" s="7">
        <v>4.1142857142857138E-4</v>
      </c>
      <c r="BP134" s="7">
        <v>40.146360985649764</v>
      </c>
      <c r="BQ134" s="7">
        <v>0.13714285714285715</v>
      </c>
      <c r="BR134" s="7" t="s">
        <v>154</v>
      </c>
      <c r="BS134" s="7">
        <v>175</v>
      </c>
      <c r="BT134" s="7">
        <v>24</v>
      </c>
      <c r="BU134" s="7">
        <v>24</v>
      </c>
      <c r="BV134" s="7">
        <v>24</v>
      </c>
      <c r="BW134" s="7" t="s">
        <v>1006</v>
      </c>
      <c r="BX134" s="8" t="b">
        <v>1</v>
      </c>
      <c r="BY134" s="7">
        <v>119.75439633765323</v>
      </c>
      <c r="BZ134" s="7">
        <v>3.097029710678302</v>
      </c>
      <c r="CA134" s="7">
        <v>46236.1875</v>
      </c>
      <c r="CB134" s="7">
        <v>46236.177083333336</v>
      </c>
      <c r="CC134" s="7">
        <v>3.9810669116232796E-3</v>
      </c>
      <c r="CD134" s="7">
        <v>31.739130434782567</v>
      </c>
      <c r="CE134" s="7">
        <v>31.739130434782567</v>
      </c>
      <c r="CF134" s="7">
        <v>662.24534522516342</v>
      </c>
      <c r="CG134" s="7">
        <v>0.3125</v>
      </c>
      <c r="CH134" s="7" t="s">
        <v>150</v>
      </c>
      <c r="CI134" s="7">
        <v>128</v>
      </c>
      <c r="CJ134" s="8" t="b">
        <v>1</v>
      </c>
      <c r="CK134" s="7">
        <v>40</v>
      </c>
      <c r="CL134" s="7">
        <v>40</v>
      </c>
      <c r="CM134" s="7">
        <v>40</v>
      </c>
      <c r="CN134" s="8" t="b">
        <v>0</v>
      </c>
      <c r="CO134" s="7" t="s">
        <v>955</v>
      </c>
      <c r="CP134" s="7">
        <v>776.81020613806766</v>
      </c>
    </row>
    <row r="135" spans="1:94" ht="21" customHeight="1" x14ac:dyDescent="0.45">
      <c r="A135" s="9">
        <v>46236.1875</v>
      </c>
      <c r="B135" s="9">
        <v>46236.197916666664</v>
      </c>
      <c r="C135" s="9">
        <v>46236.3125</v>
      </c>
      <c r="D135" s="10">
        <v>46236</v>
      </c>
      <c r="E135" s="7">
        <v>0.25</v>
      </c>
      <c r="F135" s="7" t="s">
        <v>770</v>
      </c>
      <c r="G135" s="9">
        <v>46236.166666666664</v>
      </c>
      <c r="H135" s="7">
        <v>153.13999999999999</v>
      </c>
      <c r="I135" s="7" t="s">
        <v>1007</v>
      </c>
      <c r="J135" s="7">
        <v>15</v>
      </c>
      <c r="K135" s="7" t="s">
        <v>960</v>
      </c>
      <c r="L135" s="10">
        <v>46234</v>
      </c>
      <c r="M135" s="7">
        <v>5.2473000000000001</v>
      </c>
      <c r="N135" s="7" t="s">
        <v>773</v>
      </c>
      <c r="O135" s="7">
        <v>128</v>
      </c>
      <c r="P135" s="7" t="s">
        <v>1003</v>
      </c>
      <c r="Q135" s="7" t="s">
        <v>775</v>
      </c>
      <c r="R135" s="7">
        <v>66.224534522516336</v>
      </c>
      <c r="S135" s="7" t="s">
        <v>776</v>
      </c>
      <c r="T135" s="7">
        <v>175</v>
      </c>
      <c r="U135" s="7" t="s">
        <v>1004</v>
      </c>
      <c r="V135" s="7" t="s">
        <v>775</v>
      </c>
      <c r="W135" s="7">
        <v>6.6910601642749601</v>
      </c>
      <c r="X135" s="7" t="s">
        <v>776</v>
      </c>
      <c r="Y135" s="7">
        <v>175</v>
      </c>
      <c r="Z135" s="7" t="s">
        <v>1005</v>
      </c>
      <c r="AA135" s="7" t="s">
        <v>775</v>
      </c>
      <c r="AB135" s="7">
        <v>2.6070550568863986</v>
      </c>
      <c r="AC135" s="7" t="s">
        <v>776</v>
      </c>
      <c r="AD135" s="7"/>
      <c r="AE135" s="7" t="s">
        <v>779</v>
      </c>
      <c r="AF135" s="7"/>
      <c r="AG135" s="7">
        <v>0</v>
      </c>
      <c r="AH135" s="7" t="s">
        <v>776</v>
      </c>
      <c r="AI135" s="7">
        <v>0</v>
      </c>
      <c r="AJ135" s="7">
        <v>68.655880166942993</v>
      </c>
      <c r="AK135" s="7" t="s">
        <v>776</v>
      </c>
      <c r="AL135" s="7">
        <v>5.4109999999999996</v>
      </c>
      <c r="AM135" s="7" t="s">
        <v>780</v>
      </c>
      <c r="AN135" s="7" t="s">
        <v>781</v>
      </c>
      <c r="AO135" s="7" t="s">
        <v>782</v>
      </c>
      <c r="AP135" s="7">
        <v>0</v>
      </c>
      <c r="AQ135" s="7">
        <v>0.1236799999999999</v>
      </c>
      <c r="AR135" s="7">
        <v>0.1236799999999999</v>
      </c>
      <c r="AS135" s="8" t="b">
        <v>1</v>
      </c>
      <c r="AT135" s="8" t="b">
        <v>1</v>
      </c>
      <c r="AU135" s="8" t="b">
        <v>1</v>
      </c>
      <c r="AV135" s="8" t="b">
        <v>1</v>
      </c>
      <c r="AW135" s="8" t="b">
        <v>1</v>
      </c>
      <c r="AX135" s="8" t="b">
        <v>1</v>
      </c>
      <c r="AY135" s="8" t="b">
        <v>1</v>
      </c>
      <c r="AZ135" s="8" t="b">
        <v>1</v>
      </c>
      <c r="BA135" s="7" t="s">
        <v>783</v>
      </c>
      <c r="BB135" s="7" t="s">
        <v>783</v>
      </c>
      <c r="BC135" s="7" t="s">
        <v>784</v>
      </c>
      <c r="BD135" s="7">
        <v>-50.948155554285044</v>
      </c>
      <c r="BE135" s="7">
        <v>0.74207999999999985</v>
      </c>
      <c r="BF135" s="7">
        <v>15.642330341318392</v>
      </c>
      <c r="BG135" s="7">
        <v>0.13714285714285715</v>
      </c>
      <c r="BH135" s="7" t="s">
        <v>154</v>
      </c>
      <c r="BI135" s="7">
        <v>175</v>
      </c>
      <c r="BJ135" s="7">
        <v>24</v>
      </c>
      <c r="BK135" s="7">
        <v>24</v>
      </c>
      <c r="BL135" s="7">
        <v>24</v>
      </c>
      <c r="BM135" s="8" t="b">
        <v>1</v>
      </c>
      <c r="BN135" s="7">
        <v>0</v>
      </c>
      <c r="BO135" s="7">
        <v>0</v>
      </c>
      <c r="BP135" s="7">
        <v>40.146360985649764</v>
      </c>
      <c r="BQ135" s="7">
        <v>0.13714285714285715</v>
      </c>
      <c r="BR135" s="7" t="s">
        <v>154</v>
      </c>
      <c r="BS135" s="7">
        <v>175</v>
      </c>
      <c r="BT135" s="7">
        <v>24</v>
      </c>
      <c r="BU135" s="7">
        <v>24</v>
      </c>
      <c r="BV135" s="7">
        <v>24</v>
      </c>
      <c r="BW135" s="7" t="s">
        <v>1007</v>
      </c>
      <c r="BX135" s="8" t="b">
        <v>1</v>
      </c>
      <c r="BY135" s="7">
        <v>98.049368007970685</v>
      </c>
      <c r="BZ135" s="7">
        <v>2.5610387360055031</v>
      </c>
      <c r="CA135" s="7">
        <v>46236.197916666664</v>
      </c>
      <c r="CB135" s="7">
        <v>46236.1875</v>
      </c>
      <c r="CC135" s="7">
        <v>3.3881181538894054E-3</v>
      </c>
      <c r="CD135" s="7">
        <v>31.739130434782567</v>
      </c>
      <c r="CE135" s="7">
        <v>31.739130434782563</v>
      </c>
      <c r="CF135" s="7">
        <v>662.24534522516342</v>
      </c>
      <c r="CG135" s="7">
        <v>0.3125</v>
      </c>
      <c r="CH135" s="7" t="s">
        <v>150</v>
      </c>
      <c r="CI135" s="7">
        <v>128</v>
      </c>
      <c r="CJ135" s="8" t="b">
        <v>1</v>
      </c>
      <c r="CK135" s="7">
        <v>40</v>
      </c>
      <c r="CL135" s="7">
        <v>40</v>
      </c>
      <c r="CM135" s="7">
        <v>40</v>
      </c>
      <c r="CN135" s="8" t="b">
        <v>0</v>
      </c>
      <c r="CO135" s="7" t="s">
        <v>955</v>
      </c>
      <c r="CP135" s="7">
        <v>765.13524900581717</v>
      </c>
    </row>
    <row r="136" spans="1:94" ht="21" customHeight="1" x14ac:dyDescent="0.45">
      <c r="A136" s="9">
        <v>46236.197916666664</v>
      </c>
      <c r="B136" s="9">
        <v>46236.208333333336</v>
      </c>
      <c r="C136" s="9">
        <v>46236.322916666664</v>
      </c>
      <c r="D136" s="10">
        <v>46236</v>
      </c>
      <c r="E136" s="7">
        <v>0.25</v>
      </c>
      <c r="F136" s="7" t="s">
        <v>770</v>
      </c>
      <c r="G136" s="9">
        <v>46236.166666666664</v>
      </c>
      <c r="H136" s="7">
        <v>139.9</v>
      </c>
      <c r="I136" s="7" t="s">
        <v>1008</v>
      </c>
      <c r="J136" s="7">
        <v>15</v>
      </c>
      <c r="K136" s="7" t="s">
        <v>960</v>
      </c>
      <c r="L136" s="10">
        <v>46234</v>
      </c>
      <c r="M136" s="7">
        <v>5.2473000000000001</v>
      </c>
      <c r="N136" s="7" t="s">
        <v>773</v>
      </c>
      <c r="O136" s="7">
        <v>128</v>
      </c>
      <c r="P136" s="7" t="s">
        <v>1003</v>
      </c>
      <c r="Q136" s="7" t="s">
        <v>775</v>
      </c>
      <c r="R136" s="7">
        <v>66.224534522516336</v>
      </c>
      <c r="S136" s="7" t="s">
        <v>776</v>
      </c>
      <c r="T136" s="7">
        <v>175</v>
      </c>
      <c r="U136" s="7" t="s">
        <v>1004</v>
      </c>
      <c r="V136" s="7" t="s">
        <v>775</v>
      </c>
      <c r="W136" s="7">
        <v>6.6910601642749601</v>
      </c>
      <c r="X136" s="7" t="s">
        <v>776</v>
      </c>
      <c r="Y136" s="7">
        <v>175</v>
      </c>
      <c r="Z136" s="7" t="s">
        <v>1005</v>
      </c>
      <c r="AA136" s="7" t="s">
        <v>775</v>
      </c>
      <c r="AB136" s="7">
        <v>2.6070550568863986</v>
      </c>
      <c r="AC136" s="7" t="s">
        <v>776</v>
      </c>
      <c r="AD136" s="7"/>
      <c r="AE136" s="7" t="s">
        <v>779</v>
      </c>
      <c r="AF136" s="7"/>
      <c r="AG136" s="7">
        <v>0</v>
      </c>
      <c r="AH136" s="7" t="s">
        <v>776</v>
      </c>
      <c r="AI136" s="7">
        <v>0</v>
      </c>
      <c r="AJ136" s="7">
        <v>70.403826729937308</v>
      </c>
      <c r="AK136" s="7" t="s">
        <v>776</v>
      </c>
      <c r="AL136" s="7">
        <v>7.5860000000000003</v>
      </c>
      <c r="AM136" s="7" t="s">
        <v>780</v>
      </c>
      <c r="AN136" s="7" t="s">
        <v>781</v>
      </c>
      <c r="AO136" s="7" t="s">
        <v>782</v>
      </c>
      <c r="AP136" s="7">
        <v>0</v>
      </c>
      <c r="AQ136" s="7">
        <v>0.1733942857142857</v>
      </c>
      <c r="AR136" s="7">
        <v>0.1733942857142857</v>
      </c>
      <c r="AS136" s="8" t="b">
        <v>1</v>
      </c>
      <c r="AT136" s="8" t="b">
        <v>1</v>
      </c>
      <c r="AU136" s="8" t="b">
        <v>1</v>
      </c>
      <c r="AV136" s="8" t="b">
        <v>1</v>
      </c>
      <c r="AW136" s="8" t="b">
        <v>1</v>
      </c>
      <c r="AX136" s="8" t="b">
        <v>1</v>
      </c>
      <c r="AY136" s="8" t="b">
        <v>1</v>
      </c>
      <c r="AZ136" s="8" t="b">
        <v>1</v>
      </c>
      <c r="BA136" s="7" t="s">
        <v>783</v>
      </c>
      <c r="BB136" s="7" t="s">
        <v>783</v>
      </c>
      <c r="BC136" s="7" t="s">
        <v>784</v>
      </c>
      <c r="BD136" s="7">
        <v>-73.2457274843389</v>
      </c>
      <c r="BE136" s="7">
        <v>1.0403657142857143</v>
      </c>
      <c r="BF136" s="7">
        <v>15.642330341318392</v>
      </c>
      <c r="BG136" s="7">
        <v>0.13714285714285715</v>
      </c>
      <c r="BH136" s="7" t="s">
        <v>154</v>
      </c>
      <c r="BI136" s="7">
        <v>175</v>
      </c>
      <c r="BJ136" s="7">
        <v>24</v>
      </c>
      <c r="BK136" s="7">
        <v>24</v>
      </c>
      <c r="BL136" s="7">
        <v>24</v>
      </c>
      <c r="BM136" s="8" t="b">
        <v>1</v>
      </c>
      <c r="BN136" s="7">
        <v>0</v>
      </c>
      <c r="BO136" s="7">
        <v>0</v>
      </c>
      <c r="BP136" s="7">
        <v>40.146360985649764</v>
      </c>
      <c r="BQ136" s="7">
        <v>0.13714285714285715</v>
      </c>
      <c r="BR136" s="7" t="s">
        <v>154</v>
      </c>
      <c r="BS136" s="7">
        <v>175</v>
      </c>
      <c r="BT136" s="7">
        <v>24</v>
      </c>
      <c r="BU136" s="7">
        <v>24</v>
      </c>
      <c r="BV136" s="7">
        <v>24</v>
      </c>
      <c r="BW136" s="7" t="s">
        <v>1008</v>
      </c>
      <c r="BX136" s="8" t="b">
        <v>1</v>
      </c>
      <c r="BY136" s="7">
        <v>0</v>
      </c>
      <c r="BZ136" s="7">
        <v>0</v>
      </c>
      <c r="CA136" s="7">
        <v>46236.208333333336</v>
      </c>
      <c r="CB136" s="7">
        <v>46236.197916666664</v>
      </c>
      <c r="CC136" s="7">
        <v>2.6587123809523813E-3</v>
      </c>
      <c r="CD136" s="7">
        <v>31.739130434782563</v>
      </c>
      <c r="CE136" s="7">
        <v>32.696266891925418</v>
      </c>
      <c r="CF136" s="7">
        <v>662.24534522516342</v>
      </c>
      <c r="CG136" s="7">
        <v>0.3125</v>
      </c>
      <c r="CH136" s="7" t="s">
        <v>150</v>
      </c>
      <c r="CI136" s="7">
        <v>128</v>
      </c>
      <c r="CJ136" s="8" t="b">
        <v>1</v>
      </c>
      <c r="CK136" s="7">
        <v>40</v>
      </c>
      <c r="CL136" s="7">
        <v>40</v>
      </c>
      <c r="CM136" s="7">
        <v>40</v>
      </c>
      <c r="CN136" s="8" t="b">
        <v>0</v>
      </c>
      <c r="CO136" s="7" t="s">
        <v>955</v>
      </c>
      <c r="CP136" s="7">
        <v>644.78830906779262</v>
      </c>
    </row>
    <row r="137" spans="1:94" ht="21" customHeight="1" x14ac:dyDescent="0.45">
      <c r="A137" s="9">
        <v>46236.208333333336</v>
      </c>
      <c r="B137" s="9">
        <v>46236.21875</v>
      </c>
      <c r="C137" s="9">
        <v>46236.333333333336</v>
      </c>
      <c r="D137" s="10">
        <v>46236</v>
      </c>
      <c r="E137" s="7">
        <v>0.25</v>
      </c>
      <c r="F137" s="7" t="s">
        <v>770</v>
      </c>
      <c r="G137" s="9">
        <v>46236.208333333336</v>
      </c>
      <c r="H137" s="7">
        <v>154.06</v>
      </c>
      <c r="I137" s="7" t="s">
        <v>1009</v>
      </c>
      <c r="J137" s="7">
        <v>15</v>
      </c>
      <c r="K137" s="7" t="s">
        <v>960</v>
      </c>
      <c r="L137" s="10">
        <v>46234</v>
      </c>
      <c r="M137" s="7">
        <v>5.2473000000000001</v>
      </c>
      <c r="N137" s="7" t="s">
        <v>773</v>
      </c>
      <c r="O137" s="7">
        <v>51.968000000000004</v>
      </c>
      <c r="P137" s="7" t="s">
        <v>1010</v>
      </c>
      <c r="Q137" s="7" t="s">
        <v>775</v>
      </c>
      <c r="R137" s="7">
        <v>60.030873020410496</v>
      </c>
      <c r="S137" s="7" t="s">
        <v>776</v>
      </c>
      <c r="T137" s="7">
        <v>175</v>
      </c>
      <c r="U137" s="7" t="s">
        <v>1011</v>
      </c>
      <c r="V137" s="7" t="s">
        <v>775</v>
      </c>
      <c r="W137" s="7">
        <v>6.7863472643073575</v>
      </c>
      <c r="X137" s="7" t="s">
        <v>776</v>
      </c>
      <c r="Y137" s="7">
        <v>175</v>
      </c>
      <c r="Z137" s="7" t="s">
        <v>1012</v>
      </c>
      <c r="AA137" s="7" t="s">
        <v>775</v>
      </c>
      <c r="AB137" s="7">
        <v>2.8967278409848873</v>
      </c>
      <c r="AC137" s="7" t="s">
        <v>776</v>
      </c>
      <c r="AD137" s="7"/>
      <c r="AE137" s="7" t="s">
        <v>779</v>
      </c>
      <c r="AF137" s="7"/>
      <c r="AG137" s="7">
        <v>152.45936005183617</v>
      </c>
      <c r="AH137" s="7" t="s">
        <v>776</v>
      </c>
      <c r="AI137" s="7">
        <v>2E-3</v>
      </c>
      <c r="AJ137" s="7">
        <v>68.360109008442436</v>
      </c>
      <c r="AK137" s="7" t="s">
        <v>776</v>
      </c>
      <c r="AL137" s="7">
        <v>2.4420000000000002</v>
      </c>
      <c r="AM137" s="7" t="s">
        <v>780</v>
      </c>
      <c r="AN137" s="7" t="s">
        <v>781</v>
      </c>
      <c r="AO137" s="7" t="s">
        <v>782</v>
      </c>
      <c r="AP137" s="7">
        <v>4.5714285714285723E-5</v>
      </c>
      <c r="AQ137" s="7">
        <v>5.5817142857142801E-2</v>
      </c>
      <c r="AR137" s="7">
        <v>5.5862857142857103E-2</v>
      </c>
      <c r="AS137" s="8" t="b">
        <v>1</v>
      </c>
      <c r="AT137" s="8" t="b">
        <v>1</v>
      </c>
      <c r="AU137" s="8" t="b">
        <v>1</v>
      </c>
      <c r="AV137" s="8" t="b">
        <v>1</v>
      </c>
      <c r="AW137" s="8" t="b">
        <v>1</v>
      </c>
      <c r="AX137" s="8" t="b">
        <v>1</v>
      </c>
      <c r="AY137" s="8" t="b">
        <v>1</v>
      </c>
      <c r="AZ137" s="8" t="b">
        <v>1</v>
      </c>
      <c r="BA137" s="7" t="s">
        <v>783</v>
      </c>
      <c r="BB137" s="7" t="s">
        <v>783</v>
      </c>
      <c r="BC137" s="7" t="s">
        <v>784</v>
      </c>
      <c r="BD137" s="7">
        <v>-22.893995821524541</v>
      </c>
      <c r="BE137" s="7">
        <v>0.33490285714285717</v>
      </c>
      <c r="BF137" s="7">
        <v>17.380367045909324</v>
      </c>
      <c r="BG137" s="7">
        <v>0.13714285714285715</v>
      </c>
      <c r="BH137" s="7" t="s">
        <v>154</v>
      </c>
      <c r="BI137" s="7">
        <v>175</v>
      </c>
      <c r="BJ137" s="7">
        <v>24</v>
      </c>
      <c r="BK137" s="7">
        <v>24</v>
      </c>
      <c r="BL137" s="7">
        <v>24</v>
      </c>
      <c r="BM137" s="8" t="b">
        <v>1</v>
      </c>
      <c r="BN137" s="7">
        <v>4.1817424471360783E-2</v>
      </c>
      <c r="BO137" s="7">
        <v>2.7428571428571432E-4</v>
      </c>
      <c r="BP137" s="7">
        <v>40.718083585844141</v>
      </c>
      <c r="BQ137" s="7">
        <v>0.13714285714285715</v>
      </c>
      <c r="BR137" s="7" t="s">
        <v>154</v>
      </c>
      <c r="BS137" s="7">
        <v>175</v>
      </c>
      <c r="BT137" s="7">
        <v>24</v>
      </c>
      <c r="BU137" s="7">
        <v>24</v>
      </c>
      <c r="BV137" s="7">
        <v>24</v>
      </c>
      <c r="BW137" s="7" t="s">
        <v>1009</v>
      </c>
      <c r="BX137" s="8" t="b">
        <v>1</v>
      </c>
      <c r="BY137" s="7">
        <v>180.83821106528785</v>
      </c>
      <c r="BZ137" s="7">
        <v>4.6952670664750835</v>
      </c>
      <c r="CA137" s="7">
        <v>46236.21875</v>
      </c>
      <c r="CB137" s="7">
        <v>46236.208333333336</v>
      </c>
      <c r="CC137" s="7">
        <v>4.0355627046912562E-3</v>
      </c>
      <c r="CD137" s="7">
        <v>32.696266891925418</v>
      </c>
      <c r="CE137" s="7">
        <v>31.739130434782556</v>
      </c>
      <c r="CF137" s="7">
        <v>600.3087302041049</v>
      </c>
      <c r="CG137" s="7">
        <v>0.3125</v>
      </c>
      <c r="CH137" s="7" t="s">
        <v>150</v>
      </c>
      <c r="CI137" s="7">
        <v>128</v>
      </c>
      <c r="CJ137" s="8" t="b">
        <v>1</v>
      </c>
      <c r="CK137" s="7">
        <v>40</v>
      </c>
      <c r="CL137" s="7">
        <v>40</v>
      </c>
      <c r="CM137" s="7">
        <v>40</v>
      </c>
      <c r="CN137" s="8" t="b">
        <v>0</v>
      </c>
      <c r="CO137" s="7" t="s">
        <v>955</v>
      </c>
      <c r="CP137" s="7">
        <v>816.39321350409307</v>
      </c>
    </row>
    <row r="138" spans="1:94" ht="21" customHeight="1" x14ac:dyDescent="0.45">
      <c r="A138" s="9">
        <v>46236.21875</v>
      </c>
      <c r="B138" s="9">
        <v>46236.229166666664</v>
      </c>
      <c r="C138" s="9">
        <v>46236.34375</v>
      </c>
      <c r="D138" s="10">
        <v>46236</v>
      </c>
      <c r="E138" s="7">
        <v>0.25</v>
      </c>
      <c r="F138" s="7" t="s">
        <v>770</v>
      </c>
      <c r="G138" s="9">
        <v>46236.208333333336</v>
      </c>
      <c r="H138" s="7">
        <v>142.6</v>
      </c>
      <c r="I138" s="7" t="s">
        <v>1013</v>
      </c>
      <c r="J138" s="7">
        <v>15</v>
      </c>
      <c r="K138" s="7" t="s">
        <v>960</v>
      </c>
      <c r="L138" s="10">
        <v>46234</v>
      </c>
      <c r="M138" s="7">
        <v>5.2473000000000001</v>
      </c>
      <c r="N138" s="7" t="s">
        <v>773</v>
      </c>
      <c r="O138" s="7">
        <v>51.968000000000004</v>
      </c>
      <c r="P138" s="7" t="s">
        <v>1010</v>
      </c>
      <c r="Q138" s="7" t="s">
        <v>775</v>
      </c>
      <c r="R138" s="7">
        <v>60.030873020410496</v>
      </c>
      <c r="S138" s="7" t="s">
        <v>776</v>
      </c>
      <c r="T138" s="7">
        <v>175</v>
      </c>
      <c r="U138" s="7" t="s">
        <v>1011</v>
      </c>
      <c r="V138" s="7" t="s">
        <v>775</v>
      </c>
      <c r="W138" s="7">
        <v>6.7863472643073575</v>
      </c>
      <c r="X138" s="7" t="s">
        <v>776</v>
      </c>
      <c r="Y138" s="7">
        <v>175</v>
      </c>
      <c r="Z138" s="7" t="s">
        <v>1012</v>
      </c>
      <c r="AA138" s="7" t="s">
        <v>775</v>
      </c>
      <c r="AB138" s="7">
        <v>2.8967278409848873</v>
      </c>
      <c r="AC138" s="7" t="s">
        <v>776</v>
      </c>
      <c r="AD138" s="7"/>
      <c r="AE138" s="7" t="s">
        <v>779</v>
      </c>
      <c r="AF138" s="7"/>
      <c r="AG138" s="7">
        <v>0</v>
      </c>
      <c r="AH138" s="7" t="s">
        <v>776</v>
      </c>
      <c r="AI138" s="7">
        <v>0</v>
      </c>
      <c r="AJ138" s="7">
        <v>25.922474415413639</v>
      </c>
      <c r="AK138" s="7" t="s">
        <v>776</v>
      </c>
      <c r="AL138" s="7">
        <v>10.215999999999999</v>
      </c>
      <c r="AM138" s="7" t="s">
        <v>780</v>
      </c>
      <c r="AN138" s="7" t="s">
        <v>781</v>
      </c>
      <c r="AO138" s="7" t="s">
        <v>782</v>
      </c>
      <c r="AP138" s="7">
        <v>0</v>
      </c>
      <c r="AQ138" s="7">
        <v>0.2335085714285714</v>
      </c>
      <c r="AR138" s="7">
        <v>0.2335085714285714</v>
      </c>
      <c r="AS138" s="8" t="b">
        <v>1</v>
      </c>
      <c r="AT138" s="8" t="b">
        <v>1</v>
      </c>
      <c r="AU138" s="8" t="b">
        <v>1</v>
      </c>
      <c r="AV138" s="8" t="b">
        <v>1</v>
      </c>
      <c r="AW138" s="8" t="b">
        <v>1</v>
      </c>
      <c r="AX138" s="8" t="b">
        <v>1</v>
      </c>
      <c r="AY138" s="8" t="b">
        <v>1</v>
      </c>
      <c r="AZ138" s="8" t="b">
        <v>1</v>
      </c>
      <c r="BA138" s="7" t="s">
        <v>783</v>
      </c>
      <c r="BB138" s="7" t="s">
        <v>783</v>
      </c>
      <c r="BC138" s="7" t="s">
        <v>784</v>
      </c>
      <c r="BD138" s="7">
        <v>-36.318719811821587</v>
      </c>
      <c r="BE138" s="7">
        <v>1.4010514285714286</v>
      </c>
      <c r="BF138" s="7">
        <v>17.380367045909324</v>
      </c>
      <c r="BG138" s="7">
        <v>0.13714285714285715</v>
      </c>
      <c r="BH138" s="7" t="s">
        <v>154</v>
      </c>
      <c r="BI138" s="7">
        <v>175</v>
      </c>
      <c r="BJ138" s="7">
        <v>24</v>
      </c>
      <c r="BK138" s="7">
        <v>24</v>
      </c>
      <c r="BL138" s="7">
        <v>24</v>
      </c>
      <c r="BM138" s="8" t="b">
        <v>1</v>
      </c>
      <c r="BN138" s="7">
        <v>0</v>
      </c>
      <c r="BO138" s="7">
        <v>0</v>
      </c>
      <c r="BP138" s="7">
        <v>40.718083585844141</v>
      </c>
      <c r="BQ138" s="7">
        <v>0.13714285714285715</v>
      </c>
      <c r="BR138" s="7" t="s">
        <v>154</v>
      </c>
      <c r="BS138" s="7">
        <v>175</v>
      </c>
      <c r="BT138" s="7">
        <v>24</v>
      </c>
      <c r="BU138" s="7">
        <v>24</v>
      </c>
      <c r="BV138" s="7">
        <v>24</v>
      </c>
      <c r="BW138" s="7" t="s">
        <v>1013</v>
      </c>
      <c r="BX138" s="8" t="b">
        <v>1</v>
      </c>
      <c r="BY138" s="7">
        <v>175.39300621696745</v>
      </c>
      <c r="BZ138" s="7">
        <v>4.9198599219345711</v>
      </c>
      <c r="CA138" s="7">
        <v>46236.229166666664</v>
      </c>
      <c r="CB138" s="7">
        <v>46236.21875</v>
      </c>
      <c r="CC138" s="7">
        <v>5.6929807668100038E-3</v>
      </c>
      <c r="CD138" s="7">
        <v>31.739130434782556</v>
      </c>
      <c r="CE138" s="7">
        <v>31.73913043478256</v>
      </c>
      <c r="CF138" s="7">
        <v>600.3087302041049</v>
      </c>
      <c r="CG138" s="7">
        <v>0.3125</v>
      </c>
      <c r="CH138" s="7" t="s">
        <v>150</v>
      </c>
      <c r="CI138" s="7">
        <v>128</v>
      </c>
      <c r="CJ138" s="8" t="b">
        <v>1</v>
      </c>
      <c r="CK138" s="7">
        <v>40</v>
      </c>
      <c r="CL138" s="7">
        <v>40</v>
      </c>
      <c r="CM138" s="7">
        <v>40</v>
      </c>
      <c r="CN138" s="8" t="b">
        <v>0</v>
      </c>
      <c r="CO138" s="7" t="s">
        <v>955</v>
      </c>
      <c r="CP138" s="7">
        <v>797.48146724100422</v>
      </c>
    </row>
    <row r="139" spans="1:94" ht="21" customHeight="1" x14ac:dyDescent="0.45">
      <c r="A139" s="9">
        <v>46236.229166666664</v>
      </c>
      <c r="B139" s="9">
        <v>46236.239583333336</v>
      </c>
      <c r="C139" s="9">
        <v>46236.354166666664</v>
      </c>
      <c r="D139" s="10">
        <v>46236</v>
      </c>
      <c r="E139" s="7">
        <v>0.25</v>
      </c>
      <c r="F139" s="7" t="s">
        <v>770</v>
      </c>
      <c r="G139" s="9">
        <v>46236.208333333336</v>
      </c>
      <c r="H139" s="7">
        <v>136.11000000000001</v>
      </c>
      <c r="I139" s="7" t="s">
        <v>1014</v>
      </c>
      <c r="J139" s="7">
        <v>15</v>
      </c>
      <c r="K139" s="7" t="s">
        <v>960</v>
      </c>
      <c r="L139" s="10">
        <v>46234</v>
      </c>
      <c r="M139" s="7">
        <v>5.2473000000000001</v>
      </c>
      <c r="N139" s="7" t="s">
        <v>773</v>
      </c>
      <c r="O139" s="7">
        <v>51.968000000000004</v>
      </c>
      <c r="P139" s="7" t="s">
        <v>1010</v>
      </c>
      <c r="Q139" s="7" t="s">
        <v>775</v>
      </c>
      <c r="R139" s="7">
        <v>60.030873020410496</v>
      </c>
      <c r="S139" s="7" t="s">
        <v>776</v>
      </c>
      <c r="T139" s="7">
        <v>175</v>
      </c>
      <c r="U139" s="7" t="s">
        <v>1011</v>
      </c>
      <c r="V139" s="7" t="s">
        <v>775</v>
      </c>
      <c r="W139" s="7">
        <v>6.7863472643073575</v>
      </c>
      <c r="X139" s="7" t="s">
        <v>776</v>
      </c>
      <c r="Y139" s="7">
        <v>175</v>
      </c>
      <c r="Z139" s="7" t="s">
        <v>1012</v>
      </c>
      <c r="AA139" s="7" t="s">
        <v>775</v>
      </c>
      <c r="AB139" s="7">
        <v>2.8967278409848873</v>
      </c>
      <c r="AC139" s="7" t="s">
        <v>776</v>
      </c>
      <c r="AD139" s="7"/>
      <c r="AE139" s="7" t="s">
        <v>779</v>
      </c>
      <c r="AF139" s="7"/>
      <c r="AG139" s="7">
        <v>0</v>
      </c>
      <c r="AH139" s="7" t="s">
        <v>776</v>
      </c>
      <c r="AI139" s="7">
        <v>0</v>
      </c>
      <c r="AJ139" s="7">
        <v>59.365387913784225</v>
      </c>
      <c r="AK139" s="7" t="s">
        <v>776</v>
      </c>
      <c r="AL139" s="7">
        <v>10.438000000000001</v>
      </c>
      <c r="AM139" s="7" t="s">
        <v>780</v>
      </c>
      <c r="AN139" s="7" t="s">
        <v>781</v>
      </c>
      <c r="AO139" s="7" t="s">
        <v>782</v>
      </c>
      <c r="AP139" s="7">
        <v>0</v>
      </c>
      <c r="AQ139" s="7">
        <v>0.2385828571428571</v>
      </c>
      <c r="AR139" s="7">
        <v>0.2385828571428571</v>
      </c>
      <c r="AS139" s="8" t="b">
        <v>1</v>
      </c>
      <c r="AT139" s="8" t="b">
        <v>1</v>
      </c>
      <c r="AU139" s="8" t="b">
        <v>1</v>
      </c>
      <c r="AV139" s="8" t="b">
        <v>1</v>
      </c>
      <c r="AW139" s="8" t="b">
        <v>1</v>
      </c>
      <c r="AX139" s="8" t="b">
        <v>1</v>
      </c>
      <c r="AY139" s="8" t="b">
        <v>1</v>
      </c>
      <c r="AZ139" s="8" t="b">
        <v>1</v>
      </c>
      <c r="BA139" s="7" t="s">
        <v>783</v>
      </c>
      <c r="BB139" s="7" t="s">
        <v>783</v>
      </c>
      <c r="BC139" s="7" t="s">
        <v>784</v>
      </c>
      <c r="BD139" s="7">
        <v>-84.981383183188072</v>
      </c>
      <c r="BE139" s="7">
        <v>1.4314971428571428</v>
      </c>
      <c r="BF139" s="7">
        <v>17.380367045909324</v>
      </c>
      <c r="BG139" s="7">
        <v>0.13714285714285715</v>
      </c>
      <c r="BH139" s="7" t="s">
        <v>154</v>
      </c>
      <c r="BI139" s="7">
        <v>175</v>
      </c>
      <c r="BJ139" s="7">
        <v>24</v>
      </c>
      <c r="BK139" s="7">
        <v>24</v>
      </c>
      <c r="BL139" s="7">
        <v>24</v>
      </c>
      <c r="BM139" s="8" t="b">
        <v>1</v>
      </c>
      <c r="BN139" s="7">
        <v>0</v>
      </c>
      <c r="BO139" s="7">
        <v>0</v>
      </c>
      <c r="BP139" s="7">
        <v>40.718083585844141</v>
      </c>
      <c r="BQ139" s="7">
        <v>0.13714285714285715</v>
      </c>
      <c r="BR139" s="7" t="s">
        <v>154</v>
      </c>
      <c r="BS139" s="7">
        <v>175</v>
      </c>
      <c r="BT139" s="7">
        <v>24</v>
      </c>
      <c r="BU139" s="7">
        <v>24</v>
      </c>
      <c r="BV139" s="7">
        <v>24</v>
      </c>
      <c r="BW139" s="7" t="s">
        <v>1014</v>
      </c>
      <c r="BX139" s="8" t="b">
        <v>1</v>
      </c>
      <c r="BY139" s="7">
        <v>0</v>
      </c>
      <c r="BZ139" s="7">
        <v>0</v>
      </c>
      <c r="CA139" s="7">
        <v>46236.239583333336</v>
      </c>
      <c r="CB139" s="7">
        <v>46236.229166666664</v>
      </c>
      <c r="CC139" s="7">
        <v>3.6582704761904763E-3</v>
      </c>
      <c r="CD139" s="7">
        <v>31.73913043478256</v>
      </c>
      <c r="CE139" s="7">
        <v>33.056107806211131</v>
      </c>
      <c r="CF139" s="7">
        <v>600.3087302041049</v>
      </c>
      <c r="CG139" s="7">
        <v>0.3125</v>
      </c>
      <c r="CH139" s="7" t="s">
        <v>150</v>
      </c>
      <c r="CI139" s="7">
        <v>128</v>
      </c>
      <c r="CJ139" s="8" t="b">
        <v>1</v>
      </c>
      <c r="CK139" s="7">
        <v>40</v>
      </c>
      <c r="CL139" s="7">
        <v>40</v>
      </c>
      <c r="CM139" s="7">
        <v>40</v>
      </c>
      <c r="CN139" s="8" t="b">
        <v>0</v>
      </c>
      <c r="CO139" s="7" t="s">
        <v>955</v>
      </c>
      <c r="CP139" s="7">
        <v>573.42579765267033</v>
      </c>
    </row>
    <row r="140" spans="1:94" ht="21" customHeight="1" x14ac:dyDescent="0.45">
      <c r="A140" s="9">
        <v>46236.239583333336</v>
      </c>
      <c r="B140" s="9">
        <v>46236.25</v>
      </c>
      <c r="C140" s="9">
        <v>46236.364583333336</v>
      </c>
      <c r="D140" s="10">
        <v>46236</v>
      </c>
      <c r="E140" s="7">
        <v>0.25</v>
      </c>
      <c r="F140" s="7" t="s">
        <v>770</v>
      </c>
      <c r="G140" s="9">
        <v>46236.208333333336</v>
      </c>
      <c r="H140" s="7">
        <v>122.32</v>
      </c>
      <c r="I140" s="7" t="s">
        <v>1015</v>
      </c>
      <c r="J140" s="7">
        <v>15</v>
      </c>
      <c r="K140" s="7" t="s">
        <v>960</v>
      </c>
      <c r="L140" s="10">
        <v>46234</v>
      </c>
      <c r="M140" s="7">
        <v>5.2473000000000001</v>
      </c>
      <c r="N140" s="7" t="s">
        <v>773</v>
      </c>
      <c r="O140" s="7">
        <v>51.968000000000004</v>
      </c>
      <c r="P140" s="7" t="s">
        <v>1010</v>
      </c>
      <c r="Q140" s="7" t="s">
        <v>775</v>
      </c>
      <c r="R140" s="7">
        <v>60.030873020410496</v>
      </c>
      <c r="S140" s="7" t="s">
        <v>776</v>
      </c>
      <c r="T140" s="7">
        <v>175</v>
      </c>
      <c r="U140" s="7" t="s">
        <v>1011</v>
      </c>
      <c r="V140" s="7" t="s">
        <v>775</v>
      </c>
      <c r="W140" s="7">
        <v>6.7863472643073575</v>
      </c>
      <c r="X140" s="7" t="s">
        <v>776</v>
      </c>
      <c r="Y140" s="7">
        <v>175</v>
      </c>
      <c r="Z140" s="7" t="s">
        <v>1012</v>
      </c>
      <c r="AA140" s="7" t="s">
        <v>775</v>
      </c>
      <c r="AB140" s="7">
        <v>2.8967278409848873</v>
      </c>
      <c r="AC140" s="7" t="s">
        <v>776</v>
      </c>
      <c r="AD140" s="7"/>
      <c r="AE140" s="7" t="s">
        <v>779</v>
      </c>
      <c r="AF140" s="7"/>
      <c r="AG140" s="7">
        <v>0</v>
      </c>
      <c r="AH140" s="7" t="s">
        <v>776</v>
      </c>
      <c r="AI140" s="7">
        <v>0</v>
      </c>
      <c r="AJ140" s="7">
        <v>14.512415909134221</v>
      </c>
      <c r="AK140" s="7" t="s">
        <v>776</v>
      </c>
      <c r="AL140" s="7">
        <v>11.004</v>
      </c>
      <c r="AM140" s="7" t="s">
        <v>780</v>
      </c>
      <c r="AN140" s="7" t="s">
        <v>781</v>
      </c>
      <c r="AO140" s="7" t="s">
        <v>782</v>
      </c>
      <c r="AP140" s="7">
        <v>0</v>
      </c>
      <c r="AQ140" s="7">
        <v>0.25151999999999991</v>
      </c>
      <c r="AR140" s="7">
        <v>0.25151999999999991</v>
      </c>
      <c r="AS140" s="8" t="b">
        <v>1</v>
      </c>
      <c r="AT140" s="8" t="b">
        <v>1</v>
      </c>
      <c r="AU140" s="8" t="b">
        <v>1</v>
      </c>
      <c r="AV140" s="8" t="b">
        <v>1</v>
      </c>
      <c r="AW140" s="8" t="b">
        <v>1</v>
      </c>
      <c r="AX140" s="8" t="b">
        <v>1</v>
      </c>
      <c r="AY140" s="8" t="b">
        <v>1</v>
      </c>
      <c r="AZ140" s="8" t="b">
        <v>1</v>
      </c>
      <c r="BA140" s="7" t="s">
        <v>783</v>
      </c>
      <c r="BB140" s="7" t="s">
        <v>783</v>
      </c>
      <c r="BC140" s="7" t="s">
        <v>784</v>
      </c>
      <c r="BD140" s="7">
        <v>-21.900977096792634</v>
      </c>
      <c r="BE140" s="7">
        <v>1.5091199999999998</v>
      </c>
      <c r="BF140" s="7">
        <v>17.380367045909324</v>
      </c>
      <c r="BG140" s="7">
        <v>0.13714285714285715</v>
      </c>
      <c r="BH140" s="7" t="s">
        <v>154</v>
      </c>
      <c r="BI140" s="7">
        <v>175</v>
      </c>
      <c r="BJ140" s="7">
        <v>24</v>
      </c>
      <c r="BK140" s="7">
        <v>24</v>
      </c>
      <c r="BL140" s="7">
        <v>24</v>
      </c>
      <c r="BM140" s="8" t="b">
        <v>1</v>
      </c>
      <c r="BN140" s="7">
        <v>0</v>
      </c>
      <c r="BO140" s="7">
        <v>0</v>
      </c>
      <c r="BP140" s="7">
        <v>40.718083585844141</v>
      </c>
      <c r="BQ140" s="7">
        <v>0.13714285714285715</v>
      </c>
      <c r="BR140" s="7" t="s">
        <v>154</v>
      </c>
      <c r="BS140" s="7">
        <v>175</v>
      </c>
      <c r="BT140" s="7">
        <v>24</v>
      </c>
      <c r="BU140" s="7">
        <v>24</v>
      </c>
      <c r="BV140" s="7">
        <v>24</v>
      </c>
      <c r="BW140" s="7" t="s">
        <v>1015</v>
      </c>
      <c r="BX140" s="8" t="b">
        <v>1</v>
      </c>
      <c r="BY140" s="7">
        <v>-1097.8573357143939</v>
      </c>
      <c r="BZ140" s="7">
        <v>-35.901155517148268</v>
      </c>
      <c r="CA140" s="7">
        <v>46236.25</v>
      </c>
      <c r="CB140" s="7">
        <v>46236.239583333336</v>
      </c>
      <c r="CC140" s="7">
        <v>2.679348935817806E-2</v>
      </c>
      <c r="CD140" s="7">
        <v>33.056107806211131</v>
      </c>
      <c r="CE140" s="7">
        <v>42.701763975155231</v>
      </c>
      <c r="CF140" s="7">
        <v>600.3087302041049</v>
      </c>
      <c r="CG140" s="7">
        <v>0.3125</v>
      </c>
      <c r="CH140" s="7" t="s">
        <v>150</v>
      </c>
      <c r="CI140" s="7">
        <v>128</v>
      </c>
      <c r="CJ140" s="8" t="b">
        <v>1</v>
      </c>
      <c r="CK140" s="7">
        <v>40</v>
      </c>
      <c r="CL140" s="7">
        <v>40</v>
      </c>
      <c r="CM140" s="7">
        <v>40</v>
      </c>
      <c r="CN140" s="8" t="b">
        <v>0</v>
      </c>
      <c r="CO140" s="7" t="s">
        <v>955</v>
      </c>
      <c r="CP140" s="7">
        <v>-461.3511319753282</v>
      </c>
    </row>
    <row r="141" spans="1:94" ht="21" customHeight="1" x14ac:dyDescent="0.45">
      <c r="A141" s="9">
        <v>46236.25</v>
      </c>
      <c r="B141" s="9">
        <v>46236.260416666664</v>
      </c>
      <c r="C141" s="9">
        <v>46236.375</v>
      </c>
      <c r="D141" s="10">
        <v>46236</v>
      </c>
      <c r="E141" s="7">
        <v>0.25</v>
      </c>
      <c r="F141" s="7" t="s">
        <v>770</v>
      </c>
      <c r="G141" s="9">
        <v>46236.25</v>
      </c>
      <c r="H141" s="7">
        <v>152.74</v>
      </c>
      <c r="I141" s="7" t="s">
        <v>1016</v>
      </c>
      <c r="J141" s="7">
        <v>15</v>
      </c>
      <c r="K141" s="7" t="s">
        <v>960</v>
      </c>
      <c r="L141" s="10">
        <v>46234</v>
      </c>
      <c r="M141" s="7">
        <v>5.2473000000000001</v>
      </c>
      <c r="N141" s="7" t="s">
        <v>773</v>
      </c>
      <c r="O141" s="7">
        <v>51.968000000000004</v>
      </c>
      <c r="P141" s="7" t="s">
        <v>1017</v>
      </c>
      <c r="Q141" s="7" t="s">
        <v>775</v>
      </c>
      <c r="R141" s="7">
        <v>60.030873020410496</v>
      </c>
      <c r="S141" s="7" t="s">
        <v>776</v>
      </c>
      <c r="T141" s="7">
        <v>175</v>
      </c>
      <c r="U141" s="7" t="s">
        <v>1018</v>
      </c>
      <c r="V141" s="7" t="s">
        <v>775</v>
      </c>
      <c r="W141" s="7">
        <v>7.2056105044499077</v>
      </c>
      <c r="X141" s="7" t="s">
        <v>776</v>
      </c>
      <c r="Y141" s="7">
        <v>175</v>
      </c>
      <c r="Z141" s="7" t="s">
        <v>1019</v>
      </c>
      <c r="AA141" s="7" t="s">
        <v>775</v>
      </c>
      <c r="AB141" s="7">
        <v>2.4145751148209555</v>
      </c>
      <c r="AC141" s="7" t="s">
        <v>776</v>
      </c>
      <c r="AD141" s="7"/>
      <c r="AE141" s="7" t="s">
        <v>779</v>
      </c>
      <c r="AF141" s="7"/>
      <c r="AG141" s="7">
        <v>161.45350942389419</v>
      </c>
      <c r="AH141" s="7" t="s">
        <v>776</v>
      </c>
      <c r="AI141" s="7">
        <v>3.391</v>
      </c>
      <c r="AJ141" s="7">
        <v>5.8104167857755415</v>
      </c>
      <c r="AK141" s="7" t="s">
        <v>776</v>
      </c>
      <c r="AL141" s="7">
        <v>3.0910000000000002</v>
      </c>
      <c r="AM141" s="7" t="s">
        <v>780</v>
      </c>
      <c r="AN141" s="7" t="s">
        <v>781</v>
      </c>
      <c r="AO141" s="7" t="s">
        <v>782</v>
      </c>
      <c r="AP141" s="7">
        <v>7.7508571428571399E-2</v>
      </c>
      <c r="AQ141" s="7">
        <v>7.0651428571428504E-2</v>
      </c>
      <c r="AR141" s="7">
        <v>0.14815999999999999</v>
      </c>
      <c r="AS141" s="8" t="b">
        <v>1</v>
      </c>
      <c r="AT141" s="8" t="b">
        <v>1</v>
      </c>
      <c r="AU141" s="8" t="b">
        <v>1</v>
      </c>
      <c r="AV141" s="8" t="b">
        <v>1</v>
      </c>
      <c r="AW141" s="8" t="b">
        <v>1</v>
      </c>
      <c r="AX141" s="8" t="b">
        <v>1</v>
      </c>
      <c r="AY141" s="8" t="b">
        <v>1</v>
      </c>
      <c r="AZ141" s="8" t="b">
        <v>1</v>
      </c>
      <c r="BA141" s="7" t="s">
        <v>783</v>
      </c>
      <c r="BB141" s="7" t="s">
        <v>783</v>
      </c>
      <c r="BC141" s="7" t="s">
        <v>784</v>
      </c>
      <c r="BD141" s="7">
        <v>-2.4630854790627015</v>
      </c>
      <c r="BE141" s="7">
        <v>0.42390857142857141</v>
      </c>
      <c r="BF141" s="7">
        <v>14.487450688925733</v>
      </c>
      <c r="BG141" s="7">
        <v>0.13714285714285715</v>
      </c>
      <c r="BH141" s="7" t="s">
        <v>154</v>
      </c>
      <c r="BI141" s="7">
        <v>175</v>
      </c>
      <c r="BJ141" s="7">
        <v>24</v>
      </c>
      <c r="BK141" s="7">
        <v>24</v>
      </c>
      <c r="BL141" s="7">
        <v>24</v>
      </c>
      <c r="BM141" s="8" t="b">
        <v>1</v>
      </c>
      <c r="BN141" s="7">
        <v>75.084185205452599</v>
      </c>
      <c r="BO141" s="7">
        <v>0.46505142857142856</v>
      </c>
      <c r="BP141" s="7">
        <v>43.233663026699446</v>
      </c>
      <c r="BQ141" s="7">
        <v>0.13714285714285715</v>
      </c>
      <c r="BR141" s="7" t="s">
        <v>154</v>
      </c>
      <c r="BS141" s="7">
        <v>175</v>
      </c>
      <c r="BT141" s="7">
        <v>24</v>
      </c>
      <c r="BU141" s="7">
        <v>24</v>
      </c>
      <c r="BV141" s="7">
        <v>24</v>
      </c>
      <c r="BW141" s="7" t="s">
        <v>1016</v>
      </c>
      <c r="BX141" s="8" t="b">
        <v>1</v>
      </c>
      <c r="BY141" s="7">
        <v>1374.66</v>
      </c>
      <c r="BZ141" s="7">
        <v>36</v>
      </c>
      <c r="CA141" s="7">
        <v>46236.260416666664</v>
      </c>
      <c r="CB141" s="7">
        <v>46236.25</v>
      </c>
      <c r="CC141" s="7">
        <v>2.7298136645962728E-2</v>
      </c>
      <c r="CD141" s="7">
        <v>42.701763975155231</v>
      </c>
      <c r="CE141" s="7">
        <v>32.874434782608645</v>
      </c>
      <c r="CF141" s="7">
        <v>600.3087302041049</v>
      </c>
      <c r="CG141" s="7">
        <v>0.3125</v>
      </c>
      <c r="CH141" s="7" t="s">
        <v>150</v>
      </c>
      <c r="CI141" s="7">
        <v>128</v>
      </c>
      <c r="CJ141" s="8" t="b">
        <v>1</v>
      </c>
      <c r="CK141" s="7">
        <v>40</v>
      </c>
      <c r="CL141" s="7">
        <v>40</v>
      </c>
      <c r="CM141" s="7">
        <v>40</v>
      </c>
      <c r="CN141" s="8" t="b">
        <v>0</v>
      </c>
      <c r="CO141" s="7" t="s">
        <v>955</v>
      </c>
      <c r="CP141" s="7">
        <v>2105.31094364612</v>
      </c>
    </row>
    <row r="142" spans="1:94" ht="21" customHeight="1" x14ac:dyDescent="0.45">
      <c r="A142" s="9">
        <v>46236.260416666664</v>
      </c>
      <c r="B142" s="9">
        <v>46236.270833333336</v>
      </c>
      <c r="C142" s="9">
        <v>46236.385416666664</v>
      </c>
      <c r="D142" s="10">
        <v>46236</v>
      </c>
      <c r="E142" s="7">
        <v>0.25</v>
      </c>
      <c r="F142" s="7" t="s">
        <v>770</v>
      </c>
      <c r="G142" s="9">
        <v>46236.25</v>
      </c>
      <c r="H142" s="7">
        <v>130.33000000000001</v>
      </c>
      <c r="I142" s="7" t="s">
        <v>1020</v>
      </c>
      <c r="J142" s="7">
        <v>15</v>
      </c>
      <c r="K142" s="7" t="s">
        <v>960</v>
      </c>
      <c r="L142" s="10">
        <v>46234</v>
      </c>
      <c r="M142" s="7">
        <v>5.2473000000000001</v>
      </c>
      <c r="N142" s="7" t="s">
        <v>773</v>
      </c>
      <c r="O142" s="7">
        <v>51.968000000000004</v>
      </c>
      <c r="P142" s="7" t="s">
        <v>1017</v>
      </c>
      <c r="Q142" s="7" t="s">
        <v>775</v>
      </c>
      <c r="R142" s="7">
        <v>60.030873020410496</v>
      </c>
      <c r="S142" s="7" t="s">
        <v>776</v>
      </c>
      <c r="T142" s="7">
        <v>175</v>
      </c>
      <c r="U142" s="7" t="s">
        <v>1018</v>
      </c>
      <c r="V142" s="7" t="s">
        <v>775</v>
      </c>
      <c r="W142" s="7">
        <v>7.2056105044499077</v>
      </c>
      <c r="X142" s="7" t="s">
        <v>776</v>
      </c>
      <c r="Y142" s="7">
        <v>175</v>
      </c>
      <c r="Z142" s="7" t="s">
        <v>1019</v>
      </c>
      <c r="AA142" s="7" t="s">
        <v>775</v>
      </c>
      <c r="AB142" s="7">
        <v>2.4145751148209555</v>
      </c>
      <c r="AC142" s="7" t="s">
        <v>776</v>
      </c>
      <c r="AD142" s="7"/>
      <c r="AE142" s="7" t="s">
        <v>779</v>
      </c>
      <c r="AF142" s="7"/>
      <c r="AG142" s="7">
        <v>146.39833819297544</v>
      </c>
      <c r="AH142" s="7" t="s">
        <v>776</v>
      </c>
      <c r="AI142" s="7">
        <v>2.8010000000000002</v>
      </c>
      <c r="AJ142" s="7">
        <v>0</v>
      </c>
      <c r="AK142" s="7" t="s">
        <v>776</v>
      </c>
      <c r="AL142" s="7">
        <v>0</v>
      </c>
      <c r="AM142" s="7" t="s">
        <v>780</v>
      </c>
      <c r="AN142" s="7" t="s">
        <v>781</v>
      </c>
      <c r="AO142" s="7" t="s">
        <v>782</v>
      </c>
      <c r="AP142" s="7">
        <v>6.4022857142857104E-2</v>
      </c>
      <c r="AQ142" s="7">
        <v>0</v>
      </c>
      <c r="AR142" s="7">
        <v>6.4022857142857104E-2</v>
      </c>
      <c r="AS142" s="8" t="b">
        <v>1</v>
      </c>
      <c r="AT142" s="8" t="b">
        <v>1</v>
      </c>
      <c r="AU142" s="8" t="b">
        <v>1</v>
      </c>
      <c r="AV142" s="8" t="b">
        <v>1</v>
      </c>
      <c r="AW142" s="8" t="b">
        <v>1</v>
      </c>
      <c r="AX142" s="8" t="b">
        <v>1</v>
      </c>
      <c r="AY142" s="8" t="b">
        <v>1</v>
      </c>
      <c r="AZ142" s="8" t="b">
        <v>1</v>
      </c>
      <c r="BA142" s="7" t="s">
        <v>783</v>
      </c>
      <c r="BB142" s="7" t="s">
        <v>783</v>
      </c>
      <c r="BC142" s="7" t="s">
        <v>784</v>
      </c>
      <c r="BD142" s="7">
        <v>0</v>
      </c>
      <c r="BE142" s="7">
        <v>0</v>
      </c>
      <c r="BF142" s="7">
        <v>14.487450688925733</v>
      </c>
      <c r="BG142" s="7">
        <v>0.13714285714285715</v>
      </c>
      <c r="BH142" s="7" t="s">
        <v>154</v>
      </c>
      <c r="BI142" s="7">
        <v>175</v>
      </c>
      <c r="BJ142" s="7">
        <v>24</v>
      </c>
      <c r="BK142" s="7">
        <v>24</v>
      </c>
      <c r="BL142" s="7">
        <v>24</v>
      </c>
      <c r="BM142" s="8" t="b">
        <v>1</v>
      </c>
      <c r="BN142" s="7">
        <v>56.237039352483322</v>
      </c>
      <c r="BO142" s="7">
        <v>0.38413714285714284</v>
      </c>
      <c r="BP142" s="7">
        <v>43.233663026699446</v>
      </c>
      <c r="BQ142" s="7">
        <v>0.13714285714285715</v>
      </c>
      <c r="BR142" s="7" t="s">
        <v>154</v>
      </c>
      <c r="BS142" s="7">
        <v>175</v>
      </c>
      <c r="BT142" s="7">
        <v>24</v>
      </c>
      <c r="BU142" s="7">
        <v>24</v>
      </c>
      <c r="BV142" s="7">
        <v>24</v>
      </c>
      <c r="BW142" s="7" t="s">
        <v>1020</v>
      </c>
      <c r="BX142" s="8" t="b">
        <v>1</v>
      </c>
      <c r="BY142" s="7">
        <v>0</v>
      </c>
      <c r="BZ142" s="7">
        <v>0</v>
      </c>
      <c r="CA142" s="7">
        <v>46236.270833333336</v>
      </c>
      <c r="CB142" s="7">
        <v>46236.260416666664</v>
      </c>
      <c r="CC142" s="7">
        <v>1.1598343685300205E-3</v>
      </c>
      <c r="CD142" s="7">
        <v>32.874434782608645</v>
      </c>
      <c r="CE142" s="7">
        <v>32.456894409937838</v>
      </c>
      <c r="CF142" s="7">
        <v>600.3087302041049</v>
      </c>
      <c r="CG142" s="7">
        <v>0.3125</v>
      </c>
      <c r="CH142" s="7" t="s">
        <v>150</v>
      </c>
      <c r="CI142" s="7">
        <v>128</v>
      </c>
      <c r="CJ142" s="8" t="b">
        <v>1</v>
      </c>
      <c r="CK142" s="7">
        <v>40</v>
      </c>
      <c r="CL142" s="7">
        <v>40</v>
      </c>
      <c r="CM142" s="7">
        <v>40</v>
      </c>
      <c r="CN142" s="8" t="b">
        <v>0</v>
      </c>
      <c r="CO142" s="7" t="s">
        <v>955</v>
      </c>
      <c r="CP142" s="7">
        <v>714.26688327221336</v>
      </c>
    </row>
    <row r="143" spans="1:94" ht="21" customHeight="1" x14ac:dyDescent="0.45">
      <c r="A143" s="9">
        <v>46236.270833333336</v>
      </c>
      <c r="B143" s="9">
        <v>46236.28125</v>
      </c>
      <c r="C143" s="9">
        <v>46236.395833333336</v>
      </c>
      <c r="D143" s="10">
        <v>46236</v>
      </c>
      <c r="E143" s="7">
        <v>0.25</v>
      </c>
      <c r="F143" s="7" t="s">
        <v>770</v>
      </c>
      <c r="G143" s="9">
        <v>46236.25</v>
      </c>
      <c r="H143" s="7">
        <v>112.43</v>
      </c>
      <c r="I143" s="7" t="s">
        <v>1021</v>
      </c>
      <c r="J143" s="7">
        <v>15</v>
      </c>
      <c r="K143" s="7" t="s">
        <v>960</v>
      </c>
      <c r="L143" s="10">
        <v>46234</v>
      </c>
      <c r="M143" s="7">
        <v>5.2473000000000001</v>
      </c>
      <c r="N143" s="7" t="s">
        <v>773</v>
      </c>
      <c r="O143" s="7">
        <v>51.968000000000004</v>
      </c>
      <c r="P143" s="7" t="s">
        <v>1017</v>
      </c>
      <c r="Q143" s="7" t="s">
        <v>775</v>
      </c>
      <c r="R143" s="7">
        <v>60.030873020410496</v>
      </c>
      <c r="S143" s="7" t="s">
        <v>776</v>
      </c>
      <c r="T143" s="7">
        <v>175</v>
      </c>
      <c r="U143" s="7" t="s">
        <v>1018</v>
      </c>
      <c r="V143" s="7" t="s">
        <v>775</v>
      </c>
      <c r="W143" s="7">
        <v>7.2056105044499077</v>
      </c>
      <c r="X143" s="7" t="s">
        <v>776</v>
      </c>
      <c r="Y143" s="7">
        <v>175</v>
      </c>
      <c r="Z143" s="7" t="s">
        <v>1019</v>
      </c>
      <c r="AA143" s="7" t="s">
        <v>775</v>
      </c>
      <c r="AB143" s="7">
        <v>2.4145751148209555</v>
      </c>
      <c r="AC143" s="7" t="s">
        <v>776</v>
      </c>
      <c r="AD143" s="7"/>
      <c r="AE143" s="7" t="s">
        <v>779</v>
      </c>
      <c r="AF143" s="7"/>
      <c r="AG143" s="7">
        <v>150.6565281192232</v>
      </c>
      <c r="AH143" s="7" t="s">
        <v>776</v>
      </c>
      <c r="AI143" s="7">
        <v>4.8150000000000004</v>
      </c>
      <c r="AJ143" s="7">
        <v>0</v>
      </c>
      <c r="AK143" s="7" t="s">
        <v>776</v>
      </c>
      <c r="AL143" s="7">
        <v>0</v>
      </c>
      <c r="AM143" s="7" t="s">
        <v>780</v>
      </c>
      <c r="AN143" s="7" t="s">
        <v>781</v>
      </c>
      <c r="AO143" s="7" t="s">
        <v>782</v>
      </c>
      <c r="AP143" s="7">
        <v>0.1100571428571428</v>
      </c>
      <c r="AQ143" s="7">
        <v>0</v>
      </c>
      <c r="AR143" s="7">
        <v>0.1100571428571428</v>
      </c>
      <c r="AS143" s="8" t="b">
        <v>1</v>
      </c>
      <c r="AT143" s="8" t="b">
        <v>1</v>
      </c>
      <c r="AU143" s="8" t="b">
        <v>1</v>
      </c>
      <c r="AV143" s="8" t="b">
        <v>1</v>
      </c>
      <c r="AW143" s="8" t="b">
        <v>1</v>
      </c>
      <c r="AX143" s="8" t="b">
        <v>1</v>
      </c>
      <c r="AY143" s="8" t="b">
        <v>1</v>
      </c>
      <c r="AZ143" s="8" t="b">
        <v>1</v>
      </c>
      <c r="BA143" s="7" t="s">
        <v>783</v>
      </c>
      <c r="BB143" s="7" t="s">
        <v>783</v>
      </c>
      <c r="BC143" s="7" t="s">
        <v>784</v>
      </c>
      <c r="BD143" s="7">
        <v>0</v>
      </c>
      <c r="BE143" s="7">
        <v>0</v>
      </c>
      <c r="BF143" s="7">
        <v>14.487450688925733</v>
      </c>
      <c r="BG143" s="7">
        <v>0.13714285714285715</v>
      </c>
      <c r="BH143" s="7" t="s">
        <v>154</v>
      </c>
      <c r="BI143" s="7">
        <v>175</v>
      </c>
      <c r="BJ143" s="7">
        <v>24</v>
      </c>
      <c r="BK143" s="7">
        <v>24</v>
      </c>
      <c r="BL143" s="7">
        <v>24</v>
      </c>
      <c r="BM143" s="8" t="b">
        <v>1</v>
      </c>
      <c r="BN143" s="7">
        <v>99.484962225471051</v>
      </c>
      <c r="BO143" s="7">
        <v>0.66034285714285723</v>
      </c>
      <c r="BP143" s="7">
        <v>43.233663026699446</v>
      </c>
      <c r="BQ143" s="7">
        <v>0.13714285714285715</v>
      </c>
      <c r="BR143" s="7" t="s">
        <v>154</v>
      </c>
      <c r="BS143" s="7">
        <v>175</v>
      </c>
      <c r="BT143" s="7">
        <v>24</v>
      </c>
      <c r="BU143" s="7">
        <v>24</v>
      </c>
      <c r="BV143" s="7">
        <v>24</v>
      </c>
      <c r="BW143" s="7" t="s">
        <v>1021</v>
      </c>
      <c r="BX143" s="8" t="b">
        <v>1</v>
      </c>
      <c r="BY143" s="7">
        <v>0</v>
      </c>
      <c r="BZ143" s="7">
        <v>0</v>
      </c>
      <c r="CA143" s="7">
        <v>46236.28125</v>
      </c>
      <c r="CB143" s="7">
        <v>46236.270833333336</v>
      </c>
      <c r="CC143" s="7">
        <v>1.9937888198757765E-3</v>
      </c>
      <c r="CD143" s="7">
        <v>32.456894409937838</v>
      </c>
      <c r="CE143" s="7">
        <v>31.73913043478256</v>
      </c>
      <c r="CF143" s="7">
        <v>600.3087302041049</v>
      </c>
      <c r="CG143" s="7">
        <v>0.3125</v>
      </c>
      <c r="CH143" s="7" t="s">
        <v>150</v>
      </c>
      <c r="CI143" s="7">
        <v>128</v>
      </c>
      <c r="CJ143" s="8" t="b">
        <v>1</v>
      </c>
      <c r="CK143" s="7">
        <v>40</v>
      </c>
      <c r="CL143" s="7">
        <v>40</v>
      </c>
      <c r="CM143" s="7">
        <v>40</v>
      </c>
      <c r="CN143" s="8" t="b">
        <v>0</v>
      </c>
      <c r="CO143" s="7" t="s">
        <v>955</v>
      </c>
      <c r="CP143" s="7">
        <v>757.51480614520119</v>
      </c>
    </row>
    <row r="144" spans="1:94" ht="21" customHeight="1" x14ac:dyDescent="0.45">
      <c r="A144" s="9">
        <v>46236.28125</v>
      </c>
      <c r="B144" s="9">
        <v>46236.291666666664</v>
      </c>
      <c r="C144" s="9">
        <v>46236.40625</v>
      </c>
      <c r="D144" s="10">
        <v>46236</v>
      </c>
      <c r="E144" s="7">
        <v>0.25</v>
      </c>
      <c r="F144" s="7" t="s">
        <v>770</v>
      </c>
      <c r="G144" s="9">
        <v>46236.25</v>
      </c>
      <c r="H144" s="7">
        <v>93.22</v>
      </c>
      <c r="I144" s="7" t="s">
        <v>1022</v>
      </c>
      <c r="J144" s="7">
        <v>15</v>
      </c>
      <c r="K144" s="7" t="s">
        <v>960</v>
      </c>
      <c r="L144" s="10">
        <v>46234</v>
      </c>
      <c r="M144" s="7">
        <v>5.2473000000000001</v>
      </c>
      <c r="N144" s="7" t="s">
        <v>773</v>
      </c>
      <c r="O144" s="7">
        <v>51.968000000000004</v>
      </c>
      <c r="P144" s="7" t="s">
        <v>1017</v>
      </c>
      <c r="Q144" s="7" t="s">
        <v>775</v>
      </c>
      <c r="R144" s="7">
        <v>60.030873020410496</v>
      </c>
      <c r="S144" s="7" t="s">
        <v>776</v>
      </c>
      <c r="T144" s="7">
        <v>175</v>
      </c>
      <c r="U144" s="7" t="s">
        <v>1018</v>
      </c>
      <c r="V144" s="7" t="s">
        <v>775</v>
      </c>
      <c r="W144" s="7">
        <v>7.2056105044499077</v>
      </c>
      <c r="X144" s="7" t="s">
        <v>776</v>
      </c>
      <c r="Y144" s="7">
        <v>175</v>
      </c>
      <c r="Z144" s="7" t="s">
        <v>1019</v>
      </c>
      <c r="AA144" s="7" t="s">
        <v>775</v>
      </c>
      <c r="AB144" s="7">
        <v>2.4145751148209555</v>
      </c>
      <c r="AC144" s="7" t="s">
        <v>776</v>
      </c>
      <c r="AD144" s="7"/>
      <c r="AE144" s="7" t="s">
        <v>779</v>
      </c>
      <c r="AF144" s="7"/>
      <c r="AG144" s="7">
        <v>133.21136584529185</v>
      </c>
      <c r="AH144" s="7" t="s">
        <v>776</v>
      </c>
      <c r="AI144" s="7">
        <v>0.253</v>
      </c>
      <c r="AJ144" s="7">
        <v>-13.616717168829682</v>
      </c>
      <c r="AK144" s="7" t="s">
        <v>776</v>
      </c>
      <c r="AL144" s="7">
        <v>4.0880000000000001</v>
      </c>
      <c r="AM144" s="7" t="s">
        <v>780</v>
      </c>
      <c r="AN144" s="7" t="s">
        <v>781</v>
      </c>
      <c r="AO144" s="7" t="s">
        <v>782</v>
      </c>
      <c r="AP144" s="7">
        <v>5.7828571428571E-3</v>
      </c>
      <c r="AQ144" s="7">
        <v>9.3439999999999995E-2</v>
      </c>
      <c r="AR144" s="7">
        <v>9.9222857142857099E-2</v>
      </c>
      <c r="AS144" s="8" t="b">
        <v>1</v>
      </c>
      <c r="AT144" s="8" t="b">
        <v>1</v>
      </c>
      <c r="AU144" s="8" t="b">
        <v>1</v>
      </c>
      <c r="AV144" s="8" t="b">
        <v>1</v>
      </c>
      <c r="AW144" s="8" t="b">
        <v>1</v>
      </c>
      <c r="AX144" s="8" t="b">
        <v>1</v>
      </c>
      <c r="AY144" s="8" t="b">
        <v>1</v>
      </c>
      <c r="AZ144" s="8" t="b">
        <v>1</v>
      </c>
      <c r="BA144" s="7" t="s">
        <v>783</v>
      </c>
      <c r="BB144" s="7" t="s">
        <v>783</v>
      </c>
      <c r="BC144" s="7" t="s">
        <v>784</v>
      </c>
      <c r="BD144" s="7">
        <v>7.634076313532673</v>
      </c>
      <c r="BE144" s="7">
        <v>0.56064000000000003</v>
      </c>
      <c r="BF144" s="7">
        <v>14.487450688925733</v>
      </c>
      <c r="BG144" s="7">
        <v>0.13714285714285715</v>
      </c>
      <c r="BH144" s="7" t="s">
        <v>154</v>
      </c>
      <c r="BI144" s="7">
        <v>175</v>
      </c>
      <c r="BJ144" s="7">
        <v>24</v>
      </c>
      <c r="BK144" s="7">
        <v>24</v>
      </c>
      <c r="BL144" s="7">
        <v>24</v>
      </c>
      <c r="BM144" s="8" t="b">
        <v>1</v>
      </c>
      <c r="BN144" s="7">
        <v>4.6220537909292121</v>
      </c>
      <c r="BO144" s="7">
        <v>3.4697142857142857E-2</v>
      </c>
      <c r="BP144" s="7">
        <v>43.233663026699446</v>
      </c>
      <c r="BQ144" s="7">
        <v>0.13714285714285715</v>
      </c>
      <c r="BR144" s="7" t="s">
        <v>154</v>
      </c>
      <c r="BS144" s="7">
        <v>175</v>
      </c>
      <c r="BT144" s="7">
        <v>24</v>
      </c>
      <c r="BU144" s="7">
        <v>24</v>
      </c>
      <c r="BV144" s="7">
        <v>24</v>
      </c>
      <c r="BW144" s="7" t="s">
        <v>1022</v>
      </c>
      <c r="BX144" s="8" t="b">
        <v>1</v>
      </c>
      <c r="BY144" s="7">
        <v>-100.44410359651488</v>
      </c>
      <c r="BZ144" s="7">
        <v>-4.3099808451626211</v>
      </c>
      <c r="CA144" s="7">
        <v>46236.291666666664</v>
      </c>
      <c r="CB144" s="7">
        <v>46236.28125</v>
      </c>
      <c r="CC144" s="7">
        <v>4.2563703673627893E-3</v>
      </c>
      <c r="CD144" s="7">
        <v>31.73913043478256</v>
      </c>
      <c r="CE144" s="7">
        <v>33.209540849689382</v>
      </c>
      <c r="CF144" s="7">
        <v>600.3087302041049</v>
      </c>
      <c r="CG144" s="7">
        <v>0.3125</v>
      </c>
      <c r="CH144" s="7" t="s">
        <v>150</v>
      </c>
      <c r="CI144" s="7">
        <v>128</v>
      </c>
      <c r="CJ144" s="8" t="b">
        <v>1</v>
      </c>
      <c r="CK144" s="7">
        <v>40</v>
      </c>
      <c r="CL144" s="7">
        <v>40</v>
      </c>
      <c r="CM144" s="7">
        <v>40</v>
      </c>
      <c r="CN144" s="8" t="b">
        <v>0</v>
      </c>
      <c r="CO144" s="7" t="s">
        <v>955</v>
      </c>
      <c r="CP144" s="7">
        <v>569.84187042767712</v>
      </c>
    </row>
    <row r="145" spans="1:94" ht="21" customHeight="1" x14ac:dyDescent="0.45">
      <c r="A145" s="9">
        <v>46236.291666666664</v>
      </c>
      <c r="B145" s="9">
        <v>46236.302083333336</v>
      </c>
      <c r="C145" s="9">
        <v>46236.416666666664</v>
      </c>
      <c r="D145" s="10">
        <v>46236</v>
      </c>
      <c r="E145" s="7">
        <v>0.25</v>
      </c>
      <c r="F145" s="7" t="s">
        <v>770</v>
      </c>
      <c r="G145" s="9">
        <v>46236.291666666664</v>
      </c>
      <c r="H145" s="7">
        <v>104.9</v>
      </c>
      <c r="I145" s="7" t="s">
        <v>1023</v>
      </c>
      <c r="J145" s="7">
        <v>15</v>
      </c>
      <c r="K145" s="7" t="s">
        <v>960</v>
      </c>
      <c r="L145" s="10">
        <v>46234</v>
      </c>
      <c r="M145" s="7">
        <v>5.2473000000000001</v>
      </c>
      <c r="N145" s="7" t="s">
        <v>773</v>
      </c>
      <c r="O145" s="7">
        <v>71.936000000000007</v>
      </c>
      <c r="P145" s="7" t="s">
        <v>1024</v>
      </c>
      <c r="Q145" s="7" t="s">
        <v>775</v>
      </c>
      <c r="R145" s="7">
        <v>66.224534522516336</v>
      </c>
      <c r="S145" s="7" t="s">
        <v>776</v>
      </c>
      <c r="T145" s="7">
        <v>175</v>
      </c>
      <c r="U145" s="7" t="s">
        <v>1025</v>
      </c>
      <c r="V145" s="7" t="s">
        <v>775</v>
      </c>
      <c r="W145" s="7">
        <v>5.5304632858803577</v>
      </c>
      <c r="X145" s="7" t="s">
        <v>776</v>
      </c>
      <c r="Y145" s="7">
        <v>175</v>
      </c>
      <c r="Z145" s="7" t="s">
        <v>1026</v>
      </c>
      <c r="AA145" s="7" t="s">
        <v>775</v>
      </c>
      <c r="AB145" s="7">
        <v>3.0015436510205249</v>
      </c>
      <c r="AC145" s="7" t="s">
        <v>776</v>
      </c>
      <c r="AD145" s="7"/>
      <c r="AE145" s="7" t="s">
        <v>779</v>
      </c>
      <c r="AF145" s="7"/>
      <c r="AG145" s="7">
        <v>147.75255845863586</v>
      </c>
      <c r="AH145" s="7" t="s">
        <v>776</v>
      </c>
      <c r="AI145" s="7">
        <v>10.497999999999999</v>
      </c>
      <c r="AJ145" s="7">
        <v>-14.510891315533703</v>
      </c>
      <c r="AK145" s="7" t="s">
        <v>776</v>
      </c>
      <c r="AL145" s="7">
        <v>1.73</v>
      </c>
      <c r="AM145" s="7" t="s">
        <v>780</v>
      </c>
      <c r="AN145" s="7" t="s">
        <v>781</v>
      </c>
      <c r="AO145" s="7" t="s">
        <v>782</v>
      </c>
      <c r="AP145" s="7">
        <v>0.2399542857142857</v>
      </c>
      <c r="AQ145" s="7">
        <v>3.9542857142857102E-2</v>
      </c>
      <c r="AR145" s="7">
        <v>0.27949714285714278</v>
      </c>
      <c r="AS145" s="8" t="b">
        <v>1</v>
      </c>
      <c r="AT145" s="8" t="b">
        <v>1</v>
      </c>
      <c r="AU145" s="8" t="b">
        <v>1</v>
      </c>
      <c r="AV145" s="8" t="b">
        <v>1</v>
      </c>
      <c r="AW145" s="8" t="b">
        <v>1</v>
      </c>
      <c r="AX145" s="8" t="b">
        <v>1</v>
      </c>
      <c r="AY145" s="8" t="b">
        <v>1</v>
      </c>
      <c r="AZ145" s="8" t="b">
        <v>1</v>
      </c>
      <c r="BA145" s="7" t="s">
        <v>783</v>
      </c>
      <c r="BB145" s="7" t="s">
        <v>783</v>
      </c>
      <c r="BC145" s="7" t="s">
        <v>784</v>
      </c>
      <c r="BD145" s="7">
        <v>3.4428126138340533</v>
      </c>
      <c r="BE145" s="7">
        <v>0.23725714285714286</v>
      </c>
      <c r="BF145" s="7">
        <v>18.00926190612315</v>
      </c>
      <c r="BG145" s="7">
        <v>0.13714285714285715</v>
      </c>
      <c r="BH145" s="7" t="s">
        <v>154</v>
      </c>
      <c r="BI145" s="7">
        <v>175</v>
      </c>
      <c r="BJ145" s="7">
        <v>24</v>
      </c>
      <c r="BK145" s="7">
        <v>24</v>
      </c>
      <c r="BL145" s="7">
        <v>24</v>
      </c>
      <c r="BM145" s="8" t="b">
        <v>1</v>
      </c>
      <c r="BN145" s="7">
        <v>212.72315776440126</v>
      </c>
      <c r="BO145" s="7">
        <v>1.4397257142857143</v>
      </c>
      <c r="BP145" s="7">
        <v>33.182779715282145</v>
      </c>
      <c r="BQ145" s="7">
        <v>0.13714285714285715</v>
      </c>
      <c r="BR145" s="7" t="s">
        <v>154</v>
      </c>
      <c r="BS145" s="7">
        <v>175</v>
      </c>
      <c r="BT145" s="7">
        <v>24</v>
      </c>
      <c r="BU145" s="7">
        <v>24</v>
      </c>
      <c r="BV145" s="7">
        <v>24</v>
      </c>
      <c r="BW145" s="7" t="s">
        <v>1023</v>
      </c>
      <c r="BX145" s="8" t="b">
        <v>1</v>
      </c>
      <c r="BY145" s="7">
        <v>0</v>
      </c>
      <c r="BZ145" s="7">
        <v>0</v>
      </c>
      <c r="CA145" s="7">
        <v>46236.302083333336</v>
      </c>
      <c r="CB145" s="7">
        <v>46236.291666666664</v>
      </c>
      <c r="CC145" s="7">
        <v>4.9533217391304349E-3</v>
      </c>
      <c r="CD145" s="7">
        <v>33.209540849689382</v>
      </c>
      <c r="CE145" s="7">
        <v>31.862898166459566</v>
      </c>
      <c r="CF145" s="7">
        <v>662.24534522516342</v>
      </c>
      <c r="CG145" s="7">
        <v>0.3125</v>
      </c>
      <c r="CH145" s="7" t="s">
        <v>150</v>
      </c>
      <c r="CI145" s="7">
        <v>128</v>
      </c>
      <c r="CJ145" s="8" t="b">
        <v>1</v>
      </c>
      <c r="CK145" s="7">
        <v>40</v>
      </c>
      <c r="CL145" s="7">
        <v>40</v>
      </c>
      <c r="CM145" s="7">
        <v>40</v>
      </c>
      <c r="CN145" s="8" t="b">
        <v>0</v>
      </c>
      <c r="CO145" s="7" t="s">
        <v>955</v>
      </c>
      <c r="CP145" s="7">
        <v>929.60335722480409</v>
      </c>
    </row>
    <row r="146" spans="1:94" ht="21" customHeight="1" x14ac:dyDescent="0.45">
      <c r="A146" s="9">
        <v>46236.302083333336</v>
      </c>
      <c r="B146" s="9">
        <v>46236.3125</v>
      </c>
      <c r="C146" s="9">
        <v>46236.427083333336</v>
      </c>
      <c r="D146" s="10">
        <v>46236</v>
      </c>
      <c r="E146" s="7">
        <v>0.25</v>
      </c>
      <c r="F146" s="7" t="s">
        <v>770</v>
      </c>
      <c r="G146" s="9">
        <v>46236.291666666664</v>
      </c>
      <c r="H146" s="7">
        <v>84.56</v>
      </c>
      <c r="I146" s="7" t="s">
        <v>1027</v>
      </c>
      <c r="J146" s="7">
        <v>15</v>
      </c>
      <c r="K146" s="7" t="s">
        <v>960</v>
      </c>
      <c r="L146" s="10">
        <v>46234</v>
      </c>
      <c r="M146" s="7">
        <v>5.2473000000000001</v>
      </c>
      <c r="N146" s="7" t="s">
        <v>773</v>
      </c>
      <c r="O146" s="7">
        <v>71.936000000000007</v>
      </c>
      <c r="P146" s="7" t="s">
        <v>1024</v>
      </c>
      <c r="Q146" s="7" t="s">
        <v>775</v>
      </c>
      <c r="R146" s="7">
        <v>66.224534522516336</v>
      </c>
      <c r="S146" s="7" t="s">
        <v>776</v>
      </c>
      <c r="T146" s="7">
        <v>175</v>
      </c>
      <c r="U146" s="7" t="s">
        <v>1025</v>
      </c>
      <c r="V146" s="7" t="s">
        <v>775</v>
      </c>
      <c r="W146" s="7">
        <v>5.5304632858803577</v>
      </c>
      <c r="X146" s="7" t="s">
        <v>776</v>
      </c>
      <c r="Y146" s="7">
        <v>175</v>
      </c>
      <c r="Z146" s="7" t="s">
        <v>1026</v>
      </c>
      <c r="AA146" s="7" t="s">
        <v>775</v>
      </c>
      <c r="AB146" s="7">
        <v>3.0015436510205249</v>
      </c>
      <c r="AC146" s="7" t="s">
        <v>776</v>
      </c>
      <c r="AD146" s="7"/>
      <c r="AE146" s="7" t="s">
        <v>779</v>
      </c>
      <c r="AF146" s="7"/>
      <c r="AG146" s="7">
        <v>133.21136584529185</v>
      </c>
      <c r="AH146" s="7" t="s">
        <v>776</v>
      </c>
      <c r="AI146" s="7">
        <v>0.94199999999999995</v>
      </c>
      <c r="AJ146" s="7">
        <v>72.142435157128432</v>
      </c>
      <c r="AK146" s="7" t="s">
        <v>776</v>
      </c>
      <c r="AL146" s="7">
        <v>0.13200000000000001</v>
      </c>
      <c r="AM146" s="7" t="s">
        <v>780</v>
      </c>
      <c r="AN146" s="7" t="s">
        <v>781</v>
      </c>
      <c r="AO146" s="7" t="s">
        <v>782</v>
      </c>
      <c r="AP146" s="7">
        <v>2.15314285714285E-2</v>
      </c>
      <c r="AQ146" s="7">
        <v>3.0171428571427999E-3</v>
      </c>
      <c r="AR146" s="7">
        <v>2.4548571428571399E-2</v>
      </c>
      <c r="AS146" s="8" t="b">
        <v>1</v>
      </c>
      <c r="AT146" s="8" t="b">
        <v>1</v>
      </c>
      <c r="AU146" s="8" t="b">
        <v>1</v>
      </c>
      <c r="AV146" s="8" t="b">
        <v>1</v>
      </c>
      <c r="AW146" s="8" t="b">
        <v>1</v>
      </c>
      <c r="AX146" s="8" t="b">
        <v>1</v>
      </c>
      <c r="AY146" s="8" t="b">
        <v>1</v>
      </c>
      <c r="AZ146" s="8" t="b">
        <v>1</v>
      </c>
      <c r="BA146" s="7" t="s">
        <v>783</v>
      </c>
      <c r="BB146" s="7" t="s">
        <v>783</v>
      </c>
      <c r="BC146" s="7" t="s">
        <v>784</v>
      </c>
      <c r="BD146" s="7">
        <v>-1.3059841975873308</v>
      </c>
      <c r="BE146" s="7">
        <v>1.8102857142857143E-2</v>
      </c>
      <c r="BF146" s="7">
        <v>18.00926190612315</v>
      </c>
      <c r="BG146" s="7">
        <v>0.13714285714285715</v>
      </c>
      <c r="BH146" s="7" t="s">
        <v>154</v>
      </c>
      <c r="BI146" s="7">
        <v>175</v>
      </c>
      <c r="BJ146" s="7">
        <v>24</v>
      </c>
      <c r="BK146" s="7">
        <v>24</v>
      </c>
      <c r="BL146" s="7">
        <v>24</v>
      </c>
      <c r="BM146" s="8" t="b">
        <v>1</v>
      </c>
      <c r="BN146" s="7">
        <v>17.209386051602046</v>
      </c>
      <c r="BO146" s="7">
        <v>0.12918857142857143</v>
      </c>
      <c r="BP146" s="7">
        <v>33.182779715282145</v>
      </c>
      <c r="BQ146" s="7">
        <v>0.13714285714285715</v>
      </c>
      <c r="BR146" s="7" t="s">
        <v>154</v>
      </c>
      <c r="BS146" s="7">
        <v>175</v>
      </c>
      <c r="BT146" s="7">
        <v>24</v>
      </c>
      <c r="BU146" s="7">
        <v>24</v>
      </c>
      <c r="BV146" s="7">
        <v>24</v>
      </c>
      <c r="BW146" s="7" t="s">
        <v>1027</v>
      </c>
      <c r="BX146" s="8" t="b">
        <v>1</v>
      </c>
      <c r="BY146" s="7">
        <v>0</v>
      </c>
      <c r="BZ146" s="7">
        <v>0</v>
      </c>
      <c r="CA146" s="7">
        <v>46236.3125</v>
      </c>
      <c r="CB146" s="7">
        <v>46236.302083333336</v>
      </c>
      <c r="CC146" s="7">
        <v>4.3632496894409941E-4</v>
      </c>
      <c r="CD146" s="7">
        <v>31.862898166459566</v>
      </c>
      <c r="CE146" s="7">
        <v>31.739130434782545</v>
      </c>
      <c r="CF146" s="7">
        <v>662.24534522516342</v>
      </c>
      <c r="CG146" s="7">
        <v>0.3125</v>
      </c>
      <c r="CH146" s="7" t="s">
        <v>150</v>
      </c>
      <c r="CI146" s="7">
        <v>128</v>
      </c>
      <c r="CJ146" s="8" t="b">
        <v>1</v>
      </c>
      <c r="CK146" s="7">
        <v>40</v>
      </c>
      <c r="CL146" s="7">
        <v>40</v>
      </c>
      <c r="CM146" s="7">
        <v>40</v>
      </c>
      <c r="CN146" s="8" t="b">
        <v>0</v>
      </c>
      <c r="CO146" s="7" t="s">
        <v>955</v>
      </c>
      <c r="CP146" s="7">
        <v>729.3407887005834</v>
      </c>
    </row>
    <row r="147" spans="1:94" ht="21" customHeight="1" x14ac:dyDescent="0.45">
      <c r="A147" s="9">
        <v>46236.3125</v>
      </c>
      <c r="B147" s="9">
        <v>46236.322916666664</v>
      </c>
      <c r="C147" s="9">
        <v>46236.4375</v>
      </c>
      <c r="D147" s="10">
        <v>46236</v>
      </c>
      <c r="E147" s="7">
        <v>0.25</v>
      </c>
      <c r="F147" s="7" t="s">
        <v>770</v>
      </c>
      <c r="G147" s="9">
        <v>46236.291666666664</v>
      </c>
      <c r="H147" s="7">
        <v>54.53</v>
      </c>
      <c r="I147" s="7" t="s">
        <v>1028</v>
      </c>
      <c r="J147" s="7">
        <v>15</v>
      </c>
      <c r="K147" s="7" t="s">
        <v>960</v>
      </c>
      <c r="L147" s="10">
        <v>46234</v>
      </c>
      <c r="M147" s="7">
        <v>5.2473000000000001</v>
      </c>
      <c r="N147" s="7" t="s">
        <v>773</v>
      </c>
      <c r="O147" s="7">
        <v>71.936000000000007</v>
      </c>
      <c r="P147" s="7" t="s">
        <v>1024</v>
      </c>
      <c r="Q147" s="7" t="s">
        <v>775</v>
      </c>
      <c r="R147" s="7">
        <v>66.224534522516336</v>
      </c>
      <c r="S147" s="7" t="s">
        <v>776</v>
      </c>
      <c r="T147" s="7">
        <v>175</v>
      </c>
      <c r="U147" s="7" t="s">
        <v>1025</v>
      </c>
      <c r="V147" s="7" t="s">
        <v>775</v>
      </c>
      <c r="W147" s="7">
        <v>5.5304632858803577</v>
      </c>
      <c r="X147" s="7" t="s">
        <v>776</v>
      </c>
      <c r="Y147" s="7">
        <v>175</v>
      </c>
      <c r="Z147" s="7" t="s">
        <v>1026</v>
      </c>
      <c r="AA147" s="7" t="s">
        <v>775</v>
      </c>
      <c r="AB147" s="7">
        <v>3.0015436510205249</v>
      </c>
      <c r="AC147" s="7" t="s">
        <v>776</v>
      </c>
      <c r="AD147" s="7"/>
      <c r="AE147" s="7" t="s">
        <v>779</v>
      </c>
      <c r="AF147" s="7"/>
      <c r="AG147" s="7">
        <v>133.21136584529185</v>
      </c>
      <c r="AH147" s="7" t="s">
        <v>776</v>
      </c>
      <c r="AI147" s="7">
        <v>2E-3</v>
      </c>
      <c r="AJ147" s="7">
        <v>-2.135574485926095</v>
      </c>
      <c r="AK147" s="7" t="s">
        <v>776</v>
      </c>
      <c r="AL147" s="7">
        <v>3.1549999999999998</v>
      </c>
      <c r="AM147" s="7" t="s">
        <v>780</v>
      </c>
      <c r="AN147" s="7" t="s">
        <v>781</v>
      </c>
      <c r="AO147" s="7" t="s">
        <v>782</v>
      </c>
      <c r="AP147" s="7">
        <v>4.5714285714285723E-5</v>
      </c>
      <c r="AQ147" s="7">
        <v>7.21142857142857E-2</v>
      </c>
      <c r="AR147" s="7">
        <v>7.2160000000000002E-2</v>
      </c>
      <c r="AS147" s="8" t="b">
        <v>1</v>
      </c>
      <c r="AT147" s="8" t="b">
        <v>1</v>
      </c>
      <c r="AU147" s="8" t="b">
        <v>1</v>
      </c>
      <c r="AV147" s="8" t="b">
        <v>1</v>
      </c>
      <c r="AW147" s="8" t="b">
        <v>1</v>
      </c>
      <c r="AX147" s="8" t="b">
        <v>1</v>
      </c>
      <c r="AY147" s="8" t="b">
        <v>1</v>
      </c>
      <c r="AZ147" s="8" t="b">
        <v>1</v>
      </c>
      <c r="BA147" s="7" t="s">
        <v>783</v>
      </c>
      <c r="BB147" s="7" t="s">
        <v>783</v>
      </c>
      <c r="BC147" s="7" t="s">
        <v>784</v>
      </c>
      <c r="BD147" s="7">
        <v>0.92403257185327947</v>
      </c>
      <c r="BE147" s="7">
        <v>0.43268571428571428</v>
      </c>
      <c r="BF147" s="7">
        <v>18.00926190612315</v>
      </c>
      <c r="BG147" s="7">
        <v>0.13714285714285715</v>
      </c>
      <c r="BH147" s="7" t="s">
        <v>154</v>
      </c>
      <c r="BI147" s="7">
        <v>175</v>
      </c>
      <c r="BJ147" s="7">
        <v>24</v>
      </c>
      <c r="BK147" s="7">
        <v>24</v>
      </c>
      <c r="BL147" s="7">
        <v>24</v>
      </c>
      <c r="BM147" s="8" t="b">
        <v>1</v>
      </c>
      <c r="BN147" s="7">
        <v>3.6537974631851482E-2</v>
      </c>
      <c r="BO147" s="7">
        <v>2.7428571428571432E-4</v>
      </c>
      <c r="BP147" s="7">
        <v>33.182779715282145</v>
      </c>
      <c r="BQ147" s="7">
        <v>0.13714285714285715</v>
      </c>
      <c r="BR147" s="7" t="s">
        <v>154</v>
      </c>
      <c r="BS147" s="7">
        <v>175</v>
      </c>
      <c r="BT147" s="7">
        <v>24</v>
      </c>
      <c r="BU147" s="7">
        <v>24</v>
      </c>
      <c r="BV147" s="7">
        <v>24</v>
      </c>
      <c r="BW147" s="7" t="s">
        <v>1028</v>
      </c>
      <c r="BX147" s="8" t="b">
        <v>1</v>
      </c>
      <c r="BY147" s="7">
        <v>20.17881854762809</v>
      </c>
      <c r="BZ147" s="7">
        <v>1.4801994166607806</v>
      </c>
      <c r="CA147" s="7">
        <v>46236.322916666664</v>
      </c>
      <c r="CB147" s="7">
        <v>46236.3125</v>
      </c>
      <c r="CC147" s="7">
        <v>2.0751102594666801E-3</v>
      </c>
      <c r="CD147" s="7">
        <v>31.739130434782545</v>
      </c>
      <c r="CE147" s="7">
        <v>31.739130434782538</v>
      </c>
      <c r="CF147" s="7">
        <v>662.24534522516342</v>
      </c>
      <c r="CG147" s="7">
        <v>0.3125</v>
      </c>
      <c r="CH147" s="7" t="s">
        <v>150</v>
      </c>
      <c r="CI147" s="7">
        <v>128</v>
      </c>
      <c r="CJ147" s="8" t="b">
        <v>1</v>
      </c>
      <c r="CK147" s="7">
        <v>40</v>
      </c>
      <c r="CL147" s="7">
        <v>40</v>
      </c>
      <c r="CM147" s="7">
        <v>40</v>
      </c>
      <c r="CN147" s="8" t="b">
        <v>0</v>
      </c>
      <c r="CO147" s="7" t="s">
        <v>955</v>
      </c>
      <c r="CP147" s="7">
        <v>734.57677594068196</v>
      </c>
    </row>
    <row r="148" spans="1:94" ht="21" customHeight="1" x14ac:dyDescent="0.45">
      <c r="A148" s="9">
        <v>46236.322916666664</v>
      </c>
      <c r="B148" s="9">
        <v>46236.333333333336</v>
      </c>
      <c r="C148" s="9">
        <v>46236.447916666664</v>
      </c>
      <c r="D148" s="10">
        <v>46236</v>
      </c>
      <c r="E148" s="7">
        <v>0.25</v>
      </c>
      <c r="F148" s="7" t="s">
        <v>770</v>
      </c>
      <c r="G148" s="9">
        <v>46236.291666666664</v>
      </c>
      <c r="H148" s="7">
        <v>11.21</v>
      </c>
      <c r="I148" s="7" t="s">
        <v>1029</v>
      </c>
      <c r="J148" s="7">
        <v>15</v>
      </c>
      <c r="K148" s="7" t="s">
        <v>960</v>
      </c>
      <c r="L148" s="10">
        <v>46234</v>
      </c>
      <c r="M148" s="7">
        <v>5.2473000000000001</v>
      </c>
      <c r="N148" s="7" t="s">
        <v>773</v>
      </c>
      <c r="O148" s="7">
        <v>71.936000000000007</v>
      </c>
      <c r="P148" s="7" t="s">
        <v>1024</v>
      </c>
      <c r="Q148" s="7" t="s">
        <v>775</v>
      </c>
      <c r="R148" s="7">
        <v>66.224534522516336</v>
      </c>
      <c r="S148" s="7" t="s">
        <v>776</v>
      </c>
      <c r="T148" s="7">
        <v>175</v>
      </c>
      <c r="U148" s="7" t="s">
        <v>1025</v>
      </c>
      <c r="V148" s="7" t="s">
        <v>775</v>
      </c>
      <c r="W148" s="7">
        <v>5.5304632858803577</v>
      </c>
      <c r="X148" s="7" t="s">
        <v>776</v>
      </c>
      <c r="Y148" s="7">
        <v>175</v>
      </c>
      <c r="Z148" s="7" t="s">
        <v>1026</v>
      </c>
      <c r="AA148" s="7" t="s">
        <v>775</v>
      </c>
      <c r="AB148" s="7">
        <v>3.0015436510205249</v>
      </c>
      <c r="AC148" s="7" t="s">
        <v>776</v>
      </c>
      <c r="AD148" s="7"/>
      <c r="AE148" s="7" t="s">
        <v>779</v>
      </c>
      <c r="AF148" s="7"/>
      <c r="AG148" s="7">
        <v>0</v>
      </c>
      <c r="AH148" s="7" t="s">
        <v>776</v>
      </c>
      <c r="AI148" s="7">
        <v>0</v>
      </c>
      <c r="AJ148" s="7">
        <v>30.115297391039199</v>
      </c>
      <c r="AK148" s="7" t="s">
        <v>776</v>
      </c>
      <c r="AL148" s="7">
        <v>6.5270000000000001</v>
      </c>
      <c r="AM148" s="7" t="s">
        <v>780</v>
      </c>
      <c r="AN148" s="7" t="s">
        <v>781</v>
      </c>
      <c r="AO148" s="7" t="s">
        <v>782</v>
      </c>
      <c r="AP148" s="7">
        <v>0</v>
      </c>
      <c r="AQ148" s="7">
        <v>0.14918857142857139</v>
      </c>
      <c r="AR148" s="7">
        <v>0.14918857142857139</v>
      </c>
      <c r="AS148" s="8" t="b">
        <v>1</v>
      </c>
      <c r="AT148" s="8" t="b">
        <v>1</v>
      </c>
      <c r="AU148" s="8" t="b">
        <v>1</v>
      </c>
      <c r="AV148" s="8" t="b">
        <v>1</v>
      </c>
      <c r="AW148" s="8" t="b">
        <v>1</v>
      </c>
      <c r="AX148" s="8" t="b">
        <v>1</v>
      </c>
      <c r="AY148" s="8" t="b">
        <v>1</v>
      </c>
      <c r="AZ148" s="8" t="b">
        <v>1</v>
      </c>
      <c r="BA148" s="7" t="s">
        <v>783</v>
      </c>
      <c r="BB148" s="7" t="s">
        <v>783</v>
      </c>
      <c r="BC148" s="7" t="s">
        <v>784</v>
      </c>
      <c r="BD148" s="7">
        <v>-26.95714917549433</v>
      </c>
      <c r="BE148" s="7">
        <v>0.89513142857142847</v>
      </c>
      <c r="BF148" s="7">
        <v>18.00926190612315</v>
      </c>
      <c r="BG148" s="7">
        <v>0.13714285714285715</v>
      </c>
      <c r="BH148" s="7" t="s">
        <v>154</v>
      </c>
      <c r="BI148" s="7">
        <v>175</v>
      </c>
      <c r="BJ148" s="7">
        <v>24</v>
      </c>
      <c r="BK148" s="7">
        <v>24</v>
      </c>
      <c r="BL148" s="7">
        <v>24</v>
      </c>
      <c r="BM148" s="8" t="b">
        <v>1</v>
      </c>
      <c r="BN148" s="7">
        <v>0</v>
      </c>
      <c r="BO148" s="7">
        <v>0</v>
      </c>
      <c r="BP148" s="7">
        <v>33.182779715282145</v>
      </c>
      <c r="BQ148" s="7">
        <v>0.13714285714285715</v>
      </c>
      <c r="BR148" s="7" t="s">
        <v>154</v>
      </c>
      <c r="BS148" s="7">
        <v>175</v>
      </c>
      <c r="BT148" s="7">
        <v>24</v>
      </c>
      <c r="BU148" s="7">
        <v>24</v>
      </c>
      <c r="BV148" s="7">
        <v>24</v>
      </c>
      <c r="BW148" s="7" t="s">
        <v>1029</v>
      </c>
      <c r="BX148" s="8" t="b">
        <v>1</v>
      </c>
      <c r="BY148" s="7">
        <v>0</v>
      </c>
      <c r="BZ148" s="7">
        <v>0</v>
      </c>
      <c r="CA148" s="7">
        <v>46236.333333333336</v>
      </c>
      <c r="CB148" s="7">
        <v>46236.322916666664</v>
      </c>
      <c r="CC148" s="7">
        <v>2.2875580952380951E-3</v>
      </c>
      <c r="CD148" s="7">
        <v>31.739130434782538</v>
      </c>
      <c r="CE148" s="7">
        <v>32.562651349068254</v>
      </c>
      <c r="CF148" s="7">
        <v>662.24534522516342</v>
      </c>
      <c r="CG148" s="7">
        <v>0.3125</v>
      </c>
      <c r="CH148" s="7" t="s">
        <v>150</v>
      </c>
      <c r="CI148" s="7">
        <v>128</v>
      </c>
      <c r="CJ148" s="8" t="b">
        <v>1</v>
      </c>
      <c r="CK148" s="7">
        <v>40</v>
      </c>
      <c r="CL148" s="7">
        <v>40</v>
      </c>
      <c r="CM148" s="7">
        <v>40</v>
      </c>
      <c r="CN148" s="8" t="b">
        <v>0</v>
      </c>
      <c r="CO148" s="7" t="s">
        <v>955</v>
      </c>
      <c r="CP148" s="7">
        <v>686.48023767107441</v>
      </c>
    </row>
    <row r="149" spans="1:94" ht="21" customHeight="1" x14ac:dyDescent="0.45">
      <c r="A149" s="9">
        <v>46236.333333333336</v>
      </c>
      <c r="B149" s="9">
        <v>46236.34375</v>
      </c>
      <c r="C149" s="9">
        <v>46236.458333333336</v>
      </c>
      <c r="D149" s="10">
        <v>46236</v>
      </c>
      <c r="E149" s="7">
        <v>0.25</v>
      </c>
      <c r="F149" s="7" t="s">
        <v>770</v>
      </c>
      <c r="G149" s="9">
        <v>46236.333333333336</v>
      </c>
      <c r="H149" s="7">
        <v>11</v>
      </c>
      <c r="I149" s="7" t="s">
        <v>1030</v>
      </c>
      <c r="J149" s="7">
        <v>15</v>
      </c>
      <c r="K149" s="7" t="s">
        <v>960</v>
      </c>
      <c r="L149" s="10">
        <v>46234</v>
      </c>
      <c r="M149" s="7">
        <v>5.2473000000000001</v>
      </c>
      <c r="N149" s="7" t="s">
        <v>773</v>
      </c>
      <c r="O149" s="7">
        <v>71.936000000000007</v>
      </c>
      <c r="P149" s="7" t="s">
        <v>1031</v>
      </c>
      <c r="Q149" s="7" t="s">
        <v>775</v>
      </c>
      <c r="R149" s="7">
        <v>66.224534522516336</v>
      </c>
      <c r="S149" s="7" t="s">
        <v>776</v>
      </c>
      <c r="T149" s="7">
        <v>175</v>
      </c>
      <c r="U149" s="7" t="s">
        <v>1032</v>
      </c>
      <c r="V149" s="7" t="s">
        <v>775</v>
      </c>
      <c r="W149" s="7">
        <v>5.4828197358641582</v>
      </c>
      <c r="X149" s="7" t="s">
        <v>776</v>
      </c>
      <c r="Y149" s="7">
        <v>175</v>
      </c>
      <c r="Z149" s="7" t="s">
        <v>1033</v>
      </c>
      <c r="AA149" s="7" t="s">
        <v>775</v>
      </c>
      <c r="AB149" s="7">
        <v>3.0072608770224685</v>
      </c>
      <c r="AC149" s="7" t="s">
        <v>776</v>
      </c>
      <c r="AD149" s="7"/>
      <c r="AE149" s="7" t="s">
        <v>779</v>
      </c>
      <c r="AF149" s="7"/>
      <c r="AG149" s="7">
        <v>0</v>
      </c>
      <c r="AH149" s="7" t="s">
        <v>776</v>
      </c>
      <c r="AI149" s="7">
        <v>0</v>
      </c>
      <c r="AJ149" s="7">
        <v>-4.9610275760867495</v>
      </c>
      <c r="AK149" s="7" t="s">
        <v>776</v>
      </c>
      <c r="AL149" s="7">
        <v>12.021000000000001</v>
      </c>
      <c r="AM149" s="7" t="s">
        <v>780</v>
      </c>
      <c r="AN149" s="7" t="s">
        <v>781</v>
      </c>
      <c r="AO149" s="7" t="s">
        <v>782</v>
      </c>
      <c r="AP149" s="7">
        <v>0</v>
      </c>
      <c r="AQ149" s="7">
        <v>0.27476571428571428</v>
      </c>
      <c r="AR149" s="7">
        <v>0.27476571428571428</v>
      </c>
      <c r="AS149" s="8" t="b">
        <v>1</v>
      </c>
      <c r="AT149" s="8" t="b">
        <v>1</v>
      </c>
      <c r="AU149" s="8" t="b">
        <v>1</v>
      </c>
      <c r="AV149" s="8" t="b">
        <v>1</v>
      </c>
      <c r="AW149" s="8" t="b">
        <v>1</v>
      </c>
      <c r="AX149" s="8" t="b">
        <v>1</v>
      </c>
      <c r="AY149" s="8" t="b">
        <v>1</v>
      </c>
      <c r="AZ149" s="8" t="b">
        <v>1</v>
      </c>
      <c r="BA149" s="7" t="s">
        <v>783</v>
      </c>
      <c r="BB149" s="7" t="s">
        <v>783</v>
      </c>
      <c r="BC149" s="7" t="s">
        <v>784</v>
      </c>
      <c r="BD149" s="7">
        <v>8.178721713207608</v>
      </c>
      <c r="BE149" s="7">
        <v>1.6485942857142857</v>
      </c>
      <c r="BF149" s="7">
        <v>18.043565262134813</v>
      </c>
      <c r="BG149" s="7">
        <v>0.13714285714285715</v>
      </c>
      <c r="BH149" s="7" t="s">
        <v>154</v>
      </c>
      <c r="BI149" s="7">
        <v>175</v>
      </c>
      <c r="BJ149" s="7">
        <v>24</v>
      </c>
      <c r="BK149" s="7">
        <v>24</v>
      </c>
      <c r="BL149" s="7">
        <v>24</v>
      </c>
      <c r="BM149" s="8" t="b">
        <v>1</v>
      </c>
      <c r="BN149" s="7">
        <v>0</v>
      </c>
      <c r="BO149" s="7">
        <v>0</v>
      </c>
      <c r="BP149" s="7">
        <v>32.896918415184949</v>
      </c>
      <c r="BQ149" s="7">
        <v>0.13714285714285715</v>
      </c>
      <c r="BR149" s="7" t="s">
        <v>154</v>
      </c>
      <c r="BS149" s="7">
        <v>175</v>
      </c>
      <c r="BT149" s="7">
        <v>24</v>
      </c>
      <c r="BU149" s="7">
        <v>24</v>
      </c>
      <c r="BV149" s="7">
        <v>24</v>
      </c>
      <c r="BW149" s="7" t="s">
        <v>1030</v>
      </c>
      <c r="BX149" s="8" t="b">
        <v>1</v>
      </c>
      <c r="BY149" s="7">
        <v>24.726668548829114</v>
      </c>
      <c r="BZ149" s="7">
        <v>8.9915158359378591</v>
      </c>
      <c r="CA149" s="7">
        <v>46236.34375</v>
      </c>
      <c r="CB149" s="7">
        <v>46236.333333333336</v>
      </c>
      <c r="CC149" s="7">
        <v>7.5568796535014551E-3</v>
      </c>
      <c r="CD149" s="7">
        <v>32.562651349068254</v>
      </c>
      <c r="CE149" s="7">
        <v>31.739130434782538</v>
      </c>
      <c r="CF149" s="7">
        <v>662.24534522516342</v>
      </c>
      <c r="CG149" s="7">
        <v>0.3125</v>
      </c>
      <c r="CH149" s="7" t="s">
        <v>150</v>
      </c>
      <c r="CI149" s="7">
        <v>128</v>
      </c>
      <c r="CJ149" s="8" t="b">
        <v>1</v>
      </c>
      <c r="CK149" s="7">
        <v>40</v>
      </c>
      <c r="CL149" s="7">
        <v>40</v>
      </c>
      <c r="CM149" s="7">
        <v>40</v>
      </c>
      <c r="CN149" s="8" t="b">
        <v>0</v>
      </c>
      <c r="CO149" s="7" t="s">
        <v>955</v>
      </c>
      <c r="CP149" s="7">
        <v>746.09121916451988</v>
      </c>
    </row>
    <row r="150" spans="1:94" ht="21" customHeight="1" x14ac:dyDescent="0.45">
      <c r="A150" s="9">
        <v>46236.34375</v>
      </c>
      <c r="B150" s="9">
        <v>46236.354166666664</v>
      </c>
      <c r="C150" s="9">
        <v>46236.46875</v>
      </c>
      <c r="D150" s="10">
        <v>46236</v>
      </c>
      <c r="E150" s="7">
        <v>0.25</v>
      </c>
      <c r="F150" s="7" t="s">
        <v>770</v>
      </c>
      <c r="G150" s="9">
        <v>46236.333333333336</v>
      </c>
      <c r="H150" s="7">
        <v>3.85</v>
      </c>
      <c r="I150" s="7" t="s">
        <v>1034</v>
      </c>
      <c r="J150" s="7">
        <v>15</v>
      </c>
      <c r="K150" s="7" t="s">
        <v>960</v>
      </c>
      <c r="L150" s="10">
        <v>46234</v>
      </c>
      <c r="M150" s="7">
        <v>5.2473000000000001</v>
      </c>
      <c r="N150" s="7" t="s">
        <v>773</v>
      </c>
      <c r="O150" s="7">
        <v>71.936000000000007</v>
      </c>
      <c r="P150" s="7" t="s">
        <v>1031</v>
      </c>
      <c r="Q150" s="7" t="s">
        <v>775</v>
      </c>
      <c r="R150" s="7">
        <v>66.224534522516336</v>
      </c>
      <c r="S150" s="7" t="s">
        <v>776</v>
      </c>
      <c r="T150" s="7">
        <v>175</v>
      </c>
      <c r="U150" s="7" t="s">
        <v>1032</v>
      </c>
      <c r="V150" s="7" t="s">
        <v>775</v>
      </c>
      <c r="W150" s="7">
        <v>5.4828197358641582</v>
      </c>
      <c r="X150" s="7" t="s">
        <v>776</v>
      </c>
      <c r="Y150" s="7">
        <v>175</v>
      </c>
      <c r="Z150" s="7" t="s">
        <v>1033</v>
      </c>
      <c r="AA150" s="7" t="s">
        <v>775</v>
      </c>
      <c r="AB150" s="7">
        <v>3.0072608770224685</v>
      </c>
      <c r="AC150" s="7" t="s">
        <v>776</v>
      </c>
      <c r="AD150" s="7"/>
      <c r="AE150" s="7" t="s">
        <v>779</v>
      </c>
      <c r="AF150" s="7"/>
      <c r="AG150" s="7">
        <v>0</v>
      </c>
      <c r="AH150" s="7" t="s">
        <v>776</v>
      </c>
      <c r="AI150" s="7">
        <v>0</v>
      </c>
      <c r="AJ150" s="7">
        <v>-27.92826787109561</v>
      </c>
      <c r="AK150" s="7" t="s">
        <v>776</v>
      </c>
      <c r="AL150" s="7">
        <v>21.265000000000001</v>
      </c>
      <c r="AM150" s="7" t="s">
        <v>780</v>
      </c>
      <c r="AN150" s="7" t="s">
        <v>781</v>
      </c>
      <c r="AO150" s="7" t="s">
        <v>782</v>
      </c>
      <c r="AP150" s="7">
        <v>0</v>
      </c>
      <c r="AQ150" s="7">
        <v>0.4860571428571428</v>
      </c>
      <c r="AR150" s="7">
        <v>0.4860571428571428</v>
      </c>
      <c r="AS150" s="8" t="b">
        <v>1</v>
      </c>
      <c r="AT150" s="8" t="b">
        <v>1</v>
      </c>
      <c r="AU150" s="8" t="b">
        <v>1</v>
      </c>
      <c r="AV150" s="8" t="b">
        <v>1</v>
      </c>
      <c r="AW150" s="8" t="b">
        <v>1</v>
      </c>
      <c r="AX150" s="8" t="b">
        <v>1</v>
      </c>
      <c r="AY150" s="8" t="b">
        <v>1</v>
      </c>
      <c r="AZ150" s="8" t="b">
        <v>1</v>
      </c>
      <c r="BA150" s="7" t="s">
        <v>783</v>
      </c>
      <c r="BB150" s="7" t="s">
        <v>783</v>
      </c>
      <c r="BC150" s="7" t="s">
        <v>784</v>
      </c>
      <c r="BD150" s="7">
        <v>81.448404518242043</v>
      </c>
      <c r="BE150" s="7">
        <v>2.9163428571428573</v>
      </c>
      <c r="BF150" s="7">
        <v>18.043565262134813</v>
      </c>
      <c r="BG150" s="7">
        <v>0.13714285714285715</v>
      </c>
      <c r="BH150" s="7" t="s">
        <v>154</v>
      </c>
      <c r="BI150" s="7">
        <v>175</v>
      </c>
      <c r="BJ150" s="7">
        <v>24</v>
      </c>
      <c r="BK150" s="7">
        <v>24</v>
      </c>
      <c r="BL150" s="7">
        <v>24</v>
      </c>
      <c r="BM150" s="8" t="b">
        <v>1</v>
      </c>
      <c r="BN150" s="7">
        <v>0</v>
      </c>
      <c r="BO150" s="7">
        <v>0</v>
      </c>
      <c r="BP150" s="7">
        <v>32.896918415184949</v>
      </c>
      <c r="BQ150" s="7">
        <v>0.13714285714285715</v>
      </c>
      <c r="BR150" s="7" t="s">
        <v>154</v>
      </c>
      <c r="BS150" s="7">
        <v>175</v>
      </c>
      <c r="BT150" s="7">
        <v>24</v>
      </c>
      <c r="BU150" s="7">
        <v>24</v>
      </c>
      <c r="BV150" s="7">
        <v>24</v>
      </c>
      <c r="BW150" s="7" t="s">
        <v>1034</v>
      </c>
      <c r="BX150" s="8" t="b">
        <v>1</v>
      </c>
      <c r="BY150" s="7">
        <v>-34.65</v>
      </c>
      <c r="BZ150" s="7">
        <v>-36</v>
      </c>
      <c r="CA150" s="7">
        <v>46236.354166666664</v>
      </c>
      <c r="CB150" s="7">
        <v>46236.34375</v>
      </c>
      <c r="CC150" s="7">
        <v>3.0452876190476191E-2</v>
      </c>
      <c r="CD150" s="7">
        <v>31.739130434782538</v>
      </c>
      <c r="CE150" s="7">
        <v>42.702165863353969</v>
      </c>
      <c r="CF150" s="7">
        <v>662.24534522516342</v>
      </c>
      <c r="CG150" s="7">
        <v>0.3125</v>
      </c>
      <c r="CH150" s="7" t="s">
        <v>150</v>
      </c>
      <c r="CI150" s="7">
        <v>128</v>
      </c>
      <c r="CJ150" s="8" t="b">
        <v>1</v>
      </c>
      <c r="CK150" s="7">
        <v>40</v>
      </c>
      <c r="CL150" s="7">
        <v>40</v>
      </c>
      <c r="CM150" s="7">
        <v>40</v>
      </c>
      <c r="CN150" s="8" t="b">
        <v>0</v>
      </c>
      <c r="CO150" s="7" t="s">
        <v>955</v>
      </c>
      <c r="CP150" s="7">
        <v>759.98423342072522</v>
      </c>
    </row>
    <row r="151" spans="1:94" ht="21" customHeight="1" x14ac:dyDescent="0.45">
      <c r="A151" s="9">
        <v>46236.354166666664</v>
      </c>
      <c r="B151" s="9">
        <v>46236.364583333336</v>
      </c>
      <c r="C151" s="9">
        <v>46236.479166666664</v>
      </c>
      <c r="D151" s="10">
        <v>46236</v>
      </c>
      <c r="E151" s="7">
        <v>0.25</v>
      </c>
      <c r="F151" s="7" t="s">
        <v>770</v>
      </c>
      <c r="G151" s="9">
        <v>46236.333333333336</v>
      </c>
      <c r="H151" s="7">
        <v>2.0099999999999998</v>
      </c>
      <c r="I151" s="7" t="s">
        <v>1035</v>
      </c>
      <c r="J151" s="7">
        <v>15</v>
      </c>
      <c r="K151" s="7" t="s">
        <v>960</v>
      </c>
      <c r="L151" s="10">
        <v>46234</v>
      </c>
      <c r="M151" s="7">
        <v>5.2473000000000001</v>
      </c>
      <c r="N151" s="7" t="s">
        <v>773</v>
      </c>
      <c r="O151" s="7">
        <v>71.936000000000007</v>
      </c>
      <c r="P151" s="7" t="s">
        <v>1031</v>
      </c>
      <c r="Q151" s="7" t="s">
        <v>775</v>
      </c>
      <c r="R151" s="7">
        <v>66.224534522516336</v>
      </c>
      <c r="S151" s="7" t="s">
        <v>776</v>
      </c>
      <c r="T151" s="7">
        <v>175</v>
      </c>
      <c r="U151" s="7" t="s">
        <v>1032</v>
      </c>
      <c r="V151" s="7" t="s">
        <v>775</v>
      </c>
      <c r="W151" s="7">
        <v>5.4828197358641582</v>
      </c>
      <c r="X151" s="7" t="s">
        <v>776</v>
      </c>
      <c r="Y151" s="7">
        <v>175</v>
      </c>
      <c r="Z151" s="7" t="s">
        <v>1033</v>
      </c>
      <c r="AA151" s="7" t="s">
        <v>775</v>
      </c>
      <c r="AB151" s="7">
        <v>3.0072608770224685</v>
      </c>
      <c r="AC151" s="7" t="s">
        <v>776</v>
      </c>
      <c r="AD151" s="7"/>
      <c r="AE151" s="7" t="s">
        <v>779</v>
      </c>
      <c r="AF151" s="7"/>
      <c r="AG151" s="7">
        <v>0</v>
      </c>
      <c r="AH151" s="7" t="s">
        <v>776</v>
      </c>
      <c r="AI151" s="7">
        <v>0</v>
      </c>
      <c r="AJ151" s="7">
        <v>-126.7699578831018</v>
      </c>
      <c r="AK151" s="7" t="s">
        <v>776</v>
      </c>
      <c r="AL151" s="7">
        <v>30.050999999999998</v>
      </c>
      <c r="AM151" s="7" t="s">
        <v>780</v>
      </c>
      <c r="AN151" s="7" t="s">
        <v>781</v>
      </c>
      <c r="AO151" s="7" t="s">
        <v>782</v>
      </c>
      <c r="AP151" s="7">
        <v>0</v>
      </c>
      <c r="AQ151" s="7">
        <v>0.68687999999999994</v>
      </c>
      <c r="AR151" s="7">
        <v>0.68687999999999994</v>
      </c>
      <c r="AS151" s="8" t="b">
        <v>1</v>
      </c>
      <c r="AT151" s="8" t="b">
        <v>1</v>
      </c>
      <c r="AU151" s="8" t="b">
        <v>1</v>
      </c>
      <c r="AV151" s="8" t="b">
        <v>1</v>
      </c>
      <c r="AW151" s="8" t="b">
        <v>1</v>
      </c>
      <c r="AX151" s="8" t="b">
        <v>1</v>
      </c>
      <c r="AY151" s="8" t="b">
        <v>1</v>
      </c>
      <c r="AZ151" s="8" t="b">
        <v>1</v>
      </c>
      <c r="BA151" s="7" t="s">
        <v>783</v>
      </c>
      <c r="BB151" s="7" t="s">
        <v>783</v>
      </c>
      <c r="BC151" s="7" t="s">
        <v>784</v>
      </c>
      <c r="BD151" s="7">
        <v>522.45449202446969</v>
      </c>
      <c r="BE151" s="7">
        <v>4.1212799999999996</v>
      </c>
      <c r="BF151" s="7">
        <v>18.043565262134813</v>
      </c>
      <c r="BG151" s="7">
        <v>0.13714285714285715</v>
      </c>
      <c r="BH151" s="7" t="s">
        <v>154</v>
      </c>
      <c r="BI151" s="7">
        <v>175</v>
      </c>
      <c r="BJ151" s="7">
        <v>24</v>
      </c>
      <c r="BK151" s="7">
        <v>24</v>
      </c>
      <c r="BL151" s="7">
        <v>24</v>
      </c>
      <c r="BM151" s="8" t="b">
        <v>1</v>
      </c>
      <c r="BN151" s="7">
        <v>0</v>
      </c>
      <c r="BO151" s="7">
        <v>0</v>
      </c>
      <c r="BP151" s="7">
        <v>32.896918415184949</v>
      </c>
      <c r="BQ151" s="7">
        <v>0.13714285714285715</v>
      </c>
      <c r="BR151" s="7" t="s">
        <v>154</v>
      </c>
      <c r="BS151" s="7">
        <v>175</v>
      </c>
      <c r="BT151" s="7">
        <v>24</v>
      </c>
      <c r="BU151" s="7">
        <v>24</v>
      </c>
      <c r="BV151" s="7">
        <v>24</v>
      </c>
      <c r="BW151" s="7" t="s">
        <v>1035</v>
      </c>
      <c r="BX151" s="8" t="b">
        <v>1</v>
      </c>
      <c r="BY151" s="7">
        <v>-18.089999999999996</v>
      </c>
      <c r="BZ151" s="7">
        <v>-36</v>
      </c>
      <c r="CA151" s="7">
        <v>46236.364583333336</v>
      </c>
      <c r="CB151" s="7">
        <v>46236.354166666664</v>
      </c>
      <c r="CC151" s="7">
        <v>3.3532159999999998E-2</v>
      </c>
      <c r="CD151" s="7">
        <v>42.702165863353969</v>
      </c>
      <c r="CE151" s="7">
        <v>54.773743463353966</v>
      </c>
      <c r="CF151" s="7">
        <v>662.24534522516342</v>
      </c>
      <c r="CG151" s="7">
        <v>0.3125</v>
      </c>
      <c r="CH151" s="7" t="s">
        <v>150</v>
      </c>
      <c r="CI151" s="7">
        <v>128</v>
      </c>
      <c r="CJ151" s="8" t="b">
        <v>1</v>
      </c>
      <c r="CK151" s="7">
        <v>40</v>
      </c>
      <c r="CL151" s="7">
        <v>40</v>
      </c>
      <c r="CM151" s="7">
        <v>40</v>
      </c>
      <c r="CN151" s="8" t="b">
        <v>0</v>
      </c>
      <c r="CO151" s="7" t="s">
        <v>955</v>
      </c>
      <c r="CP151" s="7">
        <v>1217.550320926953</v>
      </c>
    </row>
    <row r="152" spans="1:94" ht="21" customHeight="1" x14ac:dyDescent="0.45">
      <c r="A152" s="9">
        <v>46236.364583333336</v>
      </c>
      <c r="B152" s="9">
        <v>46236.375</v>
      </c>
      <c r="C152" s="9">
        <v>46236.489583333336</v>
      </c>
      <c r="D152" s="10">
        <v>46236</v>
      </c>
      <c r="E152" s="7">
        <v>0.25</v>
      </c>
      <c r="F152" s="7" t="s">
        <v>770</v>
      </c>
      <c r="G152" s="9">
        <v>46236.333333333336</v>
      </c>
      <c r="H152" s="7">
        <v>0.69</v>
      </c>
      <c r="I152" s="7" t="s">
        <v>1036</v>
      </c>
      <c r="J152" s="7">
        <v>15</v>
      </c>
      <c r="K152" s="7" t="s">
        <v>960</v>
      </c>
      <c r="L152" s="10">
        <v>46234</v>
      </c>
      <c r="M152" s="7">
        <v>5.2473000000000001</v>
      </c>
      <c r="N152" s="7" t="s">
        <v>773</v>
      </c>
      <c r="O152" s="7">
        <v>71.936000000000007</v>
      </c>
      <c r="P152" s="7" t="s">
        <v>1031</v>
      </c>
      <c r="Q152" s="7" t="s">
        <v>775</v>
      </c>
      <c r="R152" s="7">
        <v>66.224534522516336</v>
      </c>
      <c r="S152" s="7" t="s">
        <v>776</v>
      </c>
      <c r="T152" s="7">
        <v>175</v>
      </c>
      <c r="U152" s="7" t="s">
        <v>1032</v>
      </c>
      <c r="V152" s="7" t="s">
        <v>775</v>
      </c>
      <c r="W152" s="7">
        <v>5.4828197358641582</v>
      </c>
      <c r="X152" s="7" t="s">
        <v>776</v>
      </c>
      <c r="Y152" s="7">
        <v>175</v>
      </c>
      <c r="Z152" s="7" t="s">
        <v>1033</v>
      </c>
      <c r="AA152" s="7" t="s">
        <v>775</v>
      </c>
      <c r="AB152" s="7">
        <v>3.0072608770224685</v>
      </c>
      <c r="AC152" s="7" t="s">
        <v>776</v>
      </c>
      <c r="AD152" s="7"/>
      <c r="AE152" s="7" t="s">
        <v>779</v>
      </c>
      <c r="AF152" s="7"/>
      <c r="AG152" s="7">
        <v>0</v>
      </c>
      <c r="AH152" s="7" t="s">
        <v>776</v>
      </c>
      <c r="AI152" s="7">
        <v>0</v>
      </c>
      <c r="AJ152" s="7">
        <v>-57.182360452041998</v>
      </c>
      <c r="AK152" s="7" t="s">
        <v>776</v>
      </c>
      <c r="AL152" s="7">
        <v>31.718</v>
      </c>
      <c r="AM152" s="7" t="s">
        <v>780</v>
      </c>
      <c r="AN152" s="7" t="s">
        <v>781</v>
      </c>
      <c r="AO152" s="7" t="s">
        <v>782</v>
      </c>
      <c r="AP152" s="7">
        <v>0</v>
      </c>
      <c r="AQ152" s="7">
        <v>0.72498285714285715</v>
      </c>
      <c r="AR152" s="7">
        <v>0.72498285714285715</v>
      </c>
      <c r="AS152" s="8" t="b">
        <v>1</v>
      </c>
      <c r="AT152" s="8" t="b">
        <v>1</v>
      </c>
      <c r="AU152" s="8" t="b">
        <v>1</v>
      </c>
      <c r="AV152" s="8" t="b">
        <v>1</v>
      </c>
      <c r="AW152" s="8" t="b">
        <v>1</v>
      </c>
      <c r="AX152" s="8" t="b">
        <v>1</v>
      </c>
      <c r="AY152" s="8" t="b">
        <v>1</v>
      </c>
      <c r="AZ152" s="8" t="b">
        <v>1</v>
      </c>
      <c r="BA152" s="7" t="s">
        <v>783</v>
      </c>
      <c r="BB152" s="7" t="s">
        <v>783</v>
      </c>
      <c r="BC152" s="7" t="s">
        <v>784</v>
      </c>
      <c r="BD152" s="7">
        <v>248.7373863521648</v>
      </c>
      <c r="BE152" s="7">
        <v>4.3498971428571434</v>
      </c>
      <c r="BF152" s="7">
        <v>18.043565262134813</v>
      </c>
      <c r="BG152" s="7">
        <v>0.13714285714285715</v>
      </c>
      <c r="BH152" s="7" t="s">
        <v>154</v>
      </c>
      <c r="BI152" s="7">
        <v>175</v>
      </c>
      <c r="BJ152" s="7">
        <v>24</v>
      </c>
      <c r="BK152" s="7">
        <v>24</v>
      </c>
      <c r="BL152" s="7">
        <v>24</v>
      </c>
      <c r="BM152" s="8" t="b">
        <v>1</v>
      </c>
      <c r="BN152" s="7">
        <v>0</v>
      </c>
      <c r="BO152" s="7">
        <v>0</v>
      </c>
      <c r="BP152" s="7">
        <v>32.896918415184949</v>
      </c>
      <c r="BQ152" s="7">
        <v>0.13714285714285715</v>
      </c>
      <c r="BR152" s="7" t="s">
        <v>154</v>
      </c>
      <c r="BS152" s="7">
        <v>175</v>
      </c>
      <c r="BT152" s="7">
        <v>24</v>
      </c>
      <c r="BU152" s="7">
        <v>24</v>
      </c>
      <c r="BV152" s="7">
        <v>24</v>
      </c>
      <c r="BW152" s="7" t="s">
        <v>1036</v>
      </c>
      <c r="BX152" s="8" t="b">
        <v>1</v>
      </c>
      <c r="BY152" s="7">
        <v>-6.2099999999999991</v>
      </c>
      <c r="BZ152" s="7">
        <v>-36</v>
      </c>
      <c r="CA152" s="7">
        <v>46236.375</v>
      </c>
      <c r="CB152" s="7">
        <v>46236.364583333336</v>
      </c>
      <c r="CC152" s="7">
        <v>3.4116403809523813E-2</v>
      </c>
      <c r="CD152" s="7">
        <v>54.773743463353966</v>
      </c>
      <c r="CE152" s="7">
        <v>67.055648834782531</v>
      </c>
      <c r="CF152" s="7">
        <v>662.24534522516342</v>
      </c>
      <c r="CG152" s="7">
        <v>0.3125</v>
      </c>
      <c r="CH152" s="7" t="s">
        <v>150</v>
      </c>
      <c r="CI152" s="7">
        <v>128</v>
      </c>
      <c r="CJ152" s="8" t="b">
        <v>1</v>
      </c>
      <c r="CK152" s="7">
        <v>40</v>
      </c>
      <c r="CL152" s="7">
        <v>40</v>
      </c>
      <c r="CM152" s="7">
        <v>40</v>
      </c>
      <c r="CN152" s="8" t="b">
        <v>0</v>
      </c>
      <c r="CO152" s="7" t="s">
        <v>955</v>
      </c>
      <c r="CP152" s="7">
        <v>955.71321525464793</v>
      </c>
    </row>
    <row r="153" spans="1:94" ht="21" customHeight="1" x14ac:dyDescent="0.45">
      <c r="A153" s="9">
        <v>46236.375</v>
      </c>
      <c r="B153" s="9">
        <v>46236.385416666664</v>
      </c>
      <c r="C153" s="9">
        <v>46236.5</v>
      </c>
      <c r="D153" s="10">
        <v>46236</v>
      </c>
      <c r="E153" s="7">
        <v>0.25</v>
      </c>
      <c r="F153" s="7" t="s">
        <v>770</v>
      </c>
      <c r="G153" s="9">
        <v>46236.375</v>
      </c>
      <c r="H153" s="7">
        <v>0.51</v>
      </c>
      <c r="I153" s="7" t="s">
        <v>1037</v>
      </c>
      <c r="J153" s="7">
        <v>15</v>
      </c>
      <c r="K153" s="7" t="s">
        <v>960</v>
      </c>
      <c r="L153" s="10">
        <v>46234</v>
      </c>
      <c r="M153" s="7">
        <v>5.2473000000000001</v>
      </c>
      <c r="N153" s="7" t="s">
        <v>773</v>
      </c>
      <c r="O153" s="7">
        <v>71.936000000000007</v>
      </c>
      <c r="P153" s="7" t="s">
        <v>1038</v>
      </c>
      <c r="Q153" s="7" t="s">
        <v>775</v>
      </c>
      <c r="R153" s="7">
        <v>66.224534522516336</v>
      </c>
      <c r="S153" s="7" t="s">
        <v>776</v>
      </c>
      <c r="T153" s="7">
        <v>175</v>
      </c>
      <c r="U153" s="7" t="s">
        <v>1039</v>
      </c>
      <c r="V153" s="7" t="s">
        <v>775</v>
      </c>
      <c r="W153" s="7">
        <v>5.5209345758771171</v>
      </c>
      <c r="X153" s="7" t="s">
        <v>776</v>
      </c>
      <c r="Y153" s="7">
        <v>175</v>
      </c>
      <c r="Z153" s="7" t="s">
        <v>1040</v>
      </c>
      <c r="AA153" s="7" t="s">
        <v>775</v>
      </c>
      <c r="AB153" s="7">
        <v>6.8740113963371634</v>
      </c>
      <c r="AC153" s="7" t="s">
        <v>776</v>
      </c>
      <c r="AD153" s="7"/>
      <c r="AE153" s="7" t="s">
        <v>779</v>
      </c>
      <c r="AF153" s="7"/>
      <c r="AG153" s="7">
        <v>0</v>
      </c>
      <c r="AH153" s="7" t="s">
        <v>776</v>
      </c>
      <c r="AI153" s="7">
        <v>0</v>
      </c>
      <c r="AJ153" s="7">
        <v>-220.84538715148744</v>
      </c>
      <c r="AK153" s="7" t="s">
        <v>776</v>
      </c>
      <c r="AL153" s="7">
        <v>28.13</v>
      </c>
      <c r="AM153" s="7" t="s">
        <v>780</v>
      </c>
      <c r="AN153" s="7" t="s">
        <v>781</v>
      </c>
      <c r="AO153" s="7" t="s">
        <v>782</v>
      </c>
      <c r="AP153" s="7">
        <v>0</v>
      </c>
      <c r="AQ153" s="7">
        <v>0.64297142857142853</v>
      </c>
      <c r="AR153" s="7">
        <v>0.64297142857142853</v>
      </c>
      <c r="AS153" s="8" t="b">
        <v>1</v>
      </c>
      <c r="AT153" s="8" t="b">
        <v>1</v>
      </c>
      <c r="AU153" s="8" t="b">
        <v>1</v>
      </c>
      <c r="AV153" s="8" t="b">
        <v>1</v>
      </c>
      <c r="AW153" s="8" t="b">
        <v>1</v>
      </c>
      <c r="AX153" s="8" t="b">
        <v>1</v>
      </c>
      <c r="AY153" s="8" t="b">
        <v>1</v>
      </c>
      <c r="AZ153" s="8" t="b">
        <v>1</v>
      </c>
      <c r="BA153" s="7" t="s">
        <v>783</v>
      </c>
      <c r="BB153" s="7" t="s">
        <v>783</v>
      </c>
      <c r="BC153" s="7" t="s">
        <v>784</v>
      </c>
      <c r="BD153" s="7">
        <v>851.98364442121249</v>
      </c>
      <c r="BE153" s="7">
        <v>3.8578285714285712</v>
      </c>
      <c r="BF153" s="7">
        <v>41.24406837802298</v>
      </c>
      <c r="BG153" s="7">
        <v>0.13714285714285715</v>
      </c>
      <c r="BH153" s="7" t="s">
        <v>154</v>
      </c>
      <c r="BI153" s="7">
        <v>175</v>
      </c>
      <c r="BJ153" s="7">
        <v>24</v>
      </c>
      <c r="BK153" s="7">
        <v>24</v>
      </c>
      <c r="BL153" s="7">
        <v>24</v>
      </c>
      <c r="BM153" s="8" t="b">
        <v>1</v>
      </c>
      <c r="BN153" s="7">
        <v>0</v>
      </c>
      <c r="BO153" s="7">
        <v>0</v>
      </c>
      <c r="BP153" s="7">
        <v>33.125607455262703</v>
      </c>
      <c r="BQ153" s="7">
        <v>0.13714285714285715</v>
      </c>
      <c r="BR153" s="7" t="s">
        <v>154</v>
      </c>
      <c r="BS153" s="7">
        <v>175</v>
      </c>
      <c r="BT153" s="7">
        <v>24</v>
      </c>
      <c r="BU153" s="7">
        <v>24</v>
      </c>
      <c r="BV153" s="7">
        <v>24</v>
      </c>
      <c r="BW153" s="7" t="s">
        <v>1037</v>
      </c>
      <c r="BX153" s="8" t="b">
        <v>1</v>
      </c>
      <c r="BY153" s="7">
        <v>-4.59</v>
      </c>
      <c r="BZ153" s="7">
        <v>-36</v>
      </c>
      <c r="CA153" s="7">
        <v>46236.385416666664</v>
      </c>
      <c r="CB153" s="7">
        <v>46236.375</v>
      </c>
      <c r="CC153" s="7">
        <v>3.2858895238095237E-2</v>
      </c>
      <c r="CD153" s="7">
        <v>67.055648834782531</v>
      </c>
      <c r="CE153" s="7">
        <v>78.884851120496819</v>
      </c>
      <c r="CF153" s="7">
        <v>662.24534522516342</v>
      </c>
      <c r="CG153" s="7">
        <v>0.3125</v>
      </c>
      <c r="CH153" s="7" t="s">
        <v>150</v>
      </c>
      <c r="CI153" s="7">
        <v>128</v>
      </c>
      <c r="CJ153" s="8" t="b">
        <v>1</v>
      </c>
      <c r="CK153" s="7">
        <v>40</v>
      </c>
      <c r="CL153" s="7">
        <v>40</v>
      </c>
      <c r="CM153" s="7">
        <v>40</v>
      </c>
      <c r="CN153" s="8" t="b">
        <v>0</v>
      </c>
      <c r="CO153" s="7" t="s">
        <v>955</v>
      </c>
      <c r="CP153" s="7">
        <v>1584.0086654796617</v>
      </c>
    </row>
    <row r="154" spans="1:94" ht="21" customHeight="1" x14ac:dyDescent="0.45">
      <c r="A154" s="9">
        <v>46236.385416666664</v>
      </c>
      <c r="B154" s="9">
        <v>46236.395833333336</v>
      </c>
      <c r="C154" s="9">
        <v>46236.510416666664</v>
      </c>
      <c r="D154" s="10">
        <v>46236</v>
      </c>
      <c r="E154" s="7">
        <v>0.25</v>
      </c>
      <c r="F154" s="7" t="s">
        <v>770</v>
      </c>
      <c r="G154" s="9">
        <v>46236.375</v>
      </c>
      <c r="H154" s="7">
        <v>0.69</v>
      </c>
      <c r="I154" s="7" t="s">
        <v>1041</v>
      </c>
      <c r="J154" s="7">
        <v>15</v>
      </c>
      <c r="K154" s="7" t="s">
        <v>960</v>
      </c>
      <c r="L154" s="10">
        <v>46234</v>
      </c>
      <c r="M154" s="7">
        <v>5.2473000000000001</v>
      </c>
      <c r="N154" s="7" t="s">
        <v>773</v>
      </c>
      <c r="O154" s="7">
        <v>71.936000000000007</v>
      </c>
      <c r="P154" s="7" t="s">
        <v>1038</v>
      </c>
      <c r="Q154" s="7" t="s">
        <v>775</v>
      </c>
      <c r="R154" s="7">
        <v>66.224534522516336</v>
      </c>
      <c r="S154" s="7" t="s">
        <v>776</v>
      </c>
      <c r="T154" s="7">
        <v>175</v>
      </c>
      <c r="U154" s="7" t="s">
        <v>1039</v>
      </c>
      <c r="V154" s="7" t="s">
        <v>775</v>
      </c>
      <c r="W154" s="7">
        <v>5.5209345758771171</v>
      </c>
      <c r="X154" s="7" t="s">
        <v>776</v>
      </c>
      <c r="Y154" s="7">
        <v>175</v>
      </c>
      <c r="Z154" s="7" t="s">
        <v>1040</v>
      </c>
      <c r="AA154" s="7" t="s">
        <v>775</v>
      </c>
      <c r="AB154" s="7">
        <v>6.8740113963371634</v>
      </c>
      <c r="AC154" s="7" t="s">
        <v>776</v>
      </c>
      <c r="AD154" s="7"/>
      <c r="AE154" s="7" t="s">
        <v>779</v>
      </c>
      <c r="AF154" s="7"/>
      <c r="AG154" s="7">
        <v>0</v>
      </c>
      <c r="AH154" s="7" t="s">
        <v>776</v>
      </c>
      <c r="AI154" s="7">
        <v>0</v>
      </c>
      <c r="AJ154" s="7">
        <v>-34.273435862252967</v>
      </c>
      <c r="AK154" s="7" t="s">
        <v>776</v>
      </c>
      <c r="AL154" s="7">
        <v>20.827000000000002</v>
      </c>
      <c r="AM154" s="7" t="s">
        <v>780</v>
      </c>
      <c r="AN154" s="7" t="s">
        <v>781</v>
      </c>
      <c r="AO154" s="7" t="s">
        <v>782</v>
      </c>
      <c r="AP154" s="7">
        <v>0</v>
      </c>
      <c r="AQ154" s="7">
        <v>0.47604571428571429</v>
      </c>
      <c r="AR154" s="7">
        <v>0.47604571428571429</v>
      </c>
      <c r="AS154" s="8" t="b">
        <v>1</v>
      </c>
      <c r="AT154" s="8" t="b">
        <v>1</v>
      </c>
      <c r="AU154" s="8" t="b">
        <v>1</v>
      </c>
      <c r="AV154" s="8" t="b">
        <v>1</v>
      </c>
      <c r="AW154" s="8" t="b">
        <v>1</v>
      </c>
      <c r="AX154" s="8" t="b">
        <v>1</v>
      </c>
      <c r="AY154" s="8" t="b">
        <v>1</v>
      </c>
      <c r="AZ154" s="8" t="b">
        <v>1</v>
      </c>
      <c r="BA154" s="7" t="s">
        <v>783</v>
      </c>
      <c r="BB154" s="7" t="s">
        <v>783</v>
      </c>
      <c r="BC154" s="7" t="s">
        <v>784</v>
      </c>
      <c r="BD154" s="7">
        <v>97.894333536430992</v>
      </c>
      <c r="BE154" s="7">
        <v>2.856274285714286</v>
      </c>
      <c r="BF154" s="7">
        <v>41.24406837802298</v>
      </c>
      <c r="BG154" s="7">
        <v>0.13714285714285715</v>
      </c>
      <c r="BH154" s="7" t="s">
        <v>154</v>
      </c>
      <c r="BI154" s="7">
        <v>175</v>
      </c>
      <c r="BJ154" s="7">
        <v>24</v>
      </c>
      <c r="BK154" s="7">
        <v>24</v>
      </c>
      <c r="BL154" s="7">
        <v>24</v>
      </c>
      <c r="BM154" s="8" t="b">
        <v>1</v>
      </c>
      <c r="BN154" s="7">
        <v>0</v>
      </c>
      <c r="BO154" s="7">
        <v>0</v>
      </c>
      <c r="BP154" s="7">
        <v>33.125607455262703</v>
      </c>
      <c r="BQ154" s="7">
        <v>0.13714285714285715</v>
      </c>
      <c r="BR154" s="7" t="s">
        <v>154</v>
      </c>
      <c r="BS154" s="7">
        <v>175</v>
      </c>
      <c r="BT154" s="7">
        <v>24</v>
      </c>
      <c r="BU154" s="7">
        <v>24</v>
      </c>
      <c r="BV154" s="7">
        <v>24</v>
      </c>
      <c r="BW154" s="7" t="s">
        <v>1041</v>
      </c>
      <c r="BX154" s="8" t="b">
        <v>1</v>
      </c>
      <c r="BY154" s="7">
        <v>-6.2099999999999991</v>
      </c>
      <c r="BZ154" s="7">
        <v>-36</v>
      </c>
      <c r="CA154" s="7">
        <v>46236.395833333336</v>
      </c>
      <c r="CB154" s="7">
        <v>46236.385416666664</v>
      </c>
      <c r="CC154" s="7">
        <v>3.0299367619047623E-2</v>
      </c>
      <c r="CD154" s="7">
        <v>78.884851120496819</v>
      </c>
      <c r="CE154" s="7">
        <v>89.792623463353962</v>
      </c>
      <c r="CF154" s="7">
        <v>662.24534522516342</v>
      </c>
      <c r="CG154" s="7">
        <v>0.3125</v>
      </c>
      <c r="CH154" s="7" t="s">
        <v>150</v>
      </c>
      <c r="CI154" s="7">
        <v>128</v>
      </c>
      <c r="CJ154" s="8" t="b">
        <v>1</v>
      </c>
      <c r="CK154" s="7">
        <v>40</v>
      </c>
      <c r="CL154" s="7">
        <v>40</v>
      </c>
      <c r="CM154" s="7">
        <v>40</v>
      </c>
      <c r="CN154" s="8" t="b">
        <v>0</v>
      </c>
      <c r="CO154" s="7" t="s">
        <v>955</v>
      </c>
      <c r="CP154" s="7">
        <v>828.29935459488013</v>
      </c>
    </row>
    <row r="155" spans="1:94" ht="21" customHeight="1" x14ac:dyDescent="0.45">
      <c r="A155" s="9">
        <v>46236.395833333336</v>
      </c>
      <c r="B155" s="9">
        <v>46236.40625</v>
      </c>
      <c r="C155" s="9">
        <v>46236.520833333336</v>
      </c>
      <c r="D155" s="10">
        <v>46236</v>
      </c>
      <c r="E155" s="7">
        <v>0.25</v>
      </c>
      <c r="F155" s="7" t="s">
        <v>770</v>
      </c>
      <c r="G155" s="9">
        <v>46236.375</v>
      </c>
      <c r="H155" s="7">
        <v>1.95</v>
      </c>
      <c r="I155" s="7" t="s">
        <v>1042</v>
      </c>
      <c r="J155" s="7">
        <v>15</v>
      </c>
      <c r="K155" s="7" t="s">
        <v>960</v>
      </c>
      <c r="L155" s="10">
        <v>46234</v>
      </c>
      <c r="M155" s="7">
        <v>5.2473000000000001</v>
      </c>
      <c r="N155" s="7" t="s">
        <v>773</v>
      </c>
      <c r="O155" s="7">
        <v>71.936000000000007</v>
      </c>
      <c r="P155" s="7" t="s">
        <v>1038</v>
      </c>
      <c r="Q155" s="7" t="s">
        <v>775</v>
      </c>
      <c r="R155" s="7">
        <v>66.224534522516336</v>
      </c>
      <c r="S155" s="7" t="s">
        <v>776</v>
      </c>
      <c r="T155" s="7">
        <v>175</v>
      </c>
      <c r="U155" s="7" t="s">
        <v>1039</v>
      </c>
      <c r="V155" s="7" t="s">
        <v>775</v>
      </c>
      <c r="W155" s="7">
        <v>5.5209345758771171</v>
      </c>
      <c r="X155" s="7" t="s">
        <v>776</v>
      </c>
      <c r="Y155" s="7">
        <v>175</v>
      </c>
      <c r="Z155" s="7" t="s">
        <v>1040</v>
      </c>
      <c r="AA155" s="7" t="s">
        <v>775</v>
      </c>
      <c r="AB155" s="7">
        <v>6.8740113963371634</v>
      </c>
      <c r="AC155" s="7" t="s">
        <v>776</v>
      </c>
      <c r="AD155" s="7"/>
      <c r="AE155" s="7" t="s">
        <v>779</v>
      </c>
      <c r="AF155" s="7"/>
      <c r="AG155" s="7">
        <v>0</v>
      </c>
      <c r="AH155" s="7" t="s">
        <v>776</v>
      </c>
      <c r="AI155" s="7">
        <v>0</v>
      </c>
      <c r="AJ155" s="7">
        <v>8.5459188535056132</v>
      </c>
      <c r="AK155" s="7" t="s">
        <v>776</v>
      </c>
      <c r="AL155" s="7">
        <v>9.6609999999999996</v>
      </c>
      <c r="AM155" s="7" t="s">
        <v>780</v>
      </c>
      <c r="AN155" s="7" t="s">
        <v>781</v>
      </c>
      <c r="AO155" s="7" t="s">
        <v>782</v>
      </c>
      <c r="AP155" s="7">
        <v>0</v>
      </c>
      <c r="AQ155" s="7">
        <v>0.2208228571428571</v>
      </c>
      <c r="AR155" s="7">
        <v>0.2208228571428571</v>
      </c>
      <c r="AS155" s="8" t="b">
        <v>1</v>
      </c>
      <c r="AT155" s="8" t="b">
        <v>1</v>
      </c>
      <c r="AU155" s="8" t="b">
        <v>1</v>
      </c>
      <c r="AV155" s="8" t="b">
        <v>1</v>
      </c>
      <c r="AW155" s="8" t="b">
        <v>1</v>
      </c>
      <c r="AX155" s="8" t="b">
        <v>1</v>
      </c>
      <c r="AY155" s="8" t="b">
        <v>1</v>
      </c>
      <c r="AZ155" s="8" t="b">
        <v>1</v>
      </c>
      <c r="BA155" s="7" t="s">
        <v>783</v>
      </c>
      <c r="BB155" s="7" t="s">
        <v>783</v>
      </c>
      <c r="BC155" s="7" t="s">
        <v>784</v>
      </c>
      <c r="BD155" s="7">
        <v>-11.322805308852717</v>
      </c>
      <c r="BE155" s="7">
        <v>1.3249371428571428</v>
      </c>
      <c r="BF155" s="7">
        <v>41.24406837802298</v>
      </c>
      <c r="BG155" s="7">
        <v>0.13714285714285715</v>
      </c>
      <c r="BH155" s="7" t="s">
        <v>154</v>
      </c>
      <c r="BI155" s="7">
        <v>175</v>
      </c>
      <c r="BJ155" s="7">
        <v>24</v>
      </c>
      <c r="BK155" s="7">
        <v>24</v>
      </c>
      <c r="BL155" s="7">
        <v>24</v>
      </c>
      <c r="BM155" s="8" t="b">
        <v>1</v>
      </c>
      <c r="BN155" s="7">
        <v>0</v>
      </c>
      <c r="BO155" s="7">
        <v>0</v>
      </c>
      <c r="BP155" s="7">
        <v>33.125607455262703</v>
      </c>
      <c r="BQ155" s="7">
        <v>0.13714285714285715</v>
      </c>
      <c r="BR155" s="7" t="s">
        <v>154</v>
      </c>
      <c r="BS155" s="7">
        <v>175</v>
      </c>
      <c r="BT155" s="7">
        <v>24</v>
      </c>
      <c r="BU155" s="7">
        <v>24</v>
      </c>
      <c r="BV155" s="7">
        <v>24</v>
      </c>
      <c r="BW155" s="7" t="s">
        <v>1042</v>
      </c>
      <c r="BX155" s="8" t="b">
        <v>1</v>
      </c>
      <c r="BY155" s="7">
        <v>-17.55</v>
      </c>
      <c r="BZ155" s="7">
        <v>-36</v>
      </c>
      <c r="CA155" s="7">
        <v>46236.40625</v>
      </c>
      <c r="CB155" s="7">
        <v>46236.395833333336</v>
      </c>
      <c r="CC155" s="7">
        <v>2.6385950476190478E-2</v>
      </c>
      <c r="CD155" s="7">
        <v>89.792623463353962</v>
      </c>
      <c r="CE155" s="7">
        <v>99.291565634782543</v>
      </c>
      <c r="CF155" s="7">
        <v>662.24534522516342</v>
      </c>
      <c r="CG155" s="7">
        <v>0.3125</v>
      </c>
      <c r="CH155" s="7" t="s">
        <v>150</v>
      </c>
      <c r="CI155" s="7">
        <v>128</v>
      </c>
      <c r="CJ155" s="8" t="b">
        <v>1</v>
      </c>
      <c r="CK155" s="7">
        <v>40</v>
      </c>
      <c r="CL155" s="7">
        <v>40</v>
      </c>
      <c r="CM155" s="7">
        <v>40</v>
      </c>
      <c r="CN155" s="8" t="b">
        <v>0</v>
      </c>
      <c r="CO155" s="7" t="s">
        <v>955</v>
      </c>
      <c r="CP155" s="7">
        <v>707.74221574959643</v>
      </c>
    </row>
    <row r="156" spans="1:94" ht="21" customHeight="1" x14ac:dyDescent="0.45">
      <c r="A156" s="9">
        <v>46236.40625</v>
      </c>
      <c r="B156" s="9">
        <v>46236.416666666664</v>
      </c>
      <c r="C156" s="9">
        <v>46236.53125</v>
      </c>
      <c r="D156" s="10">
        <v>46236</v>
      </c>
      <c r="E156" s="7">
        <v>0.25</v>
      </c>
      <c r="F156" s="7" t="s">
        <v>770</v>
      </c>
      <c r="G156" s="9">
        <v>46236.375</v>
      </c>
      <c r="H156" s="7">
        <v>2.4300000000000002</v>
      </c>
      <c r="I156" s="7" t="s">
        <v>1043</v>
      </c>
      <c r="J156" s="7">
        <v>15</v>
      </c>
      <c r="K156" s="7" t="s">
        <v>960</v>
      </c>
      <c r="L156" s="10">
        <v>46234</v>
      </c>
      <c r="M156" s="7">
        <v>5.2473000000000001</v>
      </c>
      <c r="N156" s="7" t="s">
        <v>773</v>
      </c>
      <c r="O156" s="7">
        <v>71.936000000000007</v>
      </c>
      <c r="P156" s="7" t="s">
        <v>1038</v>
      </c>
      <c r="Q156" s="7" t="s">
        <v>775</v>
      </c>
      <c r="R156" s="7">
        <v>66.224534522516336</v>
      </c>
      <c r="S156" s="7" t="s">
        <v>776</v>
      </c>
      <c r="T156" s="7">
        <v>175</v>
      </c>
      <c r="U156" s="7" t="s">
        <v>1039</v>
      </c>
      <c r="V156" s="7" t="s">
        <v>775</v>
      </c>
      <c r="W156" s="7">
        <v>5.5209345758771171</v>
      </c>
      <c r="X156" s="7" t="s">
        <v>776</v>
      </c>
      <c r="Y156" s="7">
        <v>175</v>
      </c>
      <c r="Z156" s="7" t="s">
        <v>1040</v>
      </c>
      <c r="AA156" s="7" t="s">
        <v>775</v>
      </c>
      <c r="AB156" s="7">
        <v>6.8740113963371634</v>
      </c>
      <c r="AC156" s="7" t="s">
        <v>776</v>
      </c>
      <c r="AD156" s="7"/>
      <c r="AE156" s="7" t="s">
        <v>779</v>
      </c>
      <c r="AF156" s="7"/>
      <c r="AG156" s="7">
        <v>0</v>
      </c>
      <c r="AH156" s="7" t="s">
        <v>776</v>
      </c>
      <c r="AI156" s="7">
        <v>0</v>
      </c>
      <c r="AJ156" s="7">
        <v>-23.469403312179598</v>
      </c>
      <c r="AK156" s="7" t="s">
        <v>776</v>
      </c>
      <c r="AL156" s="7">
        <v>15.239000000000001</v>
      </c>
      <c r="AM156" s="7" t="s">
        <v>780</v>
      </c>
      <c r="AN156" s="7" t="s">
        <v>781</v>
      </c>
      <c r="AO156" s="7" t="s">
        <v>782</v>
      </c>
      <c r="AP156" s="7">
        <v>0</v>
      </c>
      <c r="AQ156" s="7">
        <v>0.34832000000000002</v>
      </c>
      <c r="AR156" s="7">
        <v>0.34832000000000002</v>
      </c>
      <c r="AS156" s="8" t="b">
        <v>1</v>
      </c>
      <c r="AT156" s="8" t="b">
        <v>1</v>
      </c>
      <c r="AU156" s="8" t="b">
        <v>1</v>
      </c>
      <c r="AV156" s="8" t="b">
        <v>1</v>
      </c>
      <c r="AW156" s="8" t="b">
        <v>1</v>
      </c>
      <c r="AX156" s="8" t="b">
        <v>1</v>
      </c>
      <c r="AY156" s="8" t="b">
        <v>1</v>
      </c>
      <c r="AZ156" s="8" t="b">
        <v>1</v>
      </c>
      <c r="BA156" s="7" t="s">
        <v>783</v>
      </c>
      <c r="BB156" s="7" t="s">
        <v>783</v>
      </c>
      <c r="BC156" s="7" t="s">
        <v>784</v>
      </c>
      <c r="BD156" s="7">
        <v>49.04917537019039</v>
      </c>
      <c r="BE156" s="7">
        <v>2.0899200000000002</v>
      </c>
      <c r="BF156" s="7">
        <v>41.24406837802298</v>
      </c>
      <c r="BG156" s="7">
        <v>0.13714285714285715</v>
      </c>
      <c r="BH156" s="7" t="s">
        <v>154</v>
      </c>
      <c r="BI156" s="7">
        <v>175</v>
      </c>
      <c r="BJ156" s="7">
        <v>24</v>
      </c>
      <c r="BK156" s="7">
        <v>24</v>
      </c>
      <c r="BL156" s="7">
        <v>24</v>
      </c>
      <c r="BM156" s="8" t="b">
        <v>1</v>
      </c>
      <c r="BN156" s="7">
        <v>0</v>
      </c>
      <c r="BO156" s="7">
        <v>0</v>
      </c>
      <c r="BP156" s="7">
        <v>33.125607455262703</v>
      </c>
      <c r="BQ156" s="7">
        <v>0.13714285714285715</v>
      </c>
      <c r="BR156" s="7" t="s">
        <v>154</v>
      </c>
      <c r="BS156" s="7">
        <v>175</v>
      </c>
      <c r="BT156" s="7">
        <v>24</v>
      </c>
      <c r="BU156" s="7">
        <v>24</v>
      </c>
      <c r="BV156" s="7">
        <v>24</v>
      </c>
      <c r="BW156" s="7" t="s">
        <v>1043</v>
      </c>
      <c r="BX156" s="8" t="b">
        <v>1</v>
      </c>
      <c r="BY156" s="7">
        <v>-21.87</v>
      </c>
      <c r="BZ156" s="7">
        <v>-36</v>
      </c>
      <c r="CA156" s="7">
        <v>46236.416666666664</v>
      </c>
      <c r="CB156" s="7">
        <v>46236.40625</v>
      </c>
      <c r="CC156" s="7">
        <v>2.8340906666666665E-2</v>
      </c>
      <c r="CD156" s="7">
        <v>99.291565634782543</v>
      </c>
      <c r="CE156" s="7">
        <v>109.49429203478255</v>
      </c>
      <c r="CF156" s="7">
        <v>662.24534522516342</v>
      </c>
      <c r="CG156" s="7">
        <v>0.3125</v>
      </c>
      <c r="CH156" s="7" t="s">
        <v>150</v>
      </c>
      <c r="CI156" s="7">
        <v>128</v>
      </c>
      <c r="CJ156" s="8" t="b">
        <v>1</v>
      </c>
      <c r="CK156" s="7">
        <v>40</v>
      </c>
      <c r="CL156" s="7">
        <v>40</v>
      </c>
      <c r="CM156" s="7">
        <v>40</v>
      </c>
      <c r="CN156" s="8" t="b">
        <v>0</v>
      </c>
      <c r="CO156" s="7" t="s">
        <v>955</v>
      </c>
      <c r="CP156" s="7">
        <v>763.79419642863945</v>
      </c>
    </row>
    <row r="157" spans="1:94" ht="21" customHeight="1" x14ac:dyDescent="0.45">
      <c r="A157" s="9">
        <v>46236.416666666664</v>
      </c>
      <c r="B157" s="9">
        <v>46236.427083333336</v>
      </c>
      <c r="C157" s="9">
        <v>46236.541666666664</v>
      </c>
      <c r="D157" s="10">
        <v>46236</v>
      </c>
      <c r="E157" s="7">
        <v>0.25</v>
      </c>
      <c r="F157" s="7" t="s">
        <v>770</v>
      </c>
      <c r="G157" s="9">
        <v>46236.416666666664</v>
      </c>
      <c r="H157" s="7">
        <v>3.03</v>
      </c>
      <c r="I157" s="7" t="s">
        <v>1044</v>
      </c>
      <c r="J157" s="7">
        <v>15</v>
      </c>
      <c r="K157" s="7" t="s">
        <v>960</v>
      </c>
      <c r="L157" s="10">
        <v>46234</v>
      </c>
      <c r="M157" s="7">
        <v>5.2473000000000001</v>
      </c>
      <c r="N157" s="7" t="s">
        <v>773</v>
      </c>
      <c r="O157" s="7">
        <v>71.936000000000007</v>
      </c>
      <c r="P157" s="7" t="s">
        <v>1045</v>
      </c>
      <c r="Q157" s="7" t="s">
        <v>775</v>
      </c>
      <c r="R157" s="7">
        <v>66.224534522516336</v>
      </c>
      <c r="S157" s="7" t="s">
        <v>776</v>
      </c>
      <c r="T157" s="7">
        <v>175</v>
      </c>
      <c r="U157" s="7" t="s">
        <v>1046</v>
      </c>
      <c r="V157" s="7" t="s">
        <v>775</v>
      </c>
      <c r="W157" s="7">
        <v>5.4732910258609184</v>
      </c>
      <c r="X157" s="7" t="s">
        <v>776</v>
      </c>
      <c r="Y157" s="7">
        <v>175</v>
      </c>
      <c r="Z157" s="7" t="s">
        <v>1047</v>
      </c>
      <c r="AA157" s="7" t="s">
        <v>775</v>
      </c>
      <c r="AB157" s="7">
        <v>6.8606712023326279</v>
      </c>
      <c r="AC157" s="7" t="s">
        <v>776</v>
      </c>
      <c r="AD157" s="7"/>
      <c r="AE157" s="7" t="s">
        <v>779</v>
      </c>
      <c r="AF157" s="7"/>
      <c r="AG157" s="7">
        <v>0</v>
      </c>
      <c r="AH157" s="7" t="s">
        <v>776</v>
      </c>
      <c r="AI157" s="7">
        <v>0</v>
      </c>
      <c r="AJ157" s="7">
        <v>34.425514073904672</v>
      </c>
      <c r="AK157" s="7" t="s">
        <v>776</v>
      </c>
      <c r="AL157" s="7">
        <v>3.9729999999999999</v>
      </c>
      <c r="AM157" s="7" t="s">
        <v>780</v>
      </c>
      <c r="AN157" s="7" t="s">
        <v>781</v>
      </c>
      <c r="AO157" s="7" t="s">
        <v>782</v>
      </c>
      <c r="AP157" s="7">
        <v>0</v>
      </c>
      <c r="AQ157" s="7">
        <v>9.0811428571428501E-2</v>
      </c>
      <c r="AR157" s="7">
        <v>9.0811428571428501E-2</v>
      </c>
      <c r="AS157" s="8" t="b">
        <v>1</v>
      </c>
      <c r="AT157" s="8" t="b">
        <v>1</v>
      </c>
      <c r="AU157" s="8" t="b">
        <v>1</v>
      </c>
      <c r="AV157" s="8" t="b">
        <v>1</v>
      </c>
      <c r="AW157" s="8" t="b">
        <v>1</v>
      </c>
      <c r="AX157" s="8" t="b">
        <v>1</v>
      </c>
      <c r="AY157" s="8" t="b">
        <v>1</v>
      </c>
      <c r="AZ157" s="8" t="b">
        <v>1</v>
      </c>
      <c r="BA157" s="7" t="s">
        <v>783</v>
      </c>
      <c r="BB157" s="7" t="s">
        <v>783</v>
      </c>
      <c r="BC157" s="7" t="s">
        <v>784</v>
      </c>
      <c r="BD157" s="7">
        <v>-18.75738067414262</v>
      </c>
      <c r="BE157" s="7">
        <v>0.54486857142857148</v>
      </c>
      <c r="BF157" s="7">
        <v>41.164027213995766</v>
      </c>
      <c r="BG157" s="7">
        <v>0.13714285714285715</v>
      </c>
      <c r="BH157" s="7" t="s">
        <v>154</v>
      </c>
      <c r="BI157" s="7">
        <v>175</v>
      </c>
      <c r="BJ157" s="7">
        <v>24</v>
      </c>
      <c r="BK157" s="7">
        <v>24</v>
      </c>
      <c r="BL157" s="7">
        <v>24</v>
      </c>
      <c r="BM157" s="8" t="b">
        <v>1</v>
      </c>
      <c r="BN157" s="7">
        <v>0</v>
      </c>
      <c r="BO157" s="7">
        <v>0</v>
      </c>
      <c r="BP157" s="7">
        <v>32.839746155165514</v>
      </c>
      <c r="BQ157" s="7">
        <v>0.13714285714285715</v>
      </c>
      <c r="BR157" s="7" t="s">
        <v>154</v>
      </c>
      <c r="BS157" s="7">
        <v>175</v>
      </c>
      <c r="BT157" s="7">
        <v>24</v>
      </c>
      <c r="BU157" s="7">
        <v>24</v>
      </c>
      <c r="BV157" s="7">
        <v>24</v>
      </c>
      <c r="BW157" s="7" t="s">
        <v>1044</v>
      </c>
      <c r="BX157" s="8" t="b">
        <v>1</v>
      </c>
      <c r="BY157" s="7">
        <v>-27.27</v>
      </c>
      <c r="BZ157" s="7">
        <v>-36</v>
      </c>
      <c r="CA157" s="7">
        <v>46236.427083333336</v>
      </c>
      <c r="CB157" s="7">
        <v>46236.416666666664</v>
      </c>
      <c r="CC157" s="7">
        <v>2.4392441904761905E-2</v>
      </c>
      <c r="CD157" s="7">
        <v>109.49429203478255</v>
      </c>
      <c r="CE157" s="7">
        <v>118.27557112049683</v>
      </c>
      <c r="CF157" s="7">
        <v>662.24534522516342</v>
      </c>
      <c r="CG157" s="7">
        <v>0.3125</v>
      </c>
      <c r="CH157" s="7" t="s">
        <v>150</v>
      </c>
      <c r="CI157" s="7">
        <v>128</v>
      </c>
      <c r="CJ157" s="8" t="b">
        <v>1</v>
      </c>
      <c r="CK157" s="7">
        <v>40</v>
      </c>
      <c r="CL157" s="7">
        <v>40</v>
      </c>
      <c r="CM157" s="7">
        <v>40</v>
      </c>
      <c r="CN157" s="8" t="b">
        <v>0</v>
      </c>
      <c r="CO157" s="7" t="s">
        <v>955</v>
      </c>
      <c r="CP157" s="7">
        <v>690.22173792018202</v>
      </c>
    </row>
    <row r="158" spans="1:94" ht="21" customHeight="1" x14ac:dyDescent="0.45">
      <c r="A158" s="9">
        <v>46236.427083333336</v>
      </c>
      <c r="B158" s="9">
        <v>46236.4375</v>
      </c>
      <c r="C158" s="9">
        <v>46236.552083333336</v>
      </c>
      <c r="D158" s="10">
        <v>46236</v>
      </c>
      <c r="E158" s="7">
        <v>0.25</v>
      </c>
      <c r="F158" s="7" t="s">
        <v>770</v>
      </c>
      <c r="G158" s="9">
        <v>46236.416666666664</v>
      </c>
      <c r="H158" s="7">
        <v>3</v>
      </c>
      <c r="I158" s="7" t="s">
        <v>1048</v>
      </c>
      <c r="J158" s="7">
        <v>15</v>
      </c>
      <c r="K158" s="7" t="s">
        <v>960</v>
      </c>
      <c r="L158" s="10">
        <v>46234</v>
      </c>
      <c r="M158" s="7">
        <v>5.2473000000000001</v>
      </c>
      <c r="N158" s="7" t="s">
        <v>773</v>
      </c>
      <c r="O158" s="7">
        <v>71.936000000000007</v>
      </c>
      <c r="P158" s="7" t="s">
        <v>1045</v>
      </c>
      <c r="Q158" s="7" t="s">
        <v>775</v>
      </c>
      <c r="R158" s="7">
        <v>66.224534522516336</v>
      </c>
      <c r="S158" s="7" t="s">
        <v>776</v>
      </c>
      <c r="T158" s="7">
        <v>175</v>
      </c>
      <c r="U158" s="7" t="s">
        <v>1046</v>
      </c>
      <c r="V158" s="7" t="s">
        <v>775</v>
      </c>
      <c r="W158" s="7">
        <v>5.4732910258609184</v>
      </c>
      <c r="X158" s="7" t="s">
        <v>776</v>
      </c>
      <c r="Y158" s="7">
        <v>175</v>
      </c>
      <c r="Z158" s="7" t="s">
        <v>1047</v>
      </c>
      <c r="AA158" s="7" t="s">
        <v>775</v>
      </c>
      <c r="AB158" s="7">
        <v>6.8606712023326279</v>
      </c>
      <c r="AC158" s="7" t="s">
        <v>776</v>
      </c>
      <c r="AD158" s="7"/>
      <c r="AE158" s="7" t="s">
        <v>779</v>
      </c>
      <c r="AF158" s="7"/>
      <c r="AG158" s="7">
        <v>89.209688792331292</v>
      </c>
      <c r="AH158" s="7" t="s">
        <v>776</v>
      </c>
      <c r="AI158" s="7">
        <v>4.2000000000000003E-2</v>
      </c>
      <c r="AJ158" s="7">
        <v>12.709012253921065</v>
      </c>
      <c r="AK158" s="7" t="s">
        <v>776</v>
      </c>
      <c r="AL158" s="7">
        <v>3.133</v>
      </c>
      <c r="AM158" s="7" t="s">
        <v>780</v>
      </c>
      <c r="AN158" s="7" t="s">
        <v>781</v>
      </c>
      <c r="AO158" s="7" t="s">
        <v>782</v>
      </c>
      <c r="AP158" s="7">
        <v>9.6000000000000002E-4</v>
      </c>
      <c r="AQ158" s="7">
        <v>7.1611428571428506E-2</v>
      </c>
      <c r="AR158" s="7">
        <v>7.2571428571428495E-2</v>
      </c>
      <c r="AS158" s="8" t="b">
        <v>1</v>
      </c>
      <c r="AT158" s="8" t="b">
        <v>1</v>
      </c>
      <c r="AU158" s="8" t="b">
        <v>1</v>
      </c>
      <c r="AV158" s="8" t="b">
        <v>1</v>
      </c>
      <c r="AW158" s="8" t="b">
        <v>1</v>
      </c>
      <c r="AX158" s="8" t="b">
        <v>1</v>
      </c>
      <c r="AY158" s="8" t="b">
        <v>1</v>
      </c>
      <c r="AZ158" s="8" t="b">
        <v>1</v>
      </c>
      <c r="BA158" s="7" t="s">
        <v>783</v>
      </c>
      <c r="BB158" s="7" t="s">
        <v>783</v>
      </c>
      <c r="BC158" s="7" t="s">
        <v>784</v>
      </c>
      <c r="BD158" s="7">
        <v>-5.4606631394104728</v>
      </c>
      <c r="BE158" s="7">
        <v>0.42966857142857146</v>
      </c>
      <c r="BF158" s="7">
        <v>41.164027213995766</v>
      </c>
      <c r="BG158" s="7">
        <v>0.13714285714285715</v>
      </c>
      <c r="BH158" s="7" t="s">
        <v>154</v>
      </c>
      <c r="BI158" s="7">
        <v>175</v>
      </c>
      <c r="BJ158" s="7">
        <v>24</v>
      </c>
      <c r="BK158" s="7">
        <v>24</v>
      </c>
      <c r="BL158" s="7">
        <v>24</v>
      </c>
      <c r="BM158" s="8" t="b">
        <v>1</v>
      </c>
      <c r="BN158" s="7">
        <v>0.5138478074438283</v>
      </c>
      <c r="BO158" s="7">
        <v>5.7600000000000004E-3</v>
      </c>
      <c r="BP158" s="7">
        <v>32.839746155165514</v>
      </c>
      <c r="BQ158" s="7">
        <v>0.13714285714285715</v>
      </c>
      <c r="BR158" s="7" t="s">
        <v>154</v>
      </c>
      <c r="BS158" s="7">
        <v>175</v>
      </c>
      <c r="BT158" s="7">
        <v>24</v>
      </c>
      <c r="BU158" s="7">
        <v>24</v>
      </c>
      <c r="BV158" s="7">
        <v>24</v>
      </c>
      <c r="BW158" s="7" t="s">
        <v>1048</v>
      </c>
      <c r="BX158" s="8" t="b">
        <v>1</v>
      </c>
      <c r="BY158" s="7">
        <v>-27</v>
      </c>
      <c r="BZ158" s="7">
        <v>-36</v>
      </c>
      <c r="CA158" s="7">
        <v>46236.4375</v>
      </c>
      <c r="CB158" s="7">
        <v>46236.427083333336</v>
      </c>
      <c r="CC158" s="7">
        <v>2.4083321904761906E-2</v>
      </c>
      <c r="CD158" s="7">
        <v>118.27557112049683</v>
      </c>
      <c r="CE158" s="7">
        <v>126.94556700621112</v>
      </c>
      <c r="CF158" s="7">
        <v>662.24534522516342</v>
      </c>
      <c r="CG158" s="7">
        <v>0.3125</v>
      </c>
      <c r="CH158" s="7" t="s">
        <v>150</v>
      </c>
      <c r="CI158" s="7">
        <v>128</v>
      </c>
      <c r="CJ158" s="8" t="b">
        <v>1</v>
      </c>
      <c r="CK158" s="7">
        <v>40</v>
      </c>
      <c r="CL158" s="7">
        <v>40</v>
      </c>
      <c r="CM158" s="7">
        <v>40</v>
      </c>
      <c r="CN158" s="8" t="b">
        <v>0</v>
      </c>
      <c r="CO158" s="7" t="s">
        <v>955</v>
      </c>
      <c r="CP158" s="7">
        <v>704.30230326235801</v>
      </c>
    </row>
    <row r="159" spans="1:94" ht="21" customHeight="1" x14ac:dyDescent="0.45">
      <c r="A159" s="9">
        <v>46236.4375</v>
      </c>
      <c r="B159" s="9">
        <v>46236.447916666664</v>
      </c>
      <c r="C159" s="9">
        <v>46236.5625</v>
      </c>
      <c r="D159" s="10">
        <v>46236</v>
      </c>
      <c r="E159" s="7">
        <v>0.25</v>
      </c>
      <c r="F159" s="7" t="s">
        <v>770</v>
      </c>
      <c r="G159" s="9">
        <v>46236.416666666664</v>
      </c>
      <c r="H159" s="7">
        <v>3.56</v>
      </c>
      <c r="I159" s="7" t="s">
        <v>1049</v>
      </c>
      <c r="J159" s="7">
        <v>15</v>
      </c>
      <c r="K159" s="7" t="s">
        <v>960</v>
      </c>
      <c r="L159" s="10">
        <v>46234</v>
      </c>
      <c r="M159" s="7">
        <v>5.2473000000000001</v>
      </c>
      <c r="N159" s="7" t="s">
        <v>773</v>
      </c>
      <c r="O159" s="7">
        <v>71.936000000000007</v>
      </c>
      <c r="P159" s="7" t="s">
        <v>1045</v>
      </c>
      <c r="Q159" s="7" t="s">
        <v>775</v>
      </c>
      <c r="R159" s="7">
        <v>66.224534522516336</v>
      </c>
      <c r="S159" s="7" t="s">
        <v>776</v>
      </c>
      <c r="T159" s="7">
        <v>175</v>
      </c>
      <c r="U159" s="7" t="s">
        <v>1046</v>
      </c>
      <c r="V159" s="7" t="s">
        <v>775</v>
      </c>
      <c r="W159" s="7">
        <v>5.4732910258609184</v>
      </c>
      <c r="X159" s="7" t="s">
        <v>776</v>
      </c>
      <c r="Y159" s="7">
        <v>175</v>
      </c>
      <c r="Z159" s="7" t="s">
        <v>1047</v>
      </c>
      <c r="AA159" s="7" t="s">
        <v>775</v>
      </c>
      <c r="AB159" s="7">
        <v>6.8606712023326279</v>
      </c>
      <c r="AC159" s="7" t="s">
        <v>776</v>
      </c>
      <c r="AD159" s="7"/>
      <c r="AE159" s="7" t="s">
        <v>779</v>
      </c>
      <c r="AF159" s="7"/>
      <c r="AG159" s="7">
        <v>89.209688792331292</v>
      </c>
      <c r="AH159" s="7" t="s">
        <v>776</v>
      </c>
      <c r="AI159" s="7">
        <v>1.7000000000000001E-2</v>
      </c>
      <c r="AJ159" s="7">
        <v>-2.9539001010043262</v>
      </c>
      <c r="AK159" s="7" t="s">
        <v>776</v>
      </c>
      <c r="AL159" s="7">
        <v>4.0039999999999996</v>
      </c>
      <c r="AM159" s="7" t="s">
        <v>780</v>
      </c>
      <c r="AN159" s="7" t="s">
        <v>781</v>
      </c>
      <c r="AO159" s="7" t="s">
        <v>782</v>
      </c>
      <c r="AP159" s="7">
        <v>3.8857142857139998E-4</v>
      </c>
      <c r="AQ159" s="7">
        <v>9.1519999999999893E-2</v>
      </c>
      <c r="AR159" s="7">
        <v>9.1908571428571395E-2</v>
      </c>
      <c r="AS159" s="8" t="b">
        <v>1</v>
      </c>
      <c r="AT159" s="8" t="b">
        <v>1</v>
      </c>
      <c r="AU159" s="8" t="b">
        <v>1</v>
      </c>
      <c r="AV159" s="8" t="b">
        <v>1</v>
      </c>
      <c r="AW159" s="8" t="b">
        <v>1</v>
      </c>
      <c r="AX159" s="8" t="b">
        <v>1</v>
      </c>
      <c r="AY159" s="8" t="b">
        <v>1</v>
      </c>
      <c r="AZ159" s="8" t="b">
        <v>1</v>
      </c>
      <c r="BA159" s="7" t="s">
        <v>783</v>
      </c>
      <c r="BB159" s="7" t="s">
        <v>783</v>
      </c>
      <c r="BC159" s="7" t="s">
        <v>784</v>
      </c>
      <c r="BD159" s="7">
        <v>1.6220456234634955</v>
      </c>
      <c r="BE159" s="7">
        <v>0.54911999999999994</v>
      </c>
      <c r="BF159" s="7">
        <v>41.164027213995766</v>
      </c>
      <c r="BG159" s="7">
        <v>0.13714285714285715</v>
      </c>
      <c r="BH159" s="7" t="s">
        <v>154</v>
      </c>
      <c r="BI159" s="7">
        <v>175</v>
      </c>
      <c r="BJ159" s="7">
        <v>24</v>
      </c>
      <c r="BK159" s="7">
        <v>24</v>
      </c>
      <c r="BL159" s="7">
        <v>24</v>
      </c>
      <c r="BM159" s="8" t="b">
        <v>1</v>
      </c>
      <c r="BN159" s="7">
        <v>0.2079860172986924</v>
      </c>
      <c r="BO159" s="7">
        <v>2.3314285714285715E-3</v>
      </c>
      <c r="BP159" s="7">
        <v>32.839746155165514</v>
      </c>
      <c r="BQ159" s="7">
        <v>0.13714285714285715</v>
      </c>
      <c r="BR159" s="7" t="s">
        <v>154</v>
      </c>
      <c r="BS159" s="7">
        <v>175</v>
      </c>
      <c r="BT159" s="7">
        <v>24</v>
      </c>
      <c r="BU159" s="7">
        <v>24</v>
      </c>
      <c r="BV159" s="7">
        <v>24</v>
      </c>
      <c r="BW159" s="7" t="s">
        <v>1049</v>
      </c>
      <c r="BX159" s="8" t="b">
        <v>1</v>
      </c>
      <c r="BY159" s="7">
        <v>-32.04</v>
      </c>
      <c r="BZ159" s="7">
        <v>-36</v>
      </c>
      <c r="CA159" s="7">
        <v>46236.447916666664</v>
      </c>
      <c r="CB159" s="7">
        <v>46236.4375</v>
      </c>
      <c r="CC159" s="7">
        <v>2.439734857142857E-2</v>
      </c>
      <c r="CD159" s="7">
        <v>126.94556700621112</v>
      </c>
      <c r="CE159" s="7">
        <v>135.72861249192542</v>
      </c>
      <c r="CF159" s="7">
        <v>662.24534522516342</v>
      </c>
      <c r="CG159" s="7">
        <v>0.3125</v>
      </c>
      <c r="CH159" s="7" t="s">
        <v>150</v>
      </c>
      <c r="CI159" s="7">
        <v>128</v>
      </c>
      <c r="CJ159" s="8" t="b">
        <v>1</v>
      </c>
      <c r="CK159" s="7">
        <v>40</v>
      </c>
      <c r="CL159" s="7">
        <v>40</v>
      </c>
      <c r="CM159" s="7">
        <v>40</v>
      </c>
      <c r="CN159" s="8" t="b">
        <v>0</v>
      </c>
      <c r="CO159" s="7" t="s">
        <v>955</v>
      </c>
      <c r="CP159" s="7">
        <v>706.03915023508694</v>
      </c>
    </row>
    <row r="160" spans="1:94" ht="21" customHeight="1" x14ac:dyDescent="0.45">
      <c r="A160" s="9">
        <v>46236.447916666664</v>
      </c>
      <c r="B160" s="9">
        <v>46236.458333333336</v>
      </c>
      <c r="C160" s="9">
        <v>46236.572916666664</v>
      </c>
      <c r="D160" s="10">
        <v>46236</v>
      </c>
      <c r="E160" s="7">
        <v>0.25</v>
      </c>
      <c r="F160" s="7" t="s">
        <v>770</v>
      </c>
      <c r="G160" s="9">
        <v>46236.416666666664</v>
      </c>
      <c r="H160" s="7">
        <v>4.21</v>
      </c>
      <c r="I160" s="7" t="s">
        <v>1050</v>
      </c>
      <c r="J160" s="7">
        <v>15</v>
      </c>
      <c r="K160" s="7" t="s">
        <v>960</v>
      </c>
      <c r="L160" s="10">
        <v>46234</v>
      </c>
      <c r="M160" s="7">
        <v>5.2473000000000001</v>
      </c>
      <c r="N160" s="7" t="s">
        <v>773</v>
      </c>
      <c r="O160" s="7">
        <v>71.936000000000007</v>
      </c>
      <c r="P160" s="7" t="s">
        <v>1045</v>
      </c>
      <c r="Q160" s="7" t="s">
        <v>775</v>
      </c>
      <c r="R160" s="7">
        <v>66.224534522516336</v>
      </c>
      <c r="S160" s="7" t="s">
        <v>776</v>
      </c>
      <c r="T160" s="7">
        <v>175</v>
      </c>
      <c r="U160" s="7" t="s">
        <v>1046</v>
      </c>
      <c r="V160" s="7" t="s">
        <v>775</v>
      </c>
      <c r="W160" s="7">
        <v>5.4732910258609184</v>
      </c>
      <c r="X160" s="7" t="s">
        <v>776</v>
      </c>
      <c r="Y160" s="7">
        <v>175</v>
      </c>
      <c r="Z160" s="7" t="s">
        <v>1047</v>
      </c>
      <c r="AA160" s="7" t="s">
        <v>775</v>
      </c>
      <c r="AB160" s="7">
        <v>6.8606712023326279</v>
      </c>
      <c r="AC160" s="7" t="s">
        <v>776</v>
      </c>
      <c r="AD160" s="7"/>
      <c r="AE160" s="7" t="s">
        <v>779</v>
      </c>
      <c r="AF160" s="7"/>
      <c r="AG160" s="7">
        <v>0</v>
      </c>
      <c r="AH160" s="7" t="s">
        <v>776</v>
      </c>
      <c r="AI160" s="7">
        <v>0</v>
      </c>
      <c r="AJ160" s="7">
        <v>-22.43973090922951</v>
      </c>
      <c r="AK160" s="7" t="s">
        <v>776</v>
      </c>
      <c r="AL160" s="7">
        <v>11.689</v>
      </c>
      <c r="AM160" s="7" t="s">
        <v>780</v>
      </c>
      <c r="AN160" s="7" t="s">
        <v>781</v>
      </c>
      <c r="AO160" s="7" t="s">
        <v>782</v>
      </c>
      <c r="AP160" s="7">
        <v>0</v>
      </c>
      <c r="AQ160" s="7">
        <v>0.26717714285714278</v>
      </c>
      <c r="AR160" s="7">
        <v>0.26717714285714278</v>
      </c>
      <c r="AS160" s="8" t="b">
        <v>1</v>
      </c>
      <c r="AT160" s="8" t="b">
        <v>1</v>
      </c>
      <c r="AU160" s="8" t="b">
        <v>1</v>
      </c>
      <c r="AV160" s="8" t="b">
        <v>1</v>
      </c>
      <c r="AW160" s="8" t="b">
        <v>1</v>
      </c>
      <c r="AX160" s="8" t="b">
        <v>1</v>
      </c>
      <c r="AY160" s="8" t="b">
        <v>1</v>
      </c>
      <c r="AZ160" s="8" t="b">
        <v>1</v>
      </c>
      <c r="BA160" s="7" t="s">
        <v>783</v>
      </c>
      <c r="BB160" s="7" t="s">
        <v>783</v>
      </c>
      <c r="BC160" s="7" t="s">
        <v>784</v>
      </c>
      <c r="BD160" s="7">
        <v>35.972299144866341</v>
      </c>
      <c r="BE160" s="7">
        <v>1.6030628571428571</v>
      </c>
      <c r="BF160" s="7">
        <v>41.164027213995766</v>
      </c>
      <c r="BG160" s="7">
        <v>0.13714285714285715</v>
      </c>
      <c r="BH160" s="7" t="s">
        <v>154</v>
      </c>
      <c r="BI160" s="7">
        <v>175</v>
      </c>
      <c r="BJ160" s="7">
        <v>24</v>
      </c>
      <c r="BK160" s="7">
        <v>24</v>
      </c>
      <c r="BL160" s="7">
        <v>24</v>
      </c>
      <c r="BM160" s="8" t="b">
        <v>1</v>
      </c>
      <c r="BN160" s="7">
        <v>0</v>
      </c>
      <c r="BO160" s="7">
        <v>0</v>
      </c>
      <c r="BP160" s="7">
        <v>32.839746155165514</v>
      </c>
      <c r="BQ160" s="7">
        <v>0.13714285714285715</v>
      </c>
      <c r="BR160" s="7" t="s">
        <v>154</v>
      </c>
      <c r="BS160" s="7">
        <v>175</v>
      </c>
      <c r="BT160" s="7">
        <v>24</v>
      </c>
      <c r="BU160" s="7">
        <v>24</v>
      </c>
      <c r="BV160" s="7">
        <v>24</v>
      </c>
      <c r="BW160" s="7" t="s">
        <v>1050</v>
      </c>
      <c r="BX160" s="8" t="b">
        <v>1</v>
      </c>
      <c r="BY160" s="7">
        <v>0</v>
      </c>
      <c r="BZ160" s="7">
        <v>0</v>
      </c>
      <c r="CA160" s="7">
        <v>46236.458333333336</v>
      </c>
      <c r="CB160" s="7">
        <v>46236.447916666664</v>
      </c>
      <c r="CC160" s="7">
        <v>4.0967161904761906E-3</v>
      </c>
      <c r="CD160" s="7">
        <v>135.72861249192542</v>
      </c>
      <c r="CE160" s="7">
        <v>137.20343032049684</v>
      </c>
      <c r="CF160" s="7">
        <v>662.24534522516342</v>
      </c>
      <c r="CG160" s="7">
        <v>0.3125</v>
      </c>
      <c r="CH160" s="7" t="s">
        <v>150</v>
      </c>
      <c r="CI160" s="7">
        <v>128</v>
      </c>
      <c r="CJ160" s="8" t="b">
        <v>1</v>
      </c>
      <c r="CK160" s="7">
        <v>40</v>
      </c>
      <c r="CL160" s="7">
        <v>40</v>
      </c>
      <c r="CM160" s="7">
        <v>40</v>
      </c>
      <c r="CN160" s="8" t="b">
        <v>0</v>
      </c>
      <c r="CO160" s="7" t="s">
        <v>955</v>
      </c>
      <c r="CP160" s="7">
        <v>772.221417739191</v>
      </c>
    </row>
    <row r="161" spans="1:94" ht="21" customHeight="1" x14ac:dyDescent="0.45">
      <c r="A161" s="9">
        <v>46236.458333333336</v>
      </c>
      <c r="B161" s="9">
        <v>46236.46875</v>
      </c>
      <c r="C161" s="9">
        <v>46236.583333333336</v>
      </c>
      <c r="D161" s="10">
        <v>46236</v>
      </c>
      <c r="E161" s="7">
        <v>0.25</v>
      </c>
      <c r="F161" s="7" t="s">
        <v>770</v>
      </c>
      <c r="G161" s="9">
        <v>46236.458333333336</v>
      </c>
      <c r="H161" s="7">
        <v>4.21</v>
      </c>
      <c r="I161" s="7" t="s">
        <v>1051</v>
      </c>
      <c r="J161" s="7">
        <v>15</v>
      </c>
      <c r="K161" s="7" t="s">
        <v>960</v>
      </c>
      <c r="L161" s="10">
        <v>46234</v>
      </c>
      <c r="M161" s="7">
        <v>5.2473000000000001</v>
      </c>
      <c r="N161" s="7" t="s">
        <v>773</v>
      </c>
      <c r="O161" s="7">
        <v>71.936000000000007</v>
      </c>
      <c r="P161" s="7" t="s">
        <v>1052</v>
      </c>
      <c r="Q161" s="7" t="s">
        <v>775</v>
      </c>
      <c r="R161" s="7">
        <v>66.224534522516336</v>
      </c>
      <c r="S161" s="7" t="s">
        <v>776</v>
      </c>
      <c r="T161" s="7">
        <v>175</v>
      </c>
      <c r="U161" s="7" t="s">
        <v>1053</v>
      </c>
      <c r="V161" s="7" t="s">
        <v>775</v>
      </c>
      <c r="W161" s="7">
        <v>5.4732910258609184</v>
      </c>
      <c r="X161" s="7" t="s">
        <v>776</v>
      </c>
      <c r="Y161" s="7">
        <v>175</v>
      </c>
      <c r="Z161" s="7" t="s">
        <v>1054</v>
      </c>
      <c r="AA161" s="7" t="s">
        <v>775</v>
      </c>
      <c r="AB161" s="7">
        <v>6.8606712023326279</v>
      </c>
      <c r="AC161" s="7" t="s">
        <v>776</v>
      </c>
      <c r="AD161" s="7"/>
      <c r="AE161" s="7" t="s">
        <v>779</v>
      </c>
      <c r="AF161" s="7"/>
      <c r="AG161" s="7">
        <v>0</v>
      </c>
      <c r="AH161" s="7" t="s">
        <v>776</v>
      </c>
      <c r="AI161" s="7">
        <v>0</v>
      </c>
      <c r="AJ161" s="7">
        <v>-79.688792331294195</v>
      </c>
      <c r="AK161" s="7" t="s">
        <v>776</v>
      </c>
      <c r="AL161" s="7">
        <v>24.547000000000001</v>
      </c>
      <c r="AM161" s="7" t="s">
        <v>780</v>
      </c>
      <c r="AN161" s="7" t="s">
        <v>781</v>
      </c>
      <c r="AO161" s="7" t="s">
        <v>782</v>
      </c>
      <c r="AP161" s="7">
        <v>0</v>
      </c>
      <c r="AQ161" s="7">
        <v>0.56107428571428575</v>
      </c>
      <c r="AR161" s="7">
        <v>0.56107428571428575</v>
      </c>
      <c r="AS161" s="8" t="b">
        <v>1</v>
      </c>
      <c r="AT161" s="8" t="b">
        <v>1</v>
      </c>
      <c r="AU161" s="8" t="b">
        <v>1</v>
      </c>
      <c r="AV161" s="8" t="b">
        <v>1</v>
      </c>
      <c r="AW161" s="8" t="b">
        <v>1</v>
      </c>
      <c r="AX161" s="8" t="b">
        <v>1</v>
      </c>
      <c r="AY161" s="8" t="b">
        <v>1</v>
      </c>
      <c r="AZ161" s="8" t="b">
        <v>1</v>
      </c>
      <c r="BA161" s="7" t="s">
        <v>783</v>
      </c>
      <c r="BB161" s="7" t="s">
        <v>783</v>
      </c>
      <c r="BC161" s="7" t="s">
        <v>784</v>
      </c>
      <c r="BD161" s="7">
        <v>268.26799342028966</v>
      </c>
      <c r="BE161" s="7">
        <v>3.3664457142857147</v>
      </c>
      <c r="BF161" s="7">
        <v>41.164027213995766</v>
      </c>
      <c r="BG161" s="7">
        <v>0.13714285714285715</v>
      </c>
      <c r="BH161" s="7" t="s">
        <v>154</v>
      </c>
      <c r="BI161" s="7">
        <v>175</v>
      </c>
      <c r="BJ161" s="7">
        <v>24</v>
      </c>
      <c r="BK161" s="7">
        <v>24</v>
      </c>
      <c r="BL161" s="7">
        <v>24</v>
      </c>
      <c r="BM161" s="8" t="b">
        <v>1</v>
      </c>
      <c r="BN161" s="7">
        <v>0</v>
      </c>
      <c r="BO161" s="7">
        <v>0</v>
      </c>
      <c r="BP161" s="7">
        <v>32.839746155165514</v>
      </c>
      <c r="BQ161" s="7">
        <v>0.13714285714285715</v>
      </c>
      <c r="BR161" s="7" t="s">
        <v>154</v>
      </c>
      <c r="BS161" s="7">
        <v>175</v>
      </c>
      <c r="BT161" s="7">
        <v>24</v>
      </c>
      <c r="BU161" s="7">
        <v>24</v>
      </c>
      <c r="BV161" s="7">
        <v>24</v>
      </c>
      <c r="BW161" s="7" t="s">
        <v>1051</v>
      </c>
      <c r="BX161" s="8" t="b">
        <v>1</v>
      </c>
      <c r="BY161" s="7">
        <v>-10.231882132325051</v>
      </c>
      <c r="BZ161" s="7">
        <v>-9.7215032136105002</v>
      </c>
      <c r="CA161" s="7">
        <v>46236.46875</v>
      </c>
      <c r="CB161" s="7">
        <v>46236.458333333336</v>
      </c>
      <c r="CC161" s="7">
        <v>1.4814099434092426E-2</v>
      </c>
      <c r="CD161" s="7">
        <v>137.20343032049684</v>
      </c>
      <c r="CE161" s="7">
        <v>142.53650611677011</v>
      </c>
      <c r="CF161" s="7">
        <v>662.24534522516342</v>
      </c>
      <c r="CG161" s="7">
        <v>0.3125</v>
      </c>
      <c r="CH161" s="7" t="s">
        <v>150</v>
      </c>
      <c r="CI161" s="7">
        <v>128</v>
      </c>
      <c r="CJ161" s="8" t="b">
        <v>1</v>
      </c>
      <c r="CK161" s="7">
        <v>40</v>
      </c>
      <c r="CL161" s="7">
        <v>40</v>
      </c>
      <c r="CM161" s="7">
        <v>40</v>
      </c>
      <c r="CN161" s="8" t="b">
        <v>0</v>
      </c>
      <c r="CO161" s="7" t="s">
        <v>955</v>
      </c>
      <c r="CP161" s="7">
        <v>994.28522988228929</v>
      </c>
    </row>
    <row r="162" spans="1:94" ht="21" customHeight="1" x14ac:dyDescent="0.45">
      <c r="A162" s="9">
        <v>46236.46875</v>
      </c>
      <c r="B162" s="9">
        <v>46236.479166666664</v>
      </c>
      <c r="C162" s="9">
        <v>46236.59375</v>
      </c>
      <c r="D162" s="10">
        <v>46236</v>
      </c>
      <c r="E162" s="7">
        <v>0.25</v>
      </c>
      <c r="F162" s="7" t="s">
        <v>770</v>
      </c>
      <c r="G162" s="9">
        <v>46236.458333333336</v>
      </c>
      <c r="H162" s="7">
        <v>2.74</v>
      </c>
      <c r="I162" s="7" t="s">
        <v>1055</v>
      </c>
      <c r="J162" s="7">
        <v>15</v>
      </c>
      <c r="K162" s="7" t="s">
        <v>960</v>
      </c>
      <c r="L162" s="10">
        <v>46234</v>
      </c>
      <c r="M162" s="7">
        <v>5.2473000000000001</v>
      </c>
      <c r="N162" s="7" t="s">
        <v>773</v>
      </c>
      <c r="O162" s="7">
        <v>71.936000000000007</v>
      </c>
      <c r="P162" s="7" t="s">
        <v>1052</v>
      </c>
      <c r="Q162" s="7" t="s">
        <v>775</v>
      </c>
      <c r="R162" s="7">
        <v>66.224534522516336</v>
      </c>
      <c r="S162" s="7" t="s">
        <v>776</v>
      </c>
      <c r="T162" s="7">
        <v>175</v>
      </c>
      <c r="U162" s="7" t="s">
        <v>1053</v>
      </c>
      <c r="V162" s="7" t="s">
        <v>775</v>
      </c>
      <c r="W162" s="7">
        <v>5.4732910258609184</v>
      </c>
      <c r="X162" s="7" t="s">
        <v>776</v>
      </c>
      <c r="Y162" s="7">
        <v>175</v>
      </c>
      <c r="Z162" s="7" t="s">
        <v>1054</v>
      </c>
      <c r="AA162" s="7" t="s">
        <v>775</v>
      </c>
      <c r="AB162" s="7">
        <v>6.8606712023326279</v>
      </c>
      <c r="AC162" s="7" t="s">
        <v>776</v>
      </c>
      <c r="AD162" s="7"/>
      <c r="AE162" s="7" t="s">
        <v>779</v>
      </c>
      <c r="AF162" s="7"/>
      <c r="AG162" s="7">
        <v>0</v>
      </c>
      <c r="AH162" s="7" t="s">
        <v>776</v>
      </c>
      <c r="AI162" s="7">
        <v>0</v>
      </c>
      <c r="AJ162" s="7">
        <v>-75.205153126369751</v>
      </c>
      <c r="AK162" s="7" t="s">
        <v>776</v>
      </c>
      <c r="AL162" s="7">
        <v>14.75</v>
      </c>
      <c r="AM162" s="7" t="s">
        <v>780</v>
      </c>
      <c r="AN162" s="7" t="s">
        <v>781</v>
      </c>
      <c r="AO162" s="7" t="s">
        <v>782</v>
      </c>
      <c r="AP162" s="7">
        <v>0</v>
      </c>
      <c r="AQ162" s="7">
        <v>0.33714285714285708</v>
      </c>
      <c r="AR162" s="7">
        <v>0.33714285714285708</v>
      </c>
      <c r="AS162" s="8" t="b">
        <v>1</v>
      </c>
      <c r="AT162" s="8" t="b">
        <v>1</v>
      </c>
      <c r="AU162" s="8" t="b">
        <v>1</v>
      </c>
      <c r="AV162" s="8" t="b">
        <v>1</v>
      </c>
      <c r="AW162" s="8" t="b">
        <v>1</v>
      </c>
      <c r="AX162" s="8" t="b">
        <v>1</v>
      </c>
      <c r="AY162" s="8" t="b">
        <v>1</v>
      </c>
      <c r="AZ162" s="8" t="b">
        <v>1</v>
      </c>
      <c r="BA162" s="7" t="s">
        <v>783</v>
      </c>
      <c r="BB162" s="7" t="s">
        <v>783</v>
      </c>
      <c r="BC162" s="7" t="s">
        <v>784</v>
      </c>
      <c r="BD162" s="7">
        <v>152.12928118134224</v>
      </c>
      <c r="BE162" s="7">
        <v>2.0228571428571427</v>
      </c>
      <c r="BF162" s="7">
        <v>41.164027213995766</v>
      </c>
      <c r="BG162" s="7">
        <v>0.13714285714285715</v>
      </c>
      <c r="BH162" s="7" t="s">
        <v>154</v>
      </c>
      <c r="BI162" s="7">
        <v>175</v>
      </c>
      <c r="BJ162" s="7">
        <v>24</v>
      </c>
      <c r="BK162" s="7">
        <v>24</v>
      </c>
      <c r="BL162" s="7">
        <v>24</v>
      </c>
      <c r="BM162" s="8" t="b">
        <v>1</v>
      </c>
      <c r="BN162" s="7">
        <v>0</v>
      </c>
      <c r="BO162" s="7">
        <v>0</v>
      </c>
      <c r="BP162" s="7">
        <v>32.839746155165514</v>
      </c>
      <c r="BQ162" s="7">
        <v>0.13714285714285715</v>
      </c>
      <c r="BR162" s="7" t="s">
        <v>154</v>
      </c>
      <c r="BS162" s="7">
        <v>175</v>
      </c>
      <c r="BT162" s="7">
        <v>24</v>
      </c>
      <c r="BU162" s="7">
        <v>24</v>
      </c>
      <c r="BV162" s="7">
        <v>24</v>
      </c>
      <c r="BW162" s="7" t="s">
        <v>1055</v>
      </c>
      <c r="BX162" s="8" t="b">
        <v>1</v>
      </c>
      <c r="BY162" s="7">
        <v>-24.660000000000004</v>
      </c>
      <c r="BZ162" s="7">
        <v>-36</v>
      </c>
      <c r="CA162" s="7">
        <v>46236.479166666664</v>
      </c>
      <c r="CB162" s="7">
        <v>46236.46875</v>
      </c>
      <c r="CC162" s="7">
        <v>2.8169523809523811E-2</v>
      </c>
      <c r="CD162" s="7">
        <v>142.53650611677011</v>
      </c>
      <c r="CE162" s="7">
        <v>152.67753468819868</v>
      </c>
      <c r="CF162" s="7">
        <v>662.24534522516342</v>
      </c>
      <c r="CG162" s="7">
        <v>0.3125</v>
      </c>
      <c r="CH162" s="7" t="s">
        <v>150</v>
      </c>
      <c r="CI162" s="7">
        <v>128</v>
      </c>
      <c r="CJ162" s="8" t="b">
        <v>1</v>
      </c>
      <c r="CK162" s="7">
        <v>40</v>
      </c>
      <c r="CL162" s="7">
        <v>40</v>
      </c>
      <c r="CM162" s="7">
        <v>40</v>
      </c>
      <c r="CN162" s="8" t="b">
        <v>0</v>
      </c>
      <c r="CO162" s="7" t="s">
        <v>955</v>
      </c>
      <c r="CP162" s="7">
        <v>863.71839977566697</v>
      </c>
    </row>
    <row r="163" spans="1:94" ht="21" customHeight="1" x14ac:dyDescent="0.45">
      <c r="A163" s="9">
        <v>46236.479166666664</v>
      </c>
      <c r="B163" s="9">
        <v>46236.489583333336</v>
      </c>
      <c r="C163" s="9">
        <v>46236.604166666664</v>
      </c>
      <c r="D163" s="10">
        <v>46236</v>
      </c>
      <c r="E163" s="7">
        <v>0.25</v>
      </c>
      <c r="F163" s="7" t="s">
        <v>770</v>
      </c>
      <c r="G163" s="9">
        <v>46236.458333333336</v>
      </c>
      <c r="H163" s="7">
        <v>3.75</v>
      </c>
      <c r="I163" s="7" t="s">
        <v>1056</v>
      </c>
      <c r="J163" s="7">
        <v>15</v>
      </c>
      <c r="K163" s="7" t="s">
        <v>960</v>
      </c>
      <c r="L163" s="10">
        <v>46234</v>
      </c>
      <c r="M163" s="7">
        <v>5.2473000000000001</v>
      </c>
      <c r="N163" s="7" t="s">
        <v>773</v>
      </c>
      <c r="O163" s="7">
        <v>71.936000000000007</v>
      </c>
      <c r="P163" s="7" t="s">
        <v>1052</v>
      </c>
      <c r="Q163" s="7" t="s">
        <v>775</v>
      </c>
      <c r="R163" s="7">
        <v>66.224534522516336</v>
      </c>
      <c r="S163" s="7" t="s">
        <v>776</v>
      </c>
      <c r="T163" s="7">
        <v>175</v>
      </c>
      <c r="U163" s="7" t="s">
        <v>1053</v>
      </c>
      <c r="V163" s="7" t="s">
        <v>775</v>
      </c>
      <c r="W163" s="7">
        <v>5.4732910258609184</v>
      </c>
      <c r="X163" s="7" t="s">
        <v>776</v>
      </c>
      <c r="Y163" s="7">
        <v>175</v>
      </c>
      <c r="Z163" s="7" t="s">
        <v>1054</v>
      </c>
      <c r="AA163" s="7" t="s">
        <v>775</v>
      </c>
      <c r="AB163" s="7">
        <v>6.8606712023326279</v>
      </c>
      <c r="AC163" s="7" t="s">
        <v>776</v>
      </c>
      <c r="AD163" s="7"/>
      <c r="AE163" s="7" t="s">
        <v>779</v>
      </c>
      <c r="AF163" s="7"/>
      <c r="AG163" s="7">
        <v>0</v>
      </c>
      <c r="AH163" s="7" t="s">
        <v>776</v>
      </c>
      <c r="AI163" s="7">
        <v>0</v>
      </c>
      <c r="AJ163" s="7">
        <v>18.340289291635695</v>
      </c>
      <c r="AK163" s="7" t="s">
        <v>776</v>
      </c>
      <c r="AL163" s="7">
        <v>3.4129999999999998</v>
      </c>
      <c r="AM163" s="7" t="s">
        <v>780</v>
      </c>
      <c r="AN163" s="7" t="s">
        <v>781</v>
      </c>
      <c r="AO163" s="7" t="s">
        <v>782</v>
      </c>
      <c r="AP163" s="7">
        <v>0</v>
      </c>
      <c r="AQ163" s="7">
        <v>7.8011428571428496E-2</v>
      </c>
      <c r="AR163" s="7">
        <v>7.8011428571428496E-2</v>
      </c>
      <c r="AS163" s="8" t="b">
        <v>1</v>
      </c>
      <c r="AT163" s="8" t="b">
        <v>1</v>
      </c>
      <c r="AU163" s="8" t="b">
        <v>1</v>
      </c>
      <c r="AV163" s="8" t="b">
        <v>1</v>
      </c>
      <c r="AW163" s="8" t="b">
        <v>1</v>
      </c>
      <c r="AX163" s="8" t="b">
        <v>1</v>
      </c>
      <c r="AY163" s="8" t="b">
        <v>1</v>
      </c>
      <c r="AZ163" s="8" t="b">
        <v>1</v>
      </c>
      <c r="BA163" s="7" t="s">
        <v>783</v>
      </c>
      <c r="BB163" s="7" t="s">
        <v>783</v>
      </c>
      <c r="BC163" s="7" t="s">
        <v>784</v>
      </c>
      <c r="BD163" s="7">
        <v>-8.5845130083226451</v>
      </c>
      <c r="BE163" s="7">
        <v>0.46806857142857139</v>
      </c>
      <c r="BF163" s="7">
        <v>41.164027213995766</v>
      </c>
      <c r="BG163" s="7">
        <v>0.13714285714285715</v>
      </c>
      <c r="BH163" s="7" t="s">
        <v>154</v>
      </c>
      <c r="BI163" s="7">
        <v>175</v>
      </c>
      <c r="BJ163" s="7">
        <v>24</v>
      </c>
      <c r="BK163" s="7">
        <v>24</v>
      </c>
      <c r="BL163" s="7">
        <v>24</v>
      </c>
      <c r="BM163" s="8" t="b">
        <v>1</v>
      </c>
      <c r="BN163" s="7">
        <v>0</v>
      </c>
      <c r="BO163" s="7">
        <v>0</v>
      </c>
      <c r="BP163" s="7">
        <v>32.839746155165514</v>
      </c>
      <c r="BQ163" s="7">
        <v>0.13714285714285715</v>
      </c>
      <c r="BR163" s="7" t="s">
        <v>154</v>
      </c>
      <c r="BS163" s="7">
        <v>175</v>
      </c>
      <c r="BT163" s="7">
        <v>24</v>
      </c>
      <c r="BU163" s="7">
        <v>24</v>
      </c>
      <c r="BV163" s="7">
        <v>24</v>
      </c>
      <c r="BW163" s="7" t="s">
        <v>1056</v>
      </c>
      <c r="BX163" s="8" t="b">
        <v>1</v>
      </c>
      <c r="BY163" s="7">
        <v>-33.75</v>
      </c>
      <c r="BZ163" s="7">
        <v>-36</v>
      </c>
      <c r="CA163" s="7">
        <v>46236.489583333336</v>
      </c>
      <c r="CB163" s="7">
        <v>46236.479166666664</v>
      </c>
      <c r="CC163" s="7">
        <v>2.4196175238095238E-2</v>
      </c>
      <c r="CD163" s="7">
        <v>152.67753468819868</v>
      </c>
      <c r="CE163" s="7">
        <v>161.38815777391295</v>
      </c>
      <c r="CF163" s="7">
        <v>662.24534522516342</v>
      </c>
      <c r="CG163" s="7">
        <v>0.3125</v>
      </c>
      <c r="CH163" s="7" t="s">
        <v>150</v>
      </c>
      <c r="CI163" s="7">
        <v>128</v>
      </c>
      <c r="CJ163" s="8" t="b">
        <v>1</v>
      </c>
      <c r="CK163" s="7">
        <v>40</v>
      </c>
      <c r="CL163" s="7">
        <v>40</v>
      </c>
      <c r="CM163" s="7">
        <v>40</v>
      </c>
      <c r="CN163" s="8" t="b">
        <v>0</v>
      </c>
      <c r="CO163" s="7" t="s">
        <v>955</v>
      </c>
      <c r="CP163" s="7">
        <v>693.91460558600204</v>
      </c>
    </row>
    <row r="164" spans="1:94" ht="21" customHeight="1" x14ac:dyDescent="0.45">
      <c r="A164" s="9">
        <v>46236.489583333336</v>
      </c>
      <c r="B164" s="9">
        <v>46236.5</v>
      </c>
      <c r="C164" s="9">
        <v>46236.614583333336</v>
      </c>
      <c r="D164" s="10">
        <v>46236</v>
      </c>
      <c r="E164" s="7">
        <v>0.25</v>
      </c>
      <c r="F164" s="7" t="s">
        <v>770</v>
      </c>
      <c r="G164" s="9">
        <v>46236.458333333336</v>
      </c>
      <c r="H164" s="7">
        <v>2.42</v>
      </c>
      <c r="I164" s="7" t="s">
        <v>1057</v>
      </c>
      <c r="J164" s="7">
        <v>15</v>
      </c>
      <c r="K164" s="7" t="s">
        <v>960</v>
      </c>
      <c r="L164" s="10">
        <v>46234</v>
      </c>
      <c r="M164" s="7">
        <v>5.2473000000000001</v>
      </c>
      <c r="N164" s="7" t="s">
        <v>773</v>
      </c>
      <c r="O164" s="7">
        <v>71.936000000000007</v>
      </c>
      <c r="P164" s="7" t="s">
        <v>1052</v>
      </c>
      <c r="Q164" s="7" t="s">
        <v>775</v>
      </c>
      <c r="R164" s="7">
        <v>66.224534522516336</v>
      </c>
      <c r="S164" s="7" t="s">
        <v>776</v>
      </c>
      <c r="T164" s="7">
        <v>175</v>
      </c>
      <c r="U164" s="7" t="s">
        <v>1053</v>
      </c>
      <c r="V164" s="7" t="s">
        <v>775</v>
      </c>
      <c r="W164" s="7">
        <v>5.4732910258609184</v>
      </c>
      <c r="X164" s="7" t="s">
        <v>776</v>
      </c>
      <c r="Y164" s="7">
        <v>175</v>
      </c>
      <c r="Z164" s="7" t="s">
        <v>1054</v>
      </c>
      <c r="AA164" s="7" t="s">
        <v>775</v>
      </c>
      <c r="AB164" s="7">
        <v>6.8606712023326279</v>
      </c>
      <c r="AC164" s="7" t="s">
        <v>776</v>
      </c>
      <c r="AD164" s="7"/>
      <c r="AE164" s="7" t="s">
        <v>779</v>
      </c>
      <c r="AF164" s="7"/>
      <c r="AG164" s="7">
        <v>89.036266270272321</v>
      </c>
      <c r="AH164" s="7" t="s">
        <v>776</v>
      </c>
      <c r="AI164" s="7">
        <v>2.9000000000000001E-2</v>
      </c>
      <c r="AJ164" s="7">
        <v>5.166085415356469</v>
      </c>
      <c r="AK164" s="7" t="s">
        <v>776</v>
      </c>
      <c r="AL164" s="7">
        <v>8.5350000000000001</v>
      </c>
      <c r="AM164" s="7" t="s">
        <v>780</v>
      </c>
      <c r="AN164" s="7" t="s">
        <v>781</v>
      </c>
      <c r="AO164" s="7" t="s">
        <v>782</v>
      </c>
      <c r="AP164" s="7">
        <v>6.6285714285710005E-4</v>
      </c>
      <c r="AQ164" s="7">
        <v>0.1950857142857142</v>
      </c>
      <c r="AR164" s="7">
        <v>0.19574857142857141</v>
      </c>
      <c r="AS164" s="8" t="b">
        <v>1</v>
      </c>
      <c r="AT164" s="8" t="b">
        <v>1</v>
      </c>
      <c r="AU164" s="8" t="b">
        <v>1</v>
      </c>
      <c r="AV164" s="8" t="b">
        <v>1</v>
      </c>
      <c r="AW164" s="8" t="b">
        <v>1</v>
      </c>
      <c r="AX164" s="8" t="b">
        <v>1</v>
      </c>
      <c r="AY164" s="8" t="b">
        <v>1</v>
      </c>
      <c r="AZ164" s="8" t="b">
        <v>1</v>
      </c>
      <c r="BA164" s="7" t="s">
        <v>783</v>
      </c>
      <c r="BB164" s="7" t="s">
        <v>783</v>
      </c>
      <c r="BC164" s="7" t="s">
        <v>784</v>
      </c>
      <c r="BD164" s="7">
        <v>-6.0469767798949663</v>
      </c>
      <c r="BE164" s="7">
        <v>1.1705142857142856</v>
      </c>
      <c r="BF164" s="7">
        <v>41.164027213995766</v>
      </c>
      <c r="BG164" s="7">
        <v>0.13714285714285715</v>
      </c>
      <c r="BH164" s="7" t="s">
        <v>154</v>
      </c>
      <c r="BI164" s="7">
        <v>175</v>
      </c>
      <c r="BJ164" s="7">
        <v>24</v>
      </c>
      <c r="BK164" s="7">
        <v>24</v>
      </c>
      <c r="BL164" s="7">
        <v>24</v>
      </c>
      <c r="BM164" s="8" t="b">
        <v>1</v>
      </c>
      <c r="BN164" s="7">
        <v>0.35410995042348303</v>
      </c>
      <c r="BO164" s="7">
        <v>3.977142857142857E-3</v>
      </c>
      <c r="BP164" s="7">
        <v>32.839746155165514</v>
      </c>
      <c r="BQ164" s="7">
        <v>0.13714285714285715</v>
      </c>
      <c r="BR164" s="7" t="s">
        <v>154</v>
      </c>
      <c r="BS164" s="7">
        <v>175</v>
      </c>
      <c r="BT164" s="7">
        <v>24</v>
      </c>
      <c r="BU164" s="7">
        <v>24</v>
      </c>
      <c r="BV164" s="7">
        <v>24</v>
      </c>
      <c r="BW164" s="7" t="s">
        <v>1057</v>
      </c>
      <c r="BX164" s="8" t="b">
        <v>1</v>
      </c>
      <c r="BY164" s="7">
        <v>-21.78</v>
      </c>
      <c r="BZ164" s="7">
        <v>-36</v>
      </c>
      <c r="CA164" s="7">
        <v>46236.5</v>
      </c>
      <c r="CB164" s="7">
        <v>46236.489583333336</v>
      </c>
      <c r="CC164" s="7">
        <v>2.5981150476190477E-2</v>
      </c>
      <c r="CD164" s="7">
        <v>161.38815777391295</v>
      </c>
      <c r="CE164" s="7">
        <v>170.74137194534154</v>
      </c>
      <c r="CF164" s="7">
        <v>662.24534522516342</v>
      </c>
      <c r="CG164" s="7">
        <v>0.3125</v>
      </c>
      <c r="CH164" s="7" t="s">
        <v>150</v>
      </c>
      <c r="CI164" s="7">
        <v>128</v>
      </c>
      <c r="CJ164" s="8" t="b">
        <v>1</v>
      </c>
      <c r="CK164" s="7">
        <v>40</v>
      </c>
      <c r="CL164" s="7">
        <v>40</v>
      </c>
      <c r="CM164" s="7">
        <v>40</v>
      </c>
      <c r="CN164" s="8" t="b">
        <v>0</v>
      </c>
      <c r="CO164" s="7" t="s">
        <v>955</v>
      </c>
      <c r="CP164" s="7">
        <v>708.77625176485321</v>
      </c>
    </row>
    <row r="165" spans="1:94" ht="21" customHeight="1" x14ac:dyDescent="0.45">
      <c r="A165" s="9">
        <v>46236.5</v>
      </c>
      <c r="B165" s="9">
        <v>46236.510416666664</v>
      </c>
      <c r="C165" s="9">
        <v>46236.625</v>
      </c>
      <c r="D165" s="10">
        <v>46236</v>
      </c>
      <c r="E165" s="7">
        <v>0.25</v>
      </c>
      <c r="F165" s="7" t="s">
        <v>770</v>
      </c>
      <c r="G165" s="9">
        <v>46236.5</v>
      </c>
      <c r="H165" s="7">
        <v>5.0999999999999996</v>
      </c>
      <c r="I165" s="7" t="s">
        <v>1058</v>
      </c>
      <c r="J165" s="7">
        <v>15</v>
      </c>
      <c r="K165" s="7" t="s">
        <v>960</v>
      </c>
      <c r="L165" s="10">
        <v>46234</v>
      </c>
      <c r="M165" s="7">
        <v>5.2473000000000001</v>
      </c>
      <c r="N165" s="7" t="s">
        <v>773</v>
      </c>
      <c r="O165" s="7">
        <v>71.936000000000007</v>
      </c>
      <c r="P165" s="7" t="s">
        <v>1059</v>
      </c>
      <c r="Q165" s="7" t="s">
        <v>775</v>
      </c>
      <c r="R165" s="7">
        <v>66.224534522516336</v>
      </c>
      <c r="S165" s="7" t="s">
        <v>776</v>
      </c>
      <c r="T165" s="7">
        <v>175</v>
      </c>
      <c r="U165" s="7" t="s">
        <v>1060</v>
      </c>
      <c r="V165" s="7" t="s">
        <v>775</v>
      </c>
      <c r="W165" s="7">
        <v>5.3627579898233382</v>
      </c>
      <c r="X165" s="7" t="s">
        <v>776</v>
      </c>
      <c r="Y165" s="7">
        <v>175</v>
      </c>
      <c r="Z165" s="7" t="s">
        <v>1061</v>
      </c>
      <c r="AA165" s="7" t="s">
        <v>775</v>
      </c>
      <c r="AB165" s="7">
        <v>6.8606712023326279</v>
      </c>
      <c r="AC165" s="7" t="s">
        <v>776</v>
      </c>
      <c r="AD165" s="7"/>
      <c r="AE165" s="7" t="s">
        <v>779</v>
      </c>
      <c r="AF165" s="7"/>
      <c r="AG165" s="7">
        <v>0</v>
      </c>
      <c r="AH165" s="7" t="s">
        <v>776</v>
      </c>
      <c r="AI165" s="7">
        <v>0</v>
      </c>
      <c r="AJ165" s="7">
        <v>-43.963181064547477</v>
      </c>
      <c r="AK165" s="7" t="s">
        <v>776</v>
      </c>
      <c r="AL165" s="7">
        <v>23.696000000000002</v>
      </c>
      <c r="AM165" s="7" t="s">
        <v>780</v>
      </c>
      <c r="AN165" s="7" t="s">
        <v>781</v>
      </c>
      <c r="AO165" s="7" t="s">
        <v>782</v>
      </c>
      <c r="AP165" s="7">
        <v>0</v>
      </c>
      <c r="AQ165" s="7">
        <v>0.54162285714285718</v>
      </c>
      <c r="AR165" s="7">
        <v>0.54162285714285718</v>
      </c>
      <c r="AS165" s="8" t="b">
        <v>1</v>
      </c>
      <c r="AT165" s="8" t="b">
        <v>1</v>
      </c>
      <c r="AU165" s="8" t="b">
        <v>1</v>
      </c>
      <c r="AV165" s="8" t="b">
        <v>1</v>
      </c>
      <c r="AW165" s="8" t="b">
        <v>1</v>
      </c>
      <c r="AX165" s="8" t="b">
        <v>1</v>
      </c>
      <c r="AY165" s="8" t="b">
        <v>1</v>
      </c>
      <c r="AZ165" s="8" t="b">
        <v>1</v>
      </c>
      <c r="BA165" s="7" t="s">
        <v>783</v>
      </c>
      <c r="BB165" s="7" t="s">
        <v>783</v>
      </c>
      <c r="BC165" s="7" t="s">
        <v>784</v>
      </c>
      <c r="BD165" s="7">
        <v>142.86878242361377</v>
      </c>
      <c r="BE165" s="7">
        <v>3.2497371428571431</v>
      </c>
      <c r="BF165" s="7">
        <v>41.164027213995766</v>
      </c>
      <c r="BG165" s="7">
        <v>0.13714285714285715</v>
      </c>
      <c r="BH165" s="7" t="s">
        <v>154</v>
      </c>
      <c r="BI165" s="7">
        <v>175</v>
      </c>
      <c r="BJ165" s="7">
        <v>24</v>
      </c>
      <c r="BK165" s="7">
        <v>24</v>
      </c>
      <c r="BL165" s="7">
        <v>24</v>
      </c>
      <c r="BM165" s="8" t="b">
        <v>1</v>
      </c>
      <c r="BN165" s="7">
        <v>0</v>
      </c>
      <c r="BO165" s="7">
        <v>0</v>
      </c>
      <c r="BP165" s="7">
        <v>32.176547938940033</v>
      </c>
      <c r="BQ165" s="7">
        <v>0.13714285714285715</v>
      </c>
      <c r="BR165" s="7" t="s">
        <v>154</v>
      </c>
      <c r="BS165" s="7">
        <v>175</v>
      </c>
      <c r="BT165" s="7">
        <v>24</v>
      </c>
      <c r="BU165" s="7">
        <v>24</v>
      </c>
      <c r="BV165" s="7">
        <v>24</v>
      </c>
      <c r="BW165" s="7" t="s">
        <v>1058</v>
      </c>
      <c r="BX165" s="8" t="b">
        <v>1</v>
      </c>
      <c r="BY165" s="7">
        <v>45.899999999999984</v>
      </c>
      <c r="BZ165" s="7">
        <v>35.999999999999993</v>
      </c>
      <c r="CA165" s="7">
        <v>46236.510416666664</v>
      </c>
      <c r="CB165" s="7">
        <v>46236.5</v>
      </c>
      <c r="CC165" s="7">
        <v>1.7361904761904755E-2</v>
      </c>
      <c r="CD165" s="7">
        <v>170.74137194534154</v>
      </c>
      <c r="CE165" s="7">
        <v>164.49108623105582</v>
      </c>
      <c r="CF165" s="7">
        <v>662.24534522516342</v>
      </c>
      <c r="CG165" s="7">
        <v>0.3125</v>
      </c>
      <c r="CH165" s="7" t="s">
        <v>150</v>
      </c>
      <c r="CI165" s="7">
        <v>128</v>
      </c>
      <c r="CJ165" s="8" t="b">
        <v>1</v>
      </c>
      <c r="CK165" s="7">
        <v>40</v>
      </c>
      <c r="CL165" s="7">
        <v>40</v>
      </c>
      <c r="CM165" s="7">
        <v>40</v>
      </c>
      <c r="CN165" s="8" t="b">
        <v>0</v>
      </c>
      <c r="CO165" s="7" t="s">
        <v>955</v>
      </c>
      <c r="CP165" s="7">
        <v>924.35470280171296</v>
      </c>
    </row>
    <row r="166" spans="1:94" ht="21" customHeight="1" x14ac:dyDescent="0.45">
      <c r="A166" s="9">
        <v>46236.510416666664</v>
      </c>
      <c r="B166" s="9">
        <v>46236.520833333336</v>
      </c>
      <c r="C166" s="9">
        <v>46236.635416666664</v>
      </c>
      <c r="D166" s="10">
        <v>46236</v>
      </c>
      <c r="E166" s="7">
        <v>0.25</v>
      </c>
      <c r="F166" s="7" t="s">
        <v>770</v>
      </c>
      <c r="G166" s="9">
        <v>46236.5</v>
      </c>
      <c r="H166" s="7">
        <v>5.09</v>
      </c>
      <c r="I166" s="7" t="s">
        <v>1062</v>
      </c>
      <c r="J166" s="7">
        <v>15</v>
      </c>
      <c r="K166" s="7" t="s">
        <v>960</v>
      </c>
      <c r="L166" s="10">
        <v>46234</v>
      </c>
      <c r="M166" s="7">
        <v>5.2473000000000001</v>
      </c>
      <c r="N166" s="7" t="s">
        <v>773</v>
      </c>
      <c r="O166" s="7">
        <v>71.936000000000007</v>
      </c>
      <c r="P166" s="7" t="s">
        <v>1059</v>
      </c>
      <c r="Q166" s="7" t="s">
        <v>775</v>
      </c>
      <c r="R166" s="7">
        <v>66.224534522516336</v>
      </c>
      <c r="S166" s="7" t="s">
        <v>776</v>
      </c>
      <c r="T166" s="7">
        <v>175</v>
      </c>
      <c r="U166" s="7" t="s">
        <v>1060</v>
      </c>
      <c r="V166" s="7" t="s">
        <v>775</v>
      </c>
      <c r="W166" s="7">
        <v>5.3627579898233382</v>
      </c>
      <c r="X166" s="7" t="s">
        <v>776</v>
      </c>
      <c r="Y166" s="7">
        <v>175</v>
      </c>
      <c r="Z166" s="7" t="s">
        <v>1061</v>
      </c>
      <c r="AA166" s="7" t="s">
        <v>775</v>
      </c>
      <c r="AB166" s="7">
        <v>6.8606712023326279</v>
      </c>
      <c r="AC166" s="7" t="s">
        <v>776</v>
      </c>
      <c r="AD166" s="7"/>
      <c r="AE166" s="7" t="s">
        <v>779</v>
      </c>
      <c r="AF166" s="7"/>
      <c r="AG166" s="7">
        <v>110.4855830617651</v>
      </c>
      <c r="AH166" s="7" t="s">
        <v>776</v>
      </c>
      <c r="AI166" s="7">
        <v>0.77400000000000002</v>
      </c>
      <c r="AJ166" s="7">
        <v>-21.570331408533914</v>
      </c>
      <c r="AK166" s="7" t="s">
        <v>776</v>
      </c>
      <c r="AL166" s="7">
        <v>8.6790000000000003</v>
      </c>
      <c r="AM166" s="7" t="s">
        <v>780</v>
      </c>
      <c r="AN166" s="7" t="s">
        <v>781</v>
      </c>
      <c r="AO166" s="7" t="s">
        <v>782</v>
      </c>
      <c r="AP166" s="7">
        <v>1.76914285714285E-2</v>
      </c>
      <c r="AQ166" s="7">
        <v>0.19837714285714281</v>
      </c>
      <c r="AR166" s="7">
        <v>0.21606857142857139</v>
      </c>
      <c r="AS166" s="8" t="b">
        <v>1</v>
      </c>
      <c r="AT166" s="8" t="b">
        <v>1</v>
      </c>
      <c r="AU166" s="8" t="b">
        <v>1</v>
      </c>
      <c r="AV166" s="8" t="b">
        <v>1</v>
      </c>
      <c r="AW166" s="8" t="b">
        <v>1</v>
      </c>
      <c r="AX166" s="8" t="b">
        <v>1</v>
      </c>
      <c r="AY166" s="8" t="b">
        <v>1</v>
      </c>
      <c r="AZ166" s="8" t="b">
        <v>1</v>
      </c>
      <c r="BA166" s="7" t="s">
        <v>783</v>
      </c>
      <c r="BB166" s="7" t="s">
        <v>783</v>
      </c>
      <c r="BC166" s="7" t="s">
        <v>784</v>
      </c>
      <c r="BD166" s="7">
        <v>25.67436429183989</v>
      </c>
      <c r="BE166" s="7">
        <v>1.1902628571428573</v>
      </c>
      <c r="BF166" s="7">
        <v>41.164027213995766</v>
      </c>
      <c r="BG166" s="7">
        <v>0.13714285714285715</v>
      </c>
      <c r="BH166" s="7" t="s">
        <v>154</v>
      </c>
      <c r="BI166" s="7">
        <v>175</v>
      </c>
      <c r="BJ166" s="7">
        <v>24</v>
      </c>
      <c r="BK166" s="7">
        <v>24</v>
      </c>
      <c r="BL166" s="7">
        <v>24</v>
      </c>
      <c r="BM166" s="8" t="b">
        <v>1</v>
      </c>
      <c r="BN166" s="7">
        <v>11.727886805459136</v>
      </c>
      <c r="BO166" s="7">
        <v>0.10614857142857144</v>
      </c>
      <c r="BP166" s="7">
        <v>32.176547938940033</v>
      </c>
      <c r="BQ166" s="7">
        <v>0.13714285714285715</v>
      </c>
      <c r="BR166" s="7" t="s">
        <v>154</v>
      </c>
      <c r="BS166" s="7">
        <v>175</v>
      </c>
      <c r="BT166" s="7">
        <v>24</v>
      </c>
      <c r="BU166" s="7">
        <v>24</v>
      </c>
      <c r="BV166" s="7">
        <v>24</v>
      </c>
      <c r="BW166" s="7" t="s">
        <v>1062</v>
      </c>
      <c r="BX166" s="8" t="b">
        <v>1</v>
      </c>
      <c r="BY166" s="7">
        <v>45.809999999999988</v>
      </c>
      <c r="BZ166" s="7">
        <v>35.999999999999993</v>
      </c>
      <c r="CA166" s="7">
        <v>46236.520833333336</v>
      </c>
      <c r="CB166" s="7">
        <v>46236.510416666664</v>
      </c>
      <c r="CC166" s="7">
        <v>2.3900621118012413E-2</v>
      </c>
      <c r="CD166" s="7">
        <v>164.49108623105582</v>
      </c>
      <c r="CE166" s="7">
        <v>155.88686262857135</v>
      </c>
      <c r="CF166" s="7">
        <v>662.24534522516342</v>
      </c>
      <c r="CG166" s="7">
        <v>0.3125</v>
      </c>
      <c r="CH166" s="7" t="s">
        <v>150</v>
      </c>
      <c r="CI166" s="7">
        <v>128</v>
      </c>
      <c r="CJ166" s="8" t="b">
        <v>1</v>
      </c>
      <c r="CK166" s="7">
        <v>40</v>
      </c>
      <c r="CL166" s="7">
        <v>40</v>
      </c>
      <c r="CM166" s="7">
        <v>40</v>
      </c>
      <c r="CN166" s="8" t="b">
        <v>0</v>
      </c>
      <c r="CO166" s="7" t="s">
        <v>955</v>
      </c>
      <c r="CP166" s="7">
        <v>818.79817147539825</v>
      </c>
    </row>
    <row r="167" spans="1:94" ht="21" customHeight="1" x14ac:dyDescent="0.45">
      <c r="A167" s="9">
        <v>46236.520833333336</v>
      </c>
      <c r="B167" s="9">
        <v>46236.53125</v>
      </c>
      <c r="C167" s="9">
        <v>46236.645833333336</v>
      </c>
      <c r="D167" s="10">
        <v>46236</v>
      </c>
      <c r="E167" s="7">
        <v>0.25</v>
      </c>
      <c r="F167" s="7" t="s">
        <v>770</v>
      </c>
      <c r="G167" s="9">
        <v>46236.5</v>
      </c>
      <c r="H167" s="7">
        <v>3.9</v>
      </c>
      <c r="I167" s="7" t="s">
        <v>1063</v>
      </c>
      <c r="J167" s="7">
        <v>15</v>
      </c>
      <c r="K167" s="7" t="s">
        <v>960</v>
      </c>
      <c r="L167" s="10">
        <v>46234</v>
      </c>
      <c r="M167" s="7">
        <v>5.2473000000000001</v>
      </c>
      <c r="N167" s="7" t="s">
        <v>773</v>
      </c>
      <c r="O167" s="7">
        <v>71.936000000000007</v>
      </c>
      <c r="P167" s="7" t="s">
        <v>1059</v>
      </c>
      <c r="Q167" s="7" t="s">
        <v>775</v>
      </c>
      <c r="R167" s="7">
        <v>66.224534522516336</v>
      </c>
      <c r="S167" s="7" t="s">
        <v>776</v>
      </c>
      <c r="T167" s="7">
        <v>175</v>
      </c>
      <c r="U167" s="7" t="s">
        <v>1060</v>
      </c>
      <c r="V167" s="7" t="s">
        <v>775</v>
      </c>
      <c r="W167" s="7">
        <v>5.3627579898233382</v>
      </c>
      <c r="X167" s="7" t="s">
        <v>776</v>
      </c>
      <c r="Y167" s="7">
        <v>175</v>
      </c>
      <c r="Z167" s="7" t="s">
        <v>1061</v>
      </c>
      <c r="AA167" s="7" t="s">
        <v>775</v>
      </c>
      <c r="AB167" s="7">
        <v>6.8606712023326279</v>
      </c>
      <c r="AC167" s="7" t="s">
        <v>776</v>
      </c>
      <c r="AD167" s="7"/>
      <c r="AE167" s="7" t="s">
        <v>779</v>
      </c>
      <c r="AF167" s="7"/>
      <c r="AG167" s="7">
        <v>107.0611552608008</v>
      </c>
      <c r="AH167" s="7" t="s">
        <v>776</v>
      </c>
      <c r="AI167" s="7">
        <v>1.667</v>
      </c>
      <c r="AJ167" s="7">
        <v>0</v>
      </c>
      <c r="AK167" s="7" t="s">
        <v>776</v>
      </c>
      <c r="AL167" s="7">
        <v>0</v>
      </c>
      <c r="AM167" s="7" t="s">
        <v>780</v>
      </c>
      <c r="AN167" s="7" t="s">
        <v>781</v>
      </c>
      <c r="AO167" s="7" t="s">
        <v>782</v>
      </c>
      <c r="AP167" s="7">
        <v>3.8102857142857098E-2</v>
      </c>
      <c r="AQ167" s="7">
        <v>0</v>
      </c>
      <c r="AR167" s="7">
        <v>3.8102857142857098E-2</v>
      </c>
      <c r="AS167" s="8" t="b">
        <v>1</v>
      </c>
      <c r="AT167" s="8" t="b">
        <v>1</v>
      </c>
      <c r="AU167" s="8" t="b">
        <v>1</v>
      </c>
      <c r="AV167" s="8" t="b">
        <v>1</v>
      </c>
      <c r="AW167" s="8" t="b">
        <v>1</v>
      </c>
      <c r="AX167" s="8" t="b">
        <v>1</v>
      </c>
      <c r="AY167" s="8" t="b">
        <v>1</v>
      </c>
      <c r="AZ167" s="8" t="b">
        <v>1</v>
      </c>
      <c r="BA167" s="7" t="s">
        <v>783</v>
      </c>
      <c r="BB167" s="7" t="s">
        <v>783</v>
      </c>
      <c r="BC167" s="7" t="s">
        <v>784</v>
      </c>
      <c r="BD167" s="7">
        <v>0</v>
      </c>
      <c r="BE167" s="7">
        <v>0</v>
      </c>
      <c r="BF167" s="7">
        <v>41.164027213995766</v>
      </c>
      <c r="BG167" s="7">
        <v>0.13714285714285715</v>
      </c>
      <c r="BH167" s="7" t="s">
        <v>154</v>
      </c>
      <c r="BI167" s="7">
        <v>175</v>
      </c>
      <c r="BJ167" s="7">
        <v>24</v>
      </c>
      <c r="BK167" s="7">
        <v>24</v>
      </c>
      <c r="BL167" s="7">
        <v>24</v>
      </c>
      <c r="BM167" s="8" t="b">
        <v>1</v>
      </c>
      <c r="BN167" s="7">
        <v>24.47601542670925</v>
      </c>
      <c r="BO167" s="7">
        <v>0.22861714285714288</v>
      </c>
      <c r="BP167" s="7">
        <v>32.176547938940033</v>
      </c>
      <c r="BQ167" s="7">
        <v>0.13714285714285715</v>
      </c>
      <c r="BR167" s="7" t="s">
        <v>154</v>
      </c>
      <c r="BS167" s="7">
        <v>175</v>
      </c>
      <c r="BT167" s="7">
        <v>24</v>
      </c>
      <c r="BU167" s="7">
        <v>24</v>
      </c>
      <c r="BV167" s="7">
        <v>24</v>
      </c>
      <c r="BW167" s="7" t="s">
        <v>1063</v>
      </c>
      <c r="BX167" s="8" t="b">
        <v>1</v>
      </c>
      <c r="BY167" s="7">
        <v>-35.1</v>
      </c>
      <c r="BZ167" s="7">
        <v>-36</v>
      </c>
      <c r="CA167" s="7">
        <v>46236.53125</v>
      </c>
      <c r="CB167" s="7">
        <v>46236.520833333336</v>
      </c>
      <c r="CC167" s="7">
        <v>2.2415756190476189E-2</v>
      </c>
      <c r="CD167" s="7">
        <v>155.88686262857135</v>
      </c>
      <c r="CE167" s="7">
        <v>163.95653485714277</v>
      </c>
      <c r="CF167" s="7">
        <v>662.24534522516342</v>
      </c>
      <c r="CG167" s="7">
        <v>0.3125</v>
      </c>
      <c r="CH167" s="7" t="s">
        <v>150</v>
      </c>
      <c r="CI167" s="7">
        <v>128</v>
      </c>
      <c r="CJ167" s="8" t="b">
        <v>1</v>
      </c>
      <c r="CK167" s="7">
        <v>40</v>
      </c>
      <c r="CL167" s="7">
        <v>40</v>
      </c>
      <c r="CM167" s="7">
        <v>40</v>
      </c>
      <c r="CN167" s="8" t="b">
        <v>0</v>
      </c>
      <c r="CO167" s="7" t="s">
        <v>955</v>
      </c>
      <c r="CP167" s="7">
        <v>724.96193580480849</v>
      </c>
    </row>
    <row r="168" spans="1:94" ht="21" customHeight="1" x14ac:dyDescent="0.45">
      <c r="A168" s="9">
        <v>46236.53125</v>
      </c>
      <c r="B168" s="9">
        <v>46236.541666666664</v>
      </c>
      <c r="C168" s="9">
        <v>46236.65625</v>
      </c>
      <c r="D168" s="10">
        <v>46236</v>
      </c>
      <c r="E168" s="7">
        <v>0.25</v>
      </c>
      <c r="F168" s="7" t="s">
        <v>770</v>
      </c>
      <c r="G168" s="9">
        <v>46236.5</v>
      </c>
      <c r="H168" s="7">
        <v>3.13</v>
      </c>
      <c r="I168" s="7" t="s">
        <v>1064</v>
      </c>
      <c r="J168" s="7">
        <v>15</v>
      </c>
      <c r="K168" s="7" t="s">
        <v>960</v>
      </c>
      <c r="L168" s="10">
        <v>46234</v>
      </c>
      <c r="M168" s="7">
        <v>5.2473000000000001</v>
      </c>
      <c r="N168" s="7" t="s">
        <v>773</v>
      </c>
      <c r="O168" s="7">
        <v>71.936000000000007</v>
      </c>
      <c r="P168" s="7" t="s">
        <v>1059</v>
      </c>
      <c r="Q168" s="7" t="s">
        <v>775</v>
      </c>
      <c r="R168" s="7">
        <v>66.224534522516336</v>
      </c>
      <c r="S168" s="7" t="s">
        <v>776</v>
      </c>
      <c r="T168" s="7">
        <v>175</v>
      </c>
      <c r="U168" s="7" t="s">
        <v>1060</v>
      </c>
      <c r="V168" s="7" t="s">
        <v>775</v>
      </c>
      <c r="W168" s="7">
        <v>5.3627579898233382</v>
      </c>
      <c r="X168" s="7" t="s">
        <v>776</v>
      </c>
      <c r="Y168" s="7">
        <v>175</v>
      </c>
      <c r="Z168" s="7" t="s">
        <v>1061</v>
      </c>
      <c r="AA168" s="7" t="s">
        <v>775</v>
      </c>
      <c r="AB168" s="7">
        <v>6.8606712023326279</v>
      </c>
      <c r="AC168" s="7" t="s">
        <v>776</v>
      </c>
      <c r="AD168" s="7"/>
      <c r="AE168" s="7" t="s">
        <v>779</v>
      </c>
      <c r="AF168" s="7"/>
      <c r="AG168" s="7">
        <v>117.19493834924627</v>
      </c>
      <c r="AH168" s="7" t="s">
        <v>776</v>
      </c>
      <c r="AI168" s="7">
        <v>5.09</v>
      </c>
      <c r="AJ168" s="7">
        <v>0</v>
      </c>
      <c r="AK168" s="7" t="s">
        <v>776</v>
      </c>
      <c r="AL168" s="7">
        <v>0</v>
      </c>
      <c r="AM168" s="7" t="s">
        <v>780</v>
      </c>
      <c r="AN168" s="7" t="s">
        <v>781</v>
      </c>
      <c r="AO168" s="7" t="s">
        <v>782</v>
      </c>
      <c r="AP168" s="7">
        <v>0.1163428571428571</v>
      </c>
      <c r="AQ168" s="7">
        <v>0</v>
      </c>
      <c r="AR168" s="7">
        <v>0.1163428571428571</v>
      </c>
      <c r="AS168" s="8" t="b">
        <v>1</v>
      </c>
      <c r="AT168" s="8" t="b">
        <v>1</v>
      </c>
      <c r="AU168" s="8" t="b">
        <v>1</v>
      </c>
      <c r="AV168" s="8" t="b">
        <v>1</v>
      </c>
      <c r="AW168" s="8" t="b">
        <v>1</v>
      </c>
      <c r="AX168" s="8" t="b">
        <v>1</v>
      </c>
      <c r="AY168" s="8" t="b">
        <v>1</v>
      </c>
      <c r="AZ168" s="8" t="b">
        <v>1</v>
      </c>
      <c r="BA168" s="7" t="s">
        <v>783</v>
      </c>
      <c r="BB168" s="7" t="s">
        <v>783</v>
      </c>
      <c r="BC168" s="7" t="s">
        <v>784</v>
      </c>
      <c r="BD168" s="7">
        <v>0</v>
      </c>
      <c r="BE168" s="7">
        <v>0</v>
      </c>
      <c r="BF168" s="7">
        <v>41.164027213995766</v>
      </c>
      <c r="BG168" s="7">
        <v>0.13714285714285715</v>
      </c>
      <c r="BH168" s="7" t="s">
        <v>154</v>
      </c>
      <c r="BI168" s="7">
        <v>175</v>
      </c>
      <c r="BJ168" s="7">
        <v>24</v>
      </c>
      <c r="BK168" s="7">
        <v>24</v>
      </c>
      <c r="BL168" s="7">
        <v>24</v>
      </c>
      <c r="BM168" s="8" t="b">
        <v>1</v>
      </c>
      <c r="BN168" s="7">
        <v>81.808763821393853</v>
      </c>
      <c r="BO168" s="7">
        <v>0.69805714285714282</v>
      </c>
      <c r="BP168" s="7">
        <v>32.176547938940033</v>
      </c>
      <c r="BQ168" s="7">
        <v>0.13714285714285715</v>
      </c>
      <c r="BR168" s="7" t="s">
        <v>154</v>
      </c>
      <c r="BS168" s="7">
        <v>175</v>
      </c>
      <c r="BT168" s="7">
        <v>24</v>
      </c>
      <c r="BU168" s="7">
        <v>24</v>
      </c>
      <c r="BV168" s="7">
        <v>24</v>
      </c>
      <c r="BW168" s="7" t="s">
        <v>1064</v>
      </c>
      <c r="BX168" s="8" t="b">
        <v>1</v>
      </c>
      <c r="BY168" s="7">
        <v>-28.169999999999998</v>
      </c>
      <c r="BZ168" s="7">
        <v>-36</v>
      </c>
      <c r="CA168" s="7">
        <v>46236.541666666664</v>
      </c>
      <c r="CB168" s="7">
        <v>46236.53125</v>
      </c>
      <c r="CC168" s="7">
        <v>2.1216076190476191E-2</v>
      </c>
      <c r="CD168" s="7">
        <v>163.95653485714277</v>
      </c>
      <c r="CE168" s="7">
        <v>171.59432228571418</v>
      </c>
      <c r="CF168" s="7">
        <v>662.24534522516342</v>
      </c>
      <c r="CG168" s="7">
        <v>0.3125</v>
      </c>
      <c r="CH168" s="7" t="s">
        <v>150</v>
      </c>
      <c r="CI168" s="7">
        <v>128</v>
      </c>
      <c r="CJ168" s="8" t="b">
        <v>1</v>
      </c>
      <c r="CK168" s="7">
        <v>40</v>
      </c>
      <c r="CL168" s="7">
        <v>40</v>
      </c>
      <c r="CM168" s="7">
        <v>40</v>
      </c>
      <c r="CN168" s="8" t="b">
        <v>0</v>
      </c>
      <c r="CO168" s="7" t="s">
        <v>955</v>
      </c>
      <c r="CP168" s="7">
        <v>789.22468419949303</v>
      </c>
    </row>
    <row r="169" spans="1:94" ht="21" customHeight="1" x14ac:dyDescent="0.45">
      <c r="A169" s="9">
        <v>46236.541666666664</v>
      </c>
      <c r="B169" s="9">
        <v>46236.552083333336</v>
      </c>
      <c r="C169" s="9">
        <v>46236.666666666664</v>
      </c>
      <c r="D169" s="10">
        <v>46236</v>
      </c>
      <c r="E169" s="7">
        <v>0.25</v>
      </c>
      <c r="F169" s="7" t="s">
        <v>770</v>
      </c>
      <c r="G169" s="9">
        <v>46236.541666666664</v>
      </c>
      <c r="H169" s="7">
        <v>7.62</v>
      </c>
      <c r="I169" s="7" t="s">
        <v>1065</v>
      </c>
      <c r="J169" s="7">
        <v>15</v>
      </c>
      <c r="K169" s="7" t="s">
        <v>960</v>
      </c>
      <c r="L169" s="10">
        <v>46234</v>
      </c>
      <c r="M169" s="7">
        <v>5.2473000000000001</v>
      </c>
      <c r="N169" s="7" t="s">
        <v>773</v>
      </c>
      <c r="O169" s="7">
        <v>71.936000000000007</v>
      </c>
      <c r="P169" s="7" t="s">
        <v>1066</v>
      </c>
      <c r="Q169" s="7" t="s">
        <v>775</v>
      </c>
      <c r="R169" s="7">
        <v>66.224534522516336</v>
      </c>
      <c r="S169" s="7" t="s">
        <v>776</v>
      </c>
      <c r="T169" s="7">
        <v>175</v>
      </c>
      <c r="U169" s="7" t="s">
        <v>1067</v>
      </c>
      <c r="V169" s="7" t="s">
        <v>775</v>
      </c>
      <c r="W169" s="7">
        <v>5.2998685038019548</v>
      </c>
      <c r="X169" s="7" t="s">
        <v>776</v>
      </c>
      <c r="Y169" s="7">
        <v>175</v>
      </c>
      <c r="Z169" s="7" t="s">
        <v>1068</v>
      </c>
      <c r="AA169" s="7" t="s">
        <v>775</v>
      </c>
      <c r="AB169" s="7">
        <v>3.0072608770224685</v>
      </c>
      <c r="AC169" s="7" t="s">
        <v>776</v>
      </c>
      <c r="AD169" s="7"/>
      <c r="AE169" s="7" t="s">
        <v>779</v>
      </c>
      <c r="AF169" s="7"/>
      <c r="AG169" s="7">
        <v>128.82815924380157</v>
      </c>
      <c r="AH169" s="7" t="s">
        <v>776</v>
      </c>
      <c r="AI169" s="7">
        <v>2.4470000000000001</v>
      </c>
      <c r="AJ169" s="7">
        <v>76.229680025918086</v>
      </c>
      <c r="AK169" s="7" t="s">
        <v>776</v>
      </c>
      <c r="AL169" s="7">
        <v>4.4999999999999998E-2</v>
      </c>
      <c r="AM169" s="7" t="s">
        <v>780</v>
      </c>
      <c r="AN169" s="7" t="s">
        <v>781</v>
      </c>
      <c r="AO169" s="7" t="s">
        <v>782</v>
      </c>
      <c r="AP169" s="7">
        <v>5.59314285714285E-2</v>
      </c>
      <c r="AQ169" s="7">
        <v>1.0285714285714E-3</v>
      </c>
      <c r="AR169" s="7">
        <v>5.6959999999999997E-2</v>
      </c>
      <c r="AS169" s="8" t="b">
        <v>1</v>
      </c>
      <c r="AT169" s="8" t="b">
        <v>1</v>
      </c>
      <c r="AU169" s="8" t="b">
        <v>1</v>
      </c>
      <c r="AV169" s="8" t="b">
        <v>1</v>
      </c>
      <c r="AW169" s="8" t="b">
        <v>1</v>
      </c>
      <c r="AX169" s="8" t="b">
        <v>1</v>
      </c>
      <c r="AY169" s="8" t="b">
        <v>1</v>
      </c>
      <c r="AZ169" s="8" t="b">
        <v>1</v>
      </c>
      <c r="BA169" s="7" t="s">
        <v>783</v>
      </c>
      <c r="BB169" s="7" t="s">
        <v>783</v>
      </c>
      <c r="BC169" s="7" t="s">
        <v>784</v>
      </c>
      <c r="BD169" s="7">
        <v>-0.47044602530280877</v>
      </c>
      <c r="BE169" s="7">
        <v>6.1714285714285716E-3</v>
      </c>
      <c r="BF169" s="7">
        <v>18.043565262134813</v>
      </c>
      <c r="BG169" s="7">
        <v>0.13714285714285715</v>
      </c>
      <c r="BH169" s="7" t="s">
        <v>154</v>
      </c>
      <c r="BI169" s="7">
        <v>175</v>
      </c>
      <c r="BJ169" s="7">
        <v>24</v>
      </c>
      <c r="BK169" s="7">
        <v>24</v>
      </c>
      <c r="BL169" s="7">
        <v>24</v>
      </c>
      <c r="BM169" s="8" t="b">
        <v>1</v>
      </c>
      <c r="BN169" s="7">
        <v>43.233257920399872</v>
      </c>
      <c r="BO169" s="7">
        <v>0.3355885714285714</v>
      </c>
      <c r="BP169" s="7">
        <v>31.799211022811729</v>
      </c>
      <c r="BQ169" s="7">
        <v>0.13714285714285715</v>
      </c>
      <c r="BR169" s="7" t="s">
        <v>154</v>
      </c>
      <c r="BS169" s="7">
        <v>175</v>
      </c>
      <c r="BT169" s="7">
        <v>24</v>
      </c>
      <c r="BU169" s="7">
        <v>24</v>
      </c>
      <c r="BV169" s="7">
        <v>24</v>
      </c>
      <c r="BW169" s="7" t="s">
        <v>1065</v>
      </c>
      <c r="BX169" s="8" t="b">
        <v>1</v>
      </c>
      <c r="BY169" s="7">
        <v>0</v>
      </c>
      <c r="BZ169" s="7">
        <v>0</v>
      </c>
      <c r="CA169" s="7">
        <v>46236.552083333336</v>
      </c>
      <c r="CB169" s="7">
        <v>46236.541666666664</v>
      </c>
      <c r="CC169" s="7">
        <v>1.0290219461697721E-3</v>
      </c>
      <c r="CD169" s="7">
        <v>171.59432228571418</v>
      </c>
      <c r="CE169" s="7">
        <v>171.23522981366452</v>
      </c>
      <c r="CF169" s="7">
        <v>662.24534522516342</v>
      </c>
      <c r="CG169" s="7">
        <v>0.3125</v>
      </c>
      <c r="CH169" s="7" t="s">
        <v>150</v>
      </c>
      <c r="CI169" s="7">
        <v>128</v>
      </c>
      <c r="CJ169" s="8" t="b">
        <v>1</v>
      </c>
      <c r="CK169" s="7">
        <v>40</v>
      </c>
      <c r="CL169" s="7">
        <v>40</v>
      </c>
      <c r="CM169" s="7">
        <v>40</v>
      </c>
      <c r="CN169" s="8" t="b">
        <v>0</v>
      </c>
      <c r="CO169" s="7" t="s">
        <v>955</v>
      </c>
      <c r="CP169" s="7">
        <v>754.850933405207</v>
      </c>
    </row>
    <row r="170" spans="1:94" ht="21" customHeight="1" x14ac:dyDescent="0.45">
      <c r="A170" s="9">
        <v>46236.552083333336</v>
      </c>
      <c r="B170" s="9">
        <v>46236.5625</v>
      </c>
      <c r="C170" s="9">
        <v>46236.677083333336</v>
      </c>
      <c r="D170" s="10">
        <v>46236</v>
      </c>
      <c r="E170" s="7">
        <v>0.25</v>
      </c>
      <c r="F170" s="7" t="s">
        <v>770</v>
      </c>
      <c r="G170" s="9">
        <v>46236.541666666664</v>
      </c>
      <c r="H170" s="7">
        <v>7.14</v>
      </c>
      <c r="I170" s="7" t="s">
        <v>1069</v>
      </c>
      <c r="J170" s="7">
        <v>15</v>
      </c>
      <c r="K170" s="7" t="s">
        <v>960</v>
      </c>
      <c r="L170" s="10">
        <v>46234</v>
      </c>
      <c r="M170" s="7">
        <v>5.2473000000000001</v>
      </c>
      <c r="N170" s="7" t="s">
        <v>773</v>
      </c>
      <c r="O170" s="7">
        <v>71.936000000000007</v>
      </c>
      <c r="P170" s="7" t="s">
        <v>1066</v>
      </c>
      <c r="Q170" s="7" t="s">
        <v>775</v>
      </c>
      <c r="R170" s="7">
        <v>66.224534522516336</v>
      </c>
      <c r="S170" s="7" t="s">
        <v>776</v>
      </c>
      <c r="T170" s="7">
        <v>175</v>
      </c>
      <c r="U170" s="7" t="s">
        <v>1067</v>
      </c>
      <c r="V170" s="7" t="s">
        <v>775</v>
      </c>
      <c r="W170" s="7">
        <v>5.2998685038019548</v>
      </c>
      <c r="X170" s="7" t="s">
        <v>776</v>
      </c>
      <c r="Y170" s="7">
        <v>175</v>
      </c>
      <c r="Z170" s="7" t="s">
        <v>1068</v>
      </c>
      <c r="AA170" s="7" t="s">
        <v>775</v>
      </c>
      <c r="AB170" s="7">
        <v>3.0072608770224685</v>
      </c>
      <c r="AC170" s="7" t="s">
        <v>776</v>
      </c>
      <c r="AD170" s="7"/>
      <c r="AE170" s="7" t="s">
        <v>779</v>
      </c>
      <c r="AF170" s="7"/>
      <c r="AG170" s="7">
        <v>93.550969069807323</v>
      </c>
      <c r="AH170" s="7" t="s">
        <v>776</v>
      </c>
      <c r="AI170" s="7">
        <v>0.13</v>
      </c>
      <c r="AJ170" s="7">
        <v>66.991023955176942</v>
      </c>
      <c r="AK170" s="7" t="s">
        <v>776</v>
      </c>
      <c r="AL170" s="7">
        <v>0.20899999999999999</v>
      </c>
      <c r="AM170" s="7" t="s">
        <v>780</v>
      </c>
      <c r="AN170" s="7" t="s">
        <v>781</v>
      </c>
      <c r="AO170" s="7" t="s">
        <v>782</v>
      </c>
      <c r="AP170" s="7">
        <v>2.9714285714284999E-3</v>
      </c>
      <c r="AQ170" s="7">
        <v>4.7771428571428002E-3</v>
      </c>
      <c r="AR170" s="7">
        <v>7.7485714285713998E-3</v>
      </c>
      <c r="AS170" s="8" t="b">
        <v>1</v>
      </c>
      <c r="AT170" s="8" t="b">
        <v>1</v>
      </c>
      <c r="AU170" s="8" t="b">
        <v>1</v>
      </c>
      <c r="AV170" s="8" t="b">
        <v>1</v>
      </c>
      <c r="AW170" s="8" t="b">
        <v>1</v>
      </c>
      <c r="AX170" s="8" t="b">
        <v>1</v>
      </c>
      <c r="AY170" s="8" t="b">
        <v>1</v>
      </c>
      <c r="AZ170" s="8" t="b">
        <v>1</v>
      </c>
      <c r="BA170" s="7" t="s">
        <v>783</v>
      </c>
      <c r="BB170" s="7" t="s">
        <v>783</v>
      </c>
      <c r="BC170" s="7" t="s">
        <v>784</v>
      </c>
      <c r="BD170" s="7">
        <v>-1.9201541494809571</v>
      </c>
      <c r="BE170" s="7">
        <v>2.8662857142857139E-2</v>
      </c>
      <c r="BF170" s="7">
        <v>18.043565262134813</v>
      </c>
      <c r="BG170" s="7">
        <v>0.13714285714285715</v>
      </c>
      <c r="BH170" s="7" t="s">
        <v>154</v>
      </c>
      <c r="BI170" s="7">
        <v>175</v>
      </c>
      <c r="BJ170" s="7">
        <v>24</v>
      </c>
      <c r="BK170" s="7">
        <v>24</v>
      </c>
      <c r="BL170" s="7">
        <v>24</v>
      </c>
      <c r="BM170" s="8" t="b">
        <v>1</v>
      </c>
      <c r="BN170" s="7">
        <v>1.6678801342731364</v>
      </c>
      <c r="BO170" s="7">
        <v>1.782857142857143E-2</v>
      </c>
      <c r="BP170" s="7">
        <v>31.799211022811729</v>
      </c>
      <c r="BQ170" s="7">
        <v>0.13714285714285715</v>
      </c>
      <c r="BR170" s="7" t="s">
        <v>154</v>
      </c>
      <c r="BS170" s="7">
        <v>175</v>
      </c>
      <c r="BT170" s="7">
        <v>24</v>
      </c>
      <c r="BU170" s="7">
        <v>24</v>
      </c>
      <c r="BV170" s="7">
        <v>24</v>
      </c>
      <c r="BW170" s="7" t="s">
        <v>1069</v>
      </c>
      <c r="BX170" s="8" t="b">
        <v>1</v>
      </c>
      <c r="BY170" s="7">
        <v>-2.7018582529201232</v>
      </c>
      <c r="BZ170" s="7">
        <v>-1.513646080067296</v>
      </c>
      <c r="CA170" s="7">
        <v>46236.5625</v>
      </c>
      <c r="CB170" s="7">
        <v>46236.552083333336</v>
      </c>
      <c r="CC170" s="7">
        <v>1.0878628924948456E-3</v>
      </c>
      <c r="CD170" s="7">
        <v>171.23522981366452</v>
      </c>
      <c r="CE170" s="7">
        <v>171.59054708838389</v>
      </c>
      <c r="CF170" s="7">
        <v>662.24534522516342</v>
      </c>
      <c r="CG170" s="7">
        <v>0.3125</v>
      </c>
      <c r="CH170" s="7" t="s">
        <v>150</v>
      </c>
      <c r="CI170" s="7">
        <v>128</v>
      </c>
      <c r="CJ170" s="8" t="b">
        <v>1</v>
      </c>
      <c r="CK170" s="7">
        <v>40</v>
      </c>
      <c r="CL170" s="7">
        <v>40</v>
      </c>
      <c r="CM170" s="7">
        <v>40</v>
      </c>
      <c r="CN170" s="8" t="b">
        <v>0</v>
      </c>
      <c r="CO170" s="7" t="s">
        <v>955</v>
      </c>
      <c r="CP170" s="7">
        <v>709.13398924198202</v>
      </c>
    </row>
    <row r="171" spans="1:94" ht="21" customHeight="1" x14ac:dyDescent="0.45">
      <c r="A171" s="9">
        <v>46236.5625</v>
      </c>
      <c r="B171" s="9">
        <v>46236.572916666664</v>
      </c>
      <c r="C171" s="9">
        <v>46236.6875</v>
      </c>
      <c r="D171" s="10">
        <v>46236</v>
      </c>
      <c r="E171" s="7">
        <v>0.25</v>
      </c>
      <c r="F171" s="7" t="s">
        <v>770</v>
      </c>
      <c r="G171" s="9">
        <v>46236.541666666664</v>
      </c>
      <c r="H171" s="7">
        <v>7.94</v>
      </c>
      <c r="I171" s="7" t="s">
        <v>1070</v>
      </c>
      <c r="J171" s="7">
        <v>15</v>
      </c>
      <c r="K171" s="7" t="s">
        <v>960</v>
      </c>
      <c r="L171" s="10">
        <v>46234</v>
      </c>
      <c r="M171" s="7">
        <v>5.2473000000000001</v>
      </c>
      <c r="N171" s="7" t="s">
        <v>773</v>
      </c>
      <c r="O171" s="7">
        <v>71.936000000000007</v>
      </c>
      <c r="P171" s="7" t="s">
        <v>1066</v>
      </c>
      <c r="Q171" s="7" t="s">
        <v>775</v>
      </c>
      <c r="R171" s="7">
        <v>66.224534522516336</v>
      </c>
      <c r="S171" s="7" t="s">
        <v>776</v>
      </c>
      <c r="T171" s="7">
        <v>175</v>
      </c>
      <c r="U171" s="7" t="s">
        <v>1067</v>
      </c>
      <c r="V171" s="7" t="s">
        <v>775</v>
      </c>
      <c r="W171" s="7">
        <v>5.2998685038019548</v>
      </c>
      <c r="X171" s="7" t="s">
        <v>776</v>
      </c>
      <c r="Y171" s="7">
        <v>175</v>
      </c>
      <c r="Z171" s="7" t="s">
        <v>1068</v>
      </c>
      <c r="AA171" s="7" t="s">
        <v>775</v>
      </c>
      <c r="AB171" s="7">
        <v>3.0072608770224685</v>
      </c>
      <c r="AC171" s="7" t="s">
        <v>776</v>
      </c>
      <c r="AD171" s="7"/>
      <c r="AE171" s="7" t="s">
        <v>779</v>
      </c>
      <c r="AF171" s="7"/>
      <c r="AG171" s="7">
        <v>132.17673851314009</v>
      </c>
      <c r="AH171" s="7" t="s">
        <v>776</v>
      </c>
      <c r="AI171" s="7">
        <v>4.4889999999999999</v>
      </c>
      <c r="AJ171" s="7">
        <v>76.229680025918086</v>
      </c>
      <c r="AK171" s="7" t="s">
        <v>776</v>
      </c>
      <c r="AL171" s="7">
        <v>6.7000000000000004E-2</v>
      </c>
      <c r="AM171" s="7" t="s">
        <v>780</v>
      </c>
      <c r="AN171" s="7" t="s">
        <v>781</v>
      </c>
      <c r="AO171" s="7" t="s">
        <v>782</v>
      </c>
      <c r="AP171" s="7">
        <v>0.1026057142857142</v>
      </c>
      <c r="AQ171" s="7">
        <v>1.5314285714285E-3</v>
      </c>
      <c r="AR171" s="7">
        <v>0.1041371428571428</v>
      </c>
      <c r="AS171" s="8" t="b">
        <v>1</v>
      </c>
      <c r="AT171" s="8" t="b">
        <v>1</v>
      </c>
      <c r="AU171" s="8" t="b">
        <v>1</v>
      </c>
      <c r="AV171" s="8" t="b">
        <v>1</v>
      </c>
      <c r="AW171" s="8" t="b">
        <v>1</v>
      </c>
      <c r="AX171" s="8" t="b">
        <v>1</v>
      </c>
      <c r="AY171" s="8" t="b">
        <v>1</v>
      </c>
      <c r="AZ171" s="8" t="b">
        <v>1</v>
      </c>
      <c r="BA171" s="7" t="s">
        <v>783</v>
      </c>
      <c r="BB171" s="7" t="s">
        <v>783</v>
      </c>
      <c r="BC171" s="7" t="s">
        <v>784</v>
      </c>
      <c r="BD171" s="7">
        <v>-0.70044185989529317</v>
      </c>
      <c r="BE171" s="7">
        <v>9.1885714285714296E-3</v>
      </c>
      <c r="BF171" s="7">
        <v>18.043565262134813</v>
      </c>
      <c r="BG171" s="7">
        <v>0.13714285714285715</v>
      </c>
      <c r="BH171" s="7" t="s">
        <v>154</v>
      </c>
      <c r="BI171" s="7">
        <v>175</v>
      </c>
      <c r="BJ171" s="7">
        <v>24</v>
      </c>
      <c r="BK171" s="7">
        <v>24</v>
      </c>
      <c r="BL171" s="7">
        <v>24</v>
      </c>
      <c r="BM171" s="8" t="b">
        <v>1</v>
      </c>
      <c r="BN171" s="7">
        <v>81.372532002580911</v>
      </c>
      <c r="BO171" s="7">
        <v>0.61563428571428569</v>
      </c>
      <c r="BP171" s="7">
        <v>31.799211022811729</v>
      </c>
      <c r="BQ171" s="7">
        <v>0.13714285714285715</v>
      </c>
      <c r="BR171" s="7" t="s">
        <v>154</v>
      </c>
      <c r="BS171" s="7">
        <v>175</v>
      </c>
      <c r="BT171" s="7">
        <v>24</v>
      </c>
      <c r="BU171" s="7">
        <v>24</v>
      </c>
      <c r="BV171" s="7">
        <v>24</v>
      </c>
      <c r="BW171" s="7" t="s">
        <v>1070</v>
      </c>
      <c r="BX171" s="8" t="b">
        <v>1</v>
      </c>
      <c r="BY171" s="7">
        <v>-5.6323097441185856</v>
      </c>
      <c r="BZ171" s="7">
        <v>-2.8374356393544509</v>
      </c>
      <c r="CA171" s="7">
        <v>46236.572916666664</v>
      </c>
      <c r="CB171" s="7">
        <v>46236.5625</v>
      </c>
      <c r="CC171" s="7">
        <v>3.2893236221158834E-3</v>
      </c>
      <c r="CD171" s="7">
        <v>171.59054708838389</v>
      </c>
      <c r="CE171" s="7">
        <v>171.59459487911656</v>
      </c>
      <c r="CF171" s="7">
        <v>662.24534522516342</v>
      </c>
      <c r="CG171" s="7">
        <v>0.3125</v>
      </c>
      <c r="CH171" s="7" t="s">
        <v>150</v>
      </c>
      <c r="CI171" s="7">
        <v>128</v>
      </c>
      <c r="CJ171" s="8" t="b">
        <v>1</v>
      </c>
      <c r="CK171" s="7">
        <v>40</v>
      </c>
      <c r="CL171" s="7">
        <v>40</v>
      </c>
      <c r="CM171" s="7">
        <v>40</v>
      </c>
      <c r="CN171" s="8" t="b">
        <v>0</v>
      </c>
      <c r="CO171" s="7" t="s">
        <v>955</v>
      </c>
      <c r="CP171" s="7">
        <v>787.12790190867702</v>
      </c>
    </row>
    <row r="172" spans="1:94" ht="21" customHeight="1" x14ac:dyDescent="0.45">
      <c r="A172" s="9">
        <v>46236.572916666664</v>
      </c>
      <c r="B172" s="9">
        <v>46236.583333333336</v>
      </c>
      <c r="C172" s="9">
        <v>46236.697916666664</v>
      </c>
      <c r="D172" s="10">
        <v>46236</v>
      </c>
      <c r="E172" s="7">
        <v>0.25</v>
      </c>
      <c r="F172" s="7" t="s">
        <v>770</v>
      </c>
      <c r="G172" s="9">
        <v>46236.541666666664</v>
      </c>
      <c r="H172" s="7">
        <v>8.4700000000000006</v>
      </c>
      <c r="I172" s="7" t="s">
        <v>1071</v>
      </c>
      <c r="J172" s="7">
        <v>15</v>
      </c>
      <c r="K172" s="7" t="s">
        <v>960</v>
      </c>
      <c r="L172" s="10">
        <v>46234</v>
      </c>
      <c r="M172" s="7">
        <v>5.2473000000000001</v>
      </c>
      <c r="N172" s="7" t="s">
        <v>773</v>
      </c>
      <c r="O172" s="7">
        <v>71.936000000000007</v>
      </c>
      <c r="P172" s="7" t="s">
        <v>1066</v>
      </c>
      <c r="Q172" s="7" t="s">
        <v>775</v>
      </c>
      <c r="R172" s="7">
        <v>66.224534522516336</v>
      </c>
      <c r="S172" s="7" t="s">
        <v>776</v>
      </c>
      <c r="T172" s="7">
        <v>175</v>
      </c>
      <c r="U172" s="7" t="s">
        <v>1067</v>
      </c>
      <c r="V172" s="7" t="s">
        <v>775</v>
      </c>
      <c r="W172" s="7">
        <v>5.2998685038019548</v>
      </c>
      <c r="X172" s="7" t="s">
        <v>776</v>
      </c>
      <c r="Y172" s="7">
        <v>175</v>
      </c>
      <c r="Z172" s="7" t="s">
        <v>1068</v>
      </c>
      <c r="AA172" s="7" t="s">
        <v>775</v>
      </c>
      <c r="AB172" s="7">
        <v>3.0072608770224685</v>
      </c>
      <c r="AC172" s="7" t="s">
        <v>776</v>
      </c>
      <c r="AD172" s="7"/>
      <c r="AE172" s="7" t="s">
        <v>779</v>
      </c>
      <c r="AF172" s="7"/>
      <c r="AG172" s="7">
        <v>109.33889809997522</v>
      </c>
      <c r="AH172" s="7" t="s">
        <v>776</v>
      </c>
      <c r="AI172" s="7">
        <v>0.93700000000000006</v>
      </c>
      <c r="AJ172" s="7">
        <v>76.229680025918086</v>
      </c>
      <c r="AK172" s="7" t="s">
        <v>776</v>
      </c>
      <c r="AL172" s="7">
        <v>4.2000000000000003E-2</v>
      </c>
      <c r="AM172" s="7" t="s">
        <v>780</v>
      </c>
      <c r="AN172" s="7" t="s">
        <v>781</v>
      </c>
      <c r="AO172" s="7" t="s">
        <v>782</v>
      </c>
      <c r="AP172" s="7">
        <v>2.1417142857142801E-2</v>
      </c>
      <c r="AQ172" s="7">
        <v>9.6000000000000002E-4</v>
      </c>
      <c r="AR172" s="7">
        <v>2.23771428571428E-2</v>
      </c>
      <c r="AS172" s="8" t="b">
        <v>1</v>
      </c>
      <c r="AT172" s="8" t="b">
        <v>1</v>
      </c>
      <c r="AU172" s="8" t="b">
        <v>1</v>
      </c>
      <c r="AV172" s="8" t="b">
        <v>1</v>
      </c>
      <c r="AW172" s="8" t="b">
        <v>1</v>
      </c>
      <c r="AX172" s="8" t="b">
        <v>1</v>
      </c>
      <c r="AY172" s="8" t="b">
        <v>1</v>
      </c>
      <c r="AZ172" s="8" t="b">
        <v>1</v>
      </c>
      <c r="BA172" s="7" t="s">
        <v>783</v>
      </c>
      <c r="BB172" s="7" t="s">
        <v>783</v>
      </c>
      <c r="BC172" s="7" t="s">
        <v>784</v>
      </c>
      <c r="BD172" s="7">
        <v>-0.43908295694928823</v>
      </c>
      <c r="BE172" s="7">
        <v>5.7600000000000004E-3</v>
      </c>
      <c r="BF172" s="7">
        <v>18.043565262134813</v>
      </c>
      <c r="BG172" s="7">
        <v>0.13714285714285715</v>
      </c>
      <c r="BH172" s="7" t="s">
        <v>154</v>
      </c>
      <c r="BI172" s="7">
        <v>175</v>
      </c>
      <c r="BJ172" s="7">
        <v>24</v>
      </c>
      <c r="BK172" s="7">
        <v>24</v>
      </c>
      <c r="BL172" s="7">
        <v>24</v>
      </c>
      <c r="BM172" s="8" t="b">
        <v>1</v>
      </c>
      <c r="BN172" s="7">
        <v>14.050360802698531</v>
      </c>
      <c r="BO172" s="7">
        <v>0.12850285714285714</v>
      </c>
      <c r="BP172" s="7">
        <v>31.799211022811729</v>
      </c>
      <c r="BQ172" s="7">
        <v>0.13714285714285715</v>
      </c>
      <c r="BR172" s="7" t="s">
        <v>154</v>
      </c>
      <c r="BS172" s="7">
        <v>175</v>
      </c>
      <c r="BT172" s="7">
        <v>24</v>
      </c>
      <c r="BU172" s="7">
        <v>24</v>
      </c>
      <c r="BV172" s="7">
        <v>24</v>
      </c>
      <c r="BW172" s="7" t="s">
        <v>1071</v>
      </c>
      <c r="BX172" s="8" t="b">
        <v>1</v>
      </c>
      <c r="BY172" s="7">
        <v>-1.0157947035182187</v>
      </c>
      <c r="BZ172" s="7">
        <v>-0.47971414569927678</v>
      </c>
      <c r="CA172" s="7">
        <v>46236.583333333336</v>
      </c>
      <c r="CB172" s="7">
        <v>46236.572916666664</v>
      </c>
      <c r="CC172" s="7">
        <v>6.9487653038540517E-4</v>
      </c>
      <c r="CD172" s="7">
        <v>171.59459487911656</v>
      </c>
      <c r="CE172" s="7">
        <v>171.57098014626055</v>
      </c>
      <c r="CF172" s="7">
        <v>662.24534522516342</v>
      </c>
      <c r="CG172" s="7">
        <v>0.3125</v>
      </c>
      <c r="CH172" s="7" t="s">
        <v>150</v>
      </c>
      <c r="CI172" s="7">
        <v>128</v>
      </c>
      <c r="CJ172" s="8" t="b">
        <v>1</v>
      </c>
      <c r="CK172" s="7">
        <v>40</v>
      </c>
      <c r="CL172" s="7">
        <v>40</v>
      </c>
      <c r="CM172" s="7">
        <v>40</v>
      </c>
      <c r="CN172" s="8" t="b">
        <v>0</v>
      </c>
      <c r="CO172" s="7" t="s">
        <v>955</v>
      </c>
      <c r="CP172" s="7">
        <v>724.68360465234093</v>
      </c>
    </row>
    <row r="173" spans="1:94" ht="21" customHeight="1" x14ac:dyDescent="0.45">
      <c r="A173" s="9">
        <v>46236.583333333336</v>
      </c>
      <c r="B173" s="9">
        <v>46236.59375</v>
      </c>
      <c r="C173" s="9">
        <v>46236.708333333336</v>
      </c>
      <c r="D173" s="10">
        <v>46236</v>
      </c>
      <c r="E173" s="7">
        <v>0.25</v>
      </c>
      <c r="F173" s="7" t="s">
        <v>770</v>
      </c>
      <c r="G173" s="9">
        <v>46236.583333333336</v>
      </c>
      <c r="H173" s="7">
        <v>12.63</v>
      </c>
      <c r="I173" s="7" t="s">
        <v>1072</v>
      </c>
      <c r="J173" s="7">
        <v>15</v>
      </c>
      <c r="K173" s="7" t="s">
        <v>960</v>
      </c>
      <c r="L173" s="10">
        <v>46234</v>
      </c>
      <c r="M173" s="7">
        <v>5.2473000000000001</v>
      </c>
      <c r="N173" s="7" t="s">
        <v>773</v>
      </c>
      <c r="O173" s="7">
        <v>51.968000000000004</v>
      </c>
      <c r="P173" s="7" t="s">
        <v>1073</v>
      </c>
      <c r="Q173" s="7" t="s">
        <v>775</v>
      </c>
      <c r="R173" s="7">
        <v>60.030873020410496</v>
      </c>
      <c r="S173" s="7" t="s">
        <v>776</v>
      </c>
      <c r="T173" s="7">
        <v>175</v>
      </c>
      <c r="U173" s="7" t="s">
        <v>1074</v>
      </c>
      <c r="V173" s="7" t="s">
        <v>775</v>
      </c>
      <c r="W173" s="7">
        <v>6.0335791740514164</v>
      </c>
      <c r="X173" s="7" t="s">
        <v>776</v>
      </c>
      <c r="Y173" s="7">
        <v>175</v>
      </c>
      <c r="Z173" s="7" t="s">
        <v>1075</v>
      </c>
      <c r="AA173" s="7" t="s">
        <v>775</v>
      </c>
      <c r="AB173" s="7">
        <v>3.0072608770224685</v>
      </c>
      <c r="AC173" s="7" t="s">
        <v>776</v>
      </c>
      <c r="AD173" s="7"/>
      <c r="AE173" s="7" t="s">
        <v>779</v>
      </c>
      <c r="AF173" s="7"/>
      <c r="AG173" s="7">
        <v>133.21136584529185</v>
      </c>
      <c r="AH173" s="7" t="s">
        <v>776</v>
      </c>
      <c r="AI173" s="7">
        <v>8.2000000000000003E-2</v>
      </c>
      <c r="AJ173" s="7">
        <v>76.229680025918086</v>
      </c>
      <c r="AK173" s="7" t="s">
        <v>776</v>
      </c>
      <c r="AL173" s="7">
        <v>0.23200000000000001</v>
      </c>
      <c r="AM173" s="7" t="s">
        <v>780</v>
      </c>
      <c r="AN173" s="7" t="s">
        <v>781</v>
      </c>
      <c r="AO173" s="7" t="s">
        <v>782</v>
      </c>
      <c r="AP173" s="7">
        <v>1.8742857142857001E-3</v>
      </c>
      <c r="AQ173" s="7">
        <v>5.3028571428570996E-3</v>
      </c>
      <c r="AR173" s="7">
        <v>7.1771428571428004E-3</v>
      </c>
      <c r="AS173" s="8" t="b">
        <v>1</v>
      </c>
      <c r="AT173" s="8" t="b">
        <v>1</v>
      </c>
      <c r="AU173" s="8" t="b">
        <v>1</v>
      </c>
      <c r="AV173" s="8" t="b">
        <v>1</v>
      </c>
      <c r="AW173" s="8" t="b">
        <v>1</v>
      </c>
      <c r="AX173" s="8" t="b">
        <v>1</v>
      </c>
      <c r="AY173" s="8" t="b">
        <v>1</v>
      </c>
      <c r="AZ173" s="8" t="b">
        <v>1</v>
      </c>
      <c r="BA173" s="7" t="s">
        <v>783</v>
      </c>
      <c r="BB173" s="7" t="s">
        <v>783</v>
      </c>
      <c r="BC173" s="7" t="s">
        <v>784</v>
      </c>
      <c r="BD173" s="7">
        <v>-2.4254106193389249</v>
      </c>
      <c r="BE173" s="7">
        <v>3.1817142857142856E-2</v>
      </c>
      <c r="BF173" s="7">
        <v>18.043565262134813</v>
      </c>
      <c r="BG173" s="7">
        <v>0.13714285714285715</v>
      </c>
      <c r="BH173" s="7" t="s">
        <v>154</v>
      </c>
      <c r="BI173" s="7">
        <v>175</v>
      </c>
      <c r="BJ173" s="7">
        <v>24</v>
      </c>
      <c r="BK173" s="7">
        <v>24</v>
      </c>
      <c r="BL173" s="7">
        <v>24</v>
      </c>
      <c r="BM173" s="8" t="b">
        <v>1</v>
      </c>
      <c r="BN173" s="7">
        <v>1.4980569599059106</v>
      </c>
      <c r="BO173" s="7">
        <v>1.1245714285714286E-2</v>
      </c>
      <c r="BP173" s="7">
        <v>36.201475044308495</v>
      </c>
      <c r="BQ173" s="7">
        <v>0.13714285714285715</v>
      </c>
      <c r="BR173" s="7" t="s">
        <v>154</v>
      </c>
      <c r="BS173" s="7">
        <v>175</v>
      </c>
      <c r="BT173" s="7">
        <v>24</v>
      </c>
      <c r="BU173" s="7">
        <v>24</v>
      </c>
      <c r="BV173" s="7">
        <v>24</v>
      </c>
      <c r="BW173" s="7" t="s">
        <v>1072</v>
      </c>
      <c r="BX173" s="8" t="b">
        <v>1</v>
      </c>
      <c r="BY173" s="7">
        <v>0.65217516925542496</v>
      </c>
      <c r="BZ173" s="7">
        <v>0.20654795542531273</v>
      </c>
      <c r="CA173" s="7">
        <v>46236.59375</v>
      </c>
      <c r="CB173" s="7">
        <v>46236.583333333336</v>
      </c>
      <c r="CC173" s="7">
        <v>2.6964717695378293E-4</v>
      </c>
      <c r="CD173" s="7">
        <v>171.57098014626055</v>
      </c>
      <c r="CE173" s="7">
        <v>171.53194687003597</v>
      </c>
      <c r="CF173" s="7">
        <v>600.3087302041049</v>
      </c>
      <c r="CG173" s="7">
        <v>0.3125</v>
      </c>
      <c r="CH173" s="7" t="s">
        <v>150</v>
      </c>
      <c r="CI173" s="7">
        <v>128</v>
      </c>
      <c r="CJ173" s="8" t="b">
        <v>1</v>
      </c>
      <c r="CK173" s="7">
        <v>40</v>
      </c>
      <c r="CL173" s="7">
        <v>40</v>
      </c>
      <c r="CM173" s="7">
        <v>40</v>
      </c>
      <c r="CN173" s="8" t="b">
        <v>0</v>
      </c>
      <c r="CO173" s="7" t="s">
        <v>955</v>
      </c>
      <c r="CP173" s="7">
        <v>654.27859202037064</v>
      </c>
    </row>
    <row r="174" spans="1:94" ht="21" customHeight="1" x14ac:dyDescent="0.45">
      <c r="A174" s="9">
        <v>46236.59375</v>
      </c>
      <c r="B174" s="9">
        <v>46236.604166666664</v>
      </c>
      <c r="C174" s="9">
        <v>46236.71875</v>
      </c>
      <c r="D174" s="10">
        <v>46236</v>
      </c>
      <c r="E174" s="7">
        <v>0.25</v>
      </c>
      <c r="F174" s="7" t="s">
        <v>770</v>
      </c>
      <c r="G174" s="9">
        <v>46236.583333333336</v>
      </c>
      <c r="H174" s="7">
        <v>15.51</v>
      </c>
      <c r="I174" s="7" t="s">
        <v>1076</v>
      </c>
      <c r="J174" s="7">
        <v>15</v>
      </c>
      <c r="K174" s="7" t="s">
        <v>960</v>
      </c>
      <c r="L174" s="10">
        <v>46234</v>
      </c>
      <c r="M174" s="7">
        <v>5.2473000000000001</v>
      </c>
      <c r="N174" s="7" t="s">
        <v>773</v>
      </c>
      <c r="O174" s="7">
        <v>51.968000000000004</v>
      </c>
      <c r="P174" s="7" t="s">
        <v>1073</v>
      </c>
      <c r="Q174" s="7" t="s">
        <v>775</v>
      </c>
      <c r="R174" s="7">
        <v>60.030873020410496</v>
      </c>
      <c r="S174" s="7" t="s">
        <v>776</v>
      </c>
      <c r="T174" s="7">
        <v>175</v>
      </c>
      <c r="U174" s="7" t="s">
        <v>1074</v>
      </c>
      <c r="V174" s="7" t="s">
        <v>775</v>
      </c>
      <c r="W174" s="7">
        <v>6.0335791740514164</v>
      </c>
      <c r="X174" s="7" t="s">
        <v>776</v>
      </c>
      <c r="Y174" s="7">
        <v>175</v>
      </c>
      <c r="Z174" s="7" t="s">
        <v>1075</v>
      </c>
      <c r="AA174" s="7" t="s">
        <v>775</v>
      </c>
      <c r="AB174" s="7">
        <v>3.0072608770224685</v>
      </c>
      <c r="AC174" s="7" t="s">
        <v>776</v>
      </c>
      <c r="AD174" s="7"/>
      <c r="AE174" s="7" t="s">
        <v>779</v>
      </c>
      <c r="AF174" s="7"/>
      <c r="AG174" s="7">
        <v>172.34920816419873</v>
      </c>
      <c r="AH174" s="7" t="s">
        <v>776</v>
      </c>
      <c r="AI174" s="7">
        <v>4.9779999999999998</v>
      </c>
      <c r="AJ174" s="7">
        <v>61.614354048748886</v>
      </c>
      <c r="AK174" s="7" t="s">
        <v>776</v>
      </c>
      <c r="AL174" s="7">
        <v>0.47599999999999998</v>
      </c>
      <c r="AM174" s="7" t="s">
        <v>780</v>
      </c>
      <c r="AN174" s="7" t="s">
        <v>781</v>
      </c>
      <c r="AO174" s="7" t="s">
        <v>782</v>
      </c>
      <c r="AP174" s="7">
        <v>0.1137828571428571</v>
      </c>
      <c r="AQ174" s="7">
        <v>1.08799999999999E-2</v>
      </c>
      <c r="AR174" s="7">
        <v>0.1246628571428571</v>
      </c>
      <c r="AS174" s="8" t="b">
        <v>1</v>
      </c>
      <c r="AT174" s="8" t="b">
        <v>1</v>
      </c>
      <c r="AU174" s="8" t="b">
        <v>1</v>
      </c>
      <c r="AV174" s="8" t="b">
        <v>1</v>
      </c>
      <c r="AW174" s="8" t="b">
        <v>1</v>
      </c>
      <c r="AX174" s="8" t="b">
        <v>1</v>
      </c>
      <c r="AY174" s="8" t="b">
        <v>1</v>
      </c>
      <c r="AZ174" s="8" t="b">
        <v>1</v>
      </c>
      <c r="BA174" s="7" t="s">
        <v>783</v>
      </c>
      <c r="BB174" s="7" t="s">
        <v>783</v>
      </c>
      <c r="BC174" s="7" t="s">
        <v>784</v>
      </c>
      <c r="BD174" s="7">
        <v>-4.0221850323023265</v>
      </c>
      <c r="BE174" s="7">
        <v>6.5279999999999991E-2</v>
      </c>
      <c r="BF174" s="7">
        <v>18.043565262134813</v>
      </c>
      <c r="BG174" s="7">
        <v>0.13714285714285715</v>
      </c>
      <c r="BH174" s="7" t="s">
        <v>154</v>
      </c>
      <c r="BI174" s="7">
        <v>175</v>
      </c>
      <c r="BJ174" s="7">
        <v>24</v>
      </c>
      <c r="BK174" s="7">
        <v>24</v>
      </c>
      <c r="BL174" s="7">
        <v>24</v>
      </c>
      <c r="BM174" s="8" t="b">
        <v>1</v>
      </c>
      <c r="BN174" s="7">
        <v>117.66231198738944</v>
      </c>
      <c r="BO174" s="7">
        <v>0.68269714285714289</v>
      </c>
      <c r="BP174" s="7">
        <v>36.201475044308495</v>
      </c>
      <c r="BQ174" s="7">
        <v>0.13714285714285715</v>
      </c>
      <c r="BR174" s="7" t="s">
        <v>154</v>
      </c>
      <c r="BS174" s="7">
        <v>175</v>
      </c>
      <c r="BT174" s="7">
        <v>24</v>
      </c>
      <c r="BU174" s="7">
        <v>24</v>
      </c>
      <c r="BV174" s="7">
        <v>24</v>
      </c>
      <c r="BW174" s="7" t="s">
        <v>1076</v>
      </c>
      <c r="BX174" s="8" t="b">
        <v>1</v>
      </c>
      <c r="BY174" s="7">
        <v>-12.389173367684187</v>
      </c>
      <c r="BZ174" s="7">
        <v>-3.195144646727063</v>
      </c>
      <c r="CA174" s="7">
        <v>46236.604166666664</v>
      </c>
      <c r="CB174" s="7">
        <v>46236.59375</v>
      </c>
      <c r="CC174" s="7">
        <v>3.7627621432260983E-3</v>
      </c>
      <c r="CD174" s="7">
        <v>171.53194687003597</v>
      </c>
      <c r="CE174" s="7">
        <v>171.59999999999994</v>
      </c>
      <c r="CF174" s="7">
        <v>600.3087302041049</v>
      </c>
      <c r="CG174" s="7">
        <v>0.3125</v>
      </c>
      <c r="CH174" s="7" t="s">
        <v>150</v>
      </c>
      <c r="CI174" s="7">
        <v>128</v>
      </c>
      <c r="CJ174" s="8" t="b">
        <v>1</v>
      </c>
      <c r="CK174" s="7">
        <v>40</v>
      </c>
      <c r="CL174" s="7">
        <v>40</v>
      </c>
      <c r="CM174" s="7">
        <v>40</v>
      </c>
      <c r="CN174" s="8" t="b">
        <v>0</v>
      </c>
      <c r="CO174" s="7" t="s">
        <v>955</v>
      </c>
      <c r="CP174" s="7">
        <v>755.80472409795118</v>
      </c>
    </row>
    <row r="175" spans="1:94" ht="21" customHeight="1" x14ac:dyDescent="0.45">
      <c r="A175" s="9">
        <v>46236.604166666664</v>
      </c>
      <c r="B175" s="9">
        <v>46236.614583333336</v>
      </c>
      <c r="C175" s="9">
        <v>46236.729166666664</v>
      </c>
      <c r="D175" s="10">
        <v>46236</v>
      </c>
      <c r="E175" s="7">
        <v>0.25</v>
      </c>
      <c r="F175" s="7" t="s">
        <v>770</v>
      </c>
      <c r="G175" s="9">
        <v>46236.583333333336</v>
      </c>
      <c r="H175" s="7">
        <v>101.95</v>
      </c>
      <c r="I175" s="7" t="s">
        <v>1077</v>
      </c>
      <c r="J175" s="7">
        <v>15</v>
      </c>
      <c r="K175" s="7" t="s">
        <v>960</v>
      </c>
      <c r="L175" s="10">
        <v>46234</v>
      </c>
      <c r="M175" s="7">
        <v>5.2473000000000001</v>
      </c>
      <c r="N175" s="7" t="s">
        <v>773</v>
      </c>
      <c r="O175" s="7">
        <v>51.968000000000004</v>
      </c>
      <c r="P175" s="7" t="s">
        <v>1073</v>
      </c>
      <c r="Q175" s="7" t="s">
        <v>775</v>
      </c>
      <c r="R175" s="7">
        <v>60.030873020410496</v>
      </c>
      <c r="S175" s="7" t="s">
        <v>776</v>
      </c>
      <c r="T175" s="7">
        <v>175</v>
      </c>
      <c r="U175" s="7" t="s">
        <v>1074</v>
      </c>
      <c r="V175" s="7" t="s">
        <v>775</v>
      </c>
      <c r="W175" s="7">
        <v>6.0335791740514164</v>
      </c>
      <c r="X175" s="7" t="s">
        <v>776</v>
      </c>
      <c r="Y175" s="7">
        <v>175</v>
      </c>
      <c r="Z175" s="7" t="s">
        <v>1075</v>
      </c>
      <c r="AA175" s="7" t="s">
        <v>775</v>
      </c>
      <c r="AB175" s="7">
        <v>3.0072608770224685</v>
      </c>
      <c r="AC175" s="7" t="s">
        <v>776</v>
      </c>
      <c r="AD175" s="7"/>
      <c r="AE175" s="7" t="s">
        <v>779</v>
      </c>
      <c r="AF175" s="7"/>
      <c r="AG175" s="7">
        <v>180.66319821622548</v>
      </c>
      <c r="AH175" s="7" t="s">
        <v>776</v>
      </c>
      <c r="AI175" s="7">
        <v>14.954000000000001</v>
      </c>
      <c r="AJ175" s="7">
        <v>0</v>
      </c>
      <c r="AK175" s="7" t="s">
        <v>776</v>
      </c>
      <c r="AL175" s="7">
        <v>0</v>
      </c>
      <c r="AM175" s="7" t="s">
        <v>780</v>
      </c>
      <c r="AN175" s="7" t="s">
        <v>781</v>
      </c>
      <c r="AO175" s="7" t="s">
        <v>782</v>
      </c>
      <c r="AP175" s="7">
        <v>0.34180571428571432</v>
      </c>
      <c r="AQ175" s="7">
        <v>0</v>
      </c>
      <c r="AR175" s="7">
        <v>0.34180571428571432</v>
      </c>
      <c r="AS175" s="8" t="b">
        <v>1</v>
      </c>
      <c r="AT175" s="8" t="b">
        <v>1</v>
      </c>
      <c r="AU175" s="8" t="b">
        <v>1</v>
      </c>
      <c r="AV175" s="8" t="b">
        <v>1</v>
      </c>
      <c r="AW175" s="8" t="b">
        <v>1</v>
      </c>
      <c r="AX175" s="8" t="b">
        <v>1</v>
      </c>
      <c r="AY175" s="8" t="b">
        <v>1</v>
      </c>
      <c r="AZ175" s="8" t="b">
        <v>1</v>
      </c>
      <c r="BA175" s="7" t="s">
        <v>783</v>
      </c>
      <c r="BB175" s="7" t="s">
        <v>783</v>
      </c>
      <c r="BC175" s="7" t="s">
        <v>784</v>
      </c>
      <c r="BD175" s="7">
        <v>0</v>
      </c>
      <c r="BE175" s="7">
        <v>0</v>
      </c>
      <c r="BF175" s="7">
        <v>18.043565262134813</v>
      </c>
      <c r="BG175" s="7">
        <v>0.13714285714285715</v>
      </c>
      <c r="BH175" s="7" t="s">
        <v>154</v>
      </c>
      <c r="BI175" s="7">
        <v>175</v>
      </c>
      <c r="BJ175" s="7">
        <v>24</v>
      </c>
      <c r="BK175" s="7">
        <v>24</v>
      </c>
      <c r="BL175" s="7">
        <v>24</v>
      </c>
      <c r="BM175" s="8" t="b">
        <v>1</v>
      </c>
      <c r="BN175" s="7">
        <v>370.51028106863129</v>
      </c>
      <c r="BO175" s="7">
        <v>2.0508342857142861</v>
      </c>
      <c r="BP175" s="7">
        <v>36.201475044308495</v>
      </c>
      <c r="BQ175" s="7">
        <v>0.13714285714285715</v>
      </c>
      <c r="BR175" s="7" t="s">
        <v>154</v>
      </c>
      <c r="BS175" s="7">
        <v>175</v>
      </c>
      <c r="BT175" s="7">
        <v>24</v>
      </c>
      <c r="BU175" s="7">
        <v>24</v>
      </c>
      <c r="BV175" s="7">
        <v>24</v>
      </c>
      <c r="BW175" s="7" t="s">
        <v>1077</v>
      </c>
      <c r="BX175" s="8" t="b">
        <v>1</v>
      </c>
      <c r="BY175" s="7">
        <v>-135.79293399779405</v>
      </c>
      <c r="BZ175" s="7">
        <v>-5.3278247767648477</v>
      </c>
      <c r="CA175" s="7">
        <v>46236.614583333336</v>
      </c>
      <c r="CB175" s="7">
        <v>46236.604166666664</v>
      </c>
      <c r="CC175" s="7">
        <v>7.0579439625093636E-3</v>
      </c>
      <c r="CD175" s="7">
        <v>171.59999999999994</v>
      </c>
      <c r="CE175" s="7">
        <v>170.67224233223922</v>
      </c>
      <c r="CF175" s="7">
        <v>600.3087302041049</v>
      </c>
      <c r="CG175" s="7">
        <v>0.3125</v>
      </c>
      <c r="CH175" s="7" t="s">
        <v>150</v>
      </c>
      <c r="CI175" s="7">
        <v>128</v>
      </c>
      <c r="CJ175" s="8" t="b">
        <v>1</v>
      </c>
      <c r="CK175" s="7">
        <v>40</v>
      </c>
      <c r="CL175" s="7">
        <v>40</v>
      </c>
      <c r="CM175" s="7">
        <v>40</v>
      </c>
      <c r="CN175" s="8" t="b">
        <v>0</v>
      </c>
      <c r="CO175" s="7" t="s">
        <v>955</v>
      </c>
      <c r="CP175" s="7">
        <v>889.2711175813854</v>
      </c>
    </row>
    <row r="176" spans="1:94" ht="21" customHeight="1" x14ac:dyDescent="0.45">
      <c r="A176" s="9">
        <v>46236.614583333336</v>
      </c>
      <c r="B176" s="9">
        <v>46236.625</v>
      </c>
      <c r="C176" s="9">
        <v>46236.739583333336</v>
      </c>
      <c r="D176" s="10">
        <v>46236</v>
      </c>
      <c r="E176" s="7">
        <v>0.25</v>
      </c>
      <c r="F176" s="7" t="s">
        <v>770</v>
      </c>
      <c r="G176" s="9">
        <v>46236.583333333336</v>
      </c>
      <c r="H176" s="7">
        <v>157.36000000000001</v>
      </c>
      <c r="I176" s="7" t="s">
        <v>1078</v>
      </c>
      <c r="J176" s="7">
        <v>15</v>
      </c>
      <c r="K176" s="7" t="s">
        <v>960</v>
      </c>
      <c r="L176" s="10">
        <v>46234</v>
      </c>
      <c r="M176" s="7">
        <v>5.2473000000000001</v>
      </c>
      <c r="N176" s="7" t="s">
        <v>773</v>
      </c>
      <c r="O176" s="7">
        <v>51.968000000000004</v>
      </c>
      <c r="P176" s="7" t="s">
        <v>1073</v>
      </c>
      <c r="Q176" s="7" t="s">
        <v>775</v>
      </c>
      <c r="R176" s="7">
        <v>60.030873020410496</v>
      </c>
      <c r="S176" s="7" t="s">
        <v>776</v>
      </c>
      <c r="T176" s="7">
        <v>175</v>
      </c>
      <c r="U176" s="7" t="s">
        <v>1074</v>
      </c>
      <c r="V176" s="7" t="s">
        <v>775</v>
      </c>
      <c r="W176" s="7">
        <v>6.0335791740514164</v>
      </c>
      <c r="X176" s="7" t="s">
        <v>776</v>
      </c>
      <c r="Y176" s="7">
        <v>175</v>
      </c>
      <c r="Z176" s="7" t="s">
        <v>1075</v>
      </c>
      <c r="AA176" s="7" t="s">
        <v>775</v>
      </c>
      <c r="AB176" s="7">
        <v>3.0072608770224685</v>
      </c>
      <c r="AC176" s="7" t="s">
        <v>776</v>
      </c>
      <c r="AD176" s="7"/>
      <c r="AE176" s="7" t="s">
        <v>779</v>
      </c>
      <c r="AF176" s="7"/>
      <c r="AG176" s="7">
        <v>183.34629237893773</v>
      </c>
      <c r="AH176" s="7" t="s">
        <v>776</v>
      </c>
      <c r="AI176" s="7">
        <v>20.472000000000001</v>
      </c>
      <c r="AJ176" s="7">
        <v>60.98374402073447</v>
      </c>
      <c r="AK176" s="7" t="s">
        <v>776</v>
      </c>
      <c r="AL176" s="7">
        <v>4.4999999999999998E-2</v>
      </c>
      <c r="AM176" s="7" t="s">
        <v>780</v>
      </c>
      <c r="AN176" s="7" t="s">
        <v>781</v>
      </c>
      <c r="AO176" s="7" t="s">
        <v>782</v>
      </c>
      <c r="AP176" s="7">
        <v>0.46793142857142861</v>
      </c>
      <c r="AQ176" s="7">
        <v>1.0285714285714E-3</v>
      </c>
      <c r="AR176" s="7">
        <v>0.46895999999999999</v>
      </c>
      <c r="AS176" s="8" t="b">
        <v>1</v>
      </c>
      <c r="AT176" s="8" t="b">
        <v>1</v>
      </c>
      <c r="AU176" s="8" t="b">
        <v>1</v>
      </c>
      <c r="AV176" s="8" t="b">
        <v>1</v>
      </c>
      <c r="AW176" s="8" t="b">
        <v>1</v>
      </c>
      <c r="AX176" s="8" t="b">
        <v>1</v>
      </c>
      <c r="AY176" s="8" t="b">
        <v>1</v>
      </c>
      <c r="AZ176" s="8" t="b">
        <v>1</v>
      </c>
      <c r="BA176" s="7" t="s">
        <v>783</v>
      </c>
      <c r="BB176" s="7" t="s">
        <v>783</v>
      </c>
      <c r="BC176" s="7" t="s">
        <v>784</v>
      </c>
      <c r="BD176" s="7">
        <v>-0.37635682024224704</v>
      </c>
      <c r="BE176" s="7">
        <v>6.1714285714285716E-3</v>
      </c>
      <c r="BF176" s="7">
        <v>18.043565262134813</v>
      </c>
      <c r="BG176" s="7">
        <v>0.13714285714285715</v>
      </c>
      <c r="BH176" s="7" t="s">
        <v>154</v>
      </c>
      <c r="BI176" s="7">
        <v>175</v>
      </c>
      <c r="BJ176" s="7">
        <v>24</v>
      </c>
      <c r="BK176" s="7">
        <v>24</v>
      </c>
      <c r="BL176" s="7">
        <v>24</v>
      </c>
      <c r="BM176" s="8" t="b">
        <v>1</v>
      </c>
      <c r="BN176" s="7">
        <v>514.76095509690697</v>
      </c>
      <c r="BO176" s="7">
        <v>2.8075885714285715</v>
      </c>
      <c r="BP176" s="7">
        <v>36.201475044308495</v>
      </c>
      <c r="BQ176" s="7">
        <v>0.13714285714285715</v>
      </c>
      <c r="BR176" s="7" t="s">
        <v>154</v>
      </c>
      <c r="BS176" s="7">
        <v>175</v>
      </c>
      <c r="BT176" s="7">
        <v>24</v>
      </c>
      <c r="BU176" s="7">
        <v>24</v>
      </c>
      <c r="BV176" s="7">
        <v>24</v>
      </c>
      <c r="BW176" s="7" t="s">
        <v>1078</v>
      </c>
      <c r="BX176" s="8" t="b">
        <v>1</v>
      </c>
      <c r="BY176" s="7">
        <v>1416.2399999999998</v>
      </c>
      <c r="BZ176" s="7">
        <v>35.999999999999993</v>
      </c>
      <c r="CA176" s="7">
        <v>46236.625</v>
      </c>
      <c r="CB176" s="7">
        <v>46236.614583333336</v>
      </c>
      <c r="CC176" s="7">
        <v>3.5632298136645958E-2</v>
      </c>
      <c r="CD176" s="7">
        <v>170.67224233223922</v>
      </c>
      <c r="CE176" s="7">
        <v>157.84461500304667</v>
      </c>
      <c r="CF176" s="7">
        <v>600.3087302041049</v>
      </c>
      <c r="CG176" s="7">
        <v>0.3125</v>
      </c>
      <c r="CH176" s="7" t="s">
        <v>150</v>
      </c>
      <c r="CI176" s="7">
        <v>128</v>
      </c>
      <c r="CJ176" s="8" t="b">
        <v>1</v>
      </c>
      <c r="CK176" s="7">
        <v>40</v>
      </c>
      <c r="CL176" s="7">
        <v>40</v>
      </c>
      <c r="CM176" s="7">
        <v>40</v>
      </c>
      <c r="CN176" s="8" t="b">
        <v>0</v>
      </c>
      <c r="CO176" s="7" t="s">
        <v>955</v>
      </c>
      <c r="CP176" s="7">
        <v>2585.1783687872125</v>
      </c>
    </row>
    <row r="177" spans="1:94" ht="21" customHeight="1" x14ac:dyDescent="0.45">
      <c r="A177" s="9">
        <v>46236.625</v>
      </c>
      <c r="B177" s="9">
        <v>46236.635416666664</v>
      </c>
      <c r="C177" s="9">
        <v>46236.75</v>
      </c>
      <c r="D177" s="10">
        <v>46236</v>
      </c>
      <c r="E177" s="7">
        <v>0.25</v>
      </c>
      <c r="F177" s="7" t="s">
        <v>770</v>
      </c>
      <c r="G177" s="9">
        <v>46236.625</v>
      </c>
      <c r="H177" s="7">
        <v>60.92</v>
      </c>
      <c r="I177" s="7" t="s">
        <v>1079</v>
      </c>
      <c r="J177" s="7">
        <v>15</v>
      </c>
      <c r="K177" s="7" t="s">
        <v>960</v>
      </c>
      <c r="L177" s="10">
        <v>46234</v>
      </c>
      <c r="M177" s="7">
        <v>5.2473000000000001</v>
      </c>
      <c r="N177" s="7" t="s">
        <v>773</v>
      </c>
      <c r="O177" s="7">
        <v>51.968000000000004</v>
      </c>
      <c r="P177" s="7" t="s">
        <v>1080</v>
      </c>
      <c r="Q177" s="7" t="s">
        <v>775</v>
      </c>
      <c r="R177" s="7">
        <v>60.030873020410496</v>
      </c>
      <c r="S177" s="7" t="s">
        <v>776</v>
      </c>
      <c r="T177" s="7">
        <v>175</v>
      </c>
      <c r="U177" s="7" t="s">
        <v>1081</v>
      </c>
      <c r="V177" s="7" t="s">
        <v>775</v>
      </c>
      <c r="W177" s="7">
        <v>7.1274750824233415</v>
      </c>
      <c r="X177" s="7" t="s">
        <v>776</v>
      </c>
      <c r="Y177" s="7">
        <v>175</v>
      </c>
      <c r="Z177" s="7" t="s">
        <v>1082</v>
      </c>
      <c r="AA177" s="7" t="s">
        <v>775</v>
      </c>
      <c r="AB177" s="7">
        <v>2.595620604882511</v>
      </c>
      <c r="AC177" s="7" t="s">
        <v>776</v>
      </c>
      <c r="AD177" s="7"/>
      <c r="AE177" s="7" t="s">
        <v>779</v>
      </c>
      <c r="AF177" s="7"/>
      <c r="AG177" s="7">
        <v>166.16316963009547</v>
      </c>
      <c r="AH177" s="7" t="s">
        <v>776</v>
      </c>
      <c r="AI177" s="7">
        <v>0.39300000000000002</v>
      </c>
      <c r="AJ177" s="7">
        <v>72.075924761305814</v>
      </c>
      <c r="AK177" s="7" t="s">
        <v>776</v>
      </c>
      <c r="AL177" s="7">
        <v>0.68300000000000005</v>
      </c>
      <c r="AM177" s="7" t="s">
        <v>780</v>
      </c>
      <c r="AN177" s="7" t="s">
        <v>781</v>
      </c>
      <c r="AO177" s="7" t="s">
        <v>782</v>
      </c>
      <c r="AP177" s="7">
        <v>8.9828571428570998E-3</v>
      </c>
      <c r="AQ177" s="7">
        <v>1.56114285714285E-2</v>
      </c>
      <c r="AR177" s="7">
        <v>2.45942857142857E-2</v>
      </c>
      <c r="AS177" s="8" t="b">
        <v>1</v>
      </c>
      <c r="AT177" s="8" t="b">
        <v>1</v>
      </c>
      <c r="AU177" s="8" t="b">
        <v>1</v>
      </c>
      <c r="AV177" s="8" t="b">
        <v>1</v>
      </c>
      <c r="AW177" s="8" t="b">
        <v>1</v>
      </c>
      <c r="AX177" s="8" t="b">
        <v>1</v>
      </c>
      <c r="AY177" s="8" t="b">
        <v>1</v>
      </c>
      <c r="AZ177" s="8" t="b">
        <v>1</v>
      </c>
      <c r="BA177" s="7" t="s">
        <v>783</v>
      </c>
      <c r="BB177" s="7" t="s">
        <v>783</v>
      </c>
      <c r="BC177" s="7" t="s">
        <v>784</v>
      </c>
      <c r="BD177" s="7">
        <v>0</v>
      </c>
      <c r="BE177" s="7">
        <v>0</v>
      </c>
      <c r="BF177" s="7">
        <v>0</v>
      </c>
      <c r="BG177" s="7">
        <v>0.13714285714285715</v>
      </c>
      <c r="BH177" s="7" t="s">
        <v>154</v>
      </c>
      <c r="BI177" s="7">
        <v>175</v>
      </c>
      <c r="BJ177" s="7">
        <v>0</v>
      </c>
      <c r="BK177" s="7">
        <v>24</v>
      </c>
      <c r="BL177" s="7">
        <v>24</v>
      </c>
      <c r="BM177" s="8" t="b">
        <v>1</v>
      </c>
      <c r="BN177" s="7">
        <v>8.9557200911489172</v>
      </c>
      <c r="BO177" s="7">
        <v>5.3897142857142859E-2</v>
      </c>
      <c r="BP177" s="7">
        <v>42.764850494540049</v>
      </c>
      <c r="BQ177" s="7">
        <v>0.13714285714285715</v>
      </c>
      <c r="BR177" s="7" t="s">
        <v>154</v>
      </c>
      <c r="BS177" s="7">
        <v>175</v>
      </c>
      <c r="BT177" s="7">
        <v>24</v>
      </c>
      <c r="BU177" s="7">
        <v>24</v>
      </c>
      <c r="BV177" s="7">
        <v>24</v>
      </c>
      <c r="BW177" s="7" t="s">
        <v>1079</v>
      </c>
      <c r="BX177" s="8" t="b">
        <v>1</v>
      </c>
      <c r="BY177" s="7">
        <v>-913.80000000000007</v>
      </c>
      <c r="BZ177" s="7">
        <v>-60</v>
      </c>
      <c r="CA177" s="7">
        <v>46236.635416666664</v>
      </c>
      <c r="CB177" s="7">
        <v>46236.625</v>
      </c>
      <c r="CC177" s="7">
        <v>3.8195596190476189E-2</v>
      </c>
      <c r="CD177" s="7">
        <v>157.84461500304667</v>
      </c>
      <c r="CE177" s="7">
        <v>171.5950296316181</v>
      </c>
      <c r="CF177" s="7">
        <v>600.3087302041049</v>
      </c>
      <c r="CG177" s="7">
        <v>0.3125</v>
      </c>
      <c r="CH177" s="7" t="s">
        <v>150</v>
      </c>
      <c r="CI177" s="7">
        <v>128</v>
      </c>
      <c r="CJ177" s="8" t="b">
        <v>1</v>
      </c>
      <c r="CK177" s="7">
        <v>40</v>
      </c>
      <c r="CL177" s="7">
        <v>40</v>
      </c>
      <c r="CM177" s="7">
        <v>40</v>
      </c>
      <c r="CN177" s="8" t="b">
        <v>0</v>
      </c>
      <c r="CO177" s="7" t="s">
        <v>955</v>
      </c>
      <c r="CP177" s="7">
        <v>-261.7706992102062</v>
      </c>
    </row>
    <row r="178" spans="1:94" ht="21" customHeight="1" x14ac:dyDescent="0.45">
      <c r="A178" s="9">
        <v>46236.635416666664</v>
      </c>
      <c r="B178" s="9">
        <v>46236.645833333336</v>
      </c>
      <c r="C178" s="9">
        <v>46236.760416666664</v>
      </c>
      <c r="D178" s="10">
        <v>46236</v>
      </c>
      <c r="E178" s="7">
        <v>0.25</v>
      </c>
      <c r="F178" s="7" t="s">
        <v>770</v>
      </c>
      <c r="G178" s="9">
        <v>46236.625</v>
      </c>
      <c r="H178" s="7">
        <v>132.66</v>
      </c>
      <c r="I178" s="7" t="s">
        <v>1083</v>
      </c>
      <c r="J178" s="7">
        <v>15</v>
      </c>
      <c r="K178" s="7" t="s">
        <v>960</v>
      </c>
      <c r="L178" s="10">
        <v>46234</v>
      </c>
      <c r="M178" s="7">
        <v>5.2473000000000001</v>
      </c>
      <c r="N178" s="7" t="s">
        <v>773</v>
      </c>
      <c r="O178" s="7">
        <v>51.968000000000004</v>
      </c>
      <c r="P178" s="7" t="s">
        <v>1080</v>
      </c>
      <c r="Q178" s="7" t="s">
        <v>775</v>
      </c>
      <c r="R178" s="7">
        <v>60.030873020410496</v>
      </c>
      <c r="S178" s="7" t="s">
        <v>776</v>
      </c>
      <c r="T178" s="7">
        <v>175</v>
      </c>
      <c r="U178" s="7" t="s">
        <v>1081</v>
      </c>
      <c r="V178" s="7" t="s">
        <v>775</v>
      </c>
      <c r="W178" s="7">
        <v>7.1274750824233415</v>
      </c>
      <c r="X178" s="7" t="s">
        <v>776</v>
      </c>
      <c r="Y178" s="7">
        <v>175</v>
      </c>
      <c r="Z178" s="7" t="s">
        <v>1082</v>
      </c>
      <c r="AA178" s="7" t="s">
        <v>775</v>
      </c>
      <c r="AB178" s="7">
        <v>2.595620604882511</v>
      </c>
      <c r="AC178" s="7" t="s">
        <v>776</v>
      </c>
      <c r="AD178" s="7"/>
      <c r="AE178" s="7" t="s">
        <v>779</v>
      </c>
      <c r="AF178" s="7"/>
      <c r="AG178" s="7">
        <v>226.09456291807214</v>
      </c>
      <c r="AH178" s="7" t="s">
        <v>776</v>
      </c>
      <c r="AI178" s="7">
        <v>7.7270000000000003</v>
      </c>
      <c r="AJ178" s="7">
        <v>76.420254225982887</v>
      </c>
      <c r="AK178" s="7" t="s">
        <v>776</v>
      </c>
      <c r="AL178" s="7">
        <v>0.19400000000000001</v>
      </c>
      <c r="AM178" s="7" t="s">
        <v>780</v>
      </c>
      <c r="AN178" s="7" t="s">
        <v>781</v>
      </c>
      <c r="AO178" s="7" t="s">
        <v>782</v>
      </c>
      <c r="AP178" s="7">
        <v>0.17661714285714281</v>
      </c>
      <c r="AQ178" s="7">
        <v>4.4342857142856996E-3</v>
      </c>
      <c r="AR178" s="7">
        <v>0.1810514285714285</v>
      </c>
      <c r="AS178" s="8" t="b">
        <v>1</v>
      </c>
      <c r="AT178" s="8" t="b">
        <v>1</v>
      </c>
      <c r="AU178" s="8" t="b">
        <v>1</v>
      </c>
      <c r="AV178" s="8" t="b">
        <v>1</v>
      </c>
      <c r="AW178" s="8" t="b">
        <v>1</v>
      </c>
      <c r="AX178" s="8" t="b">
        <v>1</v>
      </c>
      <c r="AY178" s="8" t="b">
        <v>1</v>
      </c>
      <c r="AZ178" s="8" t="b">
        <v>1</v>
      </c>
      <c r="BA178" s="7" t="s">
        <v>783</v>
      </c>
      <c r="BB178" s="7" t="s">
        <v>783</v>
      </c>
      <c r="BC178" s="7" t="s">
        <v>784</v>
      </c>
      <c r="BD178" s="7">
        <v>0</v>
      </c>
      <c r="BE178" s="7">
        <v>0</v>
      </c>
      <c r="BF178" s="7">
        <v>0</v>
      </c>
      <c r="BG178" s="7">
        <v>0.13714285714285715</v>
      </c>
      <c r="BH178" s="7" t="s">
        <v>154</v>
      </c>
      <c r="BI178" s="7">
        <v>175</v>
      </c>
      <c r="BJ178" s="7">
        <v>0</v>
      </c>
      <c r="BK178" s="7">
        <v>24</v>
      </c>
      <c r="BL178" s="7">
        <v>24</v>
      </c>
      <c r="BM178" s="8" t="b">
        <v>1</v>
      </c>
      <c r="BN178" s="7">
        <v>239.59305430874656</v>
      </c>
      <c r="BO178" s="7">
        <v>1.0597028571428573</v>
      </c>
      <c r="BP178" s="7">
        <v>42.764850494540049</v>
      </c>
      <c r="BQ178" s="7">
        <v>0.13714285714285715</v>
      </c>
      <c r="BR178" s="7" t="s">
        <v>154</v>
      </c>
      <c r="BS178" s="7">
        <v>175</v>
      </c>
      <c r="BT178" s="7">
        <v>24</v>
      </c>
      <c r="BU178" s="7">
        <v>24</v>
      </c>
      <c r="BV178" s="7">
        <v>24</v>
      </c>
      <c r="BW178" s="7" t="s">
        <v>1083</v>
      </c>
      <c r="BX178" s="8" t="b">
        <v>1</v>
      </c>
      <c r="BY178" s="7">
        <v>-161.62817566189094</v>
      </c>
      <c r="BZ178" s="7">
        <v>-4.8734562237868522</v>
      </c>
      <c r="CA178" s="7">
        <v>46236.645833333336</v>
      </c>
      <c r="CB178" s="7">
        <v>46236.635416666664</v>
      </c>
      <c r="CC178" s="7">
        <v>5.1135582613366735E-3</v>
      </c>
      <c r="CD178" s="7">
        <v>171.5950296316181</v>
      </c>
      <c r="CE178" s="7">
        <v>171.59999999999994</v>
      </c>
      <c r="CF178" s="7">
        <v>600.3087302041049</v>
      </c>
      <c r="CG178" s="7">
        <v>0.3125</v>
      </c>
      <c r="CH178" s="7" t="s">
        <v>150</v>
      </c>
      <c r="CI178" s="7">
        <v>128</v>
      </c>
      <c r="CJ178" s="8" t="b">
        <v>1</v>
      </c>
      <c r="CK178" s="7">
        <v>40</v>
      </c>
      <c r="CL178" s="7">
        <v>40</v>
      </c>
      <c r="CM178" s="7">
        <v>40</v>
      </c>
      <c r="CN178" s="8" t="b">
        <v>0</v>
      </c>
      <c r="CO178" s="7" t="s">
        <v>955</v>
      </c>
      <c r="CP178" s="7">
        <v>721.03845934550054</v>
      </c>
    </row>
    <row r="179" spans="1:94" ht="21" customHeight="1" x14ac:dyDescent="0.45">
      <c r="A179" s="9">
        <v>46236.645833333336</v>
      </c>
      <c r="B179" s="9">
        <v>46236.65625</v>
      </c>
      <c r="C179" s="9">
        <v>46236.770833333336</v>
      </c>
      <c r="D179" s="10">
        <v>46236</v>
      </c>
      <c r="E179" s="7">
        <v>0.25</v>
      </c>
      <c r="F179" s="7" t="s">
        <v>770</v>
      </c>
      <c r="G179" s="9">
        <v>46236.625</v>
      </c>
      <c r="H179" s="7">
        <v>145.74</v>
      </c>
      <c r="I179" s="7" t="s">
        <v>1084</v>
      </c>
      <c r="J179" s="7">
        <v>15</v>
      </c>
      <c r="K179" s="7" t="s">
        <v>960</v>
      </c>
      <c r="L179" s="10">
        <v>46234</v>
      </c>
      <c r="M179" s="7">
        <v>5.2473000000000001</v>
      </c>
      <c r="N179" s="7" t="s">
        <v>773</v>
      </c>
      <c r="O179" s="7">
        <v>51.968000000000004</v>
      </c>
      <c r="P179" s="7" t="s">
        <v>1080</v>
      </c>
      <c r="Q179" s="7" t="s">
        <v>775</v>
      </c>
      <c r="R179" s="7">
        <v>60.030873020410496</v>
      </c>
      <c r="S179" s="7" t="s">
        <v>776</v>
      </c>
      <c r="T179" s="7">
        <v>175</v>
      </c>
      <c r="U179" s="7" t="s">
        <v>1081</v>
      </c>
      <c r="V179" s="7" t="s">
        <v>775</v>
      </c>
      <c r="W179" s="7">
        <v>7.1274750824233415</v>
      </c>
      <c r="X179" s="7" t="s">
        <v>776</v>
      </c>
      <c r="Y179" s="7">
        <v>175</v>
      </c>
      <c r="Z179" s="7" t="s">
        <v>1082</v>
      </c>
      <c r="AA179" s="7" t="s">
        <v>775</v>
      </c>
      <c r="AB179" s="7">
        <v>2.595620604882511</v>
      </c>
      <c r="AC179" s="7" t="s">
        <v>776</v>
      </c>
      <c r="AD179" s="7"/>
      <c r="AE179" s="7" t="s">
        <v>779</v>
      </c>
      <c r="AF179" s="7"/>
      <c r="AG179" s="7">
        <v>228.65225925714176</v>
      </c>
      <c r="AH179" s="7" t="s">
        <v>776</v>
      </c>
      <c r="AI179" s="7">
        <v>23.201000000000001</v>
      </c>
      <c r="AJ179" s="7">
        <v>0</v>
      </c>
      <c r="AK179" s="7" t="s">
        <v>776</v>
      </c>
      <c r="AL179" s="7">
        <v>0</v>
      </c>
      <c r="AM179" s="7" t="s">
        <v>780</v>
      </c>
      <c r="AN179" s="7" t="s">
        <v>781</v>
      </c>
      <c r="AO179" s="7" t="s">
        <v>782</v>
      </c>
      <c r="AP179" s="7">
        <v>0.53030857142857146</v>
      </c>
      <c r="AQ179" s="7">
        <v>0</v>
      </c>
      <c r="AR179" s="7">
        <v>0.53030857142857146</v>
      </c>
      <c r="AS179" s="8" t="b">
        <v>1</v>
      </c>
      <c r="AT179" s="8" t="b">
        <v>1</v>
      </c>
      <c r="AU179" s="8" t="b">
        <v>1</v>
      </c>
      <c r="AV179" s="8" t="b">
        <v>1</v>
      </c>
      <c r="AW179" s="8" t="b">
        <v>1</v>
      </c>
      <c r="AX179" s="8" t="b">
        <v>1</v>
      </c>
      <c r="AY179" s="8" t="b">
        <v>1</v>
      </c>
      <c r="AZ179" s="8" t="b">
        <v>1</v>
      </c>
      <c r="BA179" s="7" t="s">
        <v>783</v>
      </c>
      <c r="BB179" s="7" t="s">
        <v>783</v>
      </c>
      <c r="BC179" s="7" t="s">
        <v>784</v>
      </c>
      <c r="BD179" s="7">
        <v>0</v>
      </c>
      <c r="BE179" s="7">
        <v>0</v>
      </c>
      <c r="BF179" s="7">
        <v>0</v>
      </c>
      <c r="BG179" s="7">
        <v>0.13714285714285715</v>
      </c>
      <c r="BH179" s="7" t="s">
        <v>154</v>
      </c>
      <c r="BI179" s="7">
        <v>175</v>
      </c>
      <c r="BJ179" s="7">
        <v>0</v>
      </c>
      <c r="BK179" s="7">
        <v>24</v>
      </c>
      <c r="BL179" s="7">
        <v>24</v>
      </c>
      <c r="BM179" s="8" t="b">
        <v>1</v>
      </c>
      <c r="BN179" s="7">
        <v>727.53751776342131</v>
      </c>
      <c r="BO179" s="7">
        <v>3.181851428571429</v>
      </c>
      <c r="BP179" s="7">
        <v>42.764850494540049</v>
      </c>
      <c r="BQ179" s="7">
        <v>0.13714285714285715</v>
      </c>
      <c r="BR179" s="7" t="s">
        <v>154</v>
      </c>
      <c r="BS179" s="7">
        <v>175</v>
      </c>
      <c r="BT179" s="7">
        <v>24</v>
      </c>
      <c r="BU179" s="7">
        <v>24</v>
      </c>
      <c r="BV179" s="7">
        <v>24</v>
      </c>
      <c r="BW179" s="7" t="s">
        <v>1084</v>
      </c>
      <c r="BX179" s="8" t="b">
        <v>1</v>
      </c>
      <c r="BY179" s="7">
        <v>-499.77941488892498</v>
      </c>
      <c r="BZ179" s="7">
        <v>-13.717014268942636</v>
      </c>
      <c r="CA179" s="7">
        <v>46236.65625</v>
      </c>
      <c r="CB179" s="7">
        <v>46236.645833333336</v>
      </c>
      <c r="CC179" s="7">
        <v>8.23242070207943E-3</v>
      </c>
      <c r="CD179" s="7">
        <v>171.59999999999994</v>
      </c>
      <c r="CE179" s="7">
        <v>171.59999999999994</v>
      </c>
      <c r="CF179" s="7">
        <v>600.3087302041049</v>
      </c>
      <c r="CG179" s="7">
        <v>0.3125</v>
      </c>
      <c r="CH179" s="7" t="s">
        <v>150</v>
      </c>
      <c r="CI179" s="7">
        <v>128</v>
      </c>
      <c r="CJ179" s="8" t="b">
        <v>1</v>
      </c>
      <c r="CK179" s="7">
        <v>40</v>
      </c>
      <c r="CL179" s="7">
        <v>40</v>
      </c>
      <c r="CM179" s="7">
        <v>40</v>
      </c>
      <c r="CN179" s="8" t="b">
        <v>0</v>
      </c>
      <c r="CO179" s="7" t="s">
        <v>955</v>
      </c>
      <c r="CP179" s="7">
        <v>870.83168357314128</v>
      </c>
    </row>
    <row r="180" spans="1:94" ht="21" customHeight="1" x14ac:dyDescent="0.45">
      <c r="A180" s="9">
        <v>46236.65625</v>
      </c>
      <c r="B180" s="9">
        <v>46236.666666666664</v>
      </c>
      <c r="C180" s="9">
        <v>46236.78125</v>
      </c>
      <c r="D180" s="10">
        <v>46236</v>
      </c>
      <c r="E180" s="7">
        <v>0.25</v>
      </c>
      <c r="F180" s="7" t="s">
        <v>770</v>
      </c>
      <c r="G180" s="9">
        <v>46236.625</v>
      </c>
      <c r="H180" s="7">
        <v>181.46</v>
      </c>
      <c r="I180" s="7" t="s">
        <v>1085</v>
      </c>
      <c r="J180" s="7">
        <v>15</v>
      </c>
      <c r="K180" s="7" t="s">
        <v>960</v>
      </c>
      <c r="L180" s="10">
        <v>46234</v>
      </c>
      <c r="M180" s="7">
        <v>5.2473000000000001</v>
      </c>
      <c r="N180" s="7" t="s">
        <v>773</v>
      </c>
      <c r="O180" s="7">
        <v>51.968000000000004</v>
      </c>
      <c r="P180" s="7" t="s">
        <v>1080</v>
      </c>
      <c r="Q180" s="7" t="s">
        <v>775</v>
      </c>
      <c r="R180" s="7">
        <v>60.030873020410496</v>
      </c>
      <c r="S180" s="7" t="s">
        <v>776</v>
      </c>
      <c r="T180" s="7">
        <v>175</v>
      </c>
      <c r="U180" s="7" t="s">
        <v>1081</v>
      </c>
      <c r="V180" s="7" t="s">
        <v>775</v>
      </c>
      <c r="W180" s="7">
        <v>7.1274750824233415</v>
      </c>
      <c r="X180" s="7" t="s">
        <v>776</v>
      </c>
      <c r="Y180" s="7">
        <v>175</v>
      </c>
      <c r="Z180" s="7" t="s">
        <v>1082</v>
      </c>
      <c r="AA180" s="7" t="s">
        <v>775</v>
      </c>
      <c r="AB180" s="7">
        <v>2.595620604882511</v>
      </c>
      <c r="AC180" s="7" t="s">
        <v>776</v>
      </c>
      <c r="AD180" s="7"/>
      <c r="AE180" s="7" t="s">
        <v>779</v>
      </c>
      <c r="AF180" s="7"/>
      <c r="AG180" s="7">
        <v>223.7312522630686</v>
      </c>
      <c r="AH180" s="7" t="s">
        <v>776</v>
      </c>
      <c r="AI180" s="7">
        <v>12.279</v>
      </c>
      <c r="AJ180" s="7">
        <v>0</v>
      </c>
      <c r="AK180" s="7" t="s">
        <v>776</v>
      </c>
      <c r="AL180" s="7">
        <v>0</v>
      </c>
      <c r="AM180" s="7" t="s">
        <v>780</v>
      </c>
      <c r="AN180" s="7" t="s">
        <v>781</v>
      </c>
      <c r="AO180" s="7" t="s">
        <v>782</v>
      </c>
      <c r="AP180" s="7">
        <v>0.2806628571428571</v>
      </c>
      <c r="AQ180" s="7">
        <v>0</v>
      </c>
      <c r="AR180" s="7">
        <v>0.2806628571428571</v>
      </c>
      <c r="AS180" s="8" t="b">
        <v>1</v>
      </c>
      <c r="AT180" s="8" t="b">
        <v>1</v>
      </c>
      <c r="AU180" s="8" t="b">
        <v>1</v>
      </c>
      <c r="AV180" s="8" t="b">
        <v>1</v>
      </c>
      <c r="AW180" s="8" t="b">
        <v>1</v>
      </c>
      <c r="AX180" s="8" t="b">
        <v>1</v>
      </c>
      <c r="AY180" s="8" t="b">
        <v>1</v>
      </c>
      <c r="AZ180" s="8" t="b">
        <v>1</v>
      </c>
      <c r="BA180" s="7" t="s">
        <v>783</v>
      </c>
      <c r="BB180" s="7" t="s">
        <v>783</v>
      </c>
      <c r="BC180" s="7" t="s">
        <v>784</v>
      </c>
      <c r="BD180" s="7">
        <v>0</v>
      </c>
      <c r="BE180" s="7">
        <v>0</v>
      </c>
      <c r="BF180" s="7">
        <v>0</v>
      </c>
      <c r="BG180" s="7">
        <v>0.13714285714285715</v>
      </c>
      <c r="BH180" s="7" t="s">
        <v>154</v>
      </c>
      <c r="BI180" s="7">
        <v>175</v>
      </c>
      <c r="BJ180" s="7">
        <v>0</v>
      </c>
      <c r="BK180" s="7">
        <v>24</v>
      </c>
      <c r="BL180" s="7">
        <v>24</v>
      </c>
      <c r="BM180" s="8" t="b">
        <v>1</v>
      </c>
      <c r="BN180" s="7">
        <v>376.758314953813</v>
      </c>
      <c r="BO180" s="7">
        <v>1.6839771428571431</v>
      </c>
      <c r="BP180" s="7">
        <v>42.764850494540049</v>
      </c>
      <c r="BQ180" s="7">
        <v>0.13714285714285715</v>
      </c>
      <c r="BR180" s="7" t="s">
        <v>154</v>
      </c>
      <c r="BS180" s="7">
        <v>175</v>
      </c>
      <c r="BT180" s="7">
        <v>24</v>
      </c>
      <c r="BU180" s="7">
        <v>24</v>
      </c>
      <c r="BV180" s="7">
        <v>24</v>
      </c>
      <c r="BW180" s="7" t="s">
        <v>1085</v>
      </c>
      <c r="BX180" s="8" t="b">
        <v>1</v>
      </c>
      <c r="BY180" s="7">
        <v>-340.73711021557062</v>
      </c>
      <c r="BZ180" s="7">
        <v>-7.5110131205901158</v>
      </c>
      <c r="CA180" s="7">
        <v>46237</v>
      </c>
      <c r="CB180" s="7">
        <v>46236.65625</v>
      </c>
      <c r="CC180" s="7">
        <v>6.9451265525284113E-3</v>
      </c>
      <c r="CD180" s="7">
        <v>171.59999999999994</v>
      </c>
      <c r="CE180" s="7">
        <v>171.5851117714285</v>
      </c>
      <c r="CF180" s="7">
        <v>600.3087302041049</v>
      </c>
      <c r="CG180" s="7">
        <v>0.3125</v>
      </c>
      <c r="CH180" s="7" t="s">
        <v>150</v>
      </c>
      <c r="CI180" s="7">
        <v>128</v>
      </c>
      <c r="CJ180" s="8" t="b">
        <v>1</v>
      </c>
      <c r="CK180" s="7">
        <v>40</v>
      </c>
      <c r="CL180" s="7">
        <v>40</v>
      </c>
      <c r="CM180" s="7">
        <v>40</v>
      </c>
      <c r="CN180" s="8" t="b">
        <v>0</v>
      </c>
      <c r="CO180" s="7" t="s">
        <v>955</v>
      </c>
      <c r="CP180" s="7">
        <v>679.09478543688738</v>
      </c>
    </row>
    <row r="181" spans="1:94" ht="21" customHeight="1" x14ac:dyDescent="0.45">
      <c r="A181" s="9">
        <v>46236.666666666664</v>
      </c>
      <c r="B181" s="9">
        <v>46236.677083333336</v>
      </c>
      <c r="C181" s="9">
        <v>46236.791666666664</v>
      </c>
      <c r="D181" s="10">
        <v>46236</v>
      </c>
      <c r="E181" s="7">
        <v>0.25</v>
      </c>
      <c r="F181" s="7" t="s">
        <v>770</v>
      </c>
      <c r="G181" s="9">
        <v>46236.666666666664</v>
      </c>
      <c r="H181" s="7">
        <v>186.08</v>
      </c>
      <c r="I181" s="7" t="s">
        <v>1086</v>
      </c>
      <c r="J181" s="7">
        <v>15</v>
      </c>
      <c r="K181" s="7" t="s">
        <v>960</v>
      </c>
      <c r="L181" s="10">
        <v>46234</v>
      </c>
      <c r="M181" s="7">
        <v>5.2473000000000001</v>
      </c>
      <c r="N181" s="7" t="s">
        <v>773</v>
      </c>
      <c r="O181" s="7">
        <v>91.903999999999996</v>
      </c>
      <c r="P181" s="7" t="s">
        <v>1087</v>
      </c>
      <c r="Q181" s="7" t="s">
        <v>775</v>
      </c>
      <c r="R181" s="7">
        <v>60.030873020410496</v>
      </c>
      <c r="S181" s="7" t="s">
        <v>776</v>
      </c>
      <c r="T181" s="7">
        <v>175</v>
      </c>
      <c r="U181" s="7" t="s">
        <v>1088</v>
      </c>
      <c r="V181" s="7" t="s">
        <v>775</v>
      </c>
      <c r="W181" s="7">
        <v>7.1027004364149189</v>
      </c>
      <c r="X181" s="7" t="s">
        <v>776</v>
      </c>
      <c r="Y181" s="7">
        <v>175</v>
      </c>
      <c r="Z181" s="7" t="s">
        <v>1089</v>
      </c>
      <c r="AA181" s="7" t="s">
        <v>775</v>
      </c>
      <c r="AB181" s="7">
        <v>2.850990032969337</v>
      </c>
      <c r="AC181" s="7" t="s">
        <v>776</v>
      </c>
      <c r="AD181" s="7"/>
      <c r="AE181" s="7" t="s">
        <v>779</v>
      </c>
      <c r="AF181" s="7"/>
      <c r="AG181" s="7">
        <v>217.59857450498353</v>
      </c>
      <c r="AH181" s="7" t="s">
        <v>776</v>
      </c>
      <c r="AI181" s="7">
        <v>1.9830000000000001</v>
      </c>
      <c r="AJ181" s="7">
        <v>80.041164027213995</v>
      </c>
      <c r="AK181" s="7" t="s">
        <v>776</v>
      </c>
      <c r="AL181" s="7">
        <v>0.11799999999999999</v>
      </c>
      <c r="AM181" s="7" t="s">
        <v>780</v>
      </c>
      <c r="AN181" s="7" t="s">
        <v>781</v>
      </c>
      <c r="AO181" s="7" t="s">
        <v>782</v>
      </c>
      <c r="AP181" s="7">
        <v>4.5325714285714198E-2</v>
      </c>
      <c r="AQ181" s="7">
        <v>2.6971428571427999E-3</v>
      </c>
      <c r="AR181" s="7">
        <v>4.8022857142857103E-2</v>
      </c>
      <c r="AS181" s="8" t="b">
        <v>1</v>
      </c>
      <c r="AT181" s="8" t="b">
        <v>1</v>
      </c>
      <c r="AU181" s="8" t="b">
        <v>1</v>
      </c>
      <c r="AV181" s="8" t="b">
        <v>1</v>
      </c>
      <c r="AW181" s="8" t="b">
        <v>1</v>
      </c>
      <c r="AX181" s="8" t="b">
        <v>1</v>
      </c>
      <c r="AY181" s="8" t="b">
        <v>1</v>
      </c>
      <c r="AZ181" s="8" t="b">
        <v>1</v>
      </c>
      <c r="BA181" s="7" t="s">
        <v>783</v>
      </c>
      <c r="BB181" s="7" t="s">
        <v>783</v>
      </c>
      <c r="BC181" s="7" t="s">
        <v>784</v>
      </c>
      <c r="BD181" s="7">
        <v>-1.2952947230004004</v>
      </c>
      <c r="BE181" s="7">
        <v>1.6182857142857145E-2</v>
      </c>
      <c r="BF181" s="7">
        <v>17.105940197816022</v>
      </c>
      <c r="BG181" s="7">
        <v>0.13714285714285715</v>
      </c>
      <c r="BH181" s="7" t="s">
        <v>154</v>
      </c>
      <c r="BI181" s="7">
        <v>175</v>
      </c>
      <c r="BJ181" s="7">
        <v>24</v>
      </c>
      <c r="BK181" s="7">
        <v>24</v>
      </c>
      <c r="BL181" s="7">
        <v>24</v>
      </c>
      <c r="BM181" s="8" t="b">
        <v>1</v>
      </c>
      <c r="BN181" s="7">
        <v>59.176864901949578</v>
      </c>
      <c r="BO181" s="7">
        <v>0.2719542857142857</v>
      </c>
      <c r="BP181" s="7">
        <v>42.61620261848951</v>
      </c>
      <c r="BQ181" s="7">
        <v>0.13714285714285715</v>
      </c>
      <c r="BR181" s="7" t="s">
        <v>154</v>
      </c>
      <c r="BS181" s="7">
        <v>175</v>
      </c>
      <c r="BT181" s="7">
        <v>24</v>
      </c>
      <c r="BU181" s="7">
        <v>24</v>
      </c>
      <c r="BV181" s="7">
        <v>24</v>
      </c>
      <c r="BW181" s="7" t="s">
        <v>1086</v>
      </c>
      <c r="BX181" s="8" t="b">
        <v>1</v>
      </c>
      <c r="BY181" s="7">
        <v>0</v>
      </c>
      <c r="BZ181" s="7">
        <v>0</v>
      </c>
      <c r="CA181" s="7">
        <v>46236.677083333336</v>
      </c>
      <c r="CB181" s="7">
        <v>46237</v>
      </c>
      <c r="CC181" s="7">
        <v>8.6247420289855073E-4</v>
      </c>
      <c r="CD181" s="7">
        <v>171.5851117714285</v>
      </c>
      <c r="CE181" s="7">
        <v>171.30439751552788</v>
      </c>
      <c r="CF181" s="7">
        <v>600.3087302041049</v>
      </c>
      <c r="CG181" s="7">
        <v>0.3125</v>
      </c>
      <c r="CH181" s="7" t="s">
        <v>150</v>
      </c>
      <c r="CI181" s="7">
        <v>128</v>
      </c>
      <c r="CJ181" s="8" t="b">
        <v>1</v>
      </c>
      <c r="CK181" s="7">
        <v>40</v>
      </c>
      <c r="CL181" s="7">
        <v>40</v>
      </c>
      <c r="CM181" s="7">
        <v>40</v>
      </c>
      <c r="CN181" s="8" t="b">
        <v>0</v>
      </c>
      <c r="CO181" s="7" t="s">
        <v>955</v>
      </c>
      <c r="CP181" s="7">
        <v>717.91244319935959</v>
      </c>
    </row>
    <row r="182" spans="1:94" ht="21" customHeight="1" x14ac:dyDescent="0.45">
      <c r="A182" s="9">
        <v>46236.677083333336</v>
      </c>
      <c r="B182" s="9">
        <v>46236.6875</v>
      </c>
      <c r="C182" s="9">
        <v>46236.802083333336</v>
      </c>
      <c r="D182" s="10">
        <v>46236</v>
      </c>
      <c r="E182" s="7">
        <v>0.25</v>
      </c>
      <c r="F182" s="7" t="s">
        <v>770</v>
      </c>
      <c r="G182" s="9">
        <v>46236.666666666664</v>
      </c>
      <c r="H182" s="7">
        <v>212.63</v>
      </c>
      <c r="I182" s="7" t="s">
        <v>1090</v>
      </c>
      <c r="J182" s="7">
        <v>15</v>
      </c>
      <c r="K182" s="7" t="s">
        <v>960</v>
      </c>
      <c r="L182" s="10">
        <v>46234</v>
      </c>
      <c r="M182" s="7">
        <v>5.2473000000000001</v>
      </c>
      <c r="N182" s="7" t="s">
        <v>773</v>
      </c>
      <c r="O182" s="7">
        <v>91.903999999999996</v>
      </c>
      <c r="P182" s="7" t="s">
        <v>1087</v>
      </c>
      <c r="Q182" s="7" t="s">
        <v>775</v>
      </c>
      <c r="R182" s="7">
        <v>60.030873020410496</v>
      </c>
      <c r="S182" s="7" t="s">
        <v>776</v>
      </c>
      <c r="T182" s="7">
        <v>175</v>
      </c>
      <c r="U182" s="7" t="s">
        <v>1088</v>
      </c>
      <c r="V182" s="7" t="s">
        <v>775</v>
      </c>
      <c r="W182" s="7">
        <v>7.1027004364149189</v>
      </c>
      <c r="X182" s="7" t="s">
        <v>776</v>
      </c>
      <c r="Y182" s="7">
        <v>175</v>
      </c>
      <c r="Z182" s="7" t="s">
        <v>1089</v>
      </c>
      <c r="AA182" s="7" t="s">
        <v>775</v>
      </c>
      <c r="AB182" s="7">
        <v>2.850990032969337</v>
      </c>
      <c r="AC182" s="7" t="s">
        <v>776</v>
      </c>
      <c r="AD182" s="7"/>
      <c r="AE182" s="7" t="s">
        <v>779</v>
      </c>
      <c r="AF182" s="7"/>
      <c r="AG182" s="7">
        <v>239.53423665504161</v>
      </c>
      <c r="AH182" s="7" t="s">
        <v>776</v>
      </c>
      <c r="AI182" s="7">
        <v>4.1769999999999996</v>
      </c>
      <c r="AJ182" s="7">
        <v>80.041164027213995</v>
      </c>
      <c r="AK182" s="7" t="s">
        <v>776</v>
      </c>
      <c r="AL182" s="7">
        <v>2.4E-2</v>
      </c>
      <c r="AM182" s="7" t="s">
        <v>780</v>
      </c>
      <c r="AN182" s="7" t="s">
        <v>781</v>
      </c>
      <c r="AO182" s="7" t="s">
        <v>782</v>
      </c>
      <c r="AP182" s="7">
        <v>9.5474285714285706E-2</v>
      </c>
      <c r="AQ182" s="7">
        <v>5.4857142857140002E-4</v>
      </c>
      <c r="AR182" s="7">
        <v>9.6022857142857104E-2</v>
      </c>
      <c r="AS182" s="8" t="b">
        <v>1</v>
      </c>
      <c r="AT182" s="8" t="b">
        <v>1</v>
      </c>
      <c r="AU182" s="8" t="b">
        <v>1</v>
      </c>
      <c r="AV182" s="8" t="b">
        <v>1</v>
      </c>
      <c r="AW182" s="8" t="b">
        <v>1</v>
      </c>
      <c r="AX182" s="8" t="b">
        <v>1</v>
      </c>
      <c r="AY182" s="8" t="b">
        <v>1</v>
      </c>
      <c r="AZ182" s="8" t="b">
        <v>1</v>
      </c>
      <c r="BA182" s="7" t="s">
        <v>783</v>
      </c>
      <c r="BB182" s="7" t="s">
        <v>783</v>
      </c>
      <c r="BC182" s="7" t="s">
        <v>784</v>
      </c>
      <c r="BD182" s="7">
        <v>-0.26344977416957288</v>
      </c>
      <c r="BE182" s="7">
        <v>3.291428571428571E-3</v>
      </c>
      <c r="BF182" s="7">
        <v>17.105940197816022</v>
      </c>
      <c r="BG182" s="7">
        <v>0.13714285714285715</v>
      </c>
      <c r="BH182" s="7" t="s">
        <v>154</v>
      </c>
      <c r="BI182" s="7">
        <v>175</v>
      </c>
      <c r="BJ182" s="7">
        <v>24</v>
      </c>
      <c r="BK182" s="7">
        <v>24</v>
      </c>
      <c r="BL182" s="7">
        <v>24</v>
      </c>
      <c r="BM182" s="8" t="b">
        <v>1</v>
      </c>
      <c r="BN182" s="7">
        <v>137.21616089254061</v>
      </c>
      <c r="BO182" s="7">
        <v>0.57284571428571418</v>
      </c>
      <c r="BP182" s="7">
        <v>42.61620261848951</v>
      </c>
      <c r="BQ182" s="7">
        <v>0.13714285714285715</v>
      </c>
      <c r="BR182" s="7" t="s">
        <v>154</v>
      </c>
      <c r="BS182" s="7">
        <v>175</v>
      </c>
      <c r="BT182" s="7">
        <v>24</v>
      </c>
      <c r="BU182" s="7">
        <v>24</v>
      </c>
      <c r="BV182" s="7">
        <v>24</v>
      </c>
      <c r="BW182" s="7" t="s">
        <v>1090</v>
      </c>
      <c r="BX182" s="8" t="b">
        <v>1</v>
      </c>
      <c r="BY182" s="7">
        <v>1913.67</v>
      </c>
      <c r="BZ182" s="7">
        <v>36</v>
      </c>
      <c r="CA182" s="7">
        <v>46236.6875</v>
      </c>
      <c r="CB182" s="7">
        <v>46236.677083333336</v>
      </c>
      <c r="CC182" s="7">
        <v>2.8893581780538299E-2</v>
      </c>
      <c r="CD182" s="7">
        <v>171.30439751552788</v>
      </c>
      <c r="CE182" s="7">
        <v>160.9027080745341</v>
      </c>
      <c r="CF182" s="7">
        <v>600.3087302041049</v>
      </c>
      <c r="CG182" s="7">
        <v>0.3125</v>
      </c>
      <c r="CH182" s="7" t="s">
        <v>150</v>
      </c>
      <c r="CI182" s="7">
        <v>128</v>
      </c>
      <c r="CJ182" s="8" t="b">
        <v>1</v>
      </c>
      <c r="CK182" s="7">
        <v>40</v>
      </c>
      <c r="CL182" s="7">
        <v>40</v>
      </c>
      <c r="CM182" s="7">
        <v>40</v>
      </c>
      <c r="CN182" s="8" t="b">
        <v>0</v>
      </c>
      <c r="CO182" s="7" t="s">
        <v>955</v>
      </c>
      <c r="CP182" s="7">
        <v>2710.6535841387818</v>
      </c>
    </row>
    <row r="183" spans="1:94" ht="21" customHeight="1" x14ac:dyDescent="0.45">
      <c r="A183" s="9">
        <v>46236.6875</v>
      </c>
      <c r="B183" s="9">
        <v>46236.697916666664</v>
      </c>
      <c r="C183" s="9">
        <v>46236.8125</v>
      </c>
      <c r="D183" s="10">
        <v>46236</v>
      </c>
      <c r="E183" s="7">
        <v>0.25</v>
      </c>
      <c r="F183" s="7" t="s">
        <v>770</v>
      </c>
      <c r="G183" s="9">
        <v>46236.666666666664</v>
      </c>
      <c r="H183" s="7">
        <v>197.63</v>
      </c>
      <c r="I183" s="7" t="s">
        <v>1091</v>
      </c>
      <c r="J183" s="7">
        <v>15</v>
      </c>
      <c r="K183" s="7" t="s">
        <v>960</v>
      </c>
      <c r="L183" s="10">
        <v>46234</v>
      </c>
      <c r="M183" s="7">
        <v>5.2473000000000001</v>
      </c>
      <c r="N183" s="7" t="s">
        <v>773</v>
      </c>
      <c r="O183" s="7">
        <v>91.903999999999996</v>
      </c>
      <c r="P183" s="7" t="s">
        <v>1087</v>
      </c>
      <c r="Q183" s="7" t="s">
        <v>775</v>
      </c>
      <c r="R183" s="7">
        <v>60.030873020410496</v>
      </c>
      <c r="S183" s="7" t="s">
        <v>776</v>
      </c>
      <c r="T183" s="7">
        <v>175</v>
      </c>
      <c r="U183" s="7" t="s">
        <v>1088</v>
      </c>
      <c r="V183" s="7" t="s">
        <v>775</v>
      </c>
      <c r="W183" s="7">
        <v>7.1027004364149189</v>
      </c>
      <c r="X183" s="7" t="s">
        <v>776</v>
      </c>
      <c r="Y183" s="7">
        <v>175</v>
      </c>
      <c r="Z183" s="7" t="s">
        <v>1089</v>
      </c>
      <c r="AA183" s="7" t="s">
        <v>775</v>
      </c>
      <c r="AB183" s="7">
        <v>2.850990032969337</v>
      </c>
      <c r="AC183" s="7" t="s">
        <v>776</v>
      </c>
      <c r="AD183" s="7"/>
      <c r="AE183" s="7" t="s">
        <v>779</v>
      </c>
      <c r="AF183" s="7"/>
      <c r="AG183" s="7">
        <v>242.48337240104436</v>
      </c>
      <c r="AH183" s="7" t="s">
        <v>776</v>
      </c>
      <c r="AI183" s="7">
        <v>8.593</v>
      </c>
      <c r="AJ183" s="7">
        <v>0</v>
      </c>
      <c r="AK183" s="7" t="s">
        <v>776</v>
      </c>
      <c r="AL183" s="7">
        <v>0</v>
      </c>
      <c r="AM183" s="7" t="s">
        <v>780</v>
      </c>
      <c r="AN183" s="7" t="s">
        <v>781</v>
      </c>
      <c r="AO183" s="7" t="s">
        <v>782</v>
      </c>
      <c r="AP183" s="7">
        <v>0.19641142857142849</v>
      </c>
      <c r="AQ183" s="7">
        <v>0</v>
      </c>
      <c r="AR183" s="7">
        <v>0.19641142857142849</v>
      </c>
      <c r="AS183" s="8" t="b">
        <v>1</v>
      </c>
      <c r="AT183" s="8" t="b">
        <v>1</v>
      </c>
      <c r="AU183" s="8" t="b">
        <v>1</v>
      </c>
      <c r="AV183" s="8" t="b">
        <v>1</v>
      </c>
      <c r="AW183" s="8" t="b">
        <v>1</v>
      </c>
      <c r="AX183" s="8" t="b">
        <v>1</v>
      </c>
      <c r="AY183" s="8" t="b">
        <v>1</v>
      </c>
      <c r="AZ183" s="8" t="b">
        <v>1</v>
      </c>
      <c r="BA183" s="7" t="s">
        <v>783</v>
      </c>
      <c r="BB183" s="7" t="s">
        <v>783</v>
      </c>
      <c r="BC183" s="7" t="s">
        <v>784</v>
      </c>
      <c r="BD183" s="7">
        <v>0</v>
      </c>
      <c r="BE183" s="7">
        <v>0</v>
      </c>
      <c r="BF183" s="7">
        <v>17.105940197816022</v>
      </c>
      <c r="BG183" s="7">
        <v>0.13714285714285715</v>
      </c>
      <c r="BH183" s="7" t="s">
        <v>154</v>
      </c>
      <c r="BI183" s="7">
        <v>175</v>
      </c>
      <c r="BJ183" s="7">
        <v>24</v>
      </c>
      <c r="BK183" s="7">
        <v>24</v>
      </c>
      <c r="BL183" s="7">
        <v>24</v>
      </c>
      <c r="BM183" s="8" t="b">
        <v>1</v>
      </c>
      <c r="BN183" s="7">
        <v>285.75903346864101</v>
      </c>
      <c r="BO183" s="7">
        <v>1.1784685714285714</v>
      </c>
      <c r="BP183" s="7">
        <v>42.61620261848951</v>
      </c>
      <c r="BQ183" s="7">
        <v>0.13714285714285715</v>
      </c>
      <c r="BR183" s="7" t="s">
        <v>154</v>
      </c>
      <c r="BS183" s="7">
        <v>175</v>
      </c>
      <c r="BT183" s="7">
        <v>24</v>
      </c>
      <c r="BU183" s="7">
        <v>24</v>
      </c>
      <c r="BV183" s="7">
        <v>24</v>
      </c>
      <c r="BW183" s="7" t="s">
        <v>1091</v>
      </c>
      <c r="BX183" s="8" t="b">
        <v>1</v>
      </c>
      <c r="BY183" s="7">
        <v>0</v>
      </c>
      <c r="BZ183" s="7">
        <v>0</v>
      </c>
      <c r="CA183" s="7">
        <v>46236.697916666664</v>
      </c>
      <c r="CB183" s="7">
        <v>46236.6875</v>
      </c>
      <c r="CC183" s="7">
        <v>3.5581780538302276E-3</v>
      </c>
      <c r="CD183" s="7">
        <v>160.9027080745341</v>
      </c>
      <c r="CE183" s="7">
        <v>159.62176397515523</v>
      </c>
      <c r="CF183" s="7">
        <v>600.3087302041049</v>
      </c>
      <c r="CG183" s="7">
        <v>0.3125</v>
      </c>
      <c r="CH183" s="7" t="s">
        <v>150</v>
      </c>
      <c r="CI183" s="7">
        <v>128</v>
      </c>
      <c r="CJ183" s="8" t="b">
        <v>1</v>
      </c>
      <c r="CK183" s="7">
        <v>40</v>
      </c>
      <c r="CL183" s="7">
        <v>40</v>
      </c>
      <c r="CM183" s="7">
        <v>40</v>
      </c>
      <c r="CN183" s="8" t="b">
        <v>0</v>
      </c>
      <c r="CO183" s="7" t="s">
        <v>955</v>
      </c>
      <c r="CP183" s="7">
        <v>945.78990648905142</v>
      </c>
    </row>
    <row r="184" spans="1:94" ht="21" customHeight="1" x14ac:dyDescent="0.45">
      <c r="A184" s="9">
        <v>46236.697916666664</v>
      </c>
      <c r="B184" s="9">
        <v>46236.708333333336</v>
      </c>
      <c r="C184" s="9">
        <v>46236.822916666664</v>
      </c>
      <c r="D184" s="10">
        <v>46236</v>
      </c>
      <c r="E184" s="7">
        <v>0.25</v>
      </c>
      <c r="F184" s="7" t="s">
        <v>770</v>
      </c>
      <c r="G184" s="9">
        <v>46236.666666666664</v>
      </c>
      <c r="H184" s="7">
        <v>215.78</v>
      </c>
      <c r="I184" s="7" t="s">
        <v>1092</v>
      </c>
      <c r="J184" s="7">
        <v>15</v>
      </c>
      <c r="K184" s="7" t="s">
        <v>960</v>
      </c>
      <c r="L184" s="10">
        <v>46234</v>
      </c>
      <c r="M184" s="7">
        <v>5.2473000000000001</v>
      </c>
      <c r="N184" s="7" t="s">
        <v>773</v>
      </c>
      <c r="O184" s="7">
        <v>91.903999999999996</v>
      </c>
      <c r="P184" s="7" t="s">
        <v>1087</v>
      </c>
      <c r="Q184" s="7" t="s">
        <v>775</v>
      </c>
      <c r="R184" s="7">
        <v>60.030873020410496</v>
      </c>
      <c r="S184" s="7" t="s">
        <v>776</v>
      </c>
      <c r="T184" s="7">
        <v>175</v>
      </c>
      <c r="U184" s="7" t="s">
        <v>1088</v>
      </c>
      <c r="V184" s="7" t="s">
        <v>775</v>
      </c>
      <c r="W184" s="7">
        <v>7.1027004364149189</v>
      </c>
      <c r="X184" s="7" t="s">
        <v>776</v>
      </c>
      <c r="Y184" s="7">
        <v>175</v>
      </c>
      <c r="Z184" s="7" t="s">
        <v>1089</v>
      </c>
      <c r="AA184" s="7" t="s">
        <v>775</v>
      </c>
      <c r="AB184" s="7">
        <v>2.850990032969337</v>
      </c>
      <c r="AC184" s="7" t="s">
        <v>776</v>
      </c>
      <c r="AD184" s="7"/>
      <c r="AE184" s="7" t="s">
        <v>779</v>
      </c>
      <c r="AF184" s="7"/>
      <c r="AG184" s="7">
        <v>228.97490137785147</v>
      </c>
      <c r="AH184" s="7" t="s">
        <v>776</v>
      </c>
      <c r="AI184" s="7">
        <v>11.254</v>
      </c>
      <c r="AJ184" s="7">
        <v>0</v>
      </c>
      <c r="AK184" s="7" t="s">
        <v>776</v>
      </c>
      <c r="AL184" s="7">
        <v>0</v>
      </c>
      <c r="AM184" s="7" t="s">
        <v>780</v>
      </c>
      <c r="AN184" s="7" t="s">
        <v>781</v>
      </c>
      <c r="AO184" s="7" t="s">
        <v>782</v>
      </c>
      <c r="AP184" s="7">
        <v>0.25723428571428569</v>
      </c>
      <c r="AQ184" s="7">
        <v>0</v>
      </c>
      <c r="AR184" s="7">
        <v>0.25723428571428569</v>
      </c>
      <c r="AS184" s="8" t="b">
        <v>1</v>
      </c>
      <c r="AT184" s="8" t="b">
        <v>1</v>
      </c>
      <c r="AU184" s="8" t="b">
        <v>1</v>
      </c>
      <c r="AV184" s="8" t="b">
        <v>1</v>
      </c>
      <c r="AW184" s="8" t="b">
        <v>1</v>
      </c>
      <c r="AX184" s="8" t="b">
        <v>1</v>
      </c>
      <c r="AY184" s="8" t="b">
        <v>1</v>
      </c>
      <c r="AZ184" s="8" t="b">
        <v>1</v>
      </c>
      <c r="BA184" s="7" t="s">
        <v>783</v>
      </c>
      <c r="BB184" s="7" t="s">
        <v>783</v>
      </c>
      <c r="BC184" s="7" t="s">
        <v>784</v>
      </c>
      <c r="BD184" s="7">
        <v>0</v>
      </c>
      <c r="BE184" s="7">
        <v>0</v>
      </c>
      <c r="BF184" s="7">
        <v>17.105940197816022</v>
      </c>
      <c r="BG184" s="7">
        <v>0.13714285714285715</v>
      </c>
      <c r="BH184" s="7" t="s">
        <v>154</v>
      </c>
      <c r="BI184" s="7">
        <v>175</v>
      </c>
      <c r="BJ184" s="7">
        <v>24</v>
      </c>
      <c r="BK184" s="7">
        <v>24</v>
      </c>
      <c r="BL184" s="7">
        <v>24</v>
      </c>
      <c r="BM184" s="8" t="b">
        <v>1</v>
      </c>
      <c r="BN184" s="7">
        <v>353.40117121458377</v>
      </c>
      <c r="BO184" s="7">
        <v>1.543405714285714</v>
      </c>
      <c r="BP184" s="7">
        <v>42.61620261848951</v>
      </c>
      <c r="BQ184" s="7">
        <v>0.13714285714285715</v>
      </c>
      <c r="BR184" s="7" t="s">
        <v>154</v>
      </c>
      <c r="BS184" s="7">
        <v>175</v>
      </c>
      <c r="BT184" s="7">
        <v>24</v>
      </c>
      <c r="BU184" s="7">
        <v>24</v>
      </c>
      <c r="BV184" s="7">
        <v>24</v>
      </c>
      <c r="BW184" s="7" t="s">
        <v>1092</v>
      </c>
      <c r="BX184" s="8" t="b">
        <v>1</v>
      </c>
      <c r="BY184" s="7">
        <v>1942.02</v>
      </c>
      <c r="BZ184" s="7">
        <v>36</v>
      </c>
      <c r="CA184" s="7">
        <v>46236.708333333336</v>
      </c>
      <c r="CB184" s="7">
        <v>46236.697916666664</v>
      </c>
      <c r="CC184" s="7">
        <v>3.183395445134575E-2</v>
      </c>
      <c r="CD184" s="7">
        <v>159.62176397515523</v>
      </c>
      <c r="CE184" s="7">
        <v>148.16154037267077</v>
      </c>
      <c r="CF184" s="7">
        <v>600.3087302041049</v>
      </c>
      <c r="CG184" s="7">
        <v>0.3125</v>
      </c>
      <c r="CH184" s="7" t="s">
        <v>150</v>
      </c>
      <c r="CI184" s="7">
        <v>128</v>
      </c>
      <c r="CJ184" s="8" t="b">
        <v>1</v>
      </c>
      <c r="CK184" s="7">
        <v>40</v>
      </c>
      <c r="CL184" s="7">
        <v>40</v>
      </c>
      <c r="CM184" s="7">
        <v>40</v>
      </c>
      <c r="CN184" s="8" t="b">
        <v>0</v>
      </c>
      <c r="CO184" s="7" t="s">
        <v>955</v>
      </c>
      <c r="CP184" s="7">
        <v>2955.452044234994</v>
      </c>
    </row>
    <row r="185" spans="1:94" ht="21" customHeight="1" x14ac:dyDescent="0.45">
      <c r="A185" s="9">
        <v>46236.708333333336</v>
      </c>
      <c r="B185" s="9">
        <v>46236.71875</v>
      </c>
      <c r="C185" s="9">
        <v>46236.833333333336</v>
      </c>
      <c r="D185" s="10">
        <v>46236</v>
      </c>
      <c r="E185" s="7">
        <v>0.25</v>
      </c>
      <c r="F185" s="7" t="s">
        <v>770</v>
      </c>
      <c r="G185" s="9">
        <v>46236.708333333336</v>
      </c>
      <c r="H185" s="7">
        <v>212.83</v>
      </c>
      <c r="I185" s="7" t="s">
        <v>1093</v>
      </c>
      <c r="J185" s="7">
        <v>15</v>
      </c>
      <c r="K185" s="7" t="s">
        <v>960</v>
      </c>
      <c r="L185" s="10">
        <v>46234</v>
      </c>
      <c r="M185" s="7">
        <v>5.2473000000000001</v>
      </c>
      <c r="N185" s="7" t="s">
        <v>773</v>
      </c>
      <c r="O185" s="7">
        <v>91.903999999999996</v>
      </c>
      <c r="P185" s="7" t="s">
        <v>1094</v>
      </c>
      <c r="Q185" s="7" t="s">
        <v>775</v>
      </c>
      <c r="R185" s="7">
        <v>60.030873020410496</v>
      </c>
      <c r="S185" s="7" t="s">
        <v>776</v>
      </c>
      <c r="T185" s="7">
        <v>175</v>
      </c>
      <c r="U185" s="7" t="s">
        <v>1095</v>
      </c>
      <c r="V185" s="7" t="s">
        <v>775</v>
      </c>
      <c r="W185" s="7">
        <v>3.9143940693308936</v>
      </c>
      <c r="X185" s="7" t="s">
        <v>776</v>
      </c>
      <c r="Y185" s="7">
        <v>175</v>
      </c>
      <c r="Z185" s="7" t="s">
        <v>1096</v>
      </c>
      <c r="AA185" s="7" t="s">
        <v>775</v>
      </c>
      <c r="AB185" s="7">
        <v>2.850990032969337</v>
      </c>
      <c r="AC185" s="7" t="s">
        <v>776</v>
      </c>
      <c r="AD185" s="7"/>
      <c r="AE185" s="7" t="s">
        <v>779</v>
      </c>
      <c r="AF185" s="7"/>
      <c r="AG185" s="7">
        <v>218.46130390867685</v>
      </c>
      <c r="AH185" s="7" t="s">
        <v>776</v>
      </c>
      <c r="AI185" s="7">
        <v>2.4700000000000002</v>
      </c>
      <c r="AJ185" s="7">
        <v>80.041164027213995</v>
      </c>
      <c r="AK185" s="7" t="s">
        <v>776</v>
      </c>
      <c r="AL185" s="7">
        <v>2.7E-2</v>
      </c>
      <c r="AM185" s="7" t="s">
        <v>780</v>
      </c>
      <c r="AN185" s="7" t="s">
        <v>781</v>
      </c>
      <c r="AO185" s="7" t="s">
        <v>782</v>
      </c>
      <c r="AP185" s="7">
        <v>5.6457142857142803E-2</v>
      </c>
      <c r="AQ185" s="7">
        <v>6.1714285714279998E-4</v>
      </c>
      <c r="AR185" s="7">
        <v>5.7074285714285702E-2</v>
      </c>
      <c r="AS185" s="8" t="b">
        <v>1</v>
      </c>
      <c r="AT185" s="8" t="b">
        <v>1</v>
      </c>
      <c r="AU185" s="8" t="b">
        <v>1</v>
      </c>
      <c r="AV185" s="8" t="b">
        <v>1</v>
      </c>
      <c r="AW185" s="8" t="b">
        <v>1</v>
      </c>
      <c r="AX185" s="8" t="b">
        <v>1</v>
      </c>
      <c r="AY185" s="8" t="b">
        <v>1</v>
      </c>
      <c r="AZ185" s="8" t="b">
        <v>1</v>
      </c>
      <c r="BA185" s="7" t="s">
        <v>783</v>
      </c>
      <c r="BB185" s="7" t="s">
        <v>783</v>
      </c>
      <c r="BC185" s="7" t="s">
        <v>784</v>
      </c>
      <c r="BD185" s="7">
        <v>-0.2963809959407695</v>
      </c>
      <c r="BE185" s="7">
        <v>3.7028571428571427E-3</v>
      </c>
      <c r="BF185" s="7">
        <v>17.105940197816022</v>
      </c>
      <c r="BG185" s="7">
        <v>0.13714285714285715</v>
      </c>
      <c r="BH185" s="7" t="s">
        <v>154</v>
      </c>
      <c r="BI185" s="7">
        <v>175</v>
      </c>
      <c r="BJ185" s="7">
        <v>24</v>
      </c>
      <c r="BK185" s="7">
        <v>24</v>
      </c>
      <c r="BL185" s="7">
        <v>24</v>
      </c>
      <c r="BM185" s="8" t="b">
        <v>1</v>
      </c>
      <c r="BN185" s="7">
        <v>0</v>
      </c>
      <c r="BO185" s="7">
        <v>0</v>
      </c>
      <c r="BP185" s="7">
        <v>0</v>
      </c>
      <c r="BQ185" s="7">
        <v>0.13714285714285715</v>
      </c>
      <c r="BR185" s="7" t="s">
        <v>154</v>
      </c>
      <c r="BS185" s="7">
        <v>175</v>
      </c>
      <c r="BT185" s="7">
        <v>0</v>
      </c>
      <c r="BU185" s="7">
        <v>24</v>
      </c>
      <c r="BV185" s="7">
        <v>24</v>
      </c>
      <c r="BW185" s="7" t="s">
        <v>1093</v>
      </c>
      <c r="BX185" s="8" t="b">
        <v>1</v>
      </c>
      <c r="BY185" s="7">
        <v>3192.4500000000003</v>
      </c>
      <c r="BZ185" s="7">
        <v>60</v>
      </c>
      <c r="CA185" s="7">
        <v>46236.71875</v>
      </c>
      <c r="CB185" s="7">
        <v>46236.708333333336</v>
      </c>
      <c r="CC185" s="7">
        <v>4.5278674948240165E-2</v>
      </c>
      <c r="CD185" s="7">
        <v>148.16154037267077</v>
      </c>
      <c r="CE185" s="7">
        <v>131.86121739130428</v>
      </c>
      <c r="CF185" s="7">
        <v>600.3087302041049</v>
      </c>
      <c r="CG185" s="7">
        <v>0.3125</v>
      </c>
      <c r="CH185" s="7" t="s">
        <v>150</v>
      </c>
      <c r="CI185" s="7">
        <v>128</v>
      </c>
      <c r="CJ185" s="8" t="b">
        <v>1</v>
      </c>
      <c r="CK185" s="7">
        <v>40</v>
      </c>
      <c r="CL185" s="7">
        <v>40</v>
      </c>
      <c r="CM185" s="7">
        <v>40</v>
      </c>
      <c r="CN185" s="8" t="b">
        <v>0</v>
      </c>
      <c r="CO185" s="7" t="s">
        <v>955</v>
      </c>
      <c r="CP185" s="7">
        <v>3809.5682894059805</v>
      </c>
    </row>
    <row r="186" spans="1:94" ht="21" customHeight="1" x14ac:dyDescent="0.45">
      <c r="A186" s="9">
        <v>46236.71875</v>
      </c>
      <c r="B186" s="9">
        <v>46236.729166666664</v>
      </c>
      <c r="C186" s="9">
        <v>46236.84375</v>
      </c>
      <c r="D186" s="10">
        <v>46236</v>
      </c>
      <c r="E186" s="7">
        <v>0.25</v>
      </c>
      <c r="F186" s="7" t="s">
        <v>770</v>
      </c>
      <c r="G186" s="9">
        <v>46236.708333333336</v>
      </c>
      <c r="H186" s="7">
        <v>215.16</v>
      </c>
      <c r="I186" s="7" t="s">
        <v>1097</v>
      </c>
      <c r="J186" s="7">
        <v>15</v>
      </c>
      <c r="K186" s="7" t="s">
        <v>960</v>
      </c>
      <c r="L186" s="10">
        <v>46234</v>
      </c>
      <c r="M186" s="7">
        <v>5.2473000000000001</v>
      </c>
      <c r="N186" s="7" t="s">
        <v>773</v>
      </c>
      <c r="O186" s="7">
        <v>91.903999999999996</v>
      </c>
      <c r="P186" s="7" t="s">
        <v>1094</v>
      </c>
      <c r="Q186" s="7" t="s">
        <v>775</v>
      </c>
      <c r="R186" s="7">
        <v>60.030873020410496</v>
      </c>
      <c r="S186" s="7" t="s">
        <v>776</v>
      </c>
      <c r="T186" s="7">
        <v>175</v>
      </c>
      <c r="U186" s="7" t="s">
        <v>1095</v>
      </c>
      <c r="V186" s="7" t="s">
        <v>775</v>
      </c>
      <c r="W186" s="7">
        <v>3.9143940693308936</v>
      </c>
      <c r="X186" s="7" t="s">
        <v>776</v>
      </c>
      <c r="Y186" s="7">
        <v>175</v>
      </c>
      <c r="Z186" s="7" t="s">
        <v>1096</v>
      </c>
      <c r="AA186" s="7" t="s">
        <v>775</v>
      </c>
      <c r="AB186" s="7">
        <v>2.850990032969337</v>
      </c>
      <c r="AC186" s="7" t="s">
        <v>776</v>
      </c>
      <c r="AD186" s="7"/>
      <c r="AE186" s="7" t="s">
        <v>779</v>
      </c>
      <c r="AF186" s="7"/>
      <c r="AG186" s="7">
        <v>225.58172774569778</v>
      </c>
      <c r="AH186" s="7" t="s">
        <v>776</v>
      </c>
      <c r="AI186" s="7">
        <v>1.153</v>
      </c>
      <c r="AJ186" s="7">
        <v>71.936805595258505</v>
      </c>
      <c r="AK186" s="7" t="s">
        <v>776</v>
      </c>
      <c r="AL186" s="7">
        <v>3.1520000000000001</v>
      </c>
      <c r="AM186" s="7" t="s">
        <v>780</v>
      </c>
      <c r="AN186" s="7" t="s">
        <v>781</v>
      </c>
      <c r="AO186" s="7" t="s">
        <v>782</v>
      </c>
      <c r="AP186" s="7">
        <v>2.6354285714285702E-2</v>
      </c>
      <c r="AQ186" s="7">
        <v>7.2045714285714199E-2</v>
      </c>
      <c r="AR186" s="7">
        <v>9.8400000000000001E-2</v>
      </c>
      <c r="AS186" s="8" t="b">
        <v>1</v>
      </c>
      <c r="AT186" s="8" t="b">
        <v>1</v>
      </c>
      <c r="AU186" s="8" t="b">
        <v>1</v>
      </c>
      <c r="AV186" s="8" t="b">
        <v>1</v>
      </c>
      <c r="AW186" s="8" t="b">
        <v>1</v>
      </c>
      <c r="AX186" s="8" t="b">
        <v>1</v>
      </c>
      <c r="AY186" s="8" t="b">
        <v>1</v>
      </c>
      <c r="AZ186" s="8" t="b">
        <v>1</v>
      </c>
      <c r="BA186" s="7" t="s">
        <v>783</v>
      </c>
      <c r="BB186" s="7" t="s">
        <v>783</v>
      </c>
      <c r="BC186" s="7" t="s">
        <v>784</v>
      </c>
      <c r="BD186" s="7">
        <v>-31.096431255257801</v>
      </c>
      <c r="BE186" s="7">
        <v>0.43227428571428572</v>
      </c>
      <c r="BF186" s="7">
        <v>17.105940197816022</v>
      </c>
      <c r="BG186" s="7">
        <v>0.13714285714285715</v>
      </c>
      <c r="BH186" s="7" t="s">
        <v>154</v>
      </c>
      <c r="BI186" s="7">
        <v>175</v>
      </c>
      <c r="BJ186" s="7">
        <v>24</v>
      </c>
      <c r="BK186" s="7">
        <v>24</v>
      </c>
      <c r="BL186" s="7">
        <v>24</v>
      </c>
      <c r="BM186" s="8" t="b">
        <v>1</v>
      </c>
      <c r="BN186" s="7">
        <v>0</v>
      </c>
      <c r="BO186" s="7">
        <v>0</v>
      </c>
      <c r="BP186" s="7">
        <v>0</v>
      </c>
      <c r="BQ186" s="7">
        <v>0.13714285714285715</v>
      </c>
      <c r="BR186" s="7" t="s">
        <v>154</v>
      </c>
      <c r="BS186" s="7">
        <v>175</v>
      </c>
      <c r="BT186" s="7">
        <v>0</v>
      </c>
      <c r="BU186" s="7">
        <v>24</v>
      </c>
      <c r="BV186" s="7">
        <v>24</v>
      </c>
      <c r="BW186" s="7" t="s">
        <v>1097</v>
      </c>
      <c r="BX186" s="8" t="b">
        <v>1</v>
      </c>
      <c r="BY186" s="7">
        <v>3227.4</v>
      </c>
      <c r="BZ186" s="7">
        <v>60</v>
      </c>
      <c r="CA186" s="7">
        <v>46236.729166666664</v>
      </c>
      <c r="CB186" s="7">
        <v>46236.71875</v>
      </c>
      <c r="CC186" s="7">
        <v>4.3984679089026923E-2</v>
      </c>
      <c r="CD186" s="7">
        <v>131.86121739130428</v>
      </c>
      <c r="CE186" s="7">
        <v>116.02673291925457</v>
      </c>
      <c r="CF186" s="7">
        <v>600.3087302041049</v>
      </c>
      <c r="CG186" s="7">
        <v>0.3125</v>
      </c>
      <c r="CH186" s="7" t="s">
        <v>150</v>
      </c>
      <c r="CI186" s="7">
        <v>128</v>
      </c>
      <c r="CJ186" s="8" t="b">
        <v>1</v>
      </c>
      <c r="CK186" s="7">
        <v>40</v>
      </c>
      <c r="CL186" s="7">
        <v>40</v>
      </c>
      <c r="CM186" s="7">
        <v>40</v>
      </c>
      <c r="CN186" s="8" t="b">
        <v>0</v>
      </c>
      <c r="CO186" s="7" t="s">
        <v>955</v>
      </c>
      <c r="CP186" s="7">
        <v>3813.7182391466631</v>
      </c>
    </row>
    <row r="187" spans="1:94" ht="21" customHeight="1" x14ac:dyDescent="0.45">
      <c r="A187" s="9">
        <v>46236.729166666664</v>
      </c>
      <c r="B187" s="9">
        <v>46236.739583333336</v>
      </c>
      <c r="C187" s="9">
        <v>46236.854166666664</v>
      </c>
      <c r="D187" s="10">
        <v>46236</v>
      </c>
      <c r="E187" s="7">
        <v>0.25</v>
      </c>
      <c r="F187" s="7" t="s">
        <v>770</v>
      </c>
      <c r="G187" s="9">
        <v>46236.708333333336</v>
      </c>
      <c r="H187" s="7">
        <v>215.16</v>
      </c>
      <c r="I187" s="7" t="s">
        <v>1098</v>
      </c>
      <c r="J187" s="7">
        <v>15</v>
      </c>
      <c r="K187" s="7" t="s">
        <v>960</v>
      </c>
      <c r="L187" s="10">
        <v>46234</v>
      </c>
      <c r="M187" s="7">
        <v>5.2473000000000001</v>
      </c>
      <c r="N187" s="7" t="s">
        <v>773</v>
      </c>
      <c r="O187" s="7">
        <v>91.903999999999996</v>
      </c>
      <c r="P187" s="7" t="s">
        <v>1094</v>
      </c>
      <c r="Q187" s="7" t="s">
        <v>775</v>
      </c>
      <c r="R187" s="7">
        <v>60.030873020410496</v>
      </c>
      <c r="S187" s="7" t="s">
        <v>776</v>
      </c>
      <c r="T187" s="7">
        <v>175</v>
      </c>
      <c r="U187" s="7" t="s">
        <v>1095</v>
      </c>
      <c r="V187" s="7" t="s">
        <v>775</v>
      </c>
      <c r="W187" s="7">
        <v>3.9143940693308936</v>
      </c>
      <c r="X187" s="7" t="s">
        <v>776</v>
      </c>
      <c r="Y187" s="7">
        <v>175</v>
      </c>
      <c r="Z187" s="7" t="s">
        <v>1096</v>
      </c>
      <c r="AA187" s="7" t="s">
        <v>775</v>
      </c>
      <c r="AB187" s="7">
        <v>2.850990032969337</v>
      </c>
      <c r="AC187" s="7" t="s">
        <v>776</v>
      </c>
      <c r="AD187" s="7"/>
      <c r="AE187" s="7" t="s">
        <v>779</v>
      </c>
      <c r="AF187" s="7"/>
      <c r="AG187" s="7">
        <v>176.4547481561946</v>
      </c>
      <c r="AH187" s="7" t="s">
        <v>776</v>
      </c>
      <c r="AI187" s="7">
        <v>0.49399999999999999</v>
      </c>
      <c r="AJ187" s="7">
        <v>80.041164027213995</v>
      </c>
      <c r="AK187" s="7" t="s">
        <v>776</v>
      </c>
      <c r="AL187" s="7">
        <v>1.2999999999999999E-2</v>
      </c>
      <c r="AM187" s="7" t="s">
        <v>780</v>
      </c>
      <c r="AN187" s="7" t="s">
        <v>781</v>
      </c>
      <c r="AO187" s="7" t="s">
        <v>782</v>
      </c>
      <c r="AP187" s="7">
        <v>1.1291428571428499E-2</v>
      </c>
      <c r="AQ187" s="7">
        <v>2.9714285714280001E-4</v>
      </c>
      <c r="AR187" s="7">
        <v>1.1588571428571399E-2</v>
      </c>
      <c r="AS187" s="8" t="b">
        <v>1</v>
      </c>
      <c r="AT187" s="8" t="b">
        <v>1</v>
      </c>
      <c r="AU187" s="8" t="b">
        <v>1</v>
      </c>
      <c r="AV187" s="8" t="b">
        <v>1</v>
      </c>
      <c r="AW187" s="8" t="b">
        <v>1</v>
      </c>
      <c r="AX187" s="8" t="b">
        <v>1</v>
      </c>
      <c r="AY187" s="8" t="b">
        <v>1</v>
      </c>
      <c r="AZ187" s="8" t="b">
        <v>1</v>
      </c>
      <c r="BA187" s="7" t="s">
        <v>783</v>
      </c>
      <c r="BB187" s="7" t="s">
        <v>783</v>
      </c>
      <c r="BC187" s="7" t="s">
        <v>784</v>
      </c>
      <c r="BD187" s="7">
        <v>-0.14270196100851867</v>
      </c>
      <c r="BE187" s="7">
        <v>1.7828571428571429E-3</v>
      </c>
      <c r="BF187" s="7">
        <v>17.105940197816022</v>
      </c>
      <c r="BG187" s="7">
        <v>0.13714285714285715</v>
      </c>
      <c r="BH187" s="7" t="s">
        <v>154</v>
      </c>
      <c r="BI187" s="7">
        <v>175</v>
      </c>
      <c r="BJ187" s="7">
        <v>24</v>
      </c>
      <c r="BK187" s="7">
        <v>24</v>
      </c>
      <c r="BL187" s="7">
        <v>24</v>
      </c>
      <c r="BM187" s="8" t="b">
        <v>1</v>
      </c>
      <c r="BN187" s="7">
        <v>0</v>
      </c>
      <c r="BO187" s="7">
        <v>0</v>
      </c>
      <c r="BP187" s="7">
        <v>0</v>
      </c>
      <c r="BQ187" s="7">
        <v>0.13714285714285715</v>
      </c>
      <c r="BR187" s="7" t="s">
        <v>154</v>
      </c>
      <c r="BS187" s="7">
        <v>175</v>
      </c>
      <c r="BT187" s="7">
        <v>0</v>
      </c>
      <c r="BU187" s="7">
        <v>24</v>
      </c>
      <c r="BV187" s="7">
        <v>24</v>
      </c>
      <c r="BW187" s="7" t="s">
        <v>1098</v>
      </c>
      <c r="BX187" s="8" t="b">
        <v>1</v>
      </c>
      <c r="BY187" s="7">
        <v>3227.4</v>
      </c>
      <c r="BZ187" s="7">
        <v>60</v>
      </c>
      <c r="CA187" s="7">
        <v>46236.739583333336</v>
      </c>
      <c r="CB187" s="7">
        <v>46236.729166666664</v>
      </c>
      <c r="CC187" s="7">
        <v>4.5284472049689439E-2</v>
      </c>
      <c r="CD187" s="7">
        <v>116.02673291925457</v>
      </c>
      <c r="CE187" s="7">
        <v>99.724322981366385</v>
      </c>
      <c r="CF187" s="7">
        <v>600.3087302041049</v>
      </c>
      <c r="CG187" s="7">
        <v>0.3125</v>
      </c>
      <c r="CH187" s="7" t="s">
        <v>150</v>
      </c>
      <c r="CI187" s="7">
        <v>128</v>
      </c>
      <c r="CJ187" s="8" t="b">
        <v>1</v>
      </c>
      <c r="CK187" s="7">
        <v>40</v>
      </c>
      <c r="CL187" s="7">
        <v>40</v>
      </c>
      <c r="CM187" s="7">
        <v>40</v>
      </c>
      <c r="CN187" s="8" t="b">
        <v>0</v>
      </c>
      <c r="CO187" s="7" t="s">
        <v>955</v>
      </c>
      <c r="CP187" s="7">
        <v>3844.6719684409127</v>
      </c>
    </row>
    <row r="188" spans="1:94" ht="21" customHeight="1" x14ac:dyDescent="0.45">
      <c r="A188" s="9">
        <v>46236.739583333336</v>
      </c>
      <c r="B188" s="9">
        <v>46236.75</v>
      </c>
      <c r="C188" s="9">
        <v>46236.864583333336</v>
      </c>
      <c r="D188" s="10">
        <v>46236</v>
      </c>
      <c r="E188" s="7">
        <v>0.25</v>
      </c>
      <c r="F188" s="7" t="s">
        <v>770</v>
      </c>
      <c r="G188" s="9">
        <v>46236.708333333336</v>
      </c>
      <c r="H188" s="7">
        <v>219.92</v>
      </c>
      <c r="I188" s="7" t="s">
        <v>1099</v>
      </c>
      <c r="J188" s="7">
        <v>15</v>
      </c>
      <c r="K188" s="7" t="s">
        <v>960</v>
      </c>
      <c r="L188" s="10">
        <v>46234</v>
      </c>
      <c r="M188" s="7">
        <v>5.2473000000000001</v>
      </c>
      <c r="N188" s="7" t="s">
        <v>773</v>
      </c>
      <c r="O188" s="7">
        <v>91.903999999999996</v>
      </c>
      <c r="P188" s="7" t="s">
        <v>1094</v>
      </c>
      <c r="Q188" s="7" t="s">
        <v>775</v>
      </c>
      <c r="R188" s="7">
        <v>60.030873020410496</v>
      </c>
      <c r="S188" s="7" t="s">
        <v>776</v>
      </c>
      <c r="T188" s="7">
        <v>175</v>
      </c>
      <c r="U188" s="7" t="s">
        <v>1095</v>
      </c>
      <c r="V188" s="7" t="s">
        <v>775</v>
      </c>
      <c r="W188" s="7">
        <v>3.9143940693308936</v>
      </c>
      <c r="X188" s="7" t="s">
        <v>776</v>
      </c>
      <c r="Y188" s="7">
        <v>175</v>
      </c>
      <c r="Z188" s="7" t="s">
        <v>1096</v>
      </c>
      <c r="AA188" s="7" t="s">
        <v>775</v>
      </c>
      <c r="AB188" s="7">
        <v>2.850990032969337</v>
      </c>
      <c r="AC188" s="7" t="s">
        <v>776</v>
      </c>
      <c r="AD188" s="7"/>
      <c r="AE188" s="7" t="s">
        <v>779</v>
      </c>
      <c r="AF188" s="7"/>
      <c r="AG188" s="7">
        <v>222.13347816972541</v>
      </c>
      <c r="AH188" s="7" t="s">
        <v>776</v>
      </c>
      <c r="AI188" s="7">
        <v>2.3780000000000001</v>
      </c>
      <c r="AJ188" s="7">
        <v>80.041164027213995</v>
      </c>
      <c r="AK188" s="7" t="s">
        <v>776</v>
      </c>
      <c r="AL188" s="7">
        <v>3.1E-2</v>
      </c>
      <c r="AM188" s="7" t="s">
        <v>780</v>
      </c>
      <c r="AN188" s="7" t="s">
        <v>781</v>
      </c>
      <c r="AO188" s="7" t="s">
        <v>782</v>
      </c>
      <c r="AP188" s="7">
        <v>5.4354285714285702E-2</v>
      </c>
      <c r="AQ188" s="7">
        <v>7.0857142857140001E-4</v>
      </c>
      <c r="AR188" s="7">
        <v>5.5062857142857101E-2</v>
      </c>
      <c r="AS188" s="8" t="b">
        <v>1</v>
      </c>
      <c r="AT188" s="8" t="b">
        <v>1</v>
      </c>
      <c r="AU188" s="8" t="b">
        <v>1</v>
      </c>
      <c r="AV188" s="8" t="b">
        <v>1</v>
      </c>
      <c r="AW188" s="8" t="b">
        <v>1</v>
      </c>
      <c r="AX188" s="8" t="b">
        <v>1</v>
      </c>
      <c r="AY188" s="8" t="b">
        <v>1</v>
      </c>
      <c r="AZ188" s="8" t="b">
        <v>1</v>
      </c>
      <c r="BA188" s="7" t="s">
        <v>783</v>
      </c>
      <c r="BB188" s="7" t="s">
        <v>783</v>
      </c>
      <c r="BC188" s="7" t="s">
        <v>784</v>
      </c>
      <c r="BD188" s="7">
        <v>-0.34028929163569832</v>
      </c>
      <c r="BE188" s="7">
        <v>4.2514285714285709E-3</v>
      </c>
      <c r="BF188" s="7">
        <v>17.105940197816022</v>
      </c>
      <c r="BG188" s="7">
        <v>0.13714285714285715</v>
      </c>
      <c r="BH188" s="7" t="s">
        <v>154</v>
      </c>
      <c r="BI188" s="7">
        <v>175</v>
      </c>
      <c r="BJ188" s="7">
        <v>24</v>
      </c>
      <c r="BK188" s="7">
        <v>24</v>
      </c>
      <c r="BL188" s="7">
        <v>24</v>
      </c>
      <c r="BM188" s="8" t="b">
        <v>1</v>
      </c>
      <c r="BN188" s="7">
        <v>0</v>
      </c>
      <c r="BO188" s="7">
        <v>0</v>
      </c>
      <c r="BP188" s="7">
        <v>0</v>
      </c>
      <c r="BQ188" s="7">
        <v>0.13714285714285715</v>
      </c>
      <c r="BR188" s="7" t="s">
        <v>154</v>
      </c>
      <c r="BS188" s="7">
        <v>175</v>
      </c>
      <c r="BT188" s="7">
        <v>0</v>
      </c>
      <c r="BU188" s="7">
        <v>24</v>
      </c>
      <c r="BV188" s="7">
        <v>24</v>
      </c>
      <c r="BW188" s="7" t="s">
        <v>1099</v>
      </c>
      <c r="BX188" s="8" t="b">
        <v>1</v>
      </c>
      <c r="BY188" s="7">
        <v>3298.7999999999997</v>
      </c>
      <c r="BZ188" s="7">
        <v>60</v>
      </c>
      <c r="CA188" s="7">
        <v>46236.75</v>
      </c>
      <c r="CB188" s="7">
        <v>46236.739583333336</v>
      </c>
      <c r="CC188" s="7">
        <v>4.5277018633540375E-2</v>
      </c>
      <c r="CD188" s="7">
        <v>99.724322981366385</v>
      </c>
      <c r="CE188" s="7">
        <v>83.424596273291854</v>
      </c>
      <c r="CF188" s="7">
        <v>600.3087302041049</v>
      </c>
      <c r="CG188" s="7">
        <v>0.3125</v>
      </c>
      <c r="CH188" s="7" t="s">
        <v>150</v>
      </c>
      <c r="CI188" s="7">
        <v>128</v>
      </c>
      <c r="CJ188" s="8" t="b">
        <v>1</v>
      </c>
      <c r="CK188" s="7">
        <v>40</v>
      </c>
      <c r="CL188" s="7">
        <v>40</v>
      </c>
      <c r="CM188" s="7">
        <v>40</v>
      </c>
      <c r="CN188" s="8" t="b">
        <v>0</v>
      </c>
      <c r="CO188" s="7" t="s">
        <v>955</v>
      </c>
      <c r="CP188" s="7">
        <v>3915.874381110285</v>
      </c>
    </row>
    <row r="189" spans="1:94" ht="21" customHeight="1" x14ac:dyDescent="0.45">
      <c r="A189" s="9">
        <v>46236.75</v>
      </c>
      <c r="B189" s="9">
        <v>46236.760416666664</v>
      </c>
      <c r="C189" s="9">
        <v>46236.875</v>
      </c>
      <c r="D189" s="10">
        <v>46236</v>
      </c>
      <c r="E189" s="7">
        <v>0.25</v>
      </c>
      <c r="F189" s="7" t="s">
        <v>770</v>
      </c>
      <c r="G189" s="9">
        <v>46236.75</v>
      </c>
      <c r="H189" s="7">
        <v>215.16</v>
      </c>
      <c r="I189" s="7" t="s">
        <v>1100</v>
      </c>
      <c r="J189" s="7">
        <v>15</v>
      </c>
      <c r="K189" s="7" t="s">
        <v>960</v>
      </c>
      <c r="L189" s="10">
        <v>46234</v>
      </c>
      <c r="M189" s="7">
        <v>5.2473000000000001</v>
      </c>
      <c r="N189" s="7" t="s">
        <v>773</v>
      </c>
      <c r="O189" s="7">
        <v>91.903999999999996</v>
      </c>
      <c r="P189" s="7" t="s">
        <v>1101</v>
      </c>
      <c r="Q189" s="7" t="s">
        <v>775</v>
      </c>
      <c r="R189" s="7">
        <v>60.030873020410496</v>
      </c>
      <c r="S189" s="7" t="s">
        <v>776</v>
      </c>
      <c r="T189" s="7">
        <v>175</v>
      </c>
      <c r="U189" s="7" t="s">
        <v>1102</v>
      </c>
      <c r="V189" s="7" t="s">
        <v>775</v>
      </c>
      <c r="W189" s="7">
        <v>7.0245650143883518</v>
      </c>
      <c r="X189" s="7" t="s">
        <v>776</v>
      </c>
      <c r="Y189" s="7">
        <v>175</v>
      </c>
      <c r="Z189" s="7" t="s">
        <v>1103</v>
      </c>
      <c r="AA189" s="7" t="s">
        <v>775</v>
      </c>
      <c r="AB189" s="7">
        <v>2.850990032969337</v>
      </c>
      <c r="AC189" s="7" t="s">
        <v>776</v>
      </c>
      <c r="AD189" s="7"/>
      <c r="AE189" s="7" t="s">
        <v>779</v>
      </c>
      <c r="AF189" s="7"/>
      <c r="AG189" s="7">
        <v>228.68904007775427</v>
      </c>
      <c r="AH189" s="7" t="s">
        <v>776</v>
      </c>
      <c r="AI189" s="7">
        <v>6.77</v>
      </c>
      <c r="AJ189" s="7">
        <v>0</v>
      </c>
      <c r="AK189" s="7" t="s">
        <v>776</v>
      </c>
      <c r="AL189" s="7">
        <v>0</v>
      </c>
      <c r="AM189" s="7" t="s">
        <v>780</v>
      </c>
      <c r="AN189" s="7" t="s">
        <v>781</v>
      </c>
      <c r="AO189" s="7" t="s">
        <v>782</v>
      </c>
      <c r="AP189" s="7">
        <v>0.1547428571428571</v>
      </c>
      <c r="AQ189" s="7">
        <v>0</v>
      </c>
      <c r="AR189" s="7">
        <v>0.1547428571428571</v>
      </c>
      <c r="AS189" s="8" t="b">
        <v>1</v>
      </c>
      <c r="AT189" s="8" t="b">
        <v>1</v>
      </c>
      <c r="AU189" s="8" t="b">
        <v>1</v>
      </c>
      <c r="AV189" s="8" t="b">
        <v>1</v>
      </c>
      <c r="AW189" s="8" t="b">
        <v>1</v>
      </c>
      <c r="AX189" s="8" t="b">
        <v>1</v>
      </c>
      <c r="AY189" s="8" t="b">
        <v>1</v>
      </c>
      <c r="AZ189" s="8" t="b">
        <v>1</v>
      </c>
      <c r="BA189" s="7" t="s">
        <v>783</v>
      </c>
      <c r="BB189" s="7" t="s">
        <v>783</v>
      </c>
      <c r="BC189" s="7" t="s">
        <v>784</v>
      </c>
      <c r="BD189" s="7">
        <v>0</v>
      </c>
      <c r="BE189" s="7">
        <v>0</v>
      </c>
      <c r="BF189" s="7">
        <v>17.105940197816022</v>
      </c>
      <c r="BG189" s="7">
        <v>0.13714285714285715</v>
      </c>
      <c r="BH189" s="7" t="s">
        <v>154</v>
      </c>
      <c r="BI189" s="7">
        <v>175</v>
      </c>
      <c r="BJ189" s="7">
        <v>24</v>
      </c>
      <c r="BK189" s="7">
        <v>24</v>
      </c>
      <c r="BL189" s="7">
        <v>24</v>
      </c>
      <c r="BM189" s="8" t="b">
        <v>1</v>
      </c>
      <c r="BN189" s="7">
        <v>212.32797275333434</v>
      </c>
      <c r="BO189" s="7">
        <v>0.92845714285714276</v>
      </c>
      <c r="BP189" s="7">
        <v>42.147390086330113</v>
      </c>
      <c r="BQ189" s="7">
        <v>0.13714285714285715</v>
      </c>
      <c r="BR189" s="7" t="s">
        <v>154</v>
      </c>
      <c r="BS189" s="7">
        <v>175</v>
      </c>
      <c r="BT189" s="7">
        <v>24</v>
      </c>
      <c r="BU189" s="7">
        <v>24</v>
      </c>
      <c r="BV189" s="7">
        <v>24</v>
      </c>
      <c r="BW189" s="7" t="s">
        <v>1100</v>
      </c>
      <c r="BX189" s="8" t="b">
        <v>1</v>
      </c>
      <c r="BY189" s="7">
        <v>1936.44</v>
      </c>
      <c r="BZ189" s="7">
        <v>36</v>
      </c>
      <c r="CA189" s="7">
        <v>46236.760416666664</v>
      </c>
      <c r="CB189" s="7">
        <v>46236.75</v>
      </c>
      <c r="CC189" s="7">
        <v>2.9977225672877847E-2</v>
      </c>
      <c r="CD189" s="7">
        <v>83.424596273291854</v>
      </c>
      <c r="CE189" s="7">
        <v>72.632795031055821</v>
      </c>
      <c r="CF189" s="7">
        <v>600.3087302041049</v>
      </c>
      <c r="CG189" s="7">
        <v>0.3125</v>
      </c>
      <c r="CH189" s="7" t="s">
        <v>150</v>
      </c>
      <c r="CI189" s="7">
        <v>128</v>
      </c>
      <c r="CJ189" s="8" t="b">
        <v>1</v>
      </c>
      <c r="CK189" s="7">
        <v>40</v>
      </c>
      <c r="CL189" s="7">
        <v>40</v>
      </c>
      <c r="CM189" s="7">
        <v>40</v>
      </c>
      <c r="CN189" s="8" t="b">
        <v>0</v>
      </c>
      <c r="CO189" s="7" t="s">
        <v>955</v>
      </c>
      <c r="CP189" s="7">
        <v>2808.3300332415856</v>
      </c>
    </row>
    <row r="190" spans="1:94" ht="21" customHeight="1" x14ac:dyDescent="0.45">
      <c r="A190" s="9">
        <v>46236.760416666664</v>
      </c>
      <c r="B190" s="9">
        <v>46236.770833333336</v>
      </c>
      <c r="C190" s="9">
        <v>46236.885416666664</v>
      </c>
      <c r="D190" s="10">
        <v>46236</v>
      </c>
      <c r="E190" s="7">
        <v>0.25</v>
      </c>
      <c r="F190" s="7" t="s">
        <v>770</v>
      </c>
      <c r="G190" s="9">
        <v>46236.75</v>
      </c>
      <c r="H190" s="7">
        <v>217.54</v>
      </c>
      <c r="I190" s="7" t="s">
        <v>1104</v>
      </c>
      <c r="J190" s="7">
        <v>15</v>
      </c>
      <c r="K190" s="7" t="s">
        <v>960</v>
      </c>
      <c r="L190" s="10">
        <v>46234</v>
      </c>
      <c r="M190" s="7">
        <v>5.2473000000000001</v>
      </c>
      <c r="N190" s="7" t="s">
        <v>773</v>
      </c>
      <c r="O190" s="7">
        <v>91.903999999999996</v>
      </c>
      <c r="P190" s="7" t="s">
        <v>1101</v>
      </c>
      <c r="Q190" s="7" t="s">
        <v>775</v>
      </c>
      <c r="R190" s="7">
        <v>60.030873020410496</v>
      </c>
      <c r="S190" s="7" t="s">
        <v>776</v>
      </c>
      <c r="T190" s="7">
        <v>175</v>
      </c>
      <c r="U190" s="7" t="s">
        <v>1102</v>
      </c>
      <c r="V190" s="7" t="s">
        <v>775</v>
      </c>
      <c r="W190" s="7">
        <v>7.0245650143883518</v>
      </c>
      <c r="X190" s="7" t="s">
        <v>776</v>
      </c>
      <c r="Y190" s="7">
        <v>175</v>
      </c>
      <c r="Z190" s="7" t="s">
        <v>1103</v>
      </c>
      <c r="AA190" s="7" t="s">
        <v>775</v>
      </c>
      <c r="AB190" s="7">
        <v>2.850990032969337</v>
      </c>
      <c r="AC190" s="7" t="s">
        <v>776</v>
      </c>
      <c r="AD190" s="7"/>
      <c r="AE190" s="7" t="s">
        <v>779</v>
      </c>
      <c r="AF190" s="7"/>
      <c r="AG190" s="7">
        <v>228.68904007775427</v>
      </c>
      <c r="AH190" s="7" t="s">
        <v>776</v>
      </c>
      <c r="AI190" s="7">
        <v>11.144</v>
      </c>
      <c r="AJ190" s="7">
        <v>0</v>
      </c>
      <c r="AK190" s="7" t="s">
        <v>776</v>
      </c>
      <c r="AL190" s="7">
        <v>0</v>
      </c>
      <c r="AM190" s="7" t="s">
        <v>780</v>
      </c>
      <c r="AN190" s="7" t="s">
        <v>781</v>
      </c>
      <c r="AO190" s="7" t="s">
        <v>782</v>
      </c>
      <c r="AP190" s="7">
        <v>0.25472</v>
      </c>
      <c r="AQ190" s="7">
        <v>0</v>
      </c>
      <c r="AR190" s="7">
        <v>0.25472</v>
      </c>
      <c r="AS190" s="8" t="b">
        <v>1</v>
      </c>
      <c r="AT190" s="8" t="b">
        <v>1</v>
      </c>
      <c r="AU190" s="8" t="b">
        <v>1</v>
      </c>
      <c r="AV190" s="8" t="b">
        <v>1</v>
      </c>
      <c r="AW190" s="8" t="b">
        <v>1</v>
      </c>
      <c r="AX190" s="8" t="b">
        <v>1</v>
      </c>
      <c r="AY190" s="8" t="b">
        <v>1</v>
      </c>
      <c r="AZ190" s="8" t="b">
        <v>1</v>
      </c>
      <c r="BA190" s="7" t="s">
        <v>783</v>
      </c>
      <c r="BB190" s="7" t="s">
        <v>783</v>
      </c>
      <c r="BC190" s="7" t="s">
        <v>784</v>
      </c>
      <c r="BD190" s="7">
        <v>0</v>
      </c>
      <c r="BE190" s="7">
        <v>0</v>
      </c>
      <c r="BF190" s="7">
        <v>17.105940197816022</v>
      </c>
      <c r="BG190" s="7">
        <v>0.13714285714285715</v>
      </c>
      <c r="BH190" s="7" t="s">
        <v>154</v>
      </c>
      <c r="BI190" s="7">
        <v>175</v>
      </c>
      <c r="BJ190" s="7">
        <v>24</v>
      </c>
      <c r="BK190" s="7">
        <v>24</v>
      </c>
      <c r="BL190" s="7">
        <v>24</v>
      </c>
      <c r="BM190" s="8" t="b">
        <v>1</v>
      </c>
      <c r="BN190" s="7">
        <v>349.51003373163337</v>
      </c>
      <c r="BO190" s="7">
        <v>1.5283199999999999</v>
      </c>
      <c r="BP190" s="7">
        <v>42.147390086330113</v>
      </c>
      <c r="BQ190" s="7">
        <v>0.13714285714285715</v>
      </c>
      <c r="BR190" s="7" t="s">
        <v>154</v>
      </c>
      <c r="BS190" s="7">
        <v>175</v>
      </c>
      <c r="BT190" s="7">
        <v>24</v>
      </c>
      <c r="BU190" s="7">
        <v>24</v>
      </c>
      <c r="BV190" s="7">
        <v>24</v>
      </c>
      <c r="BW190" s="7" t="s">
        <v>1104</v>
      </c>
      <c r="BX190" s="8" t="b">
        <v>1</v>
      </c>
      <c r="BY190" s="7">
        <v>1957.86</v>
      </c>
      <c r="BZ190" s="7">
        <v>36</v>
      </c>
      <c r="CA190" s="7">
        <v>46236.770833333336</v>
      </c>
      <c r="CB190" s="7">
        <v>46236.760416666664</v>
      </c>
      <c r="CC190" s="7">
        <v>3.1788405797101446E-2</v>
      </c>
      <c r="CD190" s="7">
        <v>72.632795031055821</v>
      </c>
      <c r="CE190" s="7">
        <v>61.188968944099301</v>
      </c>
      <c r="CF190" s="7">
        <v>600.3087302041049</v>
      </c>
      <c r="CG190" s="7">
        <v>0.3125</v>
      </c>
      <c r="CH190" s="7" t="s">
        <v>150</v>
      </c>
      <c r="CI190" s="7">
        <v>128</v>
      </c>
      <c r="CJ190" s="8" t="b">
        <v>1</v>
      </c>
      <c r="CK190" s="7">
        <v>40</v>
      </c>
      <c r="CL190" s="7">
        <v>40</v>
      </c>
      <c r="CM190" s="7">
        <v>40</v>
      </c>
      <c r="CN190" s="8" t="b">
        <v>0</v>
      </c>
      <c r="CO190" s="7" t="s">
        <v>955</v>
      </c>
      <c r="CP190" s="7">
        <v>2966.9320942198842</v>
      </c>
    </row>
    <row r="191" spans="1:94" ht="21" customHeight="1" x14ac:dyDescent="0.45">
      <c r="A191" s="9">
        <v>46236.770833333336</v>
      </c>
      <c r="B191" s="9">
        <v>46236.78125</v>
      </c>
      <c r="C191" s="9">
        <v>46236.895833333336</v>
      </c>
      <c r="D191" s="10">
        <v>46236</v>
      </c>
      <c r="E191" s="7">
        <v>0.25</v>
      </c>
      <c r="F191" s="7" t="s">
        <v>770</v>
      </c>
      <c r="G191" s="9">
        <v>46236.75</v>
      </c>
      <c r="H191" s="7">
        <v>208.75</v>
      </c>
      <c r="I191" s="7" t="s">
        <v>1105</v>
      </c>
      <c r="J191" s="7">
        <v>15</v>
      </c>
      <c r="K191" s="7" t="s">
        <v>960</v>
      </c>
      <c r="L191" s="10">
        <v>46234</v>
      </c>
      <c r="M191" s="7">
        <v>5.2473000000000001</v>
      </c>
      <c r="N191" s="7" t="s">
        <v>773</v>
      </c>
      <c r="O191" s="7">
        <v>91.903999999999996</v>
      </c>
      <c r="P191" s="7" t="s">
        <v>1101</v>
      </c>
      <c r="Q191" s="7" t="s">
        <v>775</v>
      </c>
      <c r="R191" s="7">
        <v>60.030873020410496</v>
      </c>
      <c r="S191" s="7" t="s">
        <v>776</v>
      </c>
      <c r="T191" s="7">
        <v>175</v>
      </c>
      <c r="U191" s="7" t="s">
        <v>1102</v>
      </c>
      <c r="V191" s="7" t="s">
        <v>775</v>
      </c>
      <c r="W191" s="7">
        <v>7.0245650143883518</v>
      </c>
      <c r="X191" s="7" t="s">
        <v>776</v>
      </c>
      <c r="Y191" s="7">
        <v>175</v>
      </c>
      <c r="Z191" s="7" t="s">
        <v>1103</v>
      </c>
      <c r="AA191" s="7" t="s">
        <v>775</v>
      </c>
      <c r="AB191" s="7">
        <v>2.850990032969337</v>
      </c>
      <c r="AC191" s="7" t="s">
        <v>776</v>
      </c>
      <c r="AD191" s="7"/>
      <c r="AE191" s="7" t="s">
        <v>779</v>
      </c>
      <c r="AF191" s="7"/>
      <c r="AG191" s="7">
        <v>219.41932041240256</v>
      </c>
      <c r="AH191" s="7" t="s">
        <v>776</v>
      </c>
      <c r="AI191" s="7">
        <v>3.4580000000000002</v>
      </c>
      <c r="AJ191" s="7">
        <v>80.041164027213995</v>
      </c>
      <c r="AK191" s="7" t="s">
        <v>776</v>
      </c>
      <c r="AL191" s="7">
        <v>4.0000000000000001E-3</v>
      </c>
      <c r="AM191" s="7" t="s">
        <v>780</v>
      </c>
      <c r="AN191" s="7" t="s">
        <v>781</v>
      </c>
      <c r="AO191" s="7" t="s">
        <v>782</v>
      </c>
      <c r="AP191" s="7">
        <v>7.9039999999999999E-2</v>
      </c>
      <c r="AQ191" s="7">
        <v>9.1428571428571446E-5</v>
      </c>
      <c r="AR191" s="7">
        <v>7.9131428571428505E-2</v>
      </c>
      <c r="AS191" s="8" t="b">
        <v>1</v>
      </c>
      <c r="AT191" s="8" t="b">
        <v>1</v>
      </c>
      <c r="AU191" s="8" t="b">
        <v>1</v>
      </c>
      <c r="AV191" s="8" t="b">
        <v>1</v>
      </c>
      <c r="AW191" s="8" t="b">
        <v>1</v>
      </c>
      <c r="AX191" s="8" t="b">
        <v>1</v>
      </c>
      <c r="AY191" s="8" t="b">
        <v>1</v>
      </c>
      <c r="AZ191" s="8" t="b">
        <v>1</v>
      </c>
      <c r="BA191" s="7" t="s">
        <v>783</v>
      </c>
      <c r="BB191" s="7" t="s">
        <v>783</v>
      </c>
      <c r="BC191" s="7" t="s">
        <v>784</v>
      </c>
      <c r="BD191" s="7">
        <v>-4.3908295694928823E-2</v>
      </c>
      <c r="BE191" s="7">
        <v>5.4857142857142865E-4</v>
      </c>
      <c r="BF191" s="7">
        <v>17.105940197816022</v>
      </c>
      <c r="BG191" s="7">
        <v>0.13714285714285715</v>
      </c>
      <c r="BH191" s="7" t="s">
        <v>154</v>
      </c>
      <c r="BI191" s="7">
        <v>175</v>
      </c>
      <c r="BJ191" s="7">
        <v>24</v>
      </c>
      <c r="BK191" s="7">
        <v>24</v>
      </c>
      <c r="BL191" s="7">
        <v>24</v>
      </c>
      <c r="BM191" s="8" t="b">
        <v>1</v>
      </c>
      <c r="BN191" s="7">
        <v>104.05741851237779</v>
      </c>
      <c r="BO191" s="7">
        <v>0.47423999999999999</v>
      </c>
      <c r="BP191" s="7">
        <v>42.147390086330113</v>
      </c>
      <c r="BQ191" s="7">
        <v>0.13714285714285715</v>
      </c>
      <c r="BR191" s="7" t="s">
        <v>154</v>
      </c>
      <c r="BS191" s="7">
        <v>175</v>
      </c>
      <c r="BT191" s="7">
        <v>24</v>
      </c>
      <c r="BU191" s="7">
        <v>24</v>
      </c>
      <c r="BV191" s="7">
        <v>24</v>
      </c>
      <c r="BW191" s="7" t="s">
        <v>1105</v>
      </c>
      <c r="BX191" s="8" t="b">
        <v>1</v>
      </c>
      <c r="BY191" s="7">
        <v>1878.75</v>
      </c>
      <c r="BZ191" s="7">
        <v>36</v>
      </c>
      <c r="CA191" s="7">
        <v>46236.78125</v>
      </c>
      <c r="CB191" s="7">
        <v>46236.770833333336</v>
      </c>
      <c r="CC191" s="7">
        <v>2.8604140786749482E-2</v>
      </c>
      <c r="CD191" s="7">
        <v>61.188968944099301</v>
      </c>
      <c r="CE191" s="7">
        <v>50.891478260869491</v>
      </c>
      <c r="CF191" s="7">
        <v>600.3087302041049</v>
      </c>
      <c r="CG191" s="7">
        <v>0.3125</v>
      </c>
      <c r="CH191" s="7" t="s">
        <v>150</v>
      </c>
      <c r="CI191" s="7">
        <v>128</v>
      </c>
      <c r="CJ191" s="8" t="b">
        <v>1</v>
      </c>
      <c r="CK191" s="7">
        <v>40</v>
      </c>
      <c r="CL191" s="7">
        <v>40</v>
      </c>
      <c r="CM191" s="7">
        <v>40</v>
      </c>
      <c r="CN191" s="8" t="b">
        <v>0</v>
      </c>
      <c r="CO191" s="7" t="s">
        <v>955</v>
      </c>
      <c r="CP191" s="7">
        <v>2642.3255707049339</v>
      </c>
    </row>
    <row r="192" spans="1:94" ht="21" customHeight="1" x14ac:dyDescent="0.45">
      <c r="A192" s="9">
        <v>46236.78125</v>
      </c>
      <c r="B192" s="9">
        <v>46236.791666666664</v>
      </c>
      <c r="C192" s="9">
        <v>46236.90625</v>
      </c>
      <c r="D192" s="10">
        <v>46236</v>
      </c>
      <c r="E192" s="7">
        <v>0.25</v>
      </c>
      <c r="F192" s="7" t="s">
        <v>770</v>
      </c>
      <c r="G192" s="9">
        <v>46236.75</v>
      </c>
      <c r="H192" s="7">
        <v>197.01</v>
      </c>
      <c r="I192" s="7" t="s">
        <v>1106</v>
      </c>
      <c r="J192" s="7">
        <v>15</v>
      </c>
      <c r="K192" s="7" t="s">
        <v>960</v>
      </c>
      <c r="L192" s="10">
        <v>46234</v>
      </c>
      <c r="M192" s="7">
        <v>5.2473000000000001</v>
      </c>
      <c r="N192" s="7" t="s">
        <v>773</v>
      </c>
      <c r="O192" s="7">
        <v>91.903999999999996</v>
      </c>
      <c r="P192" s="7" t="s">
        <v>1101</v>
      </c>
      <c r="Q192" s="7" t="s">
        <v>775</v>
      </c>
      <c r="R192" s="7">
        <v>60.030873020410496</v>
      </c>
      <c r="S192" s="7" t="s">
        <v>776</v>
      </c>
      <c r="T192" s="7">
        <v>175</v>
      </c>
      <c r="U192" s="7" t="s">
        <v>1102</v>
      </c>
      <c r="V192" s="7" t="s">
        <v>775</v>
      </c>
      <c r="W192" s="7">
        <v>7.0245650143883518</v>
      </c>
      <c r="X192" s="7" t="s">
        <v>776</v>
      </c>
      <c r="Y192" s="7">
        <v>175</v>
      </c>
      <c r="Z192" s="7" t="s">
        <v>1103</v>
      </c>
      <c r="AA192" s="7" t="s">
        <v>775</v>
      </c>
      <c r="AB192" s="7">
        <v>2.850990032969337</v>
      </c>
      <c r="AC192" s="7" t="s">
        <v>776</v>
      </c>
      <c r="AD192" s="7"/>
      <c r="AE192" s="7" t="s">
        <v>779</v>
      </c>
      <c r="AF192" s="7"/>
      <c r="AG192" s="7">
        <v>184.64696129437996</v>
      </c>
      <c r="AH192" s="7" t="s">
        <v>776</v>
      </c>
      <c r="AI192" s="7">
        <v>0.50800000000000001</v>
      </c>
      <c r="AJ192" s="7">
        <v>72.255445657766856</v>
      </c>
      <c r="AK192" s="7" t="s">
        <v>776</v>
      </c>
      <c r="AL192" s="7">
        <v>2.472</v>
      </c>
      <c r="AM192" s="7" t="s">
        <v>780</v>
      </c>
      <c r="AN192" s="7" t="s">
        <v>781</v>
      </c>
      <c r="AO192" s="7" t="s">
        <v>782</v>
      </c>
      <c r="AP192" s="7">
        <v>1.16114285714285E-2</v>
      </c>
      <c r="AQ192" s="7">
        <v>5.6502857142857098E-2</v>
      </c>
      <c r="AR192" s="7">
        <v>6.8114285714285697E-2</v>
      </c>
      <c r="AS192" s="8" t="b">
        <v>1</v>
      </c>
      <c r="AT192" s="8" t="b">
        <v>1</v>
      </c>
      <c r="AU192" s="8" t="b">
        <v>1</v>
      </c>
      <c r="AV192" s="8" t="b">
        <v>1</v>
      </c>
      <c r="AW192" s="8" t="b">
        <v>1</v>
      </c>
      <c r="AX192" s="8" t="b">
        <v>1</v>
      </c>
      <c r="AY192" s="8" t="b">
        <v>1</v>
      </c>
      <c r="AZ192" s="8" t="b">
        <v>1</v>
      </c>
      <c r="BA192" s="7" t="s">
        <v>783</v>
      </c>
      <c r="BB192" s="7" t="s">
        <v>783</v>
      </c>
      <c r="BC192" s="7" t="s">
        <v>784</v>
      </c>
      <c r="BD192" s="7">
        <v>-24.49583474276567</v>
      </c>
      <c r="BE192" s="7">
        <v>0.33901714285714285</v>
      </c>
      <c r="BF192" s="7">
        <v>17.105940197816022</v>
      </c>
      <c r="BG192" s="7">
        <v>0.13714285714285715</v>
      </c>
      <c r="BH192" s="7" t="s">
        <v>154</v>
      </c>
      <c r="BI192" s="7">
        <v>175</v>
      </c>
      <c r="BJ192" s="7">
        <v>24</v>
      </c>
      <c r="BK192" s="7">
        <v>24</v>
      </c>
      <c r="BL192" s="7">
        <v>24</v>
      </c>
      <c r="BM192" s="8" t="b">
        <v>1</v>
      </c>
      <c r="BN192" s="7">
        <v>12.864090012006175</v>
      </c>
      <c r="BO192" s="7">
        <v>6.9668571428571427E-2</v>
      </c>
      <c r="BP192" s="7">
        <v>42.147390086330113</v>
      </c>
      <c r="BQ192" s="7">
        <v>0.13714285714285715</v>
      </c>
      <c r="BR192" s="7" t="s">
        <v>154</v>
      </c>
      <c r="BS192" s="7">
        <v>175</v>
      </c>
      <c r="BT192" s="7">
        <v>24</v>
      </c>
      <c r="BU192" s="7">
        <v>24</v>
      </c>
      <c r="BV192" s="7">
        <v>24</v>
      </c>
      <c r="BW192" s="7" t="s">
        <v>1106</v>
      </c>
      <c r="BX192" s="8" t="b">
        <v>1</v>
      </c>
      <c r="BY192" s="7">
        <v>0</v>
      </c>
      <c r="BZ192" s="7">
        <v>0</v>
      </c>
      <c r="CA192" s="7">
        <v>46236.791666666664</v>
      </c>
      <c r="CB192" s="7">
        <v>46236.78125</v>
      </c>
      <c r="CC192" s="7">
        <v>1.0767291097308488E-3</v>
      </c>
      <c r="CD192" s="7">
        <v>50.891478260869491</v>
      </c>
      <c r="CE192" s="7">
        <v>51.127647324223531</v>
      </c>
      <c r="CF192" s="7">
        <v>600.3087302041049</v>
      </c>
      <c r="CG192" s="7">
        <v>0.3125</v>
      </c>
      <c r="CH192" s="7" t="s">
        <v>150</v>
      </c>
      <c r="CI192" s="7">
        <v>128</v>
      </c>
      <c r="CJ192" s="8" t="b">
        <v>1</v>
      </c>
      <c r="CK192" s="7">
        <v>40</v>
      </c>
      <c r="CL192" s="7">
        <v>40</v>
      </c>
      <c r="CM192" s="7">
        <v>40</v>
      </c>
      <c r="CN192" s="8" t="b">
        <v>0</v>
      </c>
      <c r="CO192" s="7" t="s">
        <v>955</v>
      </c>
      <c r="CP192" s="7">
        <v>647.9303157574916</v>
      </c>
    </row>
    <row r="193" spans="1:94" ht="21" customHeight="1" x14ac:dyDescent="0.45">
      <c r="A193" s="9">
        <v>46236.791666666664</v>
      </c>
      <c r="B193" s="9">
        <v>46236.802083333336</v>
      </c>
      <c r="C193" s="9">
        <v>46236.916666666664</v>
      </c>
      <c r="D193" s="10">
        <v>46236</v>
      </c>
      <c r="E193" s="7">
        <v>0.25</v>
      </c>
      <c r="F193" s="7" t="s">
        <v>770</v>
      </c>
      <c r="G193" s="9">
        <v>46236.791666666664</v>
      </c>
      <c r="H193" s="7">
        <v>201.42</v>
      </c>
      <c r="I193" s="7" t="s">
        <v>1107</v>
      </c>
      <c r="J193" s="7">
        <v>15</v>
      </c>
      <c r="K193" s="7" t="s">
        <v>960</v>
      </c>
      <c r="L193" s="10">
        <v>46234</v>
      </c>
      <c r="M193" s="7">
        <v>5.2473000000000001</v>
      </c>
      <c r="N193" s="7" t="s">
        <v>773</v>
      </c>
      <c r="O193" s="7">
        <v>131.96799999999999</v>
      </c>
      <c r="P193" s="7" t="s">
        <v>1108</v>
      </c>
      <c r="Q193" s="7" t="s">
        <v>775</v>
      </c>
      <c r="R193" s="7">
        <v>66.224534522516336</v>
      </c>
      <c r="S193" s="7" t="s">
        <v>776</v>
      </c>
      <c r="T193" s="7">
        <v>175</v>
      </c>
      <c r="U193" s="7" t="s">
        <v>1109</v>
      </c>
      <c r="V193" s="7" t="s">
        <v>775</v>
      </c>
      <c r="W193" s="7">
        <v>3.9143940693308936</v>
      </c>
      <c r="X193" s="7" t="s">
        <v>776</v>
      </c>
      <c r="Y193" s="7">
        <v>175</v>
      </c>
      <c r="Z193" s="7" t="s">
        <v>1110</v>
      </c>
      <c r="AA193" s="7" t="s">
        <v>775</v>
      </c>
      <c r="AB193" s="7">
        <v>2.5937148628818627</v>
      </c>
      <c r="AC193" s="7" t="s">
        <v>776</v>
      </c>
      <c r="AD193" s="7"/>
      <c r="AE193" s="7" t="s">
        <v>779</v>
      </c>
      <c r="AF193" s="7"/>
      <c r="AG193" s="7">
        <v>169.02330722466795</v>
      </c>
      <c r="AH193" s="7" t="s">
        <v>776</v>
      </c>
      <c r="AI193" s="7">
        <v>0.214</v>
      </c>
      <c r="AJ193" s="7">
        <v>76.420254225982887</v>
      </c>
      <c r="AK193" s="7" t="s">
        <v>776</v>
      </c>
      <c r="AL193" s="7">
        <v>1.6919999999999999</v>
      </c>
      <c r="AM193" s="7" t="s">
        <v>780</v>
      </c>
      <c r="AN193" s="7" t="s">
        <v>781</v>
      </c>
      <c r="AO193" s="7" t="s">
        <v>782</v>
      </c>
      <c r="AP193" s="7">
        <v>4.8914285714284998E-3</v>
      </c>
      <c r="AQ193" s="7">
        <v>3.8674285714285703E-2</v>
      </c>
      <c r="AR193" s="7">
        <v>4.3565714285714201E-2</v>
      </c>
      <c r="AS193" s="8" t="b">
        <v>1</v>
      </c>
      <c r="AT193" s="8" t="b">
        <v>1</v>
      </c>
      <c r="AU193" s="8" t="b">
        <v>1</v>
      </c>
      <c r="AV193" s="8" t="b">
        <v>1</v>
      </c>
      <c r="AW193" s="8" t="b">
        <v>1</v>
      </c>
      <c r="AX193" s="8" t="b">
        <v>1</v>
      </c>
      <c r="AY193" s="8" t="b">
        <v>1</v>
      </c>
      <c r="AZ193" s="8" t="b">
        <v>1</v>
      </c>
      <c r="BA193" s="7" t="s">
        <v>783</v>
      </c>
      <c r="BB193" s="7" t="s">
        <v>783</v>
      </c>
      <c r="BC193" s="7" t="s">
        <v>784</v>
      </c>
      <c r="BD193" s="7">
        <v>-17.732992477764071</v>
      </c>
      <c r="BE193" s="7">
        <v>0.23204571428571424</v>
      </c>
      <c r="BF193" s="7">
        <v>15.562289177291177</v>
      </c>
      <c r="BG193" s="7">
        <v>0.13714285714285715</v>
      </c>
      <c r="BH193" s="7" t="s">
        <v>154</v>
      </c>
      <c r="BI193" s="7">
        <v>175</v>
      </c>
      <c r="BJ193" s="7">
        <v>24</v>
      </c>
      <c r="BK193" s="7">
        <v>24</v>
      </c>
      <c r="BL193" s="7">
        <v>24</v>
      </c>
      <c r="BM193" s="8" t="b">
        <v>1</v>
      </c>
      <c r="BN193" s="7">
        <v>4.960592605176541</v>
      </c>
      <c r="BO193" s="7">
        <v>2.9348571428571432E-2</v>
      </c>
      <c r="BP193" s="7">
        <v>23.486364415985364</v>
      </c>
      <c r="BQ193" s="7">
        <v>0.13714285714285715</v>
      </c>
      <c r="BR193" s="7" t="s">
        <v>154</v>
      </c>
      <c r="BS193" s="7">
        <v>175</v>
      </c>
      <c r="BT193" s="7">
        <v>24</v>
      </c>
      <c r="BU193" s="7">
        <v>24</v>
      </c>
      <c r="BV193" s="7">
        <v>24</v>
      </c>
      <c r="BW193" s="7" t="s">
        <v>1107</v>
      </c>
      <c r="BX193" s="8" t="b">
        <v>1</v>
      </c>
      <c r="BY193" s="7">
        <v>0</v>
      </c>
      <c r="BZ193" s="7">
        <v>0</v>
      </c>
      <c r="CA193" s="7">
        <v>46236.802083333336</v>
      </c>
      <c r="CB193" s="7">
        <v>46236.791666666664</v>
      </c>
      <c r="CC193" s="7">
        <v>6.816185507246376E-4</v>
      </c>
      <c r="CD193" s="7">
        <v>51.127647324223531</v>
      </c>
      <c r="CE193" s="7">
        <v>51.309228760248374</v>
      </c>
      <c r="CF193" s="7">
        <v>662.24534522516342</v>
      </c>
      <c r="CG193" s="7">
        <v>0.3125</v>
      </c>
      <c r="CH193" s="7" t="s">
        <v>150</v>
      </c>
      <c r="CI193" s="7">
        <v>128</v>
      </c>
      <c r="CJ193" s="8" t="b">
        <v>1</v>
      </c>
      <c r="CK193" s="7">
        <v>40</v>
      </c>
      <c r="CL193" s="7">
        <v>40</v>
      </c>
      <c r="CM193" s="7">
        <v>40</v>
      </c>
      <c r="CN193" s="8" t="b">
        <v>0</v>
      </c>
      <c r="CO193" s="7" t="s">
        <v>955</v>
      </c>
      <c r="CP193" s="7">
        <v>688.52159894585247</v>
      </c>
    </row>
    <row r="194" spans="1:94" ht="21" customHeight="1" x14ac:dyDescent="0.45">
      <c r="A194" s="9">
        <v>46236.802083333336</v>
      </c>
      <c r="B194" s="9">
        <v>46236.8125</v>
      </c>
      <c r="C194" s="9">
        <v>46236.927083333336</v>
      </c>
      <c r="D194" s="10">
        <v>46236</v>
      </c>
      <c r="E194" s="7">
        <v>0.25</v>
      </c>
      <c r="F194" s="7" t="s">
        <v>770</v>
      </c>
      <c r="G194" s="9">
        <v>46236.791666666664</v>
      </c>
      <c r="H194" s="7">
        <v>204.65</v>
      </c>
      <c r="I194" s="7" t="s">
        <v>1111</v>
      </c>
      <c r="J194" s="7">
        <v>15</v>
      </c>
      <c r="K194" s="7" t="s">
        <v>960</v>
      </c>
      <c r="L194" s="10">
        <v>46234</v>
      </c>
      <c r="M194" s="7">
        <v>5.2473000000000001</v>
      </c>
      <c r="N194" s="7" t="s">
        <v>773</v>
      </c>
      <c r="O194" s="7">
        <v>131.96799999999999</v>
      </c>
      <c r="P194" s="7" t="s">
        <v>1108</v>
      </c>
      <c r="Q194" s="7" t="s">
        <v>775</v>
      </c>
      <c r="R194" s="7">
        <v>66.224534522516336</v>
      </c>
      <c r="S194" s="7" t="s">
        <v>776</v>
      </c>
      <c r="T194" s="7">
        <v>175</v>
      </c>
      <c r="U194" s="7" t="s">
        <v>1109</v>
      </c>
      <c r="V194" s="7" t="s">
        <v>775</v>
      </c>
      <c r="W194" s="7">
        <v>3.9143940693308936</v>
      </c>
      <c r="X194" s="7" t="s">
        <v>776</v>
      </c>
      <c r="Y194" s="7">
        <v>175</v>
      </c>
      <c r="Z194" s="7" t="s">
        <v>1110</v>
      </c>
      <c r="AA194" s="7" t="s">
        <v>775</v>
      </c>
      <c r="AB194" s="7">
        <v>2.5937148628818627</v>
      </c>
      <c r="AC194" s="7" t="s">
        <v>776</v>
      </c>
      <c r="AD194" s="7"/>
      <c r="AE194" s="7" t="s">
        <v>779</v>
      </c>
      <c r="AF194" s="7"/>
      <c r="AG194" s="7">
        <v>152.45936005183617</v>
      </c>
      <c r="AH194" s="7" t="s">
        <v>776</v>
      </c>
      <c r="AI194" s="7">
        <v>2.5000000000000001E-2</v>
      </c>
      <c r="AJ194" s="7">
        <v>72.481085510643567</v>
      </c>
      <c r="AK194" s="7" t="s">
        <v>776</v>
      </c>
      <c r="AL194" s="7">
        <v>3.31</v>
      </c>
      <c r="AM194" s="7" t="s">
        <v>780</v>
      </c>
      <c r="AN194" s="7" t="s">
        <v>781</v>
      </c>
      <c r="AO194" s="7" t="s">
        <v>782</v>
      </c>
      <c r="AP194" s="7">
        <v>5.7142857142850002E-4</v>
      </c>
      <c r="AQ194" s="7">
        <v>7.5657142857142798E-2</v>
      </c>
      <c r="AR194" s="7">
        <v>7.6228571428571396E-2</v>
      </c>
      <c r="AS194" s="8" t="b">
        <v>1</v>
      </c>
      <c r="AT194" s="8" t="b">
        <v>1</v>
      </c>
      <c r="AU194" s="8" t="b">
        <v>1</v>
      </c>
      <c r="AV194" s="8" t="b">
        <v>1</v>
      </c>
      <c r="AW194" s="8" t="b">
        <v>1</v>
      </c>
      <c r="AX194" s="8" t="b">
        <v>1</v>
      </c>
      <c r="AY194" s="8" t="b">
        <v>1</v>
      </c>
      <c r="AZ194" s="8" t="b">
        <v>1</v>
      </c>
      <c r="BA194" s="7" t="s">
        <v>783</v>
      </c>
      <c r="BB194" s="7" t="s">
        <v>783</v>
      </c>
      <c r="BC194" s="7" t="s">
        <v>784</v>
      </c>
      <c r="BD194" s="7">
        <v>-32.902271045517281</v>
      </c>
      <c r="BE194" s="7">
        <v>0.45394285714285709</v>
      </c>
      <c r="BF194" s="7">
        <v>15.562289177291177</v>
      </c>
      <c r="BG194" s="7">
        <v>0.13714285714285715</v>
      </c>
      <c r="BH194" s="7" t="s">
        <v>154</v>
      </c>
      <c r="BI194" s="7">
        <v>175</v>
      </c>
      <c r="BJ194" s="7">
        <v>24</v>
      </c>
      <c r="BK194" s="7">
        <v>24</v>
      </c>
      <c r="BL194" s="7">
        <v>24</v>
      </c>
      <c r="BM194" s="8" t="b">
        <v>1</v>
      </c>
      <c r="BN194" s="7">
        <v>0.52271780589200978</v>
      </c>
      <c r="BO194" s="7">
        <v>3.4285714285714288E-3</v>
      </c>
      <c r="BP194" s="7">
        <v>23.486364415985364</v>
      </c>
      <c r="BQ194" s="7">
        <v>0.13714285714285715</v>
      </c>
      <c r="BR194" s="7" t="s">
        <v>154</v>
      </c>
      <c r="BS194" s="7">
        <v>175</v>
      </c>
      <c r="BT194" s="7">
        <v>24</v>
      </c>
      <c r="BU194" s="7">
        <v>24</v>
      </c>
      <c r="BV194" s="7">
        <v>24</v>
      </c>
      <c r="BW194" s="7" t="s">
        <v>1111</v>
      </c>
      <c r="BX194" s="8" t="b">
        <v>1</v>
      </c>
      <c r="BY194" s="7">
        <v>0</v>
      </c>
      <c r="BZ194" s="7">
        <v>0</v>
      </c>
      <c r="CA194" s="7">
        <v>46236.8125</v>
      </c>
      <c r="CB194" s="7">
        <v>46236.802083333336</v>
      </c>
      <c r="CC194" s="7">
        <v>1.1704281573498962E-3</v>
      </c>
      <c r="CD194" s="7">
        <v>51.309228760248374</v>
      </c>
      <c r="CE194" s="7">
        <v>51.723129480745271</v>
      </c>
      <c r="CF194" s="7">
        <v>662.24534522516342</v>
      </c>
      <c r="CG194" s="7">
        <v>0.3125</v>
      </c>
      <c r="CH194" s="7" t="s">
        <v>150</v>
      </c>
      <c r="CI194" s="7">
        <v>128</v>
      </c>
      <c r="CJ194" s="8" t="b">
        <v>1</v>
      </c>
      <c r="CK194" s="7">
        <v>40</v>
      </c>
      <c r="CL194" s="7">
        <v>40</v>
      </c>
      <c r="CM194" s="7">
        <v>40</v>
      </c>
      <c r="CN194" s="8" t="b">
        <v>0</v>
      </c>
      <c r="CO194" s="7" t="s">
        <v>955</v>
      </c>
      <c r="CP194" s="7">
        <v>668.91444557881471</v>
      </c>
    </row>
    <row r="195" spans="1:94" ht="21" customHeight="1" x14ac:dyDescent="0.45">
      <c r="A195" s="9">
        <v>46236.8125</v>
      </c>
      <c r="B195" s="9">
        <v>46236.822916666664</v>
      </c>
      <c r="C195" s="9">
        <v>46236.9375</v>
      </c>
      <c r="D195" s="10">
        <v>46236</v>
      </c>
      <c r="E195" s="7">
        <v>0.25</v>
      </c>
      <c r="F195" s="7" t="s">
        <v>770</v>
      </c>
      <c r="G195" s="9">
        <v>46236.791666666664</v>
      </c>
      <c r="H195" s="7">
        <v>206.96</v>
      </c>
      <c r="I195" s="7" t="s">
        <v>1112</v>
      </c>
      <c r="J195" s="7">
        <v>15</v>
      </c>
      <c r="K195" s="7" t="s">
        <v>960</v>
      </c>
      <c r="L195" s="10">
        <v>46234</v>
      </c>
      <c r="M195" s="7">
        <v>5.2473000000000001</v>
      </c>
      <c r="N195" s="7" t="s">
        <v>773</v>
      </c>
      <c r="O195" s="7">
        <v>131.96799999999999</v>
      </c>
      <c r="P195" s="7" t="s">
        <v>1108</v>
      </c>
      <c r="Q195" s="7" t="s">
        <v>775</v>
      </c>
      <c r="R195" s="7">
        <v>66.224534522516336</v>
      </c>
      <c r="S195" s="7" t="s">
        <v>776</v>
      </c>
      <c r="T195" s="7">
        <v>175</v>
      </c>
      <c r="U195" s="7" t="s">
        <v>1109</v>
      </c>
      <c r="V195" s="7" t="s">
        <v>775</v>
      </c>
      <c r="W195" s="7">
        <v>3.9143940693308936</v>
      </c>
      <c r="X195" s="7" t="s">
        <v>776</v>
      </c>
      <c r="Y195" s="7">
        <v>175</v>
      </c>
      <c r="Z195" s="7" t="s">
        <v>1110</v>
      </c>
      <c r="AA195" s="7" t="s">
        <v>775</v>
      </c>
      <c r="AB195" s="7">
        <v>2.5937148628818627</v>
      </c>
      <c r="AC195" s="7" t="s">
        <v>776</v>
      </c>
      <c r="AD195" s="7"/>
      <c r="AE195" s="7" t="s">
        <v>779</v>
      </c>
      <c r="AF195" s="7"/>
      <c r="AG195" s="7">
        <v>189.78026794732529</v>
      </c>
      <c r="AH195" s="7" t="s">
        <v>776</v>
      </c>
      <c r="AI195" s="7">
        <v>1.1200000000000001</v>
      </c>
      <c r="AJ195" s="7">
        <v>76.420254225982887</v>
      </c>
      <c r="AK195" s="7" t="s">
        <v>776</v>
      </c>
      <c r="AL195" s="7">
        <v>0.61199999999999999</v>
      </c>
      <c r="AM195" s="7" t="s">
        <v>780</v>
      </c>
      <c r="AN195" s="7" t="s">
        <v>781</v>
      </c>
      <c r="AO195" s="7" t="s">
        <v>782</v>
      </c>
      <c r="AP195" s="7">
        <v>2.5600000000000001E-2</v>
      </c>
      <c r="AQ195" s="7">
        <v>1.3988571428571401E-2</v>
      </c>
      <c r="AR195" s="7">
        <v>3.9588571428571397E-2</v>
      </c>
      <c r="AS195" s="8" t="b">
        <v>1</v>
      </c>
      <c r="AT195" s="8" t="b">
        <v>1</v>
      </c>
      <c r="AU195" s="8" t="b">
        <v>1</v>
      </c>
      <c r="AV195" s="8" t="b">
        <v>1</v>
      </c>
      <c r="AW195" s="8" t="b">
        <v>1</v>
      </c>
      <c r="AX195" s="8" t="b">
        <v>1</v>
      </c>
      <c r="AY195" s="8" t="b">
        <v>1</v>
      </c>
      <c r="AZ195" s="8" t="b">
        <v>1</v>
      </c>
      <c r="BA195" s="7" t="s">
        <v>783</v>
      </c>
      <c r="BB195" s="7" t="s">
        <v>783</v>
      </c>
      <c r="BC195" s="7" t="s">
        <v>784</v>
      </c>
      <c r="BD195" s="7">
        <v>-6.4140611089784949</v>
      </c>
      <c r="BE195" s="7">
        <v>8.3931428571428573E-2</v>
      </c>
      <c r="BF195" s="7">
        <v>15.562289177291177</v>
      </c>
      <c r="BG195" s="7">
        <v>0.13714285714285715</v>
      </c>
      <c r="BH195" s="7" t="s">
        <v>154</v>
      </c>
      <c r="BI195" s="7">
        <v>175</v>
      </c>
      <c r="BJ195" s="7">
        <v>24</v>
      </c>
      <c r="BK195" s="7">
        <v>24</v>
      </c>
      <c r="BL195" s="7">
        <v>24</v>
      </c>
      <c r="BM195" s="8" t="b">
        <v>1</v>
      </c>
      <c r="BN195" s="7">
        <v>29.150249156709165</v>
      </c>
      <c r="BO195" s="7">
        <v>0.15360000000000001</v>
      </c>
      <c r="BP195" s="7">
        <v>23.486364415985364</v>
      </c>
      <c r="BQ195" s="7">
        <v>0.13714285714285715</v>
      </c>
      <c r="BR195" s="7" t="s">
        <v>154</v>
      </c>
      <c r="BS195" s="7">
        <v>175</v>
      </c>
      <c r="BT195" s="7">
        <v>24</v>
      </c>
      <c r="BU195" s="7">
        <v>24</v>
      </c>
      <c r="BV195" s="7">
        <v>24</v>
      </c>
      <c r="BW195" s="7" t="s">
        <v>1112</v>
      </c>
      <c r="BX195" s="8" t="b">
        <v>1</v>
      </c>
      <c r="BY195" s="7">
        <v>0</v>
      </c>
      <c r="BZ195" s="7">
        <v>0</v>
      </c>
      <c r="CA195" s="7">
        <v>46236.822916666664</v>
      </c>
      <c r="CB195" s="7">
        <v>46236.8125</v>
      </c>
      <c r="CC195" s="7">
        <v>6.7825954451345761E-4</v>
      </c>
      <c r="CD195" s="7">
        <v>51.723129480745271</v>
      </c>
      <c r="CE195" s="7">
        <v>51.633389873291854</v>
      </c>
      <c r="CF195" s="7">
        <v>662.24534522516342</v>
      </c>
      <c r="CG195" s="7">
        <v>0.3125</v>
      </c>
      <c r="CH195" s="7" t="s">
        <v>150</v>
      </c>
      <c r="CI195" s="7">
        <v>128</v>
      </c>
      <c r="CJ195" s="8" t="b">
        <v>1</v>
      </c>
      <c r="CK195" s="7">
        <v>40</v>
      </c>
      <c r="CL195" s="7">
        <v>40</v>
      </c>
      <c r="CM195" s="7">
        <v>40</v>
      </c>
      <c r="CN195" s="8" t="b">
        <v>0</v>
      </c>
      <c r="CO195" s="7" t="s">
        <v>955</v>
      </c>
      <c r="CP195" s="7">
        <v>724.03018686617065</v>
      </c>
    </row>
    <row r="196" spans="1:94" ht="21" customHeight="1" x14ac:dyDescent="0.45">
      <c r="A196" s="9">
        <v>46236.822916666664</v>
      </c>
      <c r="B196" s="9">
        <v>46236.833333333336</v>
      </c>
      <c r="C196" s="9">
        <v>46236.947916666664</v>
      </c>
      <c r="D196" s="10">
        <v>46236</v>
      </c>
      <c r="E196" s="7">
        <v>0.25</v>
      </c>
      <c r="F196" s="7" t="s">
        <v>770</v>
      </c>
      <c r="G196" s="9">
        <v>46236.791666666664</v>
      </c>
      <c r="H196" s="7">
        <v>208.16</v>
      </c>
      <c r="I196" s="7" t="s">
        <v>1113</v>
      </c>
      <c r="J196" s="7">
        <v>15</v>
      </c>
      <c r="K196" s="7" t="s">
        <v>960</v>
      </c>
      <c r="L196" s="10">
        <v>46234</v>
      </c>
      <c r="M196" s="7">
        <v>5.2473000000000001</v>
      </c>
      <c r="N196" s="7" t="s">
        <v>773</v>
      </c>
      <c r="O196" s="7">
        <v>131.96799999999999</v>
      </c>
      <c r="P196" s="7" t="s">
        <v>1108</v>
      </c>
      <c r="Q196" s="7" t="s">
        <v>775</v>
      </c>
      <c r="R196" s="7">
        <v>66.224534522516336</v>
      </c>
      <c r="S196" s="7" t="s">
        <v>776</v>
      </c>
      <c r="T196" s="7">
        <v>175</v>
      </c>
      <c r="U196" s="7" t="s">
        <v>1109</v>
      </c>
      <c r="V196" s="7" t="s">
        <v>775</v>
      </c>
      <c r="W196" s="7">
        <v>3.9143940693308936</v>
      </c>
      <c r="X196" s="7" t="s">
        <v>776</v>
      </c>
      <c r="Y196" s="7">
        <v>175</v>
      </c>
      <c r="Z196" s="7" t="s">
        <v>1110</v>
      </c>
      <c r="AA196" s="7" t="s">
        <v>775</v>
      </c>
      <c r="AB196" s="7">
        <v>2.5937148628818627</v>
      </c>
      <c r="AC196" s="7" t="s">
        <v>776</v>
      </c>
      <c r="AD196" s="7"/>
      <c r="AE196" s="7" t="s">
        <v>779</v>
      </c>
      <c r="AF196" s="7"/>
      <c r="AG196" s="7">
        <v>217.5791359365769</v>
      </c>
      <c r="AH196" s="7" t="s">
        <v>776</v>
      </c>
      <c r="AI196" s="7">
        <v>8.5129999999999999</v>
      </c>
      <c r="AJ196" s="7">
        <v>76.420254225982887</v>
      </c>
      <c r="AK196" s="7" t="s">
        <v>776</v>
      </c>
      <c r="AL196" s="7">
        <v>0.58299999999999996</v>
      </c>
      <c r="AM196" s="7" t="s">
        <v>780</v>
      </c>
      <c r="AN196" s="7" t="s">
        <v>781</v>
      </c>
      <c r="AO196" s="7" t="s">
        <v>782</v>
      </c>
      <c r="AP196" s="7">
        <v>0.19458285714285711</v>
      </c>
      <c r="AQ196" s="7">
        <v>1.3325714285714199E-2</v>
      </c>
      <c r="AR196" s="7">
        <v>0.20790857142857139</v>
      </c>
      <c r="AS196" s="8" t="b">
        <v>1</v>
      </c>
      <c r="AT196" s="8" t="b">
        <v>1</v>
      </c>
      <c r="AU196" s="8" t="b">
        <v>1</v>
      </c>
      <c r="AV196" s="8" t="b">
        <v>1</v>
      </c>
      <c r="AW196" s="8" t="b">
        <v>1</v>
      </c>
      <c r="AX196" s="8" t="b">
        <v>1</v>
      </c>
      <c r="AY196" s="8" t="b">
        <v>1</v>
      </c>
      <c r="AZ196" s="8" t="b">
        <v>1</v>
      </c>
      <c r="BA196" s="7" t="s">
        <v>783</v>
      </c>
      <c r="BB196" s="7" t="s">
        <v>783</v>
      </c>
      <c r="BC196" s="7" t="s">
        <v>784</v>
      </c>
      <c r="BD196" s="7">
        <v>-6.1101268407425851</v>
      </c>
      <c r="BE196" s="7">
        <v>7.99542857142857E-2</v>
      </c>
      <c r="BF196" s="7">
        <v>15.562289177291177</v>
      </c>
      <c r="BG196" s="7">
        <v>0.13714285714285715</v>
      </c>
      <c r="BH196" s="7" t="s">
        <v>154</v>
      </c>
      <c r="BI196" s="7">
        <v>175</v>
      </c>
      <c r="BJ196" s="7">
        <v>24</v>
      </c>
      <c r="BK196" s="7">
        <v>24</v>
      </c>
      <c r="BL196" s="7">
        <v>24</v>
      </c>
      <c r="BM196" s="8" t="b">
        <v>1</v>
      </c>
      <c r="BN196" s="7">
        <v>254.02301955127942</v>
      </c>
      <c r="BO196" s="7">
        <v>1.1674971428571428</v>
      </c>
      <c r="BP196" s="7">
        <v>23.486364415985364</v>
      </c>
      <c r="BQ196" s="7">
        <v>0.13714285714285715</v>
      </c>
      <c r="BR196" s="7" t="s">
        <v>154</v>
      </c>
      <c r="BS196" s="7">
        <v>175</v>
      </c>
      <c r="BT196" s="7">
        <v>24</v>
      </c>
      <c r="BU196" s="7">
        <v>24</v>
      </c>
      <c r="BV196" s="7">
        <v>24</v>
      </c>
      <c r="BW196" s="7" t="s">
        <v>1113</v>
      </c>
      <c r="BX196" s="8" t="b">
        <v>1</v>
      </c>
      <c r="BY196" s="7">
        <v>639.77262006564069</v>
      </c>
      <c r="BZ196" s="7">
        <v>12.29386279910916</v>
      </c>
      <c r="CA196" s="7">
        <v>46236.833333333336</v>
      </c>
      <c r="CB196" s="7">
        <v>46236.822916666664</v>
      </c>
      <c r="CC196" s="7">
        <v>1.2780841664911823E-2</v>
      </c>
      <c r="CD196" s="7">
        <v>51.633389873291854</v>
      </c>
      <c r="CE196" s="7">
        <v>47.104043488198684</v>
      </c>
      <c r="CF196" s="7">
        <v>662.24534522516342</v>
      </c>
      <c r="CG196" s="7">
        <v>0.3125</v>
      </c>
      <c r="CH196" s="7" t="s">
        <v>150</v>
      </c>
      <c r="CI196" s="7">
        <v>128</v>
      </c>
      <c r="CJ196" s="8" t="b">
        <v>1</v>
      </c>
      <c r="CK196" s="7">
        <v>40</v>
      </c>
      <c r="CL196" s="7">
        <v>40</v>
      </c>
      <c r="CM196" s="7">
        <v>40</v>
      </c>
      <c r="CN196" s="8" t="b">
        <v>0</v>
      </c>
      <c r="CO196" s="7" t="s">
        <v>955</v>
      </c>
      <c r="CP196" s="7">
        <v>1588.9795115946174</v>
      </c>
    </row>
    <row r="197" spans="1:94" ht="21" customHeight="1" x14ac:dyDescent="0.45">
      <c r="A197" s="9">
        <v>46236.833333333336</v>
      </c>
      <c r="B197" s="9">
        <v>46236.84375</v>
      </c>
      <c r="C197" s="9">
        <v>46236.958333333336</v>
      </c>
      <c r="D197" s="10">
        <v>46236</v>
      </c>
      <c r="E197" s="7">
        <v>0.25</v>
      </c>
      <c r="F197" s="7" t="s">
        <v>770</v>
      </c>
      <c r="G197" s="9">
        <v>46236.833333333336</v>
      </c>
      <c r="H197" s="7">
        <v>204.49</v>
      </c>
      <c r="I197" s="7" t="s">
        <v>1114</v>
      </c>
      <c r="J197" s="7">
        <v>15</v>
      </c>
      <c r="K197" s="7" t="s">
        <v>960</v>
      </c>
      <c r="L197" s="10">
        <v>46234</v>
      </c>
      <c r="M197" s="7">
        <v>5.2473000000000001</v>
      </c>
      <c r="N197" s="7" t="s">
        <v>773</v>
      </c>
      <c r="O197" s="7">
        <v>131.96799999999999</v>
      </c>
      <c r="P197" s="7" t="s">
        <v>1115</v>
      </c>
      <c r="Q197" s="7" t="s">
        <v>775</v>
      </c>
      <c r="R197" s="7">
        <v>66.224534522516336</v>
      </c>
      <c r="S197" s="7" t="s">
        <v>776</v>
      </c>
      <c r="T197" s="7">
        <v>175</v>
      </c>
      <c r="U197" s="7" t="s">
        <v>1116</v>
      </c>
      <c r="V197" s="7" t="s">
        <v>775</v>
      </c>
      <c r="W197" s="7">
        <v>7.1274750824233415</v>
      </c>
      <c r="X197" s="7" t="s">
        <v>776</v>
      </c>
      <c r="Y197" s="7">
        <v>175</v>
      </c>
      <c r="Z197" s="7" t="s">
        <v>1117</v>
      </c>
      <c r="AA197" s="7" t="s">
        <v>775</v>
      </c>
      <c r="AB197" s="7">
        <v>2.5937148628818627</v>
      </c>
      <c r="AC197" s="7" t="s">
        <v>776</v>
      </c>
      <c r="AD197" s="7"/>
      <c r="AE197" s="7" t="s">
        <v>779</v>
      </c>
      <c r="AF197" s="7"/>
      <c r="AG197" s="7">
        <v>223.50885217159299</v>
      </c>
      <c r="AH197" s="7" t="s">
        <v>776</v>
      </c>
      <c r="AI197" s="7">
        <v>11.586</v>
      </c>
      <c r="AJ197" s="7">
        <v>76.420254225982887</v>
      </c>
      <c r="AK197" s="7" t="s">
        <v>776</v>
      </c>
      <c r="AL197" s="7">
        <v>0.127</v>
      </c>
      <c r="AM197" s="7" t="s">
        <v>780</v>
      </c>
      <c r="AN197" s="7" t="s">
        <v>781</v>
      </c>
      <c r="AO197" s="7" t="s">
        <v>782</v>
      </c>
      <c r="AP197" s="7">
        <v>0.26482285714285708</v>
      </c>
      <c r="AQ197" s="7">
        <v>2.9028571428570999E-3</v>
      </c>
      <c r="AR197" s="7">
        <v>0.26772571428571429</v>
      </c>
      <c r="AS197" s="8" t="b">
        <v>1</v>
      </c>
      <c r="AT197" s="8" t="b">
        <v>1</v>
      </c>
      <c r="AU197" s="8" t="b">
        <v>1</v>
      </c>
      <c r="AV197" s="8" t="b">
        <v>1</v>
      </c>
      <c r="AW197" s="8" t="b">
        <v>1</v>
      </c>
      <c r="AX197" s="8" t="b">
        <v>1</v>
      </c>
      <c r="AY197" s="8" t="b">
        <v>1</v>
      </c>
      <c r="AZ197" s="8" t="b">
        <v>1</v>
      </c>
      <c r="BA197" s="7" t="s">
        <v>783</v>
      </c>
      <c r="BB197" s="7" t="s">
        <v>783</v>
      </c>
      <c r="BC197" s="7" t="s">
        <v>784</v>
      </c>
      <c r="BD197" s="7">
        <v>-1.3310224850331192</v>
      </c>
      <c r="BE197" s="7">
        <v>1.7417142857142857E-2</v>
      </c>
      <c r="BF197" s="7">
        <v>15.562289177291177</v>
      </c>
      <c r="BG197" s="7">
        <v>0.13714285714285715</v>
      </c>
      <c r="BH197" s="7" t="s">
        <v>154</v>
      </c>
      <c r="BI197" s="7">
        <v>175</v>
      </c>
      <c r="BJ197" s="7">
        <v>24</v>
      </c>
      <c r="BK197" s="7">
        <v>24</v>
      </c>
      <c r="BL197" s="7">
        <v>24</v>
      </c>
      <c r="BM197" s="8" t="b">
        <v>1</v>
      </c>
      <c r="BN197" s="7">
        <v>355.14151697281045</v>
      </c>
      <c r="BO197" s="7">
        <v>1.5889371428571428</v>
      </c>
      <c r="BP197" s="7">
        <v>42.764850494540049</v>
      </c>
      <c r="BQ197" s="7">
        <v>0.13714285714285715</v>
      </c>
      <c r="BR197" s="7" t="s">
        <v>154</v>
      </c>
      <c r="BS197" s="7">
        <v>175</v>
      </c>
      <c r="BT197" s="7">
        <v>24</v>
      </c>
      <c r="BU197" s="7">
        <v>24</v>
      </c>
      <c r="BV197" s="7">
        <v>24</v>
      </c>
      <c r="BW197" s="7" t="s">
        <v>1114</v>
      </c>
      <c r="BX197" s="8" t="b">
        <v>1</v>
      </c>
      <c r="BY197" s="7">
        <v>0</v>
      </c>
      <c r="BZ197" s="7">
        <v>0</v>
      </c>
      <c r="CA197" s="7">
        <v>46236.84375</v>
      </c>
      <c r="CB197" s="7">
        <v>46236.833333333336</v>
      </c>
      <c r="CC197" s="7">
        <v>4.8420260041407868E-3</v>
      </c>
      <c r="CD197" s="7">
        <v>47.104043488198684</v>
      </c>
      <c r="CE197" s="7">
        <v>45.392961669565146</v>
      </c>
      <c r="CF197" s="7">
        <v>662.24534522516342</v>
      </c>
      <c r="CG197" s="7">
        <v>0.3125</v>
      </c>
      <c r="CH197" s="7" t="s">
        <v>150</v>
      </c>
      <c r="CI197" s="7">
        <v>128</v>
      </c>
      <c r="CJ197" s="8" t="b">
        <v>1</v>
      </c>
      <c r="CK197" s="7">
        <v>40</v>
      </c>
      <c r="CL197" s="7">
        <v>40</v>
      </c>
      <c r="CM197" s="7">
        <v>40</v>
      </c>
      <c r="CN197" s="8" t="b">
        <v>0</v>
      </c>
      <c r="CO197" s="7" t="s">
        <v>955</v>
      </c>
      <c r="CP197" s="7">
        <v>1074.3829793847719</v>
      </c>
    </row>
    <row r="198" spans="1:94" ht="21" customHeight="1" x14ac:dyDescent="0.45">
      <c r="A198" s="9">
        <v>46236.84375</v>
      </c>
      <c r="B198" s="9">
        <v>46236.854166666664</v>
      </c>
      <c r="C198" s="9">
        <v>46236.96875</v>
      </c>
      <c r="D198" s="10">
        <v>46236</v>
      </c>
      <c r="E198" s="7">
        <v>0.25</v>
      </c>
      <c r="F198" s="7" t="s">
        <v>770</v>
      </c>
      <c r="G198" s="9">
        <v>46236.833333333336</v>
      </c>
      <c r="H198" s="7">
        <v>211.53</v>
      </c>
      <c r="I198" s="7" t="s">
        <v>1118</v>
      </c>
      <c r="J198" s="7">
        <v>15</v>
      </c>
      <c r="K198" s="7" t="s">
        <v>960</v>
      </c>
      <c r="L198" s="10">
        <v>46234</v>
      </c>
      <c r="M198" s="7">
        <v>5.2473000000000001</v>
      </c>
      <c r="N198" s="7" t="s">
        <v>773</v>
      </c>
      <c r="O198" s="7">
        <v>131.96799999999999</v>
      </c>
      <c r="P198" s="7" t="s">
        <v>1115</v>
      </c>
      <c r="Q198" s="7" t="s">
        <v>775</v>
      </c>
      <c r="R198" s="7">
        <v>66.224534522516336</v>
      </c>
      <c r="S198" s="7" t="s">
        <v>776</v>
      </c>
      <c r="T198" s="7">
        <v>175</v>
      </c>
      <c r="U198" s="7" t="s">
        <v>1116</v>
      </c>
      <c r="V198" s="7" t="s">
        <v>775</v>
      </c>
      <c r="W198" s="7">
        <v>7.1274750824233415</v>
      </c>
      <c r="X198" s="7" t="s">
        <v>776</v>
      </c>
      <c r="Y198" s="7">
        <v>175</v>
      </c>
      <c r="Z198" s="7" t="s">
        <v>1117</v>
      </c>
      <c r="AA198" s="7" t="s">
        <v>775</v>
      </c>
      <c r="AB198" s="7">
        <v>2.5937148628818627</v>
      </c>
      <c r="AC198" s="7" t="s">
        <v>776</v>
      </c>
      <c r="AD198" s="7"/>
      <c r="AE198" s="7" t="s">
        <v>779</v>
      </c>
      <c r="AF198" s="7"/>
      <c r="AG198" s="7">
        <v>224.42837268690565</v>
      </c>
      <c r="AH198" s="7" t="s">
        <v>776</v>
      </c>
      <c r="AI198" s="7">
        <v>14.057</v>
      </c>
      <c r="AJ198" s="7">
        <v>0</v>
      </c>
      <c r="AK198" s="7" t="s">
        <v>776</v>
      </c>
      <c r="AL198" s="7">
        <v>0</v>
      </c>
      <c r="AM198" s="7" t="s">
        <v>780</v>
      </c>
      <c r="AN198" s="7" t="s">
        <v>781</v>
      </c>
      <c r="AO198" s="7" t="s">
        <v>782</v>
      </c>
      <c r="AP198" s="7">
        <v>0.32130285714285711</v>
      </c>
      <c r="AQ198" s="7">
        <v>0</v>
      </c>
      <c r="AR198" s="7">
        <v>0.32130285714285711</v>
      </c>
      <c r="AS198" s="8" t="b">
        <v>1</v>
      </c>
      <c r="AT198" s="8" t="b">
        <v>1</v>
      </c>
      <c r="AU198" s="8" t="b">
        <v>1</v>
      </c>
      <c r="AV198" s="8" t="b">
        <v>1</v>
      </c>
      <c r="AW198" s="8" t="b">
        <v>1</v>
      </c>
      <c r="AX198" s="8" t="b">
        <v>1</v>
      </c>
      <c r="AY198" s="8" t="b">
        <v>1</v>
      </c>
      <c r="AZ198" s="8" t="b">
        <v>1</v>
      </c>
      <c r="BA198" s="7" t="s">
        <v>783</v>
      </c>
      <c r="BB198" s="7" t="s">
        <v>783</v>
      </c>
      <c r="BC198" s="7" t="s">
        <v>784</v>
      </c>
      <c r="BD198" s="7">
        <v>0</v>
      </c>
      <c r="BE198" s="7">
        <v>0</v>
      </c>
      <c r="BF198" s="7">
        <v>15.562289177291177</v>
      </c>
      <c r="BG198" s="7">
        <v>0.13714285714285715</v>
      </c>
      <c r="BH198" s="7" t="s">
        <v>154</v>
      </c>
      <c r="BI198" s="7">
        <v>175</v>
      </c>
      <c r="BJ198" s="7">
        <v>24</v>
      </c>
      <c r="BK198" s="7">
        <v>24</v>
      </c>
      <c r="BL198" s="7">
        <v>24</v>
      </c>
      <c r="BM198" s="8" t="b">
        <v>1</v>
      </c>
      <c r="BN198" s="7">
        <v>432.65686420934856</v>
      </c>
      <c r="BO198" s="7">
        <v>1.9278171428571431</v>
      </c>
      <c r="BP198" s="7">
        <v>42.764850494540049</v>
      </c>
      <c r="BQ198" s="7">
        <v>0.13714285714285715</v>
      </c>
      <c r="BR198" s="7" t="s">
        <v>154</v>
      </c>
      <c r="BS198" s="7">
        <v>175</v>
      </c>
      <c r="BT198" s="7">
        <v>24</v>
      </c>
      <c r="BU198" s="7">
        <v>24</v>
      </c>
      <c r="BV198" s="7">
        <v>24</v>
      </c>
      <c r="BW198" s="7" t="s">
        <v>1118</v>
      </c>
      <c r="BX198" s="8" t="b">
        <v>1</v>
      </c>
      <c r="BY198" s="7">
        <v>1903.77</v>
      </c>
      <c r="BZ198" s="7">
        <v>36</v>
      </c>
      <c r="CA198" s="7">
        <v>46236.854166666664</v>
      </c>
      <c r="CB198" s="7">
        <v>46236.84375</v>
      </c>
      <c r="CC198" s="7">
        <v>3.2994616977225673E-2</v>
      </c>
      <c r="CD198" s="7">
        <v>45.392961669565146</v>
      </c>
      <c r="CE198" s="7">
        <v>33.514899557763911</v>
      </c>
      <c r="CF198" s="7">
        <v>662.24534522516342</v>
      </c>
      <c r="CG198" s="7">
        <v>0.3125</v>
      </c>
      <c r="CH198" s="7" t="s">
        <v>150</v>
      </c>
      <c r="CI198" s="7">
        <v>128</v>
      </c>
      <c r="CJ198" s="8" t="b">
        <v>1</v>
      </c>
      <c r="CK198" s="7">
        <v>40</v>
      </c>
      <c r="CL198" s="7">
        <v>40</v>
      </c>
      <c r="CM198" s="7">
        <v>40</v>
      </c>
      <c r="CN198" s="8" t="b">
        <v>0</v>
      </c>
      <c r="CO198" s="7" t="s">
        <v>955</v>
      </c>
      <c r="CP198" s="7">
        <v>3056.9993491063433</v>
      </c>
    </row>
    <row r="199" spans="1:94" ht="21" customHeight="1" x14ac:dyDescent="0.45">
      <c r="A199" s="9">
        <v>46236.854166666664</v>
      </c>
      <c r="B199" s="9">
        <v>46236.864583333336</v>
      </c>
      <c r="C199" s="9">
        <v>46236.979166666664</v>
      </c>
      <c r="D199" s="10">
        <v>46236</v>
      </c>
      <c r="E199" s="7">
        <v>0.25</v>
      </c>
      <c r="F199" s="7" t="s">
        <v>770</v>
      </c>
      <c r="G199" s="9">
        <v>46236.833333333336</v>
      </c>
      <c r="H199" s="7">
        <v>208.43</v>
      </c>
      <c r="I199" s="7" t="s">
        <v>1119</v>
      </c>
      <c r="J199" s="7">
        <v>15</v>
      </c>
      <c r="K199" s="7" t="s">
        <v>960</v>
      </c>
      <c r="L199" s="10">
        <v>46234</v>
      </c>
      <c r="M199" s="7">
        <v>5.2473000000000001</v>
      </c>
      <c r="N199" s="7" t="s">
        <v>773</v>
      </c>
      <c r="O199" s="7">
        <v>131.96799999999999</v>
      </c>
      <c r="P199" s="7" t="s">
        <v>1115</v>
      </c>
      <c r="Q199" s="7" t="s">
        <v>775</v>
      </c>
      <c r="R199" s="7">
        <v>66.224534522516336</v>
      </c>
      <c r="S199" s="7" t="s">
        <v>776</v>
      </c>
      <c r="T199" s="7">
        <v>175</v>
      </c>
      <c r="U199" s="7" t="s">
        <v>1116</v>
      </c>
      <c r="V199" s="7" t="s">
        <v>775</v>
      </c>
      <c r="W199" s="7">
        <v>7.1274750824233415</v>
      </c>
      <c r="X199" s="7" t="s">
        <v>776</v>
      </c>
      <c r="Y199" s="7">
        <v>175</v>
      </c>
      <c r="Z199" s="7" t="s">
        <v>1117</v>
      </c>
      <c r="AA199" s="7" t="s">
        <v>775</v>
      </c>
      <c r="AB199" s="7">
        <v>2.5937148628818627</v>
      </c>
      <c r="AC199" s="7" t="s">
        <v>776</v>
      </c>
      <c r="AD199" s="7"/>
      <c r="AE199" s="7" t="s">
        <v>779</v>
      </c>
      <c r="AF199" s="7"/>
      <c r="AG199" s="7">
        <v>211.84513940502734</v>
      </c>
      <c r="AH199" s="7" t="s">
        <v>776</v>
      </c>
      <c r="AI199" s="7">
        <v>5.7359999999999998</v>
      </c>
      <c r="AJ199" s="7">
        <v>0</v>
      </c>
      <c r="AK199" s="7" t="s">
        <v>776</v>
      </c>
      <c r="AL199" s="7">
        <v>0</v>
      </c>
      <c r="AM199" s="7" t="s">
        <v>780</v>
      </c>
      <c r="AN199" s="7" t="s">
        <v>781</v>
      </c>
      <c r="AO199" s="7" t="s">
        <v>782</v>
      </c>
      <c r="AP199" s="7">
        <v>0.13110857142857141</v>
      </c>
      <c r="AQ199" s="7">
        <v>0</v>
      </c>
      <c r="AR199" s="7">
        <v>0.13110857142857141</v>
      </c>
      <c r="AS199" s="8" t="b">
        <v>1</v>
      </c>
      <c r="AT199" s="8" t="b">
        <v>1</v>
      </c>
      <c r="AU199" s="8" t="b">
        <v>1</v>
      </c>
      <c r="AV199" s="8" t="b">
        <v>1</v>
      </c>
      <c r="AW199" s="8" t="b">
        <v>1</v>
      </c>
      <c r="AX199" s="8" t="b">
        <v>1</v>
      </c>
      <c r="AY199" s="8" t="b">
        <v>1</v>
      </c>
      <c r="AZ199" s="8" t="b">
        <v>1</v>
      </c>
      <c r="BA199" s="7" t="s">
        <v>783</v>
      </c>
      <c r="BB199" s="7" t="s">
        <v>783</v>
      </c>
      <c r="BC199" s="7" t="s">
        <v>784</v>
      </c>
      <c r="BD199" s="7">
        <v>0</v>
      </c>
      <c r="BE199" s="7">
        <v>0</v>
      </c>
      <c r="BF199" s="7">
        <v>15.562289177291177</v>
      </c>
      <c r="BG199" s="7">
        <v>0.13714285714285715</v>
      </c>
      <c r="BH199" s="7" t="s">
        <v>154</v>
      </c>
      <c r="BI199" s="7">
        <v>175</v>
      </c>
      <c r="BJ199" s="7">
        <v>24</v>
      </c>
      <c r="BK199" s="7">
        <v>24</v>
      </c>
      <c r="BL199" s="7">
        <v>24</v>
      </c>
      <c r="BM199" s="8" t="b">
        <v>1</v>
      </c>
      <c r="BN199" s="7">
        <v>166.6482815488782</v>
      </c>
      <c r="BO199" s="7">
        <v>0.78665142857142856</v>
      </c>
      <c r="BP199" s="7">
        <v>42.764850494540049</v>
      </c>
      <c r="BQ199" s="7">
        <v>0.13714285714285715</v>
      </c>
      <c r="BR199" s="7" t="s">
        <v>154</v>
      </c>
      <c r="BS199" s="7">
        <v>175</v>
      </c>
      <c r="BT199" s="7">
        <v>24</v>
      </c>
      <c r="BU199" s="7">
        <v>24</v>
      </c>
      <c r="BV199" s="7">
        <v>24</v>
      </c>
      <c r="BW199" s="7" t="s">
        <v>1119</v>
      </c>
      <c r="BX199" s="8" t="b">
        <v>1</v>
      </c>
      <c r="BY199" s="7">
        <v>0</v>
      </c>
      <c r="BZ199" s="7">
        <v>0</v>
      </c>
      <c r="CA199" s="7">
        <v>46236.864583333336</v>
      </c>
      <c r="CB199" s="7">
        <v>46236.854166666664</v>
      </c>
      <c r="CC199" s="7">
        <v>2.3751552795031054E-3</v>
      </c>
      <c r="CD199" s="7">
        <v>33.514899557763911</v>
      </c>
      <c r="CE199" s="7">
        <v>32.659843657142794</v>
      </c>
      <c r="CF199" s="7">
        <v>662.24534522516342</v>
      </c>
      <c r="CG199" s="7">
        <v>0.3125</v>
      </c>
      <c r="CH199" s="7" t="s">
        <v>150</v>
      </c>
      <c r="CI199" s="7">
        <v>128</v>
      </c>
      <c r="CJ199" s="8" t="b">
        <v>1</v>
      </c>
      <c r="CK199" s="7">
        <v>40</v>
      </c>
      <c r="CL199" s="7">
        <v>40</v>
      </c>
      <c r="CM199" s="7">
        <v>40</v>
      </c>
      <c r="CN199" s="8" t="b">
        <v>0</v>
      </c>
      <c r="CO199" s="7" t="s">
        <v>955</v>
      </c>
      <c r="CP199" s="7">
        <v>887.22076644587287</v>
      </c>
    </row>
    <row r="200" spans="1:94" ht="21" customHeight="1" x14ac:dyDescent="0.45">
      <c r="A200" s="9">
        <v>46236.864583333336</v>
      </c>
      <c r="B200" s="9">
        <v>46236.875</v>
      </c>
      <c r="C200" s="9">
        <v>46236.989583333336</v>
      </c>
      <c r="D200" s="10">
        <v>46236</v>
      </c>
      <c r="E200" s="7">
        <v>0.25</v>
      </c>
      <c r="F200" s="7" t="s">
        <v>770</v>
      </c>
      <c r="G200" s="9">
        <v>46236.833333333336</v>
      </c>
      <c r="H200" s="7">
        <v>183.75</v>
      </c>
      <c r="I200" s="7" t="s">
        <v>1120</v>
      </c>
      <c r="J200" s="7">
        <v>15</v>
      </c>
      <c r="K200" s="7" t="s">
        <v>960</v>
      </c>
      <c r="L200" s="10">
        <v>46234</v>
      </c>
      <c r="M200" s="7">
        <v>5.2473000000000001</v>
      </c>
      <c r="N200" s="7" t="s">
        <v>773</v>
      </c>
      <c r="O200" s="7">
        <v>131.96799999999999</v>
      </c>
      <c r="P200" s="7" t="s">
        <v>1115</v>
      </c>
      <c r="Q200" s="7" t="s">
        <v>775</v>
      </c>
      <c r="R200" s="7">
        <v>66.224534522516336</v>
      </c>
      <c r="S200" s="7" t="s">
        <v>776</v>
      </c>
      <c r="T200" s="7">
        <v>175</v>
      </c>
      <c r="U200" s="7" t="s">
        <v>1116</v>
      </c>
      <c r="V200" s="7" t="s">
        <v>775</v>
      </c>
      <c r="W200" s="7">
        <v>7.1274750824233415</v>
      </c>
      <c r="X200" s="7" t="s">
        <v>776</v>
      </c>
      <c r="Y200" s="7">
        <v>175</v>
      </c>
      <c r="Z200" s="7" t="s">
        <v>1117</v>
      </c>
      <c r="AA200" s="7" t="s">
        <v>775</v>
      </c>
      <c r="AB200" s="7">
        <v>2.5937148628818627</v>
      </c>
      <c r="AC200" s="7" t="s">
        <v>776</v>
      </c>
      <c r="AD200" s="7"/>
      <c r="AE200" s="7" t="s">
        <v>779</v>
      </c>
      <c r="AF200" s="7"/>
      <c r="AG200" s="7">
        <v>218.74849922817447</v>
      </c>
      <c r="AH200" s="7" t="s">
        <v>776</v>
      </c>
      <c r="AI200" s="7">
        <v>6.2119999999999997</v>
      </c>
      <c r="AJ200" s="7">
        <v>76.420254225982887</v>
      </c>
      <c r="AK200" s="7" t="s">
        <v>776</v>
      </c>
      <c r="AL200" s="7">
        <v>4.2000000000000003E-2</v>
      </c>
      <c r="AM200" s="7" t="s">
        <v>780</v>
      </c>
      <c r="AN200" s="7" t="s">
        <v>781</v>
      </c>
      <c r="AO200" s="7" t="s">
        <v>782</v>
      </c>
      <c r="AP200" s="7">
        <v>0.14198857142857141</v>
      </c>
      <c r="AQ200" s="7">
        <v>9.6000000000000002E-4</v>
      </c>
      <c r="AR200" s="7">
        <v>0.1429485714285714</v>
      </c>
      <c r="AS200" s="8" t="b">
        <v>1</v>
      </c>
      <c r="AT200" s="8" t="b">
        <v>1</v>
      </c>
      <c r="AU200" s="8" t="b">
        <v>1</v>
      </c>
      <c r="AV200" s="8" t="b">
        <v>1</v>
      </c>
      <c r="AW200" s="8" t="b">
        <v>1</v>
      </c>
      <c r="AX200" s="8" t="b">
        <v>1</v>
      </c>
      <c r="AY200" s="8" t="b">
        <v>1</v>
      </c>
      <c r="AZ200" s="8" t="b">
        <v>1</v>
      </c>
      <c r="BA200" s="7" t="s">
        <v>783</v>
      </c>
      <c r="BB200" s="7" t="s">
        <v>783</v>
      </c>
      <c r="BC200" s="7" t="s">
        <v>784</v>
      </c>
      <c r="BD200" s="7">
        <v>-0.44018066434166148</v>
      </c>
      <c r="BE200" s="7">
        <v>5.7600000000000004E-3</v>
      </c>
      <c r="BF200" s="7">
        <v>15.562289177291177</v>
      </c>
      <c r="BG200" s="7">
        <v>0.13714285714285715</v>
      </c>
      <c r="BH200" s="7" t="s">
        <v>154</v>
      </c>
      <c r="BI200" s="7">
        <v>175</v>
      </c>
      <c r="BJ200" s="7">
        <v>24</v>
      </c>
      <c r="BK200" s="7">
        <v>24</v>
      </c>
      <c r="BL200" s="7">
        <v>24</v>
      </c>
      <c r="BM200" s="8" t="b">
        <v>1</v>
      </c>
      <c r="BN200" s="7">
        <v>186.3587214453147</v>
      </c>
      <c r="BO200" s="7">
        <v>0.85193142857142856</v>
      </c>
      <c r="BP200" s="7">
        <v>42.764850494540049</v>
      </c>
      <c r="BQ200" s="7">
        <v>0.13714285714285715</v>
      </c>
      <c r="BR200" s="7" t="s">
        <v>154</v>
      </c>
      <c r="BS200" s="7">
        <v>175</v>
      </c>
      <c r="BT200" s="7">
        <v>24</v>
      </c>
      <c r="BU200" s="7">
        <v>24</v>
      </c>
      <c r="BV200" s="7">
        <v>24</v>
      </c>
      <c r="BW200" s="7" t="s">
        <v>1120</v>
      </c>
      <c r="BX200" s="8" t="b">
        <v>1</v>
      </c>
      <c r="BY200" s="7">
        <v>0</v>
      </c>
      <c r="BZ200" s="7">
        <v>0</v>
      </c>
      <c r="CA200" s="7">
        <v>46236.875</v>
      </c>
      <c r="CB200" s="7">
        <v>46236.864583333336</v>
      </c>
      <c r="CC200" s="7">
        <v>2.5869767287784681E-3</v>
      </c>
      <c r="CD200" s="7">
        <v>32.659843657142794</v>
      </c>
      <c r="CE200" s="7">
        <v>31.739130434782549</v>
      </c>
      <c r="CF200" s="7">
        <v>662.24534522516342</v>
      </c>
      <c r="CG200" s="7">
        <v>0.3125</v>
      </c>
      <c r="CH200" s="7" t="s">
        <v>150</v>
      </c>
      <c r="CI200" s="7">
        <v>128</v>
      </c>
      <c r="CJ200" s="8" t="b">
        <v>1</v>
      </c>
      <c r="CK200" s="7">
        <v>40</v>
      </c>
      <c r="CL200" s="7">
        <v>40</v>
      </c>
      <c r="CM200" s="7">
        <v>40</v>
      </c>
      <c r="CN200" s="8" t="b">
        <v>0</v>
      </c>
      <c r="CO200" s="7" t="s">
        <v>955</v>
      </c>
      <c r="CP200" s="7">
        <v>906.49102567796763</v>
      </c>
    </row>
    <row r="201" spans="1:94" ht="21" customHeight="1" x14ac:dyDescent="0.45">
      <c r="A201" s="9">
        <v>46236.875</v>
      </c>
      <c r="B201" s="9">
        <v>46236.885416666664</v>
      </c>
      <c r="C201" s="9">
        <v>46237</v>
      </c>
      <c r="D201" s="10">
        <v>46237</v>
      </c>
      <c r="E201" s="7">
        <v>0.25</v>
      </c>
      <c r="F201" s="7" t="s">
        <v>770</v>
      </c>
      <c r="G201" s="9">
        <v>46236.875</v>
      </c>
      <c r="H201" s="7">
        <v>228.39</v>
      </c>
      <c r="I201" s="7" t="s">
        <v>1121</v>
      </c>
      <c r="J201" s="7">
        <v>15</v>
      </c>
      <c r="K201" s="7" t="s">
        <v>960</v>
      </c>
      <c r="L201" s="10">
        <v>46234</v>
      </c>
      <c r="M201" s="7">
        <v>5.2473000000000001</v>
      </c>
      <c r="N201" s="7" t="s">
        <v>773</v>
      </c>
      <c r="O201" s="7">
        <v>131.96799999999999</v>
      </c>
      <c r="P201" s="7" t="s">
        <v>1122</v>
      </c>
      <c r="Q201" s="7" t="s">
        <v>775</v>
      </c>
      <c r="R201" s="7">
        <v>66.224534522516336</v>
      </c>
      <c r="S201" s="7" t="s">
        <v>776</v>
      </c>
      <c r="T201" s="7">
        <v>175</v>
      </c>
      <c r="U201" s="7" t="s">
        <v>1123</v>
      </c>
      <c r="V201" s="7" t="s">
        <v>775</v>
      </c>
      <c r="W201" s="7">
        <v>7.0664913384026065</v>
      </c>
      <c r="X201" s="7" t="s">
        <v>776</v>
      </c>
      <c r="Y201" s="7">
        <v>175</v>
      </c>
      <c r="Z201" s="7" t="s">
        <v>1124</v>
      </c>
      <c r="AA201" s="7" t="s">
        <v>775</v>
      </c>
      <c r="AB201" s="7">
        <v>2.7061536409200921</v>
      </c>
      <c r="AC201" s="7" t="s">
        <v>776</v>
      </c>
      <c r="AD201" s="7"/>
      <c r="AE201" s="7" t="s">
        <v>779</v>
      </c>
      <c r="AF201" s="7"/>
      <c r="AG201" s="7">
        <v>222.77056772054198</v>
      </c>
      <c r="AH201" s="7" t="s">
        <v>776</v>
      </c>
      <c r="AI201" s="7">
        <v>9.49</v>
      </c>
      <c r="AJ201" s="7">
        <v>0</v>
      </c>
      <c r="AK201" s="7" t="s">
        <v>776</v>
      </c>
      <c r="AL201" s="7">
        <v>0</v>
      </c>
      <c r="AM201" s="7" t="s">
        <v>780</v>
      </c>
      <c r="AN201" s="7" t="s">
        <v>781</v>
      </c>
      <c r="AO201" s="7" t="s">
        <v>782</v>
      </c>
      <c r="AP201" s="7">
        <v>0.2169142857142857</v>
      </c>
      <c r="AQ201" s="7">
        <v>0</v>
      </c>
      <c r="AR201" s="7">
        <v>0.2169142857142857</v>
      </c>
      <c r="AS201" s="8" t="b">
        <v>1</v>
      </c>
      <c r="AT201" s="8" t="b">
        <v>1</v>
      </c>
      <c r="AU201" s="8" t="b">
        <v>1</v>
      </c>
      <c r="AV201" s="8" t="b">
        <v>1</v>
      </c>
      <c r="AW201" s="8" t="b">
        <v>1</v>
      </c>
      <c r="AX201" s="8" t="b">
        <v>1</v>
      </c>
      <c r="AY201" s="8" t="b">
        <v>1</v>
      </c>
      <c r="AZ201" s="8" t="b">
        <v>1</v>
      </c>
      <c r="BA201" s="7" t="s">
        <v>783</v>
      </c>
      <c r="BB201" s="7" t="s">
        <v>783</v>
      </c>
      <c r="BC201" s="7" t="s">
        <v>784</v>
      </c>
      <c r="BD201" s="7">
        <v>0</v>
      </c>
      <c r="BE201" s="7">
        <v>0</v>
      </c>
      <c r="BF201" s="7">
        <v>16.236921845520552</v>
      </c>
      <c r="BG201" s="7">
        <v>0.13714285714285715</v>
      </c>
      <c r="BH201" s="7" t="s">
        <v>154</v>
      </c>
      <c r="BI201" s="7">
        <v>175</v>
      </c>
      <c r="BJ201" s="7">
        <v>24</v>
      </c>
      <c r="BK201" s="7">
        <v>24</v>
      </c>
      <c r="BL201" s="7">
        <v>24</v>
      </c>
      <c r="BM201" s="8" t="b">
        <v>1</v>
      </c>
      <c r="BN201" s="7">
        <v>229.53006323251958</v>
      </c>
      <c r="BO201" s="7">
        <v>1.0303428571428572</v>
      </c>
      <c r="BP201" s="7">
        <v>33.565833857412379</v>
      </c>
      <c r="BQ201" s="7">
        <v>0.13714285714285715</v>
      </c>
      <c r="BR201" s="7" t="s">
        <v>154</v>
      </c>
      <c r="BS201" s="7">
        <v>175</v>
      </c>
      <c r="BT201" s="7">
        <v>19</v>
      </c>
      <c r="BU201" s="7">
        <v>24</v>
      </c>
      <c r="BV201" s="7">
        <v>24</v>
      </c>
      <c r="BW201" s="7" t="s">
        <v>1121</v>
      </c>
      <c r="BX201" s="8" t="b">
        <v>1</v>
      </c>
      <c r="BY201" s="7">
        <v>-31.948126975812158</v>
      </c>
      <c r="BZ201" s="7">
        <v>-0.55953635405774615</v>
      </c>
      <c r="CA201" s="7">
        <v>46236.885416666664</v>
      </c>
      <c r="CB201" s="7">
        <v>46236.875</v>
      </c>
      <c r="CC201" s="7">
        <v>3.2992623738913665E-3</v>
      </c>
      <c r="CD201" s="7">
        <v>31.739130434782549</v>
      </c>
      <c r="CE201" s="7">
        <v>30.75295184590528</v>
      </c>
      <c r="CF201" s="7">
        <v>629.13307796390518</v>
      </c>
      <c r="CG201" s="7">
        <v>0.3125</v>
      </c>
      <c r="CH201" s="7" t="s">
        <v>150</v>
      </c>
      <c r="CI201" s="7">
        <v>128</v>
      </c>
      <c r="CJ201" s="8" t="b">
        <v>1</v>
      </c>
      <c r="CK201" s="7">
        <v>38</v>
      </c>
      <c r="CL201" s="7">
        <v>40</v>
      </c>
      <c r="CM201" s="7">
        <v>40</v>
      </c>
      <c r="CN201" s="8" t="b">
        <v>0</v>
      </c>
      <c r="CO201" s="7" t="s">
        <v>1125</v>
      </c>
      <c r="CP201" s="7">
        <v>876.51776992354553</v>
      </c>
    </row>
    <row r="202" spans="1:94" ht="21" customHeight="1" x14ac:dyDescent="0.45">
      <c r="A202" s="9">
        <v>46236.885416666664</v>
      </c>
      <c r="B202" s="9">
        <v>46236.895833333336</v>
      </c>
      <c r="C202" s="9">
        <v>46237.010416666664</v>
      </c>
      <c r="D202" s="10">
        <v>46237</v>
      </c>
      <c r="E202" s="7">
        <v>0.25</v>
      </c>
      <c r="F202" s="7" t="s">
        <v>770</v>
      </c>
      <c r="G202" s="9">
        <v>46236.875</v>
      </c>
      <c r="H202" s="7">
        <v>192.84</v>
      </c>
      <c r="I202" s="7" t="s">
        <v>1126</v>
      </c>
      <c r="J202" s="7">
        <v>15</v>
      </c>
      <c r="K202" s="7" t="s">
        <v>960</v>
      </c>
      <c r="L202" s="10">
        <v>46234</v>
      </c>
      <c r="M202" s="7">
        <v>5.2473000000000001</v>
      </c>
      <c r="N202" s="7" t="s">
        <v>773</v>
      </c>
      <c r="O202" s="7">
        <v>131.96799999999999</v>
      </c>
      <c r="P202" s="7" t="s">
        <v>1122</v>
      </c>
      <c r="Q202" s="7" t="s">
        <v>775</v>
      </c>
      <c r="R202" s="7">
        <v>66.224534522516336</v>
      </c>
      <c r="S202" s="7" t="s">
        <v>776</v>
      </c>
      <c r="T202" s="7">
        <v>175</v>
      </c>
      <c r="U202" s="7" t="s">
        <v>1123</v>
      </c>
      <c r="V202" s="7" t="s">
        <v>775</v>
      </c>
      <c r="W202" s="7">
        <v>7.0664913384026065</v>
      </c>
      <c r="X202" s="7" t="s">
        <v>776</v>
      </c>
      <c r="Y202" s="7">
        <v>175</v>
      </c>
      <c r="Z202" s="7" t="s">
        <v>1124</v>
      </c>
      <c r="AA202" s="7" t="s">
        <v>775</v>
      </c>
      <c r="AB202" s="7">
        <v>2.7061536409200921</v>
      </c>
      <c r="AC202" s="7" t="s">
        <v>776</v>
      </c>
      <c r="AD202" s="7"/>
      <c r="AE202" s="7" t="s">
        <v>779</v>
      </c>
      <c r="AF202" s="7"/>
      <c r="AG202" s="7">
        <v>173.76517447068017</v>
      </c>
      <c r="AH202" s="7" t="s">
        <v>776</v>
      </c>
      <c r="AI202" s="7">
        <v>0.44500000000000001</v>
      </c>
      <c r="AJ202" s="7">
        <v>76.420254225982887</v>
      </c>
      <c r="AK202" s="7" t="s">
        <v>776</v>
      </c>
      <c r="AL202" s="7">
        <v>0.153</v>
      </c>
      <c r="AM202" s="7" t="s">
        <v>780</v>
      </c>
      <c r="AN202" s="7" t="s">
        <v>781</v>
      </c>
      <c r="AO202" s="7" t="s">
        <v>782</v>
      </c>
      <c r="AP202" s="7">
        <v>1.01714285714285E-2</v>
      </c>
      <c r="AQ202" s="7">
        <v>3.4971428571427998E-3</v>
      </c>
      <c r="AR202" s="7">
        <v>1.36685714285714E-2</v>
      </c>
      <c r="AS202" s="8" t="b">
        <v>1</v>
      </c>
      <c r="AT202" s="8" t="b">
        <v>1</v>
      </c>
      <c r="AU202" s="8" t="b">
        <v>1</v>
      </c>
      <c r="AV202" s="8" t="b">
        <v>1</v>
      </c>
      <c r="AW202" s="8" t="b">
        <v>1</v>
      </c>
      <c r="AX202" s="8" t="b">
        <v>1</v>
      </c>
      <c r="AY202" s="8" t="b">
        <v>1</v>
      </c>
      <c r="AZ202" s="8" t="b">
        <v>1</v>
      </c>
      <c r="BA202" s="7" t="s">
        <v>783</v>
      </c>
      <c r="BB202" s="7" t="s">
        <v>783</v>
      </c>
      <c r="BC202" s="7" t="s">
        <v>784</v>
      </c>
      <c r="BD202" s="7">
        <v>-1.6035152772446237</v>
      </c>
      <c r="BE202" s="7">
        <v>2.0982857142857143E-2</v>
      </c>
      <c r="BF202" s="7">
        <v>16.236921845520552</v>
      </c>
      <c r="BG202" s="7">
        <v>0.13714285714285715</v>
      </c>
      <c r="BH202" s="7" t="s">
        <v>154</v>
      </c>
      <c r="BI202" s="7">
        <v>175</v>
      </c>
      <c r="BJ202" s="7">
        <v>24</v>
      </c>
      <c r="BK202" s="7">
        <v>24</v>
      </c>
      <c r="BL202" s="7">
        <v>24</v>
      </c>
      <c r="BM202" s="8" t="b">
        <v>1</v>
      </c>
      <c r="BN202" s="7">
        <v>8.3953402865691462</v>
      </c>
      <c r="BO202" s="7">
        <v>4.8314285714285712E-2</v>
      </c>
      <c r="BP202" s="7">
        <v>33.565833857412379</v>
      </c>
      <c r="BQ202" s="7">
        <v>0.13714285714285715</v>
      </c>
      <c r="BR202" s="7" t="s">
        <v>154</v>
      </c>
      <c r="BS202" s="7">
        <v>175</v>
      </c>
      <c r="BT202" s="7">
        <v>19</v>
      </c>
      <c r="BU202" s="7">
        <v>24</v>
      </c>
      <c r="BV202" s="7">
        <v>24</v>
      </c>
      <c r="BW202" s="7" t="s">
        <v>1126</v>
      </c>
      <c r="BX202" s="8" t="b">
        <v>1</v>
      </c>
      <c r="BY202" s="7">
        <v>0</v>
      </c>
      <c r="BZ202" s="7">
        <v>0</v>
      </c>
      <c r="CA202" s="7">
        <v>46236.895833333336</v>
      </c>
      <c r="CB202" s="7">
        <v>46236.885416666664</v>
      </c>
      <c r="CC202" s="7">
        <v>1.9949932367149757E-4</v>
      </c>
      <c r="CD202" s="7">
        <v>30.75295184590528</v>
      </c>
      <c r="CE202" s="7">
        <v>30.719740546526399</v>
      </c>
      <c r="CF202" s="7">
        <v>629.13307796390518</v>
      </c>
      <c r="CG202" s="7">
        <v>0.3125</v>
      </c>
      <c r="CH202" s="7" t="s">
        <v>150</v>
      </c>
      <c r="CI202" s="7">
        <v>128</v>
      </c>
      <c r="CJ202" s="8" t="b">
        <v>1</v>
      </c>
      <c r="CK202" s="7">
        <v>38</v>
      </c>
      <c r="CL202" s="7">
        <v>40</v>
      </c>
      <c r="CM202" s="7">
        <v>40</v>
      </c>
      <c r="CN202" s="8" t="b">
        <v>0</v>
      </c>
      <c r="CO202" s="7" t="s">
        <v>1125</v>
      </c>
      <c r="CP202" s="7">
        <v>685.7276586761626</v>
      </c>
    </row>
    <row r="203" spans="1:94" ht="21" customHeight="1" x14ac:dyDescent="0.45">
      <c r="A203" s="9">
        <v>46236.895833333336</v>
      </c>
      <c r="B203" s="9">
        <v>46236.90625</v>
      </c>
      <c r="C203" s="9">
        <v>46237.020833333336</v>
      </c>
      <c r="D203" s="10">
        <v>46237</v>
      </c>
      <c r="E203" s="7">
        <v>0.25</v>
      </c>
      <c r="F203" s="7" t="s">
        <v>770</v>
      </c>
      <c r="G203" s="9">
        <v>46236.875</v>
      </c>
      <c r="H203" s="7">
        <v>180.88</v>
      </c>
      <c r="I203" s="7" t="s">
        <v>1127</v>
      </c>
      <c r="J203" s="7">
        <v>15</v>
      </c>
      <c r="K203" s="7" t="s">
        <v>960</v>
      </c>
      <c r="L203" s="10">
        <v>46234</v>
      </c>
      <c r="M203" s="7">
        <v>5.2473000000000001</v>
      </c>
      <c r="N203" s="7" t="s">
        <v>773</v>
      </c>
      <c r="O203" s="7">
        <v>131.96799999999999</v>
      </c>
      <c r="P203" s="7" t="s">
        <v>1122</v>
      </c>
      <c r="Q203" s="7" t="s">
        <v>775</v>
      </c>
      <c r="R203" s="7">
        <v>66.224534522516336</v>
      </c>
      <c r="S203" s="7" t="s">
        <v>776</v>
      </c>
      <c r="T203" s="7">
        <v>175</v>
      </c>
      <c r="U203" s="7" t="s">
        <v>1123</v>
      </c>
      <c r="V203" s="7" t="s">
        <v>775</v>
      </c>
      <c r="W203" s="7">
        <v>7.0664913384026065</v>
      </c>
      <c r="X203" s="7" t="s">
        <v>776</v>
      </c>
      <c r="Y203" s="7">
        <v>175</v>
      </c>
      <c r="Z203" s="7" t="s">
        <v>1124</v>
      </c>
      <c r="AA203" s="7" t="s">
        <v>775</v>
      </c>
      <c r="AB203" s="7">
        <v>2.7061536409200921</v>
      </c>
      <c r="AC203" s="7" t="s">
        <v>776</v>
      </c>
      <c r="AD203" s="7"/>
      <c r="AE203" s="7" t="s">
        <v>779</v>
      </c>
      <c r="AF203" s="7"/>
      <c r="AG203" s="7">
        <v>187.97838888571266</v>
      </c>
      <c r="AH203" s="7" t="s">
        <v>776</v>
      </c>
      <c r="AI203" s="7">
        <v>1.5609999999999999</v>
      </c>
      <c r="AJ203" s="7">
        <v>76.420254225982887</v>
      </c>
      <c r="AK203" s="7" t="s">
        <v>776</v>
      </c>
      <c r="AL203" s="7">
        <v>7.0000000000000007E-2</v>
      </c>
      <c r="AM203" s="7" t="s">
        <v>780</v>
      </c>
      <c r="AN203" s="7" t="s">
        <v>781</v>
      </c>
      <c r="AO203" s="7" t="s">
        <v>782</v>
      </c>
      <c r="AP203" s="7">
        <v>3.5679999999999899E-2</v>
      </c>
      <c r="AQ203" s="7">
        <v>1.6000000000000001E-3</v>
      </c>
      <c r="AR203" s="7">
        <v>3.7279999999999897E-2</v>
      </c>
      <c r="AS203" s="8" t="b">
        <v>1</v>
      </c>
      <c r="AT203" s="8" t="b">
        <v>1</v>
      </c>
      <c r="AU203" s="8" t="b">
        <v>1</v>
      </c>
      <c r="AV203" s="8" t="b">
        <v>1</v>
      </c>
      <c r="AW203" s="8" t="b">
        <v>1</v>
      </c>
      <c r="AX203" s="8" t="b">
        <v>1</v>
      </c>
      <c r="AY203" s="8" t="b">
        <v>1</v>
      </c>
      <c r="AZ203" s="8" t="b">
        <v>1</v>
      </c>
      <c r="BA203" s="7" t="s">
        <v>783</v>
      </c>
      <c r="BB203" s="7" t="s">
        <v>783</v>
      </c>
      <c r="BC203" s="7" t="s">
        <v>784</v>
      </c>
      <c r="BD203" s="7">
        <v>-0.73363444056943583</v>
      </c>
      <c r="BE203" s="7">
        <v>9.6000000000000009E-3</v>
      </c>
      <c r="BF203" s="7">
        <v>16.236921845520552</v>
      </c>
      <c r="BG203" s="7">
        <v>0.13714285714285715</v>
      </c>
      <c r="BH203" s="7" t="s">
        <v>154</v>
      </c>
      <c r="BI203" s="7">
        <v>175</v>
      </c>
      <c r="BJ203" s="7">
        <v>24</v>
      </c>
      <c r="BK203" s="7">
        <v>24</v>
      </c>
      <c r="BL203" s="7">
        <v>24</v>
      </c>
      <c r="BM203" s="8" t="b">
        <v>1</v>
      </c>
      <c r="BN203" s="7">
        <v>31.858577348350579</v>
      </c>
      <c r="BO203" s="7">
        <v>0.16947999999999999</v>
      </c>
      <c r="BP203" s="7">
        <v>33.565833857412379</v>
      </c>
      <c r="BQ203" s="7">
        <v>0.13714285714285715</v>
      </c>
      <c r="BR203" s="7" t="s">
        <v>154</v>
      </c>
      <c r="BS203" s="7">
        <v>175</v>
      </c>
      <c r="BT203" s="7">
        <v>19</v>
      </c>
      <c r="BU203" s="7">
        <v>24</v>
      </c>
      <c r="BV203" s="7">
        <v>24</v>
      </c>
      <c r="BW203" s="7" t="s">
        <v>1127</v>
      </c>
      <c r="BX203" s="8" t="b">
        <v>1</v>
      </c>
      <c r="BY203" s="7">
        <v>-802.8936190310061</v>
      </c>
      <c r="BZ203" s="7">
        <v>-17.755276847213757</v>
      </c>
      <c r="CA203" s="7">
        <v>46236.90625</v>
      </c>
      <c r="CB203" s="7">
        <v>46236.895833333336</v>
      </c>
      <c r="CC203" s="7">
        <v>1.0996964371340059E-2</v>
      </c>
      <c r="CD203" s="7">
        <v>30.719740546526399</v>
      </c>
      <c r="CE203" s="7">
        <v>34.654510914724355</v>
      </c>
      <c r="CF203" s="7">
        <v>629.13307796390518</v>
      </c>
      <c r="CG203" s="7">
        <v>0.3125</v>
      </c>
      <c r="CH203" s="7" t="s">
        <v>150</v>
      </c>
      <c r="CI203" s="7">
        <v>128</v>
      </c>
      <c r="CJ203" s="8" t="b">
        <v>1</v>
      </c>
      <c r="CK203" s="7">
        <v>38</v>
      </c>
      <c r="CL203" s="7">
        <v>40</v>
      </c>
      <c r="CM203" s="7">
        <v>40</v>
      </c>
      <c r="CN203" s="8" t="b">
        <v>0</v>
      </c>
      <c r="CO203" s="7" t="s">
        <v>1125</v>
      </c>
      <c r="CP203" s="7">
        <v>-92.832842456386842</v>
      </c>
    </row>
    <row r="204" spans="1:94" ht="21" customHeight="1" x14ac:dyDescent="0.45">
      <c r="A204" s="9">
        <v>46236.90625</v>
      </c>
      <c r="B204" s="9">
        <v>46236.916666666664</v>
      </c>
      <c r="C204" s="9">
        <v>46237.03125</v>
      </c>
      <c r="D204" s="10">
        <v>46237</v>
      </c>
      <c r="E204" s="7">
        <v>0.25</v>
      </c>
      <c r="F204" s="7" t="s">
        <v>770</v>
      </c>
      <c r="G204" s="9">
        <v>46236.875</v>
      </c>
      <c r="H204" s="7">
        <v>183.55</v>
      </c>
      <c r="I204" s="7" t="s">
        <v>1128</v>
      </c>
      <c r="J204" s="7">
        <v>15</v>
      </c>
      <c r="K204" s="7" t="s">
        <v>960</v>
      </c>
      <c r="L204" s="10">
        <v>46234</v>
      </c>
      <c r="M204" s="7">
        <v>5.2473000000000001</v>
      </c>
      <c r="N204" s="7" t="s">
        <v>773</v>
      </c>
      <c r="O204" s="7">
        <v>131.96799999999999</v>
      </c>
      <c r="P204" s="7" t="s">
        <v>1122</v>
      </c>
      <c r="Q204" s="7" t="s">
        <v>775</v>
      </c>
      <c r="R204" s="7">
        <v>66.224534522516336</v>
      </c>
      <c r="S204" s="7" t="s">
        <v>776</v>
      </c>
      <c r="T204" s="7">
        <v>175</v>
      </c>
      <c r="U204" s="7" t="s">
        <v>1123</v>
      </c>
      <c r="V204" s="7" t="s">
        <v>775</v>
      </c>
      <c r="W204" s="7">
        <v>7.0664913384026065</v>
      </c>
      <c r="X204" s="7" t="s">
        <v>776</v>
      </c>
      <c r="Y204" s="7">
        <v>175</v>
      </c>
      <c r="Z204" s="7" t="s">
        <v>1124</v>
      </c>
      <c r="AA204" s="7" t="s">
        <v>775</v>
      </c>
      <c r="AB204" s="7">
        <v>2.7061536409200921</v>
      </c>
      <c r="AC204" s="7" t="s">
        <v>776</v>
      </c>
      <c r="AD204" s="7"/>
      <c r="AE204" s="7" t="s">
        <v>779</v>
      </c>
      <c r="AF204" s="7"/>
      <c r="AG204" s="7">
        <v>178.98728870085569</v>
      </c>
      <c r="AH204" s="7" t="s">
        <v>776</v>
      </c>
      <c r="AI204" s="7">
        <v>0.59899999999999998</v>
      </c>
      <c r="AJ204" s="7">
        <v>76.420254225982887</v>
      </c>
      <c r="AK204" s="7" t="s">
        <v>776</v>
      </c>
      <c r="AL204" s="7">
        <v>1.4E-2</v>
      </c>
      <c r="AM204" s="7" t="s">
        <v>780</v>
      </c>
      <c r="AN204" s="7" t="s">
        <v>781</v>
      </c>
      <c r="AO204" s="7" t="s">
        <v>782</v>
      </c>
      <c r="AP204" s="7">
        <v>1.36914285714285E-2</v>
      </c>
      <c r="AQ204" s="7">
        <v>3.2000000000000003E-4</v>
      </c>
      <c r="AR204" s="7">
        <v>1.4011428571428499E-2</v>
      </c>
      <c r="AS204" s="8" t="b">
        <v>1</v>
      </c>
      <c r="AT204" s="8" t="b">
        <v>1</v>
      </c>
      <c r="AU204" s="8" t="b">
        <v>1</v>
      </c>
      <c r="AV204" s="8" t="b">
        <v>1</v>
      </c>
      <c r="AW204" s="8" t="b">
        <v>1</v>
      </c>
      <c r="AX204" s="8" t="b">
        <v>1</v>
      </c>
      <c r="AY204" s="8" t="b">
        <v>1</v>
      </c>
      <c r="AZ204" s="8" t="b">
        <v>1</v>
      </c>
      <c r="BA204" s="7" t="s">
        <v>783</v>
      </c>
      <c r="BB204" s="7" t="s">
        <v>783</v>
      </c>
      <c r="BC204" s="7" t="s">
        <v>784</v>
      </c>
      <c r="BD204" s="7">
        <v>-0.14672688811388718</v>
      </c>
      <c r="BE204" s="7">
        <v>1.9200000000000003E-3</v>
      </c>
      <c r="BF204" s="7">
        <v>16.236921845520552</v>
      </c>
      <c r="BG204" s="7">
        <v>0.13714285714285715</v>
      </c>
      <c r="BH204" s="7" t="s">
        <v>154</v>
      </c>
      <c r="BI204" s="7">
        <v>175</v>
      </c>
      <c r="BJ204" s="7">
        <v>24</v>
      </c>
      <c r="BK204" s="7">
        <v>24</v>
      </c>
      <c r="BL204" s="7">
        <v>24</v>
      </c>
      <c r="BM204" s="8" t="b">
        <v>1</v>
      </c>
      <c r="BN204" s="7">
        <v>11.640310472596791</v>
      </c>
      <c r="BO204" s="7">
        <v>6.5034285714285711E-2</v>
      </c>
      <c r="BP204" s="7">
        <v>33.565833857412379</v>
      </c>
      <c r="BQ204" s="7">
        <v>0.13714285714285715</v>
      </c>
      <c r="BR204" s="7" t="s">
        <v>154</v>
      </c>
      <c r="BS204" s="7">
        <v>175</v>
      </c>
      <c r="BT204" s="7">
        <v>19</v>
      </c>
      <c r="BU204" s="7">
        <v>24</v>
      </c>
      <c r="BV204" s="7">
        <v>24</v>
      </c>
      <c r="BW204" s="7" t="s">
        <v>1128</v>
      </c>
      <c r="BX204" s="8" t="b">
        <v>1</v>
      </c>
      <c r="BY204" s="7">
        <v>0</v>
      </c>
      <c r="BZ204" s="7">
        <v>0</v>
      </c>
      <c r="CA204" s="7">
        <v>46236.916666666664</v>
      </c>
      <c r="CB204" s="7">
        <v>46236.90625</v>
      </c>
      <c r="CC204" s="7">
        <v>2.0126622498274667E-4</v>
      </c>
      <c r="CD204" s="7">
        <v>34.654510914724355</v>
      </c>
      <c r="CE204" s="7">
        <v>34.585587873730567</v>
      </c>
      <c r="CF204" s="7">
        <v>629.13307796390518</v>
      </c>
      <c r="CG204" s="7">
        <v>0.3125</v>
      </c>
      <c r="CH204" s="7" t="s">
        <v>150</v>
      </c>
      <c r="CI204" s="7">
        <v>128</v>
      </c>
      <c r="CJ204" s="8" t="b">
        <v>1</v>
      </c>
      <c r="CK204" s="7">
        <v>38</v>
      </c>
      <c r="CL204" s="7">
        <v>40</v>
      </c>
      <c r="CM204" s="7">
        <v>40</v>
      </c>
      <c r="CN204" s="8" t="b">
        <v>0</v>
      </c>
      <c r="CO204" s="7" t="s">
        <v>1125</v>
      </c>
      <c r="CP204" s="7">
        <v>690.42941725132107</v>
      </c>
    </row>
    <row r="205" spans="1:94" ht="21" customHeight="1" x14ac:dyDescent="0.45">
      <c r="A205" s="9">
        <v>46236.916666666664</v>
      </c>
      <c r="B205" s="9">
        <v>46236.927083333336</v>
      </c>
      <c r="C205" s="9">
        <v>46237.041666666664</v>
      </c>
      <c r="D205" s="10">
        <v>46237</v>
      </c>
      <c r="E205" s="7">
        <v>0.25</v>
      </c>
      <c r="F205" s="7" t="s">
        <v>770</v>
      </c>
      <c r="G205" s="9">
        <v>46236.916666666664</v>
      </c>
      <c r="H205" s="7">
        <v>198.08</v>
      </c>
      <c r="I205" s="7" t="s">
        <v>1129</v>
      </c>
      <c r="J205" s="7">
        <v>15</v>
      </c>
      <c r="K205" s="7" t="s">
        <v>1130</v>
      </c>
      <c r="L205" s="10">
        <v>46234</v>
      </c>
      <c r="M205" s="7">
        <v>5.2473000000000001</v>
      </c>
      <c r="N205" s="7" t="s">
        <v>773</v>
      </c>
      <c r="O205" s="7">
        <v>119.93600000000001</v>
      </c>
      <c r="P205" s="7" t="s">
        <v>1131</v>
      </c>
      <c r="Q205" s="7" t="s">
        <v>775</v>
      </c>
      <c r="R205" s="7">
        <v>66.224534522516336</v>
      </c>
      <c r="S205" s="7" t="s">
        <v>776</v>
      </c>
      <c r="T205" s="7">
        <v>175</v>
      </c>
      <c r="U205" s="7" t="s">
        <v>1132</v>
      </c>
      <c r="V205" s="7" t="s">
        <v>775</v>
      </c>
      <c r="W205" s="7">
        <v>7.0664913384026065</v>
      </c>
      <c r="X205" s="7" t="s">
        <v>776</v>
      </c>
      <c r="Y205" s="7">
        <v>175</v>
      </c>
      <c r="Z205" s="7" t="s">
        <v>1133</v>
      </c>
      <c r="AA205" s="7" t="s">
        <v>775</v>
      </c>
      <c r="AB205" s="7">
        <v>2.7061536409200921</v>
      </c>
      <c r="AC205" s="7" t="s">
        <v>776</v>
      </c>
      <c r="AD205" s="7"/>
      <c r="AE205" s="7" t="s">
        <v>779</v>
      </c>
      <c r="AF205" s="7"/>
      <c r="AG205" s="7">
        <v>236.93270824995713</v>
      </c>
      <c r="AH205" s="7" t="s">
        <v>776</v>
      </c>
      <c r="AI205" s="7">
        <v>11.795999999999999</v>
      </c>
      <c r="AJ205" s="7">
        <v>0</v>
      </c>
      <c r="AK205" s="7" t="s">
        <v>776</v>
      </c>
      <c r="AL205" s="7">
        <v>0</v>
      </c>
      <c r="AM205" s="7" t="s">
        <v>780</v>
      </c>
      <c r="AN205" s="7" t="s">
        <v>781</v>
      </c>
      <c r="AO205" s="7" t="s">
        <v>782</v>
      </c>
      <c r="AP205" s="7">
        <v>0.26962285714285711</v>
      </c>
      <c r="AQ205" s="7">
        <v>0</v>
      </c>
      <c r="AR205" s="7">
        <v>0.26962285714285711</v>
      </c>
      <c r="AS205" s="8" t="b">
        <v>1</v>
      </c>
      <c r="AT205" s="8" t="b">
        <v>1</v>
      </c>
      <c r="AU205" s="8" t="b">
        <v>1</v>
      </c>
      <c r="AV205" s="8" t="b">
        <v>1</v>
      </c>
      <c r="AW205" s="8" t="b">
        <v>1</v>
      </c>
      <c r="AX205" s="8" t="b">
        <v>1</v>
      </c>
      <c r="AY205" s="8" t="b">
        <v>1</v>
      </c>
      <c r="AZ205" s="8" t="b">
        <v>1</v>
      </c>
      <c r="BA205" s="7" t="s">
        <v>783</v>
      </c>
      <c r="BB205" s="7" t="s">
        <v>783</v>
      </c>
      <c r="BC205" s="7" t="s">
        <v>784</v>
      </c>
      <c r="BD205" s="7">
        <v>0</v>
      </c>
      <c r="BE205" s="7">
        <v>0</v>
      </c>
      <c r="BF205" s="7">
        <v>16.236921845520552</v>
      </c>
      <c r="BG205" s="7">
        <v>0.13714285714285715</v>
      </c>
      <c r="BH205" s="7" t="s">
        <v>154</v>
      </c>
      <c r="BI205" s="7">
        <v>175</v>
      </c>
      <c r="BJ205" s="7">
        <v>24</v>
      </c>
      <c r="BK205" s="7">
        <v>24</v>
      </c>
      <c r="BL205" s="7">
        <v>24</v>
      </c>
      <c r="BM205" s="8" t="b">
        <v>1</v>
      </c>
      <c r="BN205" s="7">
        <v>383.29484249369057</v>
      </c>
      <c r="BO205" s="7">
        <v>1.6177371428571425</v>
      </c>
      <c r="BP205" s="7">
        <v>42.398948030415639</v>
      </c>
      <c r="BQ205" s="7">
        <v>0.13714285714285715</v>
      </c>
      <c r="BR205" s="7" t="s">
        <v>154</v>
      </c>
      <c r="BS205" s="7">
        <v>175</v>
      </c>
      <c r="BT205" s="7">
        <v>24</v>
      </c>
      <c r="BU205" s="7">
        <v>24</v>
      </c>
      <c r="BV205" s="7">
        <v>24</v>
      </c>
      <c r="BW205" s="7" t="s">
        <v>1129</v>
      </c>
      <c r="BX205" s="8" t="b">
        <v>1</v>
      </c>
      <c r="BY205" s="7">
        <v>0</v>
      </c>
      <c r="BZ205" s="7">
        <v>0</v>
      </c>
      <c r="CA205" s="7">
        <v>46236.927083333336</v>
      </c>
      <c r="CB205" s="7">
        <v>46236.916666666664</v>
      </c>
      <c r="CC205" s="7">
        <v>4.88447204968944E-3</v>
      </c>
      <c r="CD205" s="7">
        <v>34.585587873730567</v>
      </c>
      <c r="CE205" s="7">
        <v>32.827177935842371</v>
      </c>
      <c r="CF205" s="7">
        <v>662.24534522516342</v>
      </c>
      <c r="CG205" s="7">
        <v>0.3125</v>
      </c>
      <c r="CH205" s="7" t="s">
        <v>150</v>
      </c>
      <c r="CI205" s="7">
        <v>128</v>
      </c>
      <c r="CJ205" s="8" t="b">
        <v>1</v>
      </c>
      <c r="CK205" s="7">
        <v>40</v>
      </c>
      <c r="CL205" s="7">
        <v>40</v>
      </c>
      <c r="CM205" s="7">
        <v>40</v>
      </c>
      <c r="CN205" s="8" t="b">
        <v>0</v>
      </c>
      <c r="CO205" s="7" t="s">
        <v>1125</v>
      </c>
      <c r="CP205" s="7">
        <v>1104.1760575947901</v>
      </c>
    </row>
    <row r="206" spans="1:94" ht="21" customHeight="1" x14ac:dyDescent="0.45">
      <c r="A206" s="9">
        <v>46236.927083333336</v>
      </c>
      <c r="B206" s="9">
        <v>46236.9375</v>
      </c>
      <c r="C206" s="9">
        <v>46237.052083333336</v>
      </c>
      <c r="D206" s="10">
        <v>46237</v>
      </c>
      <c r="E206" s="7">
        <v>0.25</v>
      </c>
      <c r="F206" s="7" t="s">
        <v>770</v>
      </c>
      <c r="G206" s="9">
        <v>46236.916666666664</v>
      </c>
      <c r="H206" s="7">
        <v>194.74</v>
      </c>
      <c r="I206" s="7" t="s">
        <v>1134</v>
      </c>
      <c r="J206" s="7">
        <v>15</v>
      </c>
      <c r="K206" s="7" t="s">
        <v>1130</v>
      </c>
      <c r="L206" s="10">
        <v>46234</v>
      </c>
      <c r="M206" s="7">
        <v>5.2473000000000001</v>
      </c>
      <c r="N206" s="7" t="s">
        <v>773</v>
      </c>
      <c r="O206" s="7">
        <v>119.93600000000001</v>
      </c>
      <c r="P206" s="7" t="s">
        <v>1131</v>
      </c>
      <c r="Q206" s="7" t="s">
        <v>775</v>
      </c>
      <c r="R206" s="7">
        <v>66.224534522516336</v>
      </c>
      <c r="S206" s="7" t="s">
        <v>776</v>
      </c>
      <c r="T206" s="7">
        <v>175</v>
      </c>
      <c r="U206" s="7" t="s">
        <v>1132</v>
      </c>
      <c r="V206" s="7" t="s">
        <v>775</v>
      </c>
      <c r="W206" s="7">
        <v>7.0664913384026065</v>
      </c>
      <c r="X206" s="7" t="s">
        <v>776</v>
      </c>
      <c r="Y206" s="7">
        <v>175</v>
      </c>
      <c r="Z206" s="7" t="s">
        <v>1133</v>
      </c>
      <c r="AA206" s="7" t="s">
        <v>775</v>
      </c>
      <c r="AB206" s="7">
        <v>2.7061536409200921</v>
      </c>
      <c r="AC206" s="7" t="s">
        <v>776</v>
      </c>
      <c r="AD206" s="7"/>
      <c r="AE206" s="7" t="s">
        <v>779</v>
      </c>
      <c r="AF206" s="7"/>
      <c r="AG206" s="7">
        <v>186.47685476340212</v>
      </c>
      <c r="AH206" s="7" t="s">
        <v>776</v>
      </c>
      <c r="AI206" s="7">
        <v>1.359</v>
      </c>
      <c r="AJ206" s="7">
        <v>0</v>
      </c>
      <c r="AK206" s="7" t="s">
        <v>776</v>
      </c>
      <c r="AL206" s="7">
        <v>0</v>
      </c>
      <c r="AM206" s="7" t="s">
        <v>780</v>
      </c>
      <c r="AN206" s="7" t="s">
        <v>781</v>
      </c>
      <c r="AO206" s="7" t="s">
        <v>782</v>
      </c>
      <c r="AP206" s="7">
        <v>3.10628571428571E-2</v>
      </c>
      <c r="AQ206" s="7">
        <v>0</v>
      </c>
      <c r="AR206" s="7">
        <v>3.10628571428571E-2</v>
      </c>
      <c r="AS206" s="8" t="b">
        <v>1</v>
      </c>
      <c r="AT206" s="8" t="b">
        <v>1</v>
      </c>
      <c r="AU206" s="8" t="b">
        <v>1</v>
      </c>
      <c r="AV206" s="8" t="b">
        <v>1</v>
      </c>
      <c r="AW206" s="8" t="b">
        <v>1</v>
      </c>
      <c r="AX206" s="8" t="b">
        <v>1</v>
      </c>
      <c r="AY206" s="8" t="b">
        <v>1</v>
      </c>
      <c r="AZ206" s="8" t="b">
        <v>1</v>
      </c>
      <c r="BA206" s="7" t="s">
        <v>783</v>
      </c>
      <c r="BB206" s="7" t="s">
        <v>783</v>
      </c>
      <c r="BC206" s="7" t="s">
        <v>784</v>
      </c>
      <c r="BD206" s="7">
        <v>0</v>
      </c>
      <c r="BE206" s="7">
        <v>0</v>
      </c>
      <c r="BF206" s="7">
        <v>16.236921845520552</v>
      </c>
      <c r="BG206" s="7">
        <v>0.13714285714285715</v>
      </c>
      <c r="BH206" s="7" t="s">
        <v>154</v>
      </c>
      <c r="BI206" s="7">
        <v>175</v>
      </c>
      <c r="BJ206" s="7">
        <v>24</v>
      </c>
      <c r="BK206" s="7">
        <v>24</v>
      </c>
      <c r="BL206" s="7">
        <v>24</v>
      </c>
      <c r="BM206" s="8" t="b">
        <v>1</v>
      </c>
      <c r="BN206" s="7">
        <v>34.755023399789273</v>
      </c>
      <c r="BO206" s="7">
        <v>0.18637714285714285</v>
      </c>
      <c r="BP206" s="7">
        <v>42.398948030415639</v>
      </c>
      <c r="BQ206" s="7">
        <v>0.13714285714285715</v>
      </c>
      <c r="BR206" s="7" t="s">
        <v>154</v>
      </c>
      <c r="BS206" s="7">
        <v>175</v>
      </c>
      <c r="BT206" s="7">
        <v>24</v>
      </c>
      <c r="BU206" s="7">
        <v>24</v>
      </c>
      <c r="BV206" s="7">
        <v>24</v>
      </c>
      <c r="BW206" s="7" t="s">
        <v>1134</v>
      </c>
      <c r="BX206" s="8" t="b">
        <v>1</v>
      </c>
      <c r="BY206" s="7">
        <v>0</v>
      </c>
      <c r="BZ206" s="7">
        <v>0</v>
      </c>
      <c r="CA206" s="7">
        <v>46236.9375</v>
      </c>
      <c r="CB206" s="7">
        <v>46236.927083333336</v>
      </c>
      <c r="CC206" s="7">
        <v>5.6273291925465832E-4</v>
      </c>
      <c r="CD206" s="7">
        <v>32.827177935842371</v>
      </c>
      <c r="CE206" s="7">
        <v>32.624594084910697</v>
      </c>
      <c r="CF206" s="7">
        <v>662.24534522516342</v>
      </c>
      <c r="CG206" s="7">
        <v>0.3125</v>
      </c>
      <c r="CH206" s="7" t="s">
        <v>150</v>
      </c>
      <c r="CI206" s="7">
        <v>128</v>
      </c>
      <c r="CJ206" s="8" t="b">
        <v>1</v>
      </c>
      <c r="CK206" s="7">
        <v>40</v>
      </c>
      <c r="CL206" s="7">
        <v>40</v>
      </c>
      <c r="CM206" s="7">
        <v>40</v>
      </c>
      <c r="CN206" s="8" t="b">
        <v>0</v>
      </c>
      <c r="CO206" s="7" t="s">
        <v>1125</v>
      </c>
      <c r="CP206" s="7">
        <v>755.63623850088891</v>
      </c>
    </row>
    <row r="207" spans="1:94" ht="21" customHeight="1" x14ac:dyDescent="0.45">
      <c r="A207" s="9">
        <v>46236.9375</v>
      </c>
      <c r="B207" s="9">
        <v>46236.947916666664</v>
      </c>
      <c r="C207" s="9">
        <v>46237.0625</v>
      </c>
      <c r="D207" s="10">
        <v>46237</v>
      </c>
      <c r="E207" s="7">
        <v>0.25</v>
      </c>
      <c r="F207" s="7" t="s">
        <v>770</v>
      </c>
      <c r="G207" s="9">
        <v>46236.916666666664</v>
      </c>
      <c r="H207" s="7">
        <v>187.51</v>
      </c>
      <c r="I207" s="7" t="s">
        <v>1135</v>
      </c>
      <c r="J207" s="7">
        <v>15</v>
      </c>
      <c r="K207" s="7" t="s">
        <v>1130</v>
      </c>
      <c r="L207" s="10">
        <v>46234</v>
      </c>
      <c r="M207" s="7">
        <v>5.2473000000000001</v>
      </c>
      <c r="N207" s="7" t="s">
        <v>773</v>
      </c>
      <c r="O207" s="7">
        <v>119.93600000000001</v>
      </c>
      <c r="P207" s="7" t="s">
        <v>1131</v>
      </c>
      <c r="Q207" s="7" t="s">
        <v>775</v>
      </c>
      <c r="R207" s="7">
        <v>66.224534522516336</v>
      </c>
      <c r="S207" s="7" t="s">
        <v>776</v>
      </c>
      <c r="T207" s="7">
        <v>175</v>
      </c>
      <c r="U207" s="7" t="s">
        <v>1132</v>
      </c>
      <c r="V207" s="7" t="s">
        <v>775</v>
      </c>
      <c r="W207" s="7">
        <v>7.0664913384026065</v>
      </c>
      <c r="X207" s="7" t="s">
        <v>776</v>
      </c>
      <c r="Y207" s="7">
        <v>175</v>
      </c>
      <c r="Z207" s="7" t="s">
        <v>1133</v>
      </c>
      <c r="AA207" s="7" t="s">
        <v>775</v>
      </c>
      <c r="AB207" s="7">
        <v>2.7061536409200921</v>
      </c>
      <c r="AC207" s="7" t="s">
        <v>776</v>
      </c>
      <c r="AD207" s="7"/>
      <c r="AE207" s="7" t="s">
        <v>779</v>
      </c>
      <c r="AF207" s="7"/>
      <c r="AG207" s="7">
        <v>173.72439159186629</v>
      </c>
      <c r="AH207" s="7" t="s">
        <v>776</v>
      </c>
      <c r="AI207" s="7">
        <v>0.38700000000000001</v>
      </c>
      <c r="AJ207" s="7">
        <v>76.420254225982887</v>
      </c>
      <c r="AK207" s="7" t="s">
        <v>776</v>
      </c>
      <c r="AL207" s="7">
        <v>6.0000000000000001E-3</v>
      </c>
      <c r="AM207" s="7" t="s">
        <v>780</v>
      </c>
      <c r="AN207" s="7" t="s">
        <v>781</v>
      </c>
      <c r="AO207" s="7" t="s">
        <v>782</v>
      </c>
      <c r="AP207" s="7">
        <v>8.8457142857141999E-3</v>
      </c>
      <c r="AQ207" s="7">
        <v>1.371428571428E-4</v>
      </c>
      <c r="AR207" s="7">
        <v>8.9828571428570998E-3</v>
      </c>
      <c r="AS207" s="8" t="b">
        <v>1</v>
      </c>
      <c r="AT207" s="8" t="b">
        <v>1</v>
      </c>
      <c r="AU207" s="8" t="b">
        <v>1</v>
      </c>
      <c r="AV207" s="8" t="b">
        <v>1</v>
      </c>
      <c r="AW207" s="8" t="b">
        <v>1</v>
      </c>
      <c r="AX207" s="8" t="b">
        <v>1</v>
      </c>
      <c r="AY207" s="8" t="b">
        <v>1</v>
      </c>
      <c r="AZ207" s="8" t="b">
        <v>1</v>
      </c>
      <c r="BA207" s="7" t="s">
        <v>783</v>
      </c>
      <c r="BB207" s="7" t="s">
        <v>783</v>
      </c>
      <c r="BC207" s="7" t="s">
        <v>784</v>
      </c>
      <c r="BD207" s="7">
        <v>-6.2882952048808768E-2</v>
      </c>
      <c r="BE207" s="7">
        <v>8.2285714285714275E-4</v>
      </c>
      <c r="BF207" s="7">
        <v>16.236921845520552</v>
      </c>
      <c r="BG207" s="7">
        <v>0.13714285714285715</v>
      </c>
      <c r="BH207" s="7" t="s">
        <v>154</v>
      </c>
      <c r="BI207" s="7">
        <v>175</v>
      </c>
      <c r="BJ207" s="7">
        <v>24</v>
      </c>
      <c r="BK207" s="7">
        <v>24</v>
      </c>
      <c r="BL207" s="7">
        <v>24</v>
      </c>
      <c r="BM207" s="8" t="b">
        <v>1</v>
      </c>
      <c r="BN207" s="7">
        <v>9.2202979948871668</v>
      </c>
      <c r="BO207" s="7">
        <v>5.307428571428572E-2</v>
      </c>
      <c r="BP207" s="7">
        <v>42.398948030415639</v>
      </c>
      <c r="BQ207" s="7">
        <v>0.13714285714285715</v>
      </c>
      <c r="BR207" s="7" t="s">
        <v>154</v>
      </c>
      <c r="BS207" s="7">
        <v>175</v>
      </c>
      <c r="BT207" s="7">
        <v>24</v>
      </c>
      <c r="BU207" s="7">
        <v>24</v>
      </c>
      <c r="BV207" s="7">
        <v>24</v>
      </c>
      <c r="BW207" s="7" t="s">
        <v>1135</v>
      </c>
      <c r="BX207" s="8" t="b">
        <v>1</v>
      </c>
      <c r="BY207" s="7">
        <v>0</v>
      </c>
      <c r="BZ207" s="7">
        <v>0</v>
      </c>
      <c r="CA207" s="7">
        <v>46236.947916666664</v>
      </c>
      <c r="CB207" s="7">
        <v>46236.9375</v>
      </c>
      <c r="CC207" s="7">
        <v>1.6235130434782611E-4</v>
      </c>
      <c r="CD207" s="7">
        <v>32.624594084910697</v>
      </c>
      <c r="CE207" s="7">
        <v>32.567661672488335</v>
      </c>
      <c r="CF207" s="7">
        <v>662.24534522516342</v>
      </c>
      <c r="CG207" s="7">
        <v>0.3125</v>
      </c>
      <c r="CH207" s="7" t="s">
        <v>150</v>
      </c>
      <c r="CI207" s="7">
        <v>128</v>
      </c>
      <c r="CJ207" s="8" t="b">
        <v>1</v>
      </c>
      <c r="CK207" s="7">
        <v>40</v>
      </c>
      <c r="CL207" s="7">
        <v>40</v>
      </c>
      <c r="CM207" s="7">
        <v>40</v>
      </c>
      <c r="CN207" s="8" t="b">
        <v>0</v>
      </c>
      <c r="CO207" s="7" t="s">
        <v>1125</v>
      </c>
      <c r="CP207" s="7">
        <v>730.03863014393801</v>
      </c>
    </row>
    <row r="208" spans="1:94" ht="21" customHeight="1" x14ac:dyDescent="0.45">
      <c r="A208" s="9">
        <v>46236.947916666664</v>
      </c>
      <c r="B208" s="9">
        <v>46236.958333333336</v>
      </c>
      <c r="C208" s="9">
        <v>46237.072916666664</v>
      </c>
      <c r="D208" s="10">
        <v>46237</v>
      </c>
      <c r="E208" s="7">
        <v>0.25</v>
      </c>
      <c r="F208" s="7" t="s">
        <v>770</v>
      </c>
      <c r="G208" s="9">
        <v>46236.916666666664</v>
      </c>
      <c r="H208" s="7">
        <v>182.42</v>
      </c>
      <c r="I208" s="7" t="s">
        <v>1136</v>
      </c>
      <c r="J208" s="7">
        <v>15</v>
      </c>
      <c r="K208" s="7" t="s">
        <v>1130</v>
      </c>
      <c r="L208" s="10">
        <v>46234</v>
      </c>
      <c r="M208" s="7">
        <v>5.2473000000000001</v>
      </c>
      <c r="N208" s="7" t="s">
        <v>773</v>
      </c>
      <c r="O208" s="7">
        <v>119.93600000000001</v>
      </c>
      <c r="P208" s="7" t="s">
        <v>1131</v>
      </c>
      <c r="Q208" s="7" t="s">
        <v>775</v>
      </c>
      <c r="R208" s="7">
        <v>66.224534522516336</v>
      </c>
      <c r="S208" s="7" t="s">
        <v>776</v>
      </c>
      <c r="T208" s="7">
        <v>175</v>
      </c>
      <c r="U208" s="7" t="s">
        <v>1132</v>
      </c>
      <c r="V208" s="7" t="s">
        <v>775</v>
      </c>
      <c r="W208" s="7">
        <v>7.0664913384026065</v>
      </c>
      <c r="X208" s="7" t="s">
        <v>776</v>
      </c>
      <c r="Y208" s="7">
        <v>175</v>
      </c>
      <c r="Z208" s="7" t="s">
        <v>1133</v>
      </c>
      <c r="AA208" s="7" t="s">
        <v>775</v>
      </c>
      <c r="AB208" s="7">
        <v>2.7061536409200921</v>
      </c>
      <c r="AC208" s="7" t="s">
        <v>776</v>
      </c>
      <c r="AD208" s="7"/>
      <c r="AE208" s="7" t="s">
        <v>779</v>
      </c>
      <c r="AF208" s="7"/>
      <c r="AG208" s="7">
        <v>206.71373849408269</v>
      </c>
      <c r="AH208" s="7" t="s">
        <v>776</v>
      </c>
      <c r="AI208" s="7">
        <v>6.2290000000000001</v>
      </c>
      <c r="AJ208" s="7">
        <v>0</v>
      </c>
      <c r="AK208" s="7" t="s">
        <v>776</v>
      </c>
      <c r="AL208" s="7">
        <v>0</v>
      </c>
      <c r="AM208" s="7" t="s">
        <v>780</v>
      </c>
      <c r="AN208" s="7" t="s">
        <v>781</v>
      </c>
      <c r="AO208" s="7" t="s">
        <v>782</v>
      </c>
      <c r="AP208" s="7">
        <v>0.14237714285714281</v>
      </c>
      <c r="AQ208" s="7">
        <v>0</v>
      </c>
      <c r="AR208" s="7">
        <v>0.14237714285714281</v>
      </c>
      <c r="AS208" s="8" t="b">
        <v>1</v>
      </c>
      <c r="AT208" s="8" t="b">
        <v>1</v>
      </c>
      <c r="AU208" s="8" t="b">
        <v>1</v>
      </c>
      <c r="AV208" s="8" t="b">
        <v>1</v>
      </c>
      <c r="AW208" s="8" t="b">
        <v>1</v>
      </c>
      <c r="AX208" s="8" t="b">
        <v>1</v>
      </c>
      <c r="AY208" s="8" t="b">
        <v>1</v>
      </c>
      <c r="AZ208" s="8" t="b">
        <v>1</v>
      </c>
      <c r="BA208" s="7" t="s">
        <v>783</v>
      </c>
      <c r="BB208" s="7" t="s">
        <v>783</v>
      </c>
      <c r="BC208" s="7" t="s">
        <v>784</v>
      </c>
      <c r="BD208" s="7">
        <v>0</v>
      </c>
      <c r="BE208" s="7">
        <v>0</v>
      </c>
      <c r="BF208" s="7">
        <v>16.236921845520552</v>
      </c>
      <c r="BG208" s="7">
        <v>0.13714285714285715</v>
      </c>
      <c r="BH208" s="7" t="s">
        <v>154</v>
      </c>
      <c r="BI208" s="7">
        <v>175</v>
      </c>
      <c r="BJ208" s="7">
        <v>24</v>
      </c>
      <c r="BK208" s="7">
        <v>24</v>
      </c>
      <c r="BL208" s="7">
        <v>24</v>
      </c>
      <c r="BM208" s="8" t="b">
        <v>1</v>
      </c>
      <c r="BN208" s="7">
        <v>176.5878688566365</v>
      </c>
      <c r="BO208" s="7">
        <v>0.85426285714285721</v>
      </c>
      <c r="BP208" s="7">
        <v>42.398948030415639</v>
      </c>
      <c r="BQ208" s="7">
        <v>0.13714285714285715</v>
      </c>
      <c r="BR208" s="7" t="s">
        <v>154</v>
      </c>
      <c r="BS208" s="7">
        <v>175</v>
      </c>
      <c r="BT208" s="7">
        <v>24</v>
      </c>
      <c r="BU208" s="7">
        <v>24</v>
      </c>
      <c r="BV208" s="7">
        <v>24</v>
      </c>
      <c r="BW208" s="7" t="s">
        <v>1136</v>
      </c>
      <c r="BX208" s="8" t="b">
        <v>1</v>
      </c>
      <c r="BY208" s="7">
        <v>-117.89262764701751</v>
      </c>
      <c r="BZ208" s="7">
        <v>-2.5850811894971497</v>
      </c>
      <c r="CA208" s="7">
        <v>46236.958333333336</v>
      </c>
      <c r="CB208" s="7">
        <v>46236.947916666664</v>
      </c>
      <c r="CC208" s="7">
        <v>3.7179081175354794E-3</v>
      </c>
      <c r="CD208" s="7">
        <v>32.567661672488335</v>
      </c>
      <c r="CE208" s="7">
        <v>32.249046119389646</v>
      </c>
      <c r="CF208" s="7">
        <v>662.24534522516342</v>
      </c>
      <c r="CG208" s="7">
        <v>0.3125</v>
      </c>
      <c r="CH208" s="7" t="s">
        <v>150</v>
      </c>
      <c r="CI208" s="7">
        <v>128</v>
      </c>
      <c r="CJ208" s="8" t="b">
        <v>1</v>
      </c>
      <c r="CK208" s="7">
        <v>40</v>
      </c>
      <c r="CL208" s="7">
        <v>40</v>
      </c>
      <c r="CM208" s="7">
        <v>40</v>
      </c>
      <c r="CN208" s="8" t="b">
        <v>0</v>
      </c>
      <c r="CO208" s="7" t="s">
        <v>1125</v>
      </c>
      <c r="CP208" s="7">
        <v>779.57645631071864</v>
      </c>
    </row>
    <row r="209" spans="1:94" ht="21" customHeight="1" x14ac:dyDescent="0.45">
      <c r="A209" s="9">
        <v>46236.958333333336</v>
      </c>
      <c r="B209" s="9">
        <v>46236.96875</v>
      </c>
      <c r="C209" s="9">
        <v>46237.083333333336</v>
      </c>
      <c r="D209" s="10">
        <v>46237</v>
      </c>
      <c r="E209" s="7">
        <v>0.25</v>
      </c>
      <c r="F209" s="7" t="s">
        <v>770</v>
      </c>
      <c r="G209" s="9">
        <v>46236.958333333336</v>
      </c>
      <c r="H209" s="7">
        <v>179.95</v>
      </c>
      <c r="I209" s="7" t="s">
        <v>1137</v>
      </c>
      <c r="J209" s="7">
        <v>15</v>
      </c>
      <c r="K209" s="7" t="s">
        <v>1130</v>
      </c>
      <c r="L209" s="10">
        <v>46234</v>
      </c>
      <c r="M209" s="7">
        <v>5.2473000000000001</v>
      </c>
      <c r="N209" s="7" t="s">
        <v>773</v>
      </c>
      <c r="O209" s="7">
        <v>119.93600000000001</v>
      </c>
      <c r="P209" s="7" t="s">
        <v>1138</v>
      </c>
      <c r="Q209" s="7" t="s">
        <v>775</v>
      </c>
      <c r="R209" s="7">
        <v>66.224534522516336</v>
      </c>
      <c r="S209" s="7" t="s">
        <v>776</v>
      </c>
      <c r="T209" s="7">
        <v>175</v>
      </c>
      <c r="U209" s="7" t="s">
        <v>1139</v>
      </c>
      <c r="V209" s="7" t="s">
        <v>775</v>
      </c>
      <c r="W209" s="7">
        <v>7.0664913384026065</v>
      </c>
      <c r="X209" s="7" t="s">
        <v>776</v>
      </c>
      <c r="Y209" s="7">
        <v>175</v>
      </c>
      <c r="Z209" s="7" t="s">
        <v>1140</v>
      </c>
      <c r="AA209" s="7" t="s">
        <v>775</v>
      </c>
      <c r="AB209" s="7">
        <v>2.7061536409200921</v>
      </c>
      <c r="AC209" s="7" t="s">
        <v>776</v>
      </c>
      <c r="AD209" s="7"/>
      <c r="AE209" s="7" t="s">
        <v>779</v>
      </c>
      <c r="AF209" s="7"/>
      <c r="AG209" s="7">
        <v>179.61999504507079</v>
      </c>
      <c r="AH209" s="7" t="s">
        <v>776</v>
      </c>
      <c r="AI209" s="7">
        <v>3.4569999999999999</v>
      </c>
      <c r="AJ209" s="7">
        <v>0</v>
      </c>
      <c r="AK209" s="7" t="s">
        <v>776</v>
      </c>
      <c r="AL209" s="7">
        <v>0</v>
      </c>
      <c r="AM209" s="7" t="s">
        <v>780</v>
      </c>
      <c r="AN209" s="7" t="s">
        <v>781</v>
      </c>
      <c r="AO209" s="7" t="s">
        <v>782</v>
      </c>
      <c r="AP209" s="7">
        <v>7.90171428571428E-2</v>
      </c>
      <c r="AQ209" s="7">
        <v>0</v>
      </c>
      <c r="AR209" s="7">
        <v>7.90171428571428E-2</v>
      </c>
      <c r="AS209" s="8" t="b">
        <v>1</v>
      </c>
      <c r="AT209" s="8" t="b">
        <v>1</v>
      </c>
      <c r="AU209" s="8" t="b">
        <v>1</v>
      </c>
      <c r="AV209" s="8" t="b">
        <v>1</v>
      </c>
      <c r="AW209" s="8" t="b">
        <v>1</v>
      </c>
      <c r="AX209" s="8" t="b">
        <v>1</v>
      </c>
      <c r="AY209" s="8" t="b">
        <v>1</v>
      </c>
      <c r="AZ209" s="8" t="b">
        <v>1</v>
      </c>
      <c r="BA209" s="7" t="s">
        <v>783</v>
      </c>
      <c r="BB209" s="7" t="s">
        <v>783</v>
      </c>
      <c r="BC209" s="7" t="s">
        <v>784</v>
      </c>
      <c r="BD209" s="7">
        <v>0</v>
      </c>
      <c r="BE209" s="7">
        <v>0</v>
      </c>
      <c r="BF209" s="7">
        <v>16.236921845520552</v>
      </c>
      <c r="BG209" s="7">
        <v>0.13714285714285715</v>
      </c>
      <c r="BH209" s="7" t="s">
        <v>154</v>
      </c>
      <c r="BI209" s="7">
        <v>175</v>
      </c>
      <c r="BJ209" s="7">
        <v>24</v>
      </c>
      <c r="BK209" s="7">
        <v>24</v>
      </c>
      <c r="BL209" s="7">
        <v>24</v>
      </c>
      <c r="BM209" s="8" t="b">
        <v>1</v>
      </c>
      <c r="BN209" s="7">
        <v>85.158352850853916</v>
      </c>
      <c r="BO209" s="7">
        <v>0.47410285714285716</v>
      </c>
      <c r="BP209" s="7">
        <v>42.398948030415639</v>
      </c>
      <c r="BQ209" s="7">
        <v>0.13714285714285715</v>
      </c>
      <c r="BR209" s="7" t="s">
        <v>154</v>
      </c>
      <c r="BS209" s="7">
        <v>175</v>
      </c>
      <c r="BT209" s="7">
        <v>24</v>
      </c>
      <c r="BU209" s="7">
        <v>24</v>
      </c>
      <c r="BV209" s="7">
        <v>24</v>
      </c>
      <c r="BW209" s="7" t="s">
        <v>1137</v>
      </c>
      <c r="BX209" s="8" t="b">
        <v>1</v>
      </c>
      <c r="BY209" s="7">
        <v>-11.342195642814225</v>
      </c>
      <c r="BZ209" s="7">
        <v>-0.25211882506950212</v>
      </c>
      <c r="CA209" s="7">
        <v>46236.96875</v>
      </c>
      <c r="CB209" s="7">
        <v>46236.958333333336</v>
      </c>
      <c r="CC209" s="7">
        <v>1.5647806145916952E-3</v>
      </c>
      <c r="CD209" s="7">
        <v>32.249046119389646</v>
      </c>
      <c r="CE209" s="7">
        <v>31.792535771428561</v>
      </c>
      <c r="CF209" s="7">
        <v>662.24534522516342</v>
      </c>
      <c r="CG209" s="7">
        <v>0.3125</v>
      </c>
      <c r="CH209" s="7" t="s">
        <v>150</v>
      </c>
      <c r="CI209" s="7">
        <v>128</v>
      </c>
      <c r="CJ209" s="8" t="b">
        <v>1</v>
      </c>
      <c r="CK209" s="7">
        <v>40</v>
      </c>
      <c r="CL209" s="7">
        <v>40</v>
      </c>
      <c r="CM209" s="7">
        <v>40</v>
      </c>
      <c r="CN209" s="8" t="b">
        <v>0</v>
      </c>
      <c r="CO209" s="7" t="s">
        <v>1125</v>
      </c>
      <c r="CP209" s="7">
        <v>794.69737230913927</v>
      </c>
    </row>
    <row r="210" spans="1:94" ht="21" customHeight="1" x14ac:dyDescent="0.45">
      <c r="A210" s="9">
        <v>46236.96875</v>
      </c>
      <c r="B210" s="9">
        <v>46236.979166666664</v>
      </c>
      <c r="C210" s="9">
        <v>46237.09375</v>
      </c>
      <c r="D210" s="10">
        <v>46237</v>
      </c>
      <c r="E210" s="7">
        <v>0.25</v>
      </c>
      <c r="F210" s="7" t="s">
        <v>770</v>
      </c>
      <c r="G210" s="9">
        <v>46236.958333333336</v>
      </c>
      <c r="H210" s="7">
        <v>171.86</v>
      </c>
      <c r="I210" s="7" t="s">
        <v>1141</v>
      </c>
      <c r="J210" s="7">
        <v>15</v>
      </c>
      <c r="K210" s="7" t="s">
        <v>1130</v>
      </c>
      <c r="L210" s="10">
        <v>46234</v>
      </c>
      <c r="M210" s="7">
        <v>5.2473000000000001</v>
      </c>
      <c r="N210" s="7" t="s">
        <v>773</v>
      </c>
      <c r="O210" s="7">
        <v>119.93600000000001</v>
      </c>
      <c r="P210" s="7" t="s">
        <v>1138</v>
      </c>
      <c r="Q210" s="7" t="s">
        <v>775</v>
      </c>
      <c r="R210" s="7">
        <v>66.224534522516336</v>
      </c>
      <c r="S210" s="7" t="s">
        <v>776</v>
      </c>
      <c r="T210" s="7">
        <v>175</v>
      </c>
      <c r="U210" s="7" t="s">
        <v>1139</v>
      </c>
      <c r="V210" s="7" t="s">
        <v>775</v>
      </c>
      <c r="W210" s="7">
        <v>7.0664913384026065</v>
      </c>
      <c r="X210" s="7" t="s">
        <v>776</v>
      </c>
      <c r="Y210" s="7">
        <v>175</v>
      </c>
      <c r="Z210" s="7" t="s">
        <v>1140</v>
      </c>
      <c r="AA210" s="7" t="s">
        <v>775</v>
      </c>
      <c r="AB210" s="7">
        <v>2.7061536409200921</v>
      </c>
      <c r="AC210" s="7" t="s">
        <v>776</v>
      </c>
      <c r="AD210" s="7"/>
      <c r="AE210" s="7" t="s">
        <v>779</v>
      </c>
      <c r="AF210" s="7"/>
      <c r="AG210" s="7">
        <v>168.01650372572561</v>
      </c>
      <c r="AH210" s="7" t="s">
        <v>776</v>
      </c>
      <c r="AI210" s="7">
        <v>0.78400000000000003</v>
      </c>
      <c r="AJ210" s="7">
        <v>76.420254225982887</v>
      </c>
      <c r="AK210" s="7" t="s">
        <v>776</v>
      </c>
      <c r="AL210" s="7">
        <v>0.503</v>
      </c>
      <c r="AM210" s="7" t="s">
        <v>780</v>
      </c>
      <c r="AN210" s="7" t="s">
        <v>781</v>
      </c>
      <c r="AO210" s="7" t="s">
        <v>782</v>
      </c>
      <c r="AP210" s="7">
        <v>1.7919999999999998E-2</v>
      </c>
      <c r="AQ210" s="7">
        <v>1.14971428571428E-2</v>
      </c>
      <c r="AR210" s="7">
        <v>2.9417142857142801E-2</v>
      </c>
      <c r="AS210" s="8" t="b">
        <v>1</v>
      </c>
      <c r="AT210" s="8" t="b">
        <v>1</v>
      </c>
      <c r="AU210" s="8" t="b">
        <v>1</v>
      </c>
      <c r="AV210" s="8" t="b">
        <v>1</v>
      </c>
      <c r="AW210" s="8" t="b">
        <v>1</v>
      </c>
      <c r="AX210" s="8" t="b">
        <v>1</v>
      </c>
      <c r="AY210" s="8" t="b">
        <v>1</v>
      </c>
      <c r="AZ210" s="8" t="b">
        <v>1</v>
      </c>
      <c r="BA210" s="7" t="s">
        <v>783</v>
      </c>
      <c r="BB210" s="7" t="s">
        <v>783</v>
      </c>
      <c r="BC210" s="7" t="s">
        <v>784</v>
      </c>
      <c r="BD210" s="7">
        <v>-5.2716874800918019</v>
      </c>
      <c r="BE210" s="7">
        <v>6.8982857142857137E-2</v>
      </c>
      <c r="BF210" s="7">
        <v>16.236921845520552</v>
      </c>
      <c r="BG210" s="7">
        <v>0.13714285714285715</v>
      </c>
      <c r="BH210" s="7" t="s">
        <v>154</v>
      </c>
      <c r="BI210" s="7">
        <v>175</v>
      </c>
      <c r="BJ210" s="7">
        <v>24</v>
      </c>
      <c r="BK210" s="7">
        <v>24</v>
      </c>
      <c r="BL210" s="7">
        <v>24</v>
      </c>
      <c r="BM210" s="8" t="b">
        <v>1</v>
      </c>
      <c r="BN210" s="7">
        <v>18.065134480590018</v>
      </c>
      <c r="BO210" s="7">
        <v>0.10752</v>
      </c>
      <c r="BP210" s="7">
        <v>42.398948030415639</v>
      </c>
      <c r="BQ210" s="7">
        <v>0.13714285714285715</v>
      </c>
      <c r="BR210" s="7" t="s">
        <v>154</v>
      </c>
      <c r="BS210" s="7">
        <v>175</v>
      </c>
      <c r="BT210" s="7">
        <v>24</v>
      </c>
      <c r="BU210" s="7">
        <v>24</v>
      </c>
      <c r="BV210" s="7">
        <v>24</v>
      </c>
      <c r="BW210" s="7" t="s">
        <v>1141</v>
      </c>
      <c r="BX210" s="8" t="b">
        <v>1</v>
      </c>
      <c r="BY210" s="7">
        <v>0</v>
      </c>
      <c r="BZ210" s="7">
        <v>0</v>
      </c>
      <c r="CA210" s="7">
        <v>46236.979166666664</v>
      </c>
      <c r="CB210" s="7">
        <v>46236.96875</v>
      </c>
      <c r="CC210" s="7">
        <v>5.0092720496894413E-4</v>
      </c>
      <c r="CD210" s="7">
        <v>31.792535771428561</v>
      </c>
      <c r="CE210" s="7">
        <v>31.739130434782599</v>
      </c>
      <c r="CF210" s="7">
        <v>662.24534522516342</v>
      </c>
      <c r="CG210" s="7">
        <v>0.3125</v>
      </c>
      <c r="CH210" s="7" t="s">
        <v>150</v>
      </c>
      <c r="CI210" s="7">
        <v>128</v>
      </c>
      <c r="CJ210" s="8" t="b">
        <v>1</v>
      </c>
      <c r="CK210" s="7">
        <v>40</v>
      </c>
      <c r="CL210" s="7">
        <v>40</v>
      </c>
      <c r="CM210" s="7">
        <v>40</v>
      </c>
      <c r="CN210" s="8" t="b">
        <v>0</v>
      </c>
      <c r="CO210" s="7" t="s">
        <v>1125</v>
      </c>
      <c r="CP210" s="7">
        <v>733.67466210159785</v>
      </c>
    </row>
    <row r="211" spans="1:94" ht="21" customHeight="1" x14ac:dyDescent="0.45">
      <c r="A211" s="9">
        <v>46236.979166666664</v>
      </c>
      <c r="B211" s="9">
        <v>46236.989583333336</v>
      </c>
      <c r="C211" s="9">
        <v>46237.104166666664</v>
      </c>
      <c r="D211" s="10">
        <v>46237</v>
      </c>
      <c r="E211" s="7">
        <v>0.25</v>
      </c>
      <c r="F211" s="7" t="s">
        <v>770</v>
      </c>
      <c r="G211" s="9">
        <v>46236.958333333336</v>
      </c>
      <c r="H211" s="7">
        <v>170.97</v>
      </c>
      <c r="I211" s="7" t="s">
        <v>1142</v>
      </c>
      <c r="J211" s="7">
        <v>15</v>
      </c>
      <c r="K211" s="7" t="s">
        <v>1130</v>
      </c>
      <c r="L211" s="10">
        <v>46234</v>
      </c>
      <c r="M211" s="7">
        <v>5.2473000000000001</v>
      </c>
      <c r="N211" s="7" t="s">
        <v>773</v>
      </c>
      <c r="O211" s="7">
        <v>119.93600000000001</v>
      </c>
      <c r="P211" s="7" t="s">
        <v>1138</v>
      </c>
      <c r="Q211" s="7" t="s">
        <v>775</v>
      </c>
      <c r="R211" s="7">
        <v>66.224534522516336</v>
      </c>
      <c r="S211" s="7" t="s">
        <v>776</v>
      </c>
      <c r="T211" s="7">
        <v>175</v>
      </c>
      <c r="U211" s="7" t="s">
        <v>1139</v>
      </c>
      <c r="V211" s="7" t="s">
        <v>775</v>
      </c>
      <c r="W211" s="7">
        <v>7.0664913384026065</v>
      </c>
      <c r="X211" s="7" t="s">
        <v>776</v>
      </c>
      <c r="Y211" s="7">
        <v>175</v>
      </c>
      <c r="Z211" s="7" t="s">
        <v>1140</v>
      </c>
      <c r="AA211" s="7" t="s">
        <v>775</v>
      </c>
      <c r="AB211" s="7">
        <v>2.7061536409200921</v>
      </c>
      <c r="AC211" s="7" t="s">
        <v>776</v>
      </c>
      <c r="AD211" s="7"/>
      <c r="AE211" s="7" t="s">
        <v>779</v>
      </c>
      <c r="AF211" s="7"/>
      <c r="AG211" s="7">
        <v>170.21744516227392</v>
      </c>
      <c r="AH211" s="7" t="s">
        <v>776</v>
      </c>
      <c r="AI211" s="7">
        <v>0.17599999999999999</v>
      </c>
      <c r="AJ211" s="7">
        <v>76.420254225982887</v>
      </c>
      <c r="AK211" s="7" t="s">
        <v>776</v>
      </c>
      <c r="AL211" s="7">
        <v>0.61899999999999999</v>
      </c>
      <c r="AM211" s="7" t="s">
        <v>780</v>
      </c>
      <c r="AN211" s="7" t="s">
        <v>781</v>
      </c>
      <c r="AO211" s="7" t="s">
        <v>782</v>
      </c>
      <c r="AP211" s="7">
        <v>4.0228571428570998E-3</v>
      </c>
      <c r="AQ211" s="7">
        <v>1.4148571428571399E-2</v>
      </c>
      <c r="AR211" s="7">
        <v>1.8171428571428502E-2</v>
      </c>
      <c r="AS211" s="8" t="b">
        <v>1</v>
      </c>
      <c r="AT211" s="8" t="b">
        <v>1</v>
      </c>
      <c r="AU211" s="8" t="b">
        <v>1</v>
      </c>
      <c r="AV211" s="8" t="b">
        <v>1</v>
      </c>
      <c r="AW211" s="8" t="b">
        <v>1</v>
      </c>
      <c r="AX211" s="8" t="b">
        <v>1</v>
      </c>
      <c r="AY211" s="8" t="b">
        <v>1</v>
      </c>
      <c r="AZ211" s="8" t="b">
        <v>1</v>
      </c>
      <c r="BA211" s="7" t="s">
        <v>783</v>
      </c>
      <c r="BB211" s="7" t="s">
        <v>783</v>
      </c>
      <c r="BC211" s="7" t="s">
        <v>784</v>
      </c>
      <c r="BD211" s="7">
        <v>-6.4874245530354386</v>
      </c>
      <c r="BE211" s="7">
        <v>8.4891428571428576E-2</v>
      </c>
      <c r="BF211" s="7">
        <v>16.236921845520552</v>
      </c>
      <c r="BG211" s="7">
        <v>0.13714285714285715</v>
      </c>
      <c r="BH211" s="7" t="s">
        <v>154</v>
      </c>
      <c r="BI211" s="7">
        <v>175</v>
      </c>
      <c r="BJ211" s="7">
        <v>24</v>
      </c>
      <c r="BK211" s="7">
        <v>24</v>
      </c>
      <c r="BL211" s="7">
        <v>24</v>
      </c>
      <c r="BM211" s="8" t="b">
        <v>1</v>
      </c>
      <c r="BN211" s="7">
        <v>4.1085627906596853</v>
      </c>
      <c r="BO211" s="7">
        <v>2.4137142857142854E-2</v>
      </c>
      <c r="BP211" s="7">
        <v>42.398948030415639</v>
      </c>
      <c r="BQ211" s="7">
        <v>0.13714285714285715</v>
      </c>
      <c r="BR211" s="7" t="s">
        <v>154</v>
      </c>
      <c r="BS211" s="7">
        <v>175</v>
      </c>
      <c r="BT211" s="7">
        <v>24</v>
      </c>
      <c r="BU211" s="7">
        <v>24</v>
      </c>
      <c r="BV211" s="7">
        <v>24</v>
      </c>
      <c r="BW211" s="7" t="s">
        <v>1142</v>
      </c>
      <c r="BX211" s="8" t="b">
        <v>1</v>
      </c>
      <c r="BY211" s="7">
        <v>-7.9267414709231794</v>
      </c>
      <c r="BZ211" s="7">
        <v>-0.18545338880325624</v>
      </c>
      <c r="CA211" s="7">
        <v>46236.989583333336</v>
      </c>
      <c r="CB211" s="7">
        <v>46236.979166666664</v>
      </c>
      <c r="CC211" s="7">
        <v>4.0726693007690448E-4</v>
      </c>
      <c r="CD211" s="7">
        <v>31.739130434782599</v>
      </c>
      <c r="CE211" s="7">
        <v>31.833679943230525</v>
      </c>
      <c r="CF211" s="7">
        <v>662.24534522516342</v>
      </c>
      <c r="CG211" s="7">
        <v>0.3125</v>
      </c>
      <c r="CH211" s="7" t="s">
        <v>150</v>
      </c>
      <c r="CI211" s="7">
        <v>128</v>
      </c>
      <c r="CJ211" s="8" t="b">
        <v>1</v>
      </c>
      <c r="CK211" s="7">
        <v>40</v>
      </c>
      <c r="CL211" s="7">
        <v>40</v>
      </c>
      <c r="CM211" s="7">
        <v>40</v>
      </c>
      <c r="CN211" s="8" t="b">
        <v>0</v>
      </c>
      <c r="CO211" s="7" t="s">
        <v>1125</v>
      </c>
      <c r="CP211" s="7">
        <v>710.57561186780072</v>
      </c>
    </row>
    <row r="212" spans="1:94" ht="21" customHeight="1" x14ac:dyDescent="0.45">
      <c r="A212" s="9">
        <v>46236.989583333336</v>
      </c>
      <c r="B212" s="9">
        <v>46237</v>
      </c>
      <c r="C212" s="9">
        <v>46237.114583333336</v>
      </c>
      <c r="D212" s="10">
        <v>46237</v>
      </c>
      <c r="E212" s="7">
        <v>0.25</v>
      </c>
      <c r="F212" s="7" t="s">
        <v>770</v>
      </c>
      <c r="G212" s="9">
        <v>46236.958333333336</v>
      </c>
      <c r="H212" s="7">
        <v>167.16</v>
      </c>
      <c r="I212" s="7" t="s">
        <v>1143</v>
      </c>
      <c r="J212" s="7">
        <v>15</v>
      </c>
      <c r="K212" s="7" t="s">
        <v>1130</v>
      </c>
      <c r="L212" s="10">
        <v>46234</v>
      </c>
      <c r="M212" s="7">
        <v>5.2473000000000001</v>
      </c>
      <c r="N212" s="7" t="s">
        <v>773</v>
      </c>
      <c r="O212" s="7">
        <v>119.93600000000001</v>
      </c>
      <c r="P212" s="7" t="s">
        <v>1138</v>
      </c>
      <c r="Q212" s="7" t="s">
        <v>775</v>
      </c>
      <c r="R212" s="7">
        <v>66.224534522516336</v>
      </c>
      <c r="S212" s="7" t="s">
        <v>776</v>
      </c>
      <c r="T212" s="7">
        <v>175</v>
      </c>
      <c r="U212" s="7" t="s">
        <v>1139</v>
      </c>
      <c r="V212" s="7" t="s">
        <v>775</v>
      </c>
      <c r="W212" s="7">
        <v>7.0664913384026065</v>
      </c>
      <c r="X212" s="7" t="s">
        <v>776</v>
      </c>
      <c r="Y212" s="7">
        <v>175</v>
      </c>
      <c r="Z212" s="7" t="s">
        <v>1140</v>
      </c>
      <c r="AA212" s="7" t="s">
        <v>775</v>
      </c>
      <c r="AB212" s="7">
        <v>2.7061536409200921</v>
      </c>
      <c r="AC212" s="7" t="s">
        <v>776</v>
      </c>
      <c r="AD212" s="7"/>
      <c r="AE212" s="7" t="s">
        <v>779</v>
      </c>
      <c r="AF212" s="7"/>
      <c r="AG212" s="7">
        <v>182.50776589865265</v>
      </c>
      <c r="AH212" s="7" t="s">
        <v>776</v>
      </c>
      <c r="AI212" s="7">
        <v>2.41</v>
      </c>
      <c r="AJ212" s="7">
        <v>76.420254225982887</v>
      </c>
      <c r="AK212" s="7" t="s">
        <v>776</v>
      </c>
      <c r="AL212" s="7">
        <v>2.0019999999999998</v>
      </c>
      <c r="AM212" s="7" t="s">
        <v>780</v>
      </c>
      <c r="AN212" s="7" t="s">
        <v>781</v>
      </c>
      <c r="AO212" s="7" t="s">
        <v>782</v>
      </c>
      <c r="AP212" s="7">
        <v>5.5085714285714203E-2</v>
      </c>
      <c r="AQ212" s="7">
        <v>4.5759999999999898E-2</v>
      </c>
      <c r="AR212" s="7">
        <v>0.10084571428571421</v>
      </c>
      <c r="AS212" s="8" t="b">
        <v>1</v>
      </c>
      <c r="AT212" s="8" t="b">
        <v>1</v>
      </c>
      <c r="AU212" s="8" t="b">
        <v>1</v>
      </c>
      <c r="AV212" s="8" t="b">
        <v>1</v>
      </c>
      <c r="AW212" s="8" t="b">
        <v>1</v>
      </c>
      <c r="AX212" s="8" t="b">
        <v>1</v>
      </c>
      <c r="AY212" s="8" t="b">
        <v>1</v>
      </c>
      <c r="AZ212" s="8" t="b">
        <v>1</v>
      </c>
      <c r="BA212" s="7" t="s">
        <v>783</v>
      </c>
      <c r="BB212" s="7" t="s">
        <v>783</v>
      </c>
      <c r="BC212" s="7" t="s">
        <v>784</v>
      </c>
      <c r="BD212" s="7">
        <v>-20.981945000285858</v>
      </c>
      <c r="BE212" s="7">
        <v>0.27455999999999997</v>
      </c>
      <c r="BF212" s="7">
        <v>16.236921845520552</v>
      </c>
      <c r="BG212" s="7">
        <v>0.13714285714285715</v>
      </c>
      <c r="BH212" s="7" t="s">
        <v>154</v>
      </c>
      <c r="BI212" s="7">
        <v>175</v>
      </c>
      <c r="BJ212" s="7">
        <v>24</v>
      </c>
      <c r="BK212" s="7">
        <v>24</v>
      </c>
      <c r="BL212" s="7">
        <v>24</v>
      </c>
      <c r="BM212" s="8" t="b">
        <v>1</v>
      </c>
      <c r="BN212" s="7">
        <v>60.321423883303254</v>
      </c>
      <c r="BO212" s="7">
        <v>0.3305142857142857</v>
      </c>
      <c r="BP212" s="7">
        <v>42.398948030415639</v>
      </c>
      <c r="BQ212" s="7">
        <v>0.13714285714285715</v>
      </c>
      <c r="BR212" s="7" t="s">
        <v>154</v>
      </c>
      <c r="BS212" s="7">
        <v>175</v>
      </c>
      <c r="BT212" s="7">
        <v>24</v>
      </c>
      <c r="BU212" s="7">
        <v>24</v>
      </c>
      <c r="BV212" s="7">
        <v>24</v>
      </c>
      <c r="BW212" s="7" t="s">
        <v>1143</v>
      </c>
      <c r="BX212" s="8" t="b">
        <v>1</v>
      </c>
      <c r="BY212" s="7">
        <v>-19.850940917169616</v>
      </c>
      <c r="BZ212" s="7">
        <v>-0.47501653307417124</v>
      </c>
      <c r="CA212" s="7">
        <v>46237</v>
      </c>
      <c r="CB212" s="7">
        <v>46236.989583333336</v>
      </c>
      <c r="CC212" s="7">
        <v>1.9665967814090114E-3</v>
      </c>
      <c r="CD212" s="7">
        <v>31.833679943230525</v>
      </c>
      <c r="CE212" s="7">
        <v>31.837366459627315</v>
      </c>
      <c r="CF212" s="7">
        <v>662.24534522516342</v>
      </c>
      <c r="CG212" s="7">
        <v>0.3125</v>
      </c>
      <c r="CH212" s="7" t="s">
        <v>150</v>
      </c>
      <c r="CI212" s="7">
        <v>128</v>
      </c>
      <c r="CJ212" s="8" t="b">
        <v>1</v>
      </c>
      <c r="CK212" s="7">
        <v>40</v>
      </c>
      <c r="CL212" s="7">
        <v>40</v>
      </c>
      <c r="CM212" s="7">
        <v>40</v>
      </c>
      <c r="CN212" s="8" t="b">
        <v>0</v>
      </c>
      <c r="CO212" s="7" t="s">
        <v>1125</v>
      </c>
      <c r="CP212" s="7">
        <v>740.3697530669474</v>
      </c>
    </row>
    <row r="213" spans="1:94" ht="21" customHeight="1" x14ac:dyDescent="0.45">
      <c r="A213" s="9">
        <v>46237</v>
      </c>
      <c r="B213" s="9">
        <v>46237.010416666664</v>
      </c>
      <c r="C213" s="9">
        <v>46237.125</v>
      </c>
      <c r="D213" s="10">
        <v>46237</v>
      </c>
      <c r="E213" s="7">
        <v>0.25</v>
      </c>
      <c r="F213" s="7" t="s">
        <v>770</v>
      </c>
      <c r="G213" s="9">
        <v>46237</v>
      </c>
      <c r="H213" s="7">
        <v>168.99</v>
      </c>
      <c r="I213" s="7" t="s">
        <v>1144</v>
      </c>
      <c r="J213" s="7">
        <v>15</v>
      </c>
      <c r="K213" s="7" t="s">
        <v>1130</v>
      </c>
      <c r="L213" s="10">
        <v>46234</v>
      </c>
      <c r="M213" s="7">
        <v>5.2473000000000001</v>
      </c>
      <c r="N213" s="7" t="s">
        <v>773</v>
      </c>
      <c r="O213" s="7">
        <v>119.93600000000001</v>
      </c>
      <c r="P213" s="7" t="s">
        <v>1145</v>
      </c>
      <c r="Q213" s="7" t="s">
        <v>775</v>
      </c>
      <c r="R213" s="7">
        <v>66.224534522516336</v>
      </c>
      <c r="S213" s="7" t="s">
        <v>776</v>
      </c>
      <c r="T213" s="7">
        <v>175</v>
      </c>
      <c r="U213" s="7" t="s">
        <v>1146</v>
      </c>
      <c r="V213" s="7" t="s">
        <v>775</v>
      </c>
      <c r="W213" s="7">
        <v>7.0664913384026065</v>
      </c>
      <c r="X213" s="7" t="s">
        <v>776</v>
      </c>
      <c r="Y213" s="7">
        <v>175</v>
      </c>
      <c r="Z213" s="7" t="s">
        <v>1147</v>
      </c>
      <c r="AA213" s="7" t="s">
        <v>775</v>
      </c>
      <c r="AB213" s="7">
        <v>4.2097840794313264</v>
      </c>
      <c r="AC213" s="7" t="s">
        <v>776</v>
      </c>
      <c r="AD213" s="7"/>
      <c r="AE213" s="7" t="s">
        <v>779</v>
      </c>
      <c r="AF213" s="7"/>
      <c r="AG213" s="7">
        <v>167.41028719531948</v>
      </c>
      <c r="AH213" s="7" t="s">
        <v>776</v>
      </c>
      <c r="AI213" s="7">
        <v>0.65900000000000003</v>
      </c>
      <c r="AJ213" s="7">
        <v>0</v>
      </c>
      <c r="AK213" s="7" t="s">
        <v>776</v>
      </c>
      <c r="AL213" s="7">
        <v>0</v>
      </c>
      <c r="AM213" s="7" t="s">
        <v>780</v>
      </c>
      <c r="AN213" s="7" t="s">
        <v>781</v>
      </c>
      <c r="AO213" s="7" t="s">
        <v>782</v>
      </c>
      <c r="AP213" s="7">
        <v>1.50628571428571E-2</v>
      </c>
      <c r="AQ213" s="7">
        <v>0</v>
      </c>
      <c r="AR213" s="7">
        <v>1.50628571428571E-2</v>
      </c>
      <c r="AS213" s="8" t="b">
        <v>1</v>
      </c>
      <c r="AT213" s="8" t="b">
        <v>1</v>
      </c>
      <c r="AU213" s="8" t="b">
        <v>1</v>
      </c>
      <c r="AV213" s="8" t="b">
        <v>1</v>
      </c>
      <c r="AW213" s="8" t="b">
        <v>1</v>
      </c>
      <c r="AX213" s="8" t="b">
        <v>1</v>
      </c>
      <c r="AY213" s="8" t="b">
        <v>1</v>
      </c>
      <c r="AZ213" s="8" t="b">
        <v>1</v>
      </c>
      <c r="BA213" s="7" t="s">
        <v>783</v>
      </c>
      <c r="BB213" s="7" t="s">
        <v>783</v>
      </c>
      <c r="BC213" s="7" t="s">
        <v>784</v>
      </c>
      <c r="BD213" s="7">
        <v>0</v>
      </c>
      <c r="BE213" s="7">
        <v>0</v>
      </c>
      <c r="BF213" s="7">
        <v>25.258704476587958</v>
      </c>
      <c r="BG213" s="7">
        <v>0.13714285714285715</v>
      </c>
      <c r="BH213" s="7" t="s">
        <v>154</v>
      </c>
      <c r="BI213" s="7">
        <v>175</v>
      </c>
      <c r="BJ213" s="7">
        <v>24</v>
      </c>
      <c r="BK213" s="7">
        <v>24</v>
      </c>
      <c r="BL213" s="7">
        <v>24</v>
      </c>
      <c r="BM213" s="8" t="b">
        <v>1</v>
      </c>
      <c r="BN213" s="7">
        <v>15.130063441606703</v>
      </c>
      <c r="BO213" s="7">
        <v>9.0377142857142864E-2</v>
      </c>
      <c r="BP213" s="7">
        <v>42.398948030415639</v>
      </c>
      <c r="BQ213" s="7">
        <v>0.13714285714285715</v>
      </c>
      <c r="BR213" s="7" t="s">
        <v>154</v>
      </c>
      <c r="BS213" s="7">
        <v>175</v>
      </c>
      <c r="BT213" s="7">
        <v>24</v>
      </c>
      <c r="BU213" s="7">
        <v>24</v>
      </c>
      <c r="BV213" s="7">
        <v>24</v>
      </c>
      <c r="BW213" s="7" t="s">
        <v>1144</v>
      </c>
      <c r="BX213" s="8" t="b">
        <v>1</v>
      </c>
      <c r="BY213" s="7">
        <v>0</v>
      </c>
      <c r="BZ213" s="7">
        <v>0</v>
      </c>
      <c r="CA213" s="7">
        <v>46237.010416666664</v>
      </c>
      <c r="CB213" s="7">
        <v>46237</v>
      </c>
      <c r="CC213" s="7">
        <v>2.7287784679089032E-4</v>
      </c>
      <c r="CD213" s="7">
        <v>31.837366459627315</v>
      </c>
      <c r="CE213" s="7">
        <v>31.739130434782595</v>
      </c>
      <c r="CF213" s="7">
        <v>662.24534522516342</v>
      </c>
      <c r="CG213" s="7">
        <v>0.3125</v>
      </c>
      <c r="CH213" s="7" t="s">
        <v>150</v>
      </c>
      <c r="CI213" s="7">
        <v>128</v>
      </c>
      <c r="CJ213" s="8" t="b">
        <v>1</v>
      </c>
      <c r="CK213" s="7">
        <v>40</v>
      </c>
      <c r="CL213" s="7">
        <v>40</v>
      </c>
      <c r="CM213" s="7">
        <v>40</v>
      </c>
      <c r="CN213" s="8" t="b">
        <v>0</v>
      </c>
      <c r="CO213" s="7" t="s">
        <v>1125</v>
      </c>
      <c r="CP213" s="7">
        <v>745.03306117377372</v>
      </c>
    </row>
    <row r="214" spans="1:94" ht="21" customHeight="1" x14ac:dyDescent="0.45">
      <c r="A214" s="9">
        <v>46237.010416666664</v>
      </c>
      <c r="B214" s="9">
        <v>46237.020833333336</v>
      </c>
      <c r="C214" s="9">
        <v>46237.135416666664</v>
      </c>
      <c r="D214" s="10">
        <v>46237</v>
      </c>
      <c r="E214" s="7">
        <v>0.25</v>
      </c>
      <c r="F214" s="7" t="s">
        <v>770</v>
      </c>
      <c r="G214" s="9">
        <v>46237</v>
      </c>
      <c r="H214" s="7">
        <v>165.88</v>
      </c>
      <c r="I214" s="7" t="s">
        <v>1148</v>
      </c>
      <c r="J214" s="7">
        <v>15</v>
      </c>
      <c r="K214" s="7" t="s">
        <v>1130</v>
      </c>
      <c r="L214" s="10">
        <v>46234</v>
      </c>
      <c r="M214" s="7">
        <v>5.2473000000000001</v>
      </c>
      <c r="N214" s="7" t="s">
        <v>773</v>
      </c>
      <c r="O214" s="7">
        <v>119.93600000000001</v>
      </c>
      <c r="P214" s="7" t="s">
        <v>1145</v>
      </c>
      <c r="Q214" s="7" t="s">
        <v>775</v>
      </c>
      <c r="R214" s="7">
        <v>66.224534522516336</v>
      </c>
      <c r="S214" s="7" t="s">
        <v>776</v>
      </c>
      <c r="T214" s="7">
        <v>175</v>
      </c>
      <c r="U214" s="7" t="s">
        <v>1146</v>
      </c>
      <c r="V214" s="7" t="s">
        <v>775</v>
      </c>
      <c r="W214" s="7">
        <v>7.0664913384026065</v>
      </c>
      <c r="X214" s="7" t="s">
        <v>776</v>
      </c>
      <c r="Y214" s="7">
        <v>175</v>
      </c>
      <c r="Z214" s="7" t="s">
        <v>1147</v>
      </c>
      <c r="AA214" s="7" t="s">
        <v>775</v>
      </c>
      <c r="AB214" s="7">
        <v>4.2097840794313264</v>
      </c>
      <c r="AC214" s="7" t="s">
        <v>776</v>
      </c>
      <c r="AD214" s="7"/>
      <c r="AE214" s="7" t="s">
        <v>779</v>
      </c>
      <c r="AF214" s="7"/>
      <c r="AG214" s="7">
        <v>152.45936005183617</v>
      </c>
      <c r="AH214" s="7" t="s">
        <v>776</v>
      </c>
      <c r="AI214" s="7">
        <v>7.0000000000000001E-3</v>
      </c>
      <c r="AJ214" s="7">
        <v>76.397004173574985</v>
      </c>
      <c r="AK214" s="7" t="s">
        <v>776</v>
      </c>
      <c r="AL214" s="7">
        <v>4.5880000000000001</v>
      </c>
      <c r="AM214" s="7" t="s">
        <v>780</v>
      </c>
      <c r="AN214" s="7" t="s">
        <v>781</v>
      </c>
      <c r="AO214" s="7" t="s">
        <v>782</v>
      </c>
      <c r="AP214" s="7">
        <v>1.6000000000000001E-4</v>
      </c>
      <c r="AQ214" s="7">
        <v>0.10486857142857139</v>
      </c>
      <c r="AR214" s="7">
        <v>0.1050285714285714</v>
      </c>
      <c r="AS214" s="8" t="b">
        <v>1</v>
      </c>
      <c r="AT214" s="8" t="b">
        <v>1</v>
      </c>
      <c r="AU214" s="8" t="b">
        <v>1</v>
      </c>
      <c r="AV214" s="8" t="b">
        <v>1</v>
      </c>
      <c r="AW214" s="8" t="b">
        <v>1</v>
      </c>
      <c r="AX214" s="8" t="b">
        <v>1</v>
      </c>
      <c r="AY214" s="8" t="b">
        <v>1</v>
      </c>
      <c r="AZ214" s="8" t="b">
        <v>1</v>
      </c>
      <c r="BA214" s="7" t="s">
        <v>783</v>
      </c>
      <c r="BB214" s="7" t="s">
        <v>783</v>
      </c>
      <c r="BC214" s="7" t="s">
        <v>784</v>
      </c>
      <c r="BD214" s="7">
        <v>-48.069868134632515</v>
      </c>
      <c r="BE214" s="7">
        <v>0.62921142857142864</v>
      </c>
      <c r="BF214" s="7">
        <v>25.258704476587958</v>
      </c>
      <c r="BG214" s="7">
        <v>0.13714285714285715</v>
      </c>
      <c r="BH214" s="7" t="s">
        <v>154</v>
      </c>
      <c r="BI214" s="7">
        <v>175</v>
      </c>
      <c r="BJ214" s="7">
        <v>24</v>
      </c>
      <c r="BK214" s="7">
        <v>24</v>
      </c>
      <c r="BL214" s="7">
        <v>24</v>
      </c>
      <c r="BM214" s="8" t="b">
        <v>1</v>
      </c>
      <c r="BN214" s="7">
        <v>0.14636098564976274</v>
      </c>
      <c r="BO214" s="7">
        <v>9.6000000000000013E-4</v>
      </c>
      <c r="BP214" s="7">
        <v>42.398948030415639</v>
      </c>
      <c r="BQ214" s="7">
        <v>0.13714285714285715</v>
      </c>
      <c r="BR214" s="7" t="s">
        <v>154</v>
      </c>
      <c r="BS214" s="7">
        <v>175</v>
      </c>
      <c r="BT214" s="7">
        <v>24</v>
      </c>
      <c r="BU214" s="7">
        <v>24</v>
      </c>
      <c r="BV214" s="7">
        <v>24</v>
      </c>
      <c r="BW214" s="7" t="s">
        <v>1148</v>
      </c>
      <c r="BX214" s="8" t="b">
        <v>1</v>
      </c>
      <c r="BY214" s="7">
        <v>0</v>
      </c>
      <c r="BZ214" s="7">
        <v>0</v>
      </c>
      <c r="CA214" s="7">
        <v>46237.020833333336</v>
      </c>
      <c r="CB214" s="7">
        <v>46237.010416666664</v>
      </c>
      <c r="CC214" s="7">
        <v>1.6108833126293998E-3</v>
      </c>
      <c r="CD214" s="7">
        <v>31.739130434782595</v>
      </c>
      <c r="CE214" s="7">
        <v>32.316961470807442</v>
      </c>
      <c r="CF214" s="7">
        <v>662.24534522516342</v>
      </c>
      <c r="CG214" s="7">
        <v>0.3125</v>
      </c>
      <c r="CH214" s="7" t="s">
        <v>150</v>
      </c>
      <c r="CI214" s="7">
        <v>128</v>
      </c>
      <c r="CJ214" s="8" t="b">
        <v>1</v>
      </c>
      <c r="CK214" s="7">
        <v>40</v>
      </c>
      <c r="CL214" s="7">
        <v>40</v>
      </c>
      <c r="CM214" s="7">
        <v>40</v>
      </c>
      <c r="CN214" s="8" t="b">
        <v>0</v>
      </c>
      <c r="CO214" s="7" t="s">
        <v>1125</v>
      </c>
      <c r="CP214" s="7">
        <v>681.97949058318432</v>
      </c>
    </row>
    <row r="215" spans="1:94" ht="21" customHeight="1" x14ac:dyDescent="0.45">
      <c r="A215" s="9">
        <v>46237.020833333336</v>
      </c>
      <c r="B215" s="9">
        <v>46237.03125</v>
      </c>
      <c r="C215" s="9">
        <v>46237.145833333336</v>
      </c>
      <c r="D215" s="10">
        <v>46237</v>
      </c>
      <c r="E215" s="7">
        <v>0.25</v>
      </c>
      <c r="F215" s="7" t="s">
        <v>770</v>
      </c>
      <c r="G215" s="9">
        <v>46237</v>
      </c>
      <c r="H215" s="7">
        <v>160.81</v>
      </c>
      <c r="I215" s="7" t="s">
        <v>1149</v>
      </c>
      <c r="J215" s="7">
        <v>15</v>
      </c>
      <c r="K215" s="7" t="s">
        <v>1130</v>
      </c>
      <c r="L215" s="10">
        <v>46234</v>
      </c>
      <c r="M215" s="7">
        <v>5.2473000000000001</v>
      </c>
      <c r="N215" s="7" t="s">
        <v>773</v>
      </c>
      <c r="O215" s="7">
        <v>119.93600000000001</v>
      </c>
      <c r="P215" s="7" t="s">
        <v>1145</v>
      </c>
      <c r="Q215" s="7" t="s">
        <v>775</v>
      </c>
      <c r="R215" s="7">
        <v>66.224534522516336</v>
      </c>
      <c r="S215" s="7" t="s">
        <v>776</v>
      </c>
      <c r="T215" s="7">
        <v>175</v>
      </c>
      <c r="U215" s="7" t="s">
        <v>1146</v>
      </c>
      <c r="V215" s="7" t="s">
        <v>775</v>
      </c>
      <c r="W215" s="7">
        <v>7.0664913384026065</v>
      </c>
      <c r="X215" s="7" t="s">
        <v>776</v>
      </c>
      <c r="Y215" s="7">
        <v>175</v>
      </c>
      <c r="Z215" s="7" t="s">
        <v>1147</v>
      </c>
      <c r="AA215" s="7" t="s">
        <v>775</v>
      </c>
      <c r="AB215" s="7">
        <v>4.2097840794313264</v>
      </c>
      <c r="AC215" s="7" t="s">
        <v>776</v>
      </c>
      <c r="AD215" s="7"/>
      <c r="AE215" s="7" t="s">
        <v>779</v>
      </c>
      <c r="AF215" s="7"/>
      <c r="AG215" s="7">
        <v>152.45936005183617</v>
      </c>
      <c r="AH215" s="7" t="s">
        <v>776</v>
      </c>
      <c r="AI215" s="7">
        <v>7.0000000000000001E-3</v>
      </c>
      <c r="AJ215" s="7">
        <v>76.420254225982887</v>
      </c>
      <c r="AK215" s="7" t="s">
        <v>776</v>
      </c>
      <c r="AL215" s="7">
        <v>0.58899999999999997</v>
      </c>
      <c r="AM215" s="7" t="s">
        <v>780</v>
      </c>
      <c r="AN215" s="7" t="s">
        <v>781</v>
      </c>
      <c r="AO215" s="7" t="s">
        <v>782</v>
      </c>
      <c r="AP215" s="7">
        <v>1.6000000000000001E-4</v>
      </c>
      <c r="AQ215" s="7">
        <v>1.3462857142857099E-2</v>
      </c>
      <c r="AR215" s="7">
        <v>1.36228571428571E-2</v>
      </c>
      <c r="AS215" s="8" t="b">
        <v>1</v>
      </c>
      <c r="AT215" s="8" t="b">
        <v>1</v>
      </c>
      <c r="AU215" s="8" t="b">
        <v>1</v>
      </c>
      <c r="AV215" s="8" t="b">
        <v>1</v>
      </c>
      <c r="AW215" s="8" t="b">
        <v>1</v>
      </c>
      <c r="AX215" s="8" t="b">
        <v>1</v>
      </c>
      <c r="AY215" s="8" t="b">
        <v>1</v>
      </c>
      <c r="AZ215" s="8" t="b">
        <v>1</v>
      </c>
      <c r="BA215" s="7" t="s">
        <v>783</v>
      </c>
      <c r="BB215" s="7" t="s">
        <v>783</v>
      </c>
      <c r="BC215" s="7" t="s">
        <v>784</v>
      </c>
      <c r="BD215" s="7">
        <v>-6.1730097927913947</v>
      </c>
      <c r="BE215" s="7">
        <v>8.0777142857142853E-2</v>
      </c>
      <c r="BF215" s="7">
        <v>25.258704476587958</v>
      </c>
      <c r="BG215" s="7">
        <v>0.13714285714285715</v>
      </c>
      <c r="BH215" s="7" t="s">
        <v>154</v>
      </c>
      <c r="BI215" s="7">
        <v>175</v>
      </c>
      <c r="BJ215" s="7">
        <v>24</v>
      </c>
      <c r="BK215" s="7">
        <v>24</v>
      </c>
      <c r="BL215" s="7">
        <v>24</v>
      </c>
      <c r="BM215" s="8" t="b">
        <v>1</v>
      </c>
      <c r="BN215" s="7">
        <v>0.14636098564976274</v>
      </c>
      <c r="BO215" s="7">
        <v>9.6000000000000013E-4</v>
      </c>
      <c r="BP215" s="7">
        <v>42.398948030415639</v>
      </c>
      <c r="BQ215" s="7">
        <v>0.13714285714285715</v>
      </c>
      <c r="BR215" s="7" t="s">
        <v>154</v>
      </c>
      <c r="BS215" s="7">
        <v>175</v>
      </c>
      <c r="BT215" s="7">
        <v>24</v>
      </c>
      <c r="BU215" s="7">
        <v>24</v>
      </c>
      <c r="BV215" s="7">
        <v>24</v>
      </c>
      <c r="BW215" s="7" t="s">
        <v>1149</v>
      </c>
      <c r="BX215" s="8" t="b">
        <v>1</v>
      </c>
      <c r="BY215" s="7">
        <v>0</v>
      </c>
      <c r="BZ215" s="7">
        <v>0</v>
      </c>
      <c r="CA215" s="7">
        <v>46237.03125</v>
      </c>
      <c r="CB215" s="7">
        <v>46237.020833333336</v>
      </c>
      <c r="CC215" s="7">
        <v>2.0932902691511384E-4</v>
      </c>
      <c r="CD215" s="7">
        <v>32.316961470807442</v>
      </c>
      <c r="CE215" s="7">
        <v>32.390232963975144</v>
      </c>
      <c r="CF215" s="7">
        <v>662.24534522516342</v>
      </c>
      <c r="CG215" s="7">
        <v>0.3125</v>
      </c>
      <c r="CH215" s="7" t="s">
        <v>150</v>
      </c>
      <c r="CI215" s="7">
        <v>128</v>
      </c>
      <c r="CJ215" s="8" t="b">
        <v>1</v>
      </c>
      <c r="CK215" s="7">
        <v>40</v>
      </c>
      <c r="CL215" s="7">
        <v>40</v>
      </c>
      <c r="CM215" s="7">
        <v>40</v>
      </c>
      <c r="CN215" s="8" t="b">
        <v>0</v>
      </c>
      <c r="CO215" s="7" t="s">
        <v>1125</v>
      </c>
      <c r="CP215" s="7">
        <v>723.87634892502535</v>
      </c>
    </row>
    <row r="216" spans="1:94" ht="21" customHeight="1" x14ac:dyDescent="0.45">
      <c r="A216" s="9">
        <v>46237.03125</v>
      </c>
      <c r="B216" s="9">
        <v>46237.041666666664</v>
      </c>
      <c r="C216" s="9">
        <v>46237.15625</v>
      </c>
      <c r="D216" s="10">
        <v>46237</v>
      </c>
      <c r="E216" s="7">
        <v>0.25</v>
      </c>
      <c r="F216" s="7" t="s">
        <v>770</v>
      </c>
      <c r="G216" s="9">
        <v>46237</v>
      </c>
      <c r="H216" s="7">
        <v>157.62</v>
      </c>
      <c r="I216" s="7" t="s">
        <v>1150</v>
      </c>
      <c r="J216" s="7">
        <v>15</v>
      </c>
      <c r="K216" s="7" t="s">
        <v>1130</v>
      </c>
      <c r="L216" s="10">
        <v>46234</v>
      </c>
      <c r="M216" s="7">
        <v>5.2473000000000001</v>
      </c>
      <c r="N216" s="7" t="s">
        <v>773</v>
      </c>
      <c r="O216" s="7">
        <v>119.93600000000001</v>
      </c>
      <c r="P216" s="7" t="s">
        <v>1145</v>
      </c>
      <c r="Q216" s="7" t="s">
        <v>775</v>
      </c>
      <c r="R216" s="7">
        <v>66.224534522516336</v>
      </c>
      <c r="S216" s="7" t="s">
        <v>776</v>
      </c>
      <c r="T216" s="7">
        <v>175</v>
      </c>
      <c r="U216" s="7" t="s">
        <v>1146</v>
      </c>
      <c r="V216" s="7" t="s">
        <v>775</v>
      </c>
      <c r="W216" s="7">
        <v>7.0664913384026065</v>
      </c>
      <c r="X216" s="7" t="s">
        <v>776</v>
      </c>
      <c r="Y216" s="7">
        <v>175</v>
      </c>
      <c r="Z216" s="7" t="s">
        <v>1147</v>
      </c>
      <c r="AA216" s="7" t="s">
        <v>775</v>
      </c>
      <c r="AB216" s="7">
        <v>4.2097840794313264</v>
      </c>
      <c r="AC216" s="7" t="s">
        <v>776</v>
      </c>
      <c r="AD216" s="7"/>
      <c r="AE216" s="7" t="s">
        <v>779</v>
      </c>
      <c r="AF216" s="7"/>
      <c r="AG216" s="7">
        <v>0</v>
      </c>
      <c r="AH216" s="7" t="s">
        <v>776</v>
      </c>
      <c r="AI216" s="7">
        <v>0</v>
      </c>
      <c r="AJ216" s="7">
        <v>74.472014178720485</v>
      </c>
      <c r="AK216" s="7" t="s">
        <v>776</v>
      </c>
      <c r="AL216" s="7">
        <v>4.8490000000000002</v>
      </c>
      <c r="AM216" s="7" t="s">
        <v>780</v>
      </c>
      <c r="AN216" s="7" t="s">
        <v>781</v>
      </c>
      <c r="AO216" s="7" t="s">
        <v>782</v>
      </c>
      <c r="AP216" s="7">
        <v>0</v>
      </c>
      <c r="AQ216" s="7">
        <v>0.1108342857142857</v>
      </c>
      <c r="AR216" s="7">
        <v>0.1108342857142857</v>
      </c>
      <c r="AS216" s="8" t="b">
        <v>1</v>
      </c>
      <c r="AT216" s="8" t="b">
        <v>1</v>
      </c>
      <c r="AU216" s="8" t="b">
        <v>1</v>
      </c>
      <c r="AV216" s="8" t="b">
        <v>1</v>
      </c>
      <c r="AW216" s="8" t="b">
        <v>1</v>
      </c>
      <c r="AX216" s="8" t="b">
        <v>1</v>
      </c>
      <c r="AY216" s="8" t="b">
        <v>1</v>
      </c>
      <c r="AZ216" s="8" t="b">
        <v>1</v>
      </c>
      <c r="BA216" s="7" t="s">
        <v>783</v>
      </c>
      <c r="BB216" s="7" t="s">
        <v>783</v>
      </c>
      <c r="BC216" s="7" t="s">
        <v>784</v>
      </c>
      <c r="BD216" s="7">
        <v>-49.524314983215859</v>
      </c>
      <c r="BE216" s="7">
        <v>0.66500571428571431</v>
      </c>
      <c r="BF216" s="7">
        <v>25.258704476587958</v>
      </c>
      <c r="BG216" s="7">
        <v>0.13714285714285715</v>
      </c>
      <c r="BH216" s="7" t="s">
        <v>154</v>
      </c>
      <c r="BI216" s="7">
        <v>175</v>
      </c>
      <c r="BJ216" s="7">
        <v>24</v>
      </c>
      <c r="BK216" s="7">
        <v>24</v>
      </c>
      <c r="BL216" s="7">
        <v>24</v>
      </c>
      <c r="BM216" s="8" t="b">
        <v>1</v>
      </c>
      <c r="BN216" s="7">
        <v>0</v>
      </c>
      <c r="BO216" s="7">
        <v>0</v>
      </c>
      <c r="BP216" s="7">
        <v>42.398948030415639</v>
      </c>
      <c r="BQ216" s="7">
        <v>0.13714285714285715</v>
      </c>
      <c r="BR216" s="7" t="s">
        <v>154</v>
      </c>
      <c r="BS216" s="7">
        <v>175</v>
      </c>
      <c r="BT216" s="7">
        <v>24</v>
      </c>
      <c r="BU216" s="7">
        <v>24</v>
      </c>
      <c r="BV216" s="7">
        <v>24</v>
      </c>
      <c r="BW216" s="7" t="s">
        <v>1150</v>
      </c>
      <c r="BX216" s="8" t="b">
        <v>1</v>
      </c>
      <c r="BY216" s="7">
        <v>0</v>
      </c>
      <c r="BZ216" s="7">
        <v>0</v>
      </c>
      <c r="CA216" s="7">
        <v>46237.041666666664</v>
      </c>
      <c r="CB216" s="7">
        <v>46237.03125</v>
      </c>
      <c r="CC216" s="7">
        <v>1.6994590476190478E-3</v>
      </c>
      <c r="CD216" s="7">
        <v>32.390232963975144</v>
      </c>
      <c r="CE216" s="7">
        <v>33.002038221117999</v>
      </c>
      <c r="CF216" s="7">
        <v>662.24534522516342</v>
      </c>
      <c r="CG216" s="7">
        <v>0.3125</v>
      </c>
      <c r="CH216" s="7" t="s">
        <v>150</v>
      </c>
      <c r="CI216" s="7">
        <v>128</v>
      </c>
      <c r="CJ216" s="8" t="b">
        <v>1</v>
      </c>
      <c r="CK216" s="7">
        <v>40</v>
      </c>
      <c r="CL216" s="7">
        <v>40</v>
      </c>
      <c r="CM216" s="7">
        <v>40</v>
      </c>
      <c r="CN216" s="8" t="b">
        <v>0</v>
      </c>
      <c r="CO216" s="7" t="s">
        <v>1125</v>
      </c>
      <c r="CP216" s="7">
        <v>680.37868274895118</v>
      </c>
    </row>
    <row r="217" spans="1:94" ht="21" customHeight="1" x14ac:dyDescent="0.45">
      <c r="A217" s="9">
        <v>46237.041666666664</v>
      </c>
      <c r="B217" s="9">
        <v>46237.052083333336</v>
      </c>
      <c r="C217" s="9">
        <v>46237.166666666664</v>
      </c>
      <c r="D217" s="10">
        <v>46237</v>
      </c>
      <c r="E217" s="7">
        <v>0.25</v>
      </c>
      <c r="F217" s="7" t="s">
        <v>770</v>
      </c>
      <c r="G217" s="9">
        <v>46237.041666666664</v>
      </c>
      <c r="H217" s="7">
        <v>157.53</v>
      </c>
      <c r="I217" s="7" t="s">
        <v>1151</v>
      </c>
      <c r="J217" s="7">
        <v>15</v>
      </c>
      <c r="K217" s="7" t="s">
        <v>1130</v>
      </c>
      <c r="L217" s="10">
        <v>46234</v>
      </c>
      <c r="M217" s="7">
        <v>5.2473000000000001</v>
      </c>
      <c r="N217" s="7" t="s">
        <v>773</v>
      </c>
      <c r="O217" s="7">
        <v>119.93600000000001</v>
      </c>
      <c r="P217" s="7" t="s">
        <v>1152</v>
      </c>
      <c r="Q217" s="7" t="s">
        <v>775</v>
      </c>
      <c r="R217" s="7">
        <v>66.224534522516336</v>
      </c>
      <c r="S217" s="7" t="s">
        <v>776</v>
      </c>
      <c r="T217" s="7">
        <v>175</v>
      </c>
      <c r="U217" s="7" t="s">
        <v>1153</v>
      </c>
      <c r="V217" s="7" t="s">
        <v>775</v>
      </c>
      <c r="W217" s="7">
        <v>7.0664913384026065</v>
      </c>
      <c r="X217" s="7" t="s">
        <v>776</v>
      </c>
      <c r="Y217" s="7">
        <v>175</v>
      </c>
      <c r="Z217" s="7" t="s">
        <v>1154</v>
      </c>
      <c r="AA217" s="7" t="s">
        <v>775</v>
      </c>
      <c r="AB217" s="7">
        <v>4.6519162235816518</v>
      </c>
      <c r="AC217" s="7" t="s">
        <v>776</v>
      </c>
      <c r="AD217" s="7"/>
      <c r="AE217" s="7" t="s">
        <v>779</v>
      </c>
      <c r="AF217" s="7"/>
      <c r="AG217" s="7">
        <v>0</v>
      </c>
      <c r="AH217" s="7" t="s">
        <v>776</v>
      </c>
      <c r="AI217" s="7">
        <v>0</v>
      </c>
      <c r="AJ217" s="7">
        <v>61.689821431974536</v>
      </c>
      <c r="AK217" s="7" t="s">
        <v>776</v>
      </c>
      <c r="AL217" s="7">
        <v>3.831</v>
      </c>
      <c r="AM217" s="7" t="s">
        <v>780</v>
      </c>
      <c r="AN217" s="7" t="s">
        <v>781</v>
      </c>
      <c r="AO217" s="7" t="s">
        <v>782</v>
      </c>
      <c r="AP217" s="7">
        <v>0</v>
      </c>
      <c r="AQ217" s="7">
        <v>8.7565714285714205E-2</v>
      </c>
      <c r="AR217" s="7">
        <v>8.7565714285714205E-2</v>
      </c>
      <c r="AS217" s="8" t="b">
        <v>1</v>
      </c>
      <c r="AT217" s="8" t="b">
        <v>1</v>
      </c>
      <c r="AU217" s="8" t="b">
        <v>1</v>
      </c>
      <c r="AV217" s="8" t="b">
        <v>1</v>
      </c>
      <c r="AW217" s="8" t="b">
        <v>1</v>
      </c>
      <c r="AX217" s="8" t="b">
        <v>1</v>
      </c>
      <c r="AY217" s="8" t="b">
        <v>1</v>
      </c>
      <c r="AZ217" s="8" t="b">
        <v>1</v>
      </c>
      <c r="BA217" s="7" t="s">
        <v>783</v>
      </c>
      <c r="BB217" s="7" t="s">
        <v>783</v>
      </c>
      <c r="BC217" s="7" t="s">
        <v>784</v>
      </c>
      <c r="BD217" s="7">
        <v>-32.411479667094092</v>
      </c>
      <c r="BE217" s="7">
        <v>0.5253942857142857</v>
      </c>
      <c r="BF217" s="7">
        <v>27.911497341489913</v>
      </c>
      <c r="BG217" s="7">
        <v>0.13714285714285715</v>
      </c>
      <c r="BH217" s="7" t="s">
        <v>154</v>
      </c>
      <c r="BI217" s="7">
        <v>175</v>
      </c>
      <c r="BJ217" s="7">
        <v>24</v>
      </c>
      <c r="BK217" s="7">
        <v>24</v>
      </c>
      <c r="BL217" s="7">
        <v>24</v>
      </c>
      <c r="BM217" s="8" t="b">
        <v>1</v>
      </c>
      <c r="BN217" s="7">
        <v>0</v>
      </c>
      <c r="BO217" s="7">
        <v>0</v>
      </c>
      <c r="BP217" s="7">
        <v>42.398948030415639</v>
      </c>
      <c r="BQ217" s="7">
        <v>0.13714285714285715</v>
      </c>
      <c r="BR217" s="7" t="s">
        <v>154</v>
      </c>
      <c r="BS217" s="7">
        <v>175</v>
      </c>
      <c r="BT217" s="7">
        <v>24</v>
      </c>
      <c r="BU217" s="7">
        <v>24</v>
      </c>
      <c r="BV217" s="7">
        <v>24</v>
      </c>
      <c r="BW217" s="7" t="s">
        <v>1151</v>
      </c>
      <c r="BX217" s="8" t="b">
        <v>1</v>
      </c>
      <c r="BY217" s="7">
        <v>0</v>
      </c>
      <c r="BZ217" s="7">
        <v>0</v>
      </c>
      <c r="CA217" s="7">
        <v>46237.052083333336</v>
      </c>
      <c r="CB217" s="7">
        <v>46237.041666666664</v>
      </c>
      <c r="CC217" s="7">
        <v>1.3426742857142856E-3</v>
      </c>
      <c r="CD217" s="7">
        <v>33.002038221117999</v>
      </c>
      <c r="CE217" s="7">
        <v>33.485400963975145</v>
      </c>
      <c r="CF217" s="7">
        <v>662.24534522516342</v>
      </c>
      <c r="CG217" s="7">
        <v>0.3125</v>
      </c>
      <c r="CH217" s="7" t="s">
        <v>150</v>
      </c>
      <c r="CI217" s="7">
        <v>128</v>
      </c>
      <c r="CJ217" s="8" t="b">
        <v>1</v>
      </c>
      <c r="CK217" s="7">
        <v>40</v>
      </c>
      <c r="CL217" s="7">
        <v>40</v>
      </c>
      <c r="CM217" s="7">
        <v>40</v>
      </c>
      <c r="CN217" s="8" t="b">
        <v>0</v>
      </c>
      <c r="CO217" s="7" t="s">
        <v>1125</v>
      </c>
      <c r="CP217" s="7">
        <v>700.14431092997484</v>
      </c>
    </row>
    <row r="218" spans="1:94" ht="21" customHeight="1" x14ac:dyDescent="0.45">
      <c r="A218" s="9">
        <v>46237.052083333336</v>
      </c>
      <c r="B218" s="9">
        <v>46237.0625</v>
      </c>
      <c r="C218" s="9">
        <v>46237.177083333336</v>
      </c>
      <c r="D218" s="10">
        <v>46237</v>
      </c>
      <c r="E218" s="7">
        <v>0.25</v>
      </c>
      <c r="F218" s="7" t="s">
        <v>770</v>
      </c>
      <c r="G218" s="9">
        <v>46237.041666666664</v>
      </c>
      <c r="H218" s="7">
        <v>157.52000000000001</v>
      </c>
      <c r="I218" s="7" t="s">
        <v>1155</v>
      </c>
      <c r="J218" s="7">
        <v>15</v>
      </c>
      <c r="K218" s="7" t="s">
        <v>1130</v>
      </c>
      <c r="L218" s="10">
        <v>46234</v>
      </c>
      <c r="M218" s="7">
        <v>5.2473000000000001</v>
      </c>
      <c r="N218" s="7" t="s">
        <v>773</v>
      </c>
      <c r="O218" s="7">
        <v>119.93600000000001</v>
      </c>
      <c r="P218" s="7" t="s">
        <v>1152</v>
      </c>
      <c r="Q218" s="7" t="s">
        <v>775</v>
      </c>
      <c r="R218" s="7">
        <v>66.224534522516336</v>
      </c>
      <c r="S218" s="7" t="s">
        <v>776</v>
      </c>
      <c r="T218" s="7">
        <v>175</v>
      </c>
      <c r="U218" s="7" t="s">
        <v>1153</v>
      </c>
      <c r="V218" s="7" t="s">
        <v>775</v>
      </c>
      <c r="W218" s="7">
        <v>7.0664913384026065</v>
      </c>
      <c r="X218" s="7" t="s">
        <v>776</v>
      </c>
      <c r="Y218" s="7">
        <v>175</v>
      </c>
      <c r="Z218" s="7" t="s">
        <v>1154</v>
      </c>
      <c r="AA218" s="7" t="s">
        <v>775</v>
      </c>
      <c r="AB218" s="7">
        <v>4.6519162235816518</v>
      </c>
      <c r="AC218" s="7" t="s">
        <v>776</v>
      </c>
      <c r="AD218" s="7"/>
      <c r="AE218" s="7" t="s">
        <v>779</v>
      </c>
      <c r="AF218" s="7"/>
      <c r="AG218" s="7">
        <v>0</v>
      </c>
      <c r="AH218" s="7" t="s">
        <v>776</v>
      </c>
      <c r="AI218" s="7">
        <v>0</v>
      </c>
      <c r="AJ218" s="7">
        <v>68.484172812684619</v>
      </c>
      <c r="AK218" s="7" t="s">
        <v>776</v>
      </c>
      <c r="AL218" s="7">
        <v>1.236</v>
      </c>
      <c r="AM218" s="7" t="s">
        <v>780</v>
      </c>
      <c r="AN218" s="7" t="s">
        <v>781</v>
      </c>
      <c r="AO218" s="7" t="s">
        <v>782</v>
      </c>
      <c r="AP218" s="7">
        <v>0</v>
      </c>
      <c r="AQ218" s="7">
        <v>2.82514285714285E-2</v>
      </c>
      <c r="AR218" s="7">
        <v>2.82514285714285E-2</v>
      </c>
      <c r="AS218" s="8" t="b">
        <v>1</v>
      </c>
      <c r="AT218" s="8" t="b">
        <v>1</v>
      </c>
      <c r="AU218" s="8" t="b">
        <v>1</v>
      </c>
      <c r="AV218" s="8" t="b">
        <v>1</v>
      </c>
      <c r="AW218" s="8" t="b">
        <v>1</v>
      </c>
      <c r="AX218" s="8" t="b">
        <v>1</v>
      </c>
      <c r="AY218" s="8" t="b">
        <v>1</v>
      </c>
      <c r="AZ218" s="8" t="b">
        <v>1</v>
      </c>
      <c r="BA218" s="7" t="s">
        <v>783</v>
      </c>
      <c r="BB218" s="7" t="s">
        <v>783</v>
      </c>
      <c r="BC218" s="7" t="s">
        <v>784</v>
      </c>
      <c r="BD218" s="7">
        <v>-11.608654298945581</v>
      </c>
      <c r="BE218" s="7">
        <v>0.16950857142857143</v>
      </c>
      <c r="BF218" s="7">
        <v>27.911497341489913</v>
      </c>
      <c r="BG218" s="7">
        <v>0.13714285714285715</v>
      </c>
      <c r="BH218" s="7" t="s">
        <v>154</v>
      </c>
      <c r="BI218" s="7">
        <v>175</v>
      </c>
      <c r="BJ218" s="7">
        <v>24</v>
      </c>
      <c r="BK218" s="7">
        <v>24</v>
      </c>
      <c r="BL218" s="7">
        <v>24</v>
      </c>
      <c r="BM218" s="8" t="b">
        <v>1</v>
      </c>
      <c r="BN218" s="7">
        <v>0</v>
      </c>
      <c r="BO218" s="7">
        <v>0</v>
      </c>
      <c r="BP218" s="7">
        <v>42.398948030415639</v>
      </c>
      <c r="BQ218" s="7">
        <v>0.13714285714285715</v>
      </c>
      <c r="BR218" s="7" t="s">
        <v>154</v>
      </c>
      <c r="BS218" s="7">
        <v>175</v>
      </c>
      <c r="BT218" s="7">
        <v>24</v>
      </c>
      <c r="BU218" s="7">
        <v>24</v>
      </c>
      <c r="BV218" s="7">
        <v>24</v>
      </c>
      <c r="BW218" s="7" t="s">
        <v>1155</v>
      </c>
      <c r="BX218" s="8" t="b">
        <v>1</v>
      </c>
      <c r="BY218" s="7">
        <v>0</v>
      </c>
      <c r="BZ218" s="7">
        <v>0</v>
      </c>
      <c r="CA218" s="7">
        <v>46237.0625</v>
      </c>
      <c r="CB218" s="7">
        <v>46237.052083333336</v>
      </c>
      <c r="CC218" s="7">
        <v>4.3318857142857144E-4</v>
      </c>
      <c r="CD218" s="7">
        <v>33.485400963975145</v>
      </c>
      <c r="CE218" s="7">
        <v>33.641348849689429</v>
      </c>
      <c r="CF218" s="7">
        <v>662.24534522516342</v>
      </c>
      <c r="CG218" s="7">
        <v>0.3125</v>
      </c>
      <c r="CH218" s="7" t="s">
        <v>150</v>
      </c>
      <c r="CI218" s="7">
        <v>128</v>
      </c>
      <c r="CJ218" s="8" t="b">
        <v>1</v>
      </c>
      <c r="CK218" s="7">
        <v>40</v>
      </c>
      <c r="CL218" s="7">
        <v>40</v>
      </c>
      <c r="CM218" s="7">
        <v>40</v>
      </c>
      <c r="CN218" s="8" t="b">
        <v>0</v>
      </c>
      <c r="CO218" s="7" t="s">
        <v>1125</v>
      </c>
      <c r="CP218" s="7">
        <v>720.94713629812338</v>
      </c>
    </row>
    <row r="219" spans="1:94" ht="21" customHeight="1" x14ac:dyDescent="0.45">
      <c r="A219" s="9">
        <v>46237.0625</v>
      </c>
      <c r="B219" s="9">
        <v>46237.072916666664</v>
      </c>
      <c r="C219" s="9">
        <v>46237.1875</v>
      </c>
      <c r="D219" s="10">
        <v>46237</v>
      </c>
      <c r="E219" s="7">
        <v>0.25</v>
      </c>
      <c r="F219" s="7" t="s">
        <v>770</v>
      </c>
      <c r="G219" s="9">
        <v>46237.041666666664</v>
      </c>
      <c r="H219" s="7">
        <v>151.34</v>
      </c>
      <c r="I219" s="7" t="s">
        <v>1156</v>
      </c>
      <c r="J219" s="7">
        <v>15</v>
      </c>
      <c r="K219" s="7" t="s">
        <v>1130</v>
      </c>
      <c r="L219" s="10">
        <v>46234</v>
      </c>
      <c r="M219" s="7">
        <v>5.2473000000000001</v>
      </c>
      <c r="N219" s="7" t="s">
        <v>773</v>
      </c>
      <c r="O219" s="7">
        <v>119.93600000000001</v>
      </c>
      <c r="P219" s="7" t="s">
        <v>1152</v>
      </c>
      <c r="Q219" s="7" t="s">
        <v>775</v>
      </c>
      <c r="R219" s="7">
        <v>66.224534522516336</v>
      </c>
      <c r="S219" s="7" t="s">
        <v>776</v>
      </c>
      <c r="T219" s="7">
        <v>175</v>
      </c>
      <c r="U219" s="7" t="s">
        <v>1153</v>
      </c>
      <c r="V219" s="7" t="s">
        <v>775</v>
      </c>
      <c r="W219" s="7">
        <v>7.0664913384026065</v>
      </c>
      <c r="X219" s="7" t="s">
        <v>776</v>
      </c>
      <c r="Y219" s="7">
        <v>175</v>
      </c>
      <c r="Z219" s="7" t="s">
        <v>1154</v>
      </c>
      <c r="AA219" s="7" t="s">
        <v>775</v>
      </c>
      <c r="AB219" s="7">
        <v>4.6519162235816518</v>
      </c>
      <c r="AC219" s="7" t="s">
        <v>776</v>
      </c>
      <c r="AD219" s="7"/>
      <c r="AE219" s="7" t="s">
        <v>779</v>
      </c>
      <c r="AF219" s="7"/>
      <c r="AG219" s="7">
        <v>0</v>
      </c>
      <c r="AH219" s="7" t="s">
        <v>776</v>
      </c>
      <c r="AI219" s="7">
        <v>0</v>
      </c>
      <c r="AJ219" s="7">
        <v>62.516722886055682</v>
      </c>
      <c r="AK219" s="7" t="s">
        <v>776</v>
      </c>
      <c r="AL219" s="7">
        <v>2.6549999999999998</v>
      </c>
      <c r="AM219" s="7" t="s">
        <v>780</v>
      </c>
      <c r="AN219" s="7" t="s">
        <v>781</v>
      </c>
      <c r="AO219" s="7" t="s">
        <v>782</v>
      </c>
      <c r="AP219" s="7">
        <v>0</v>
      </c>
      <c r="AQ219" s="7">
        <v>6.0685714285714197E-2</v>
      </c>
      <c r="AR219" s="7">
        <v>6.0685714285714197E-2</v>
      </c>
      <c r="AS219" s="8" t="b">
        <v>1</v>
      </c>
      <c r="AT219" s="8" t="b">
        <v>1</v>
      </c>
      <c r="AU219" s="8" t="b">
        <v>1</v>
      </c>
      <c r="AV219" s="8" t="b">
        <v>1</v>
      </c>
      <c r="AW219" s="8" t="b">
        <v>1</v>
      </c>
      <c r="AX219" s="8" t="b">
        <v>1</v>
      </c>
      <c r="AY219" s="8" t="b">
        <v>1</v>
      </c>
      <c r="AZ219" s="8" t="b">
        <v>1</v>
      </c>
      <c r="BA219" s="7" t="s">
        <v>783</v>
      </c>
      <c r="BB219" s="7" t="s">
        <v>783</v>
      </c>
      <c r="BC219" s="7" t="s">
        <v>784</v>
      </c>
      <c r="BD219" s="7">
        <v>-22.763231898854102</v>
      </c>
      <c r="BE219" s="7">
        <v>0.36411428571428567</v>
      </c>
      <c r="BF219" s="7">
        <v>27.911497341489913</v>
      </c>
      <c r="BG219" s="7">
        <v>0.13714285714285715</v>
      </c>
      <c r="BH219" s="7" t="s">
        <v>154</v>
      </c>
      <c r="BI219" s="7">
        <v>175</v>
      </c>
      <c r="BJ219" s="7">
        <v>24</v>
      </c>
      <c r="BK219" s="7">
        <v>24</v>
      </c>
      <c r="BL219" s="7">
        <v>24</v>
      </c>
      <c r="BM219" s="8" t="b">
        <v>1</v>
      </c>
      <c r="BN219" s="7">
        <v>0</v>
      </c>
      <c r="BO219" s="7">
        <v>0</v>
      </c>
      <c r="BP219" s="7">
        <v>42.398948030415639</v>
      </c>
      <c r="BQ219" s="7">
        <v>0.13714285714285715</v>
      </c>
      <c r="BR219" s="7" t="s">
        <v>154</v>
      </c>
      <c r="BS219" s="7">
        <v>175</v>
      </c>
      <c r="BT219" s="7">
        <v>24</v>
      </c>
      <c r="BU219" s="7">
        <v>24</v>
      </c>
      <c r="BV219" s="7">
        <v>24</v>
      </c>
      <c r="BW219" s="7" t="s">
        <v>1156</v>
      </c>
      <c r="BX219" s="8" t="b">
        <v>1</v>
      </c>
      <c r="BY219" s="7">
        <v>-1362.06</v>
      </c>
      <c r="BZ219" s="7">
        <v>-36</v>
      </c>
      <c r="CA219" s="7">
        <v>46237.072916666664</v>
      </c>
      <c r="CB219" s="7">
        <v>46237.0625</v>
      </c>
      <c r="CC219" s="7">
        <v>2.3930514285714289E-2</v>
      </c>
      <c r="CD219" s="7">
        <v>33.641348849689429</v>
      </c>
      <c r="CE219" s="7">
        <v>42.256333992546573</v>
      </c>
      <c r="CF219" s="7">
        <v>662.24534522516342</v>
      </c>
      <c r="CG219" s="7">
        <v>0.3125</v>
      </c>
      <c r="CH219" s="7" t="s">
        <v>150</v>
      </c>
      <c r="CI219" s="7">
        <v>128</v>
      </c>
      <c r="CJ219" s="8" t="b">
        <v>1</v>
      </c>
      <c r="CK219" s="7">
        <v>40</v>
      </c>
      <c r="CL219" s="7">
        <v>40</v>
      </c>
      <c r="CM219" s="7">
        <v>40</v>
      </c>
      <c r="CN219" s="8" t="b">
        <v>0</v>
      </c>
      <c r="CO219" s="7" t="s">
        <v>1125</v>
      </c>
      <c r="CP219" s="7">
        <v>-652.26744130178508</v>
      </c>
    </row>
    <row r="220" spans="1:94" ht="21" customHeight="1" x14ac:dyDescent="0.45">
      <c r="A220" s="9">
        <v>46237.072916666664</v>
      </c>
      <c r="B220" s="9">
        <v>46237.083333333336</v>
      </c>
      <c r="C220" s="9">
        <v>46237.197916666664</v>
      </c>
      <c r="D220" s="10">
        <v>46237</v>
      </c>
      <c r="E220" s="7">
        <v>0.25</v>
      </c>
      <c r="F220" s="7" t="s">
        <v>770</v>
      </c>
      <c r="G220" s="9">
        <v>46237.041666666664</v>
      </c>
      <c r="H220" s="7">
        <v>150.22</v>
      </c>
      <c r="I220" s="7" t="s">
        <v>1157</v>
      </c>
      <c r="J220" s="7">
        <v>15</v>
      </c>
      <c r="K220" s="7" t="s">
        <v>1130</v>
      </c>
      <c r="L220" s="10">
        <v>46234</v>
      </c>
      <c r="M220" s="7">
        <v>5.2473000000000001</v>
      </c>
      <c r="N220" s="7" t="s">
        <v>773</v>
      </c>
      <c r="O220" s="7">
        <v>119.93600000000001</v>
      </c>
      <c r="P220" s="7" t="s">
        <v>1152</v>
      </c>
      <c r="Q220" s="7" t="s">
        <v>775</v>
      </c>
      <c r="R220" s="7">
        <v>66.224534522516336</v>
      </c>
      <c r="S220" s="7" t="s">
        <v>776</v>
      </c>
      <c r="T220" s="7">
        <v>175</v>
      </c>
      <c r="U220" s="7" t="s">
        <v>1153</v>
      </c>
      <c r="V220" s="7" t="s">
        <v>775</v>
      </c>
      <c r="W220" s="7">
        <v>7.0664913384026065</v>
      </c>
      <c r="X220" s="7" t="s">
        <v>776</v>
      </c>
      <c r="Y220" s="7">
        <v>175</v>
      </c>
      <c r="Z220" s="7" t="s">
        <v>1154</v>
      </c>
      <c r="AA220" s="7" t="s">
        <v>775</v>
      </c>
      <c r="AB220" s="7">
        <v>4.6519162235816518</v>
      </c>
      <c r="AC220" s="7" t="s">
        <v>776</v>
      </c>
      <c r="AD220" s="7"/>
      <c r="AE220" s="7" t="s">
        <v>779</v>
      </c>
      <c r="AF220" s="7"/>
      <c r="AG220" s="7">
        <v>152.45936005183617</v>
      </c>
      <c r="AH220" s="7" t="s">
        <v>776</v>
      </c>
      <c r="AI220" s="7">
        <v>1.4E-2</v>
      </c>
      <c r="AJ220" s="7">
        <v>65.73666457035047</v>
      </c>
      <c r="AK220" s="7" t="s">
        <v>776</v>
      </c>
      <c r="AL220" s="7">
        <v>2.617</v>
      </c>
      <c r="AM220" s="7" t="s">
        <v>780</v>
      </c>
      <c r="AN220" s="7" t="s">
        <v>781</v>
      </c>
      <c r="AO220" s="7" t="s">
        <v>782</v>
      </c>
      <c r="AP220" s="7">
        <v>3.2000000000000003E-4</v>
      </c>
      <c r="AQ220" s="7">
        <v>5.9817142857142798E-2</v>
      </c>
      <c r="AR220" s="7">
        <v>6.0137142857142799E-2</v>
      </c>
      <c r="AS220" s="8" t="b">
        <v>1</v>
      </c>
      <c r="AT220" s="8" t="b">
        <v>1</v>
      </c>
      <c r="AU220" s="8" t="b">
        <v>1</v>
      </c>
      <c r="AV220" s="8" t="b">
        <v>1</v>
      </c>
      <c r="AW220" s="8" t="b">
        <v>1</v>
      </c>
      <c r="AX220" s="8" t="b">
        <v>1</v>
      </c>
      <c r="AY220" s="8" t="b">
        <v>1</v>
      </c>
      <c r="AZ220" s="8" t="b">
        <v>1</v>
      </c>
      <c r="BA220" s="7" t="s">
        <v>783</v>
      </c>
      <c r="BB220" s="7" t="s">
        <v>783</v>
      </c>
      <c r="BC220" s="7" t="s">
        <v>784</v>
      </c>
      <c r="BD220" s="7">
        <v>-23.593076733340418</v>
      </c>
      <c r="BE220" s="7">
        <v>0.35890285714285719</v>
      </c>
      <c r="BF220" s="7">
        <v>27.911497341489913</v>
      </c>
      <c r="BG220" s="7">
        <v>0.13714285714285715</v>
      </c>
      <c r="BH220" s="7" t="s">
        <v>154</v>
      </c>
      <c r="BI220" s="7">
        <v>175</v>
      </c>
      <c r="BJ220" s="7">
        <v>24</v>
      </c>
      <c r="BK220" s="7">
        <v>24</v>
      </c>
      <c r="BL220" s="7">
        <v>24</v>
      </c>
      <c r="BM220" s="8" t="b">
        <v>1</v>
      </c>
      <c r="BN220" s="7">
        <v>0.29272197129952549</v>
      </c>
      <c r="BO220" s="7">
        <v>1.9200000000000003E-3</v>
      </c>
      <c r="BP220" s="7">
        <v>42.398948030415639</v>
      </c>
      <c r="BQ220" s="7">
        <v>0.13714285714285715</v>
      </c>
      <c r="BR220" s="7" t="s">
        <v>154</v>
      </c>
      <c r="BS220" s="7">
        <v>175</v>
      </c>
      <c r="BT220" s="7">
        <v>24</v>
      </c>
      <c r="BU220" s="7">
        <v>24</v>
      </c>
      <c r="BV220" s="7">
        <v>24</v>
      </c>
      <c r="BW220" s="7" t="s">
        <v>1157</v>
      </c>
      <c r="BX220" s="8" t="b">
        <v>1</v>
      </c>
      <c r="BY220" s="7">
        <v>-1351.98</v>
      </c>
      <c r="BZ220" s="7">
        <v>-36</v>
      </c>
      <c r="CA220" s="7">
        <v>46237.083333333336</v>
      </c>
      <c r="CB220" s="7">
        <v>46237.072916666664</v>
      </c>
      <c r="CC220" s="7">
        <v>2.3912289523809527E-2</v>
      </c>
      <c r="CD220" s="7">
        <v>42.256333992546573</v>
      </c>
      <c r="CE220" s="7">
        <v>50.864758221118002</v>
      </c>
      <c r="CF220" s="7">
        <v>662.24534522516342</v>
      </c>
      <c r="CG220" s="7">
        <v>0.3125</v>
      </c>
      <c r="CH220" s="7" t="s">
        <v>150</v>
      </c>
      <c r="CI220" s="7">
        <v>128</v>
      </c>
      <c r="CJ220" s="8" t="b">
        <v>1</v>
      </c>
      <c r="CK220" s="7">
        <v>40</v>
      </c>
      <c r="CL220" s="7">
        <v>40</v>
      </c>
      <c r="CM220" s="7">
        <v>40</v>
      </c>
      <c r="CN220" s="8" t="b">
        <v>0</v>
      </c>
      <c r="CO220" s="7" t="s">
        <v>1125</v>
      </c>
      <c r="CP220" s="7">
        <v>-642.72456416497198</v>
      </c>
    </row>
    <row r="221" spans="1:94" ht="21" customHeight="1" x14ac:dyDescent="0.45">
      <c r="A221" s="9">
        <v>46237.083333333336</v>
      </c>
      <c r="B221" s="9">
        <v>46237.09375</v>
      </c>
      <c r="C221" s="9">
        <v>46237.208333333336</v>
      </c>
      <c r="D221" s="10">
        <v>46237</v>
      </c>
      <c r="E221" s="7">
        <v>0.25</v>
      </c>
      <c r="F221" s="7" t="s">
        <v>770</v>
      </c>
      <c r="G221" s="9">
        <v>46237.083333333336</v>
      </c>
      <c r="H221" s="7">
        <v>147.54</v>
      </c>
      <c r="I221" s="7" t="s">
        <v>1158</v>
      </c>
      <c r="J221" s="7">
        <v>15</v>
      </c>
      <c r="K221" s="7" t="s">
        <v>1130</v>
      </c>
      <c r="L221" s="10">
        <v>46234</v>
      </c>
      <c r="M221" s="7">
        <v>5.2473000000000001</v>
      </c>
      <c r="N221" s="7" t="s">
        <v>773</v>
      </c>
      <c r="O221" s="7">
        <v>119.93600000000001</v>
      </c>
      <c r="P221" s="7" t="s">
        <v>1159</v>
      </c>
      <c r="Q221" s="7" t="s">
        <v>775</v>
      </c>
      <c r="R221" s="7">
        <v>66.224534522516336</v>
      </c>
      <c r="S221" s="7" t="s">
        <v>776</v>
      </c>
      <c r="T221" s="7">
        <v>175</v>
      </c>
      <c r="U221" s="7" t="s">
        <v>1160</v>
      </c>
      <c r="V221" s="7" t="s">
        <v>775</v>
      </c>
      <c r="W221" s="7">
        <v>7.0664913384026065</v>
      </c>
      <c r="X221" s="7" t="s">
        <v>776</v>
      </c>
      <c r="Y221" s="7">
        <v>175</v>
      </c>
      <c r="Z221" s="7" t="s">
        <v>1161</v>
      </c>
      <c r="AA221" s="7" t="s">
        <v>775</v>
      </c>
      <c r="AB221" s="7">
        <v>4.6481047395803561</v>
      </c>
      <c r="AC221" s="7" t="s">
        <v>776</v>
      </c>
      <c r="AD221" s="7"/>
      <c r="AE221" s="7" t="s">
        <v>779</v>
      </c>
      <c r="AF221" s="7"/>
      <c r="AG221" s="7">
        <v>0</v>
      </c>
      <c r="AH221" s="7" t="s">
        <v>776</v>
      </c>
      <c r="AI221" s="7">
        <v>0</v>
      </c>
      <c r="AJ221" s="7">
        <v>59.178815771920796</v>
      </c>
      <c r="AK221" s="7" t="s">
        <v>776</v>
      </c>
      <c r="AL221" s="7">
        <v>5.3090000000000002</v>
      </c>
      <c r="AM221" s="7" t="s">
        <v>780</v>
      </c>
      <c r="AN221" s="7" t="s">
        <v>781</v>
      </c>
      <c r="AO221" s="7" t="s">
        <v>782</v>
      </c>
      <c r="AP221" s="7">
        <v>0</v>
      </c>
      <c r="AQ221" s="7">
        <v>0.1213485714285714</v>
      </c>
      <c r="AR221" s="7">
        <v>0.1213485714285714</v>
      </c>
      <c r="AS221" s="8" t="b">
        <v>1</v>
      </c>
      <c r="AT221" s="8" t="b">
        <v>1</v>
      </c>
      <c r="AU221" s="8" t="b">
        <v>1</v>
      </c>
      <c r="AV221" s="8" t="b">
        <v>1</v>
      </c>
      <c r="AW221" s="8" t="b">
        <v>1</v>
      </c>
      <c r="AX221" s="8" t="b">
        <v>1</v>
      </c>
      <c r="AY221" s="8" t="b">
        <v>1</v>
      </c>
      <c r="AZ221" s="8" t="b">
        <v>1</v>
      </c>
      <c r="BA221" s="7" t="s">
        <v>783</v>
      </c>
      <c r="BB221" s="7" t="s">
        <v>783</v>
      </c>
      <c r="BC221" s="7" t="s">
        <v>784</v>
      </c>
      <c r="BD221" s="7">
        <v>-43.087588516543207</v>
      </c>
      <c r="BE221" s="7">
        <v>0.72809142857142861</v>
      </c>
      <c r="BF221" s="7">
        <v>27.888628437482136</v>
      </c>
      <c r="BG221" s="7">
        <v>0.13714285714285715</v>
      </c>
      <c r="BH221" s="7" t="s">
        <v>154</v>
      </c>
      <c r="BI221" s="7">
        <v>175</v>
      </c>
      <c r="BJ221" s="7">
        <v>24</v>
      </c>
      <c r="BK221" s="7">
        <v>24</v>
      </c>
      <c r="BL221" s="7">
        <v>24</v>
      </c>
      <c r="BM221" s="8" t="b">
        <v>1</v>
      </c>
      <c r="BN221" s="7">
        <v>0</v>
      </c>
      <c r="BO221" s="7">
        <v>0</v>
      </c>
      <c r="BP221" s="7">
        <v>42.398948030415639</v>
      </c>
      <c r="BQ221" s="7">
        <v>0.13714285714285715</v>
      </c>
      <c r="BR221" s="7" t="s">
        <v>154</v>
      </c>
      <c r="BS221" s="7">
        <v>175</v>
      </c>
      <c r="BT221" s="7">
        <v>24</v>
      </c>
      <c r="BU221" s="7">
        <v>24</v>
      </c>
      <c r="BV221" s="7">
        <v>24</v>
      </c>
      <c r="BW221" s="7" t="s">
        <v>1158</v>
      </c>
      <c r="BX221" s="8" t="b">
        <v>1</v>
      </c>
      <c r="BY221" s="7">
        <v>-1327.86</v>
      </c>
      <c r="BZ221" s="7">
        <v>-36</v>
      </c>
      <c r="CA221" s="7">
        <v>46237.09375</v>
      </c>
      <c r="CB221" s="7">
        <v>46237.083333333336</v>
      </c>
      <c r="CC221" s="7">
        <v>2.4860678095238096E-2</v>
      </c>
      <c r="CD221" s="7">
        <v>50.864758221118002</v>
      </c>
      <c r="CE221" s="7">
        <v>59.81460233540372</v>
      </c>
      <c r="CF221" s="7">
        <v>662.24534522516342</v>
      </c>
      <c r="CG221" s="7">
        <v>0.3125</v>
      </c>
      <c r="CH221" s="7" t="s">
        <v>150</v>
      </c>
      <c r="CI221" s="7">
        <v>128</v>
      </c>
      <c r="CJ221" s="8" t="b">
        <v>1</v>
      </c>
      <c r="CK221" s="7">
        <v>40</v>
      </c>
      <c r="CL221" s="7">
        <v>40</v>
      </c>
      <c r="CM221" s="7">
        <v>40</v>
      </c>
      <c r="CN221" s="8" t="b">
        <v>0</v>
      </c>
      <c r="CO221" s="7" t="s">
        <v>1125</v>
      </c>
      <c r="CP221" s="7">
        <v>-638.41466682348187</v>
      </c>
    </row>
    <row r="222" spans="1:94" ht="21" customHeight="1" x14ac:dyDescent="0.45">
      <c r="A222" s="9">
        <v>46237.09375</v>
      </c>
      <c r="B222" s="9">
        <v>46237.104166666664</v>
      </c>
      <c r="C222" s="9">
        <v>46237.21875</v>
      </c>
      <c r="D222" s="10">
        <v>46237</v>
      </c>
      <c r="E222" s="7">
        <v>0.25</v>
      </c>
      <c r="F222" s="7" t="s">
        <v>770</v>
      </c>
      <c r="G222" s="9">
        <v>46237.083333333336</v>
      </c>
      <c r="H222" s="7">
        <v>164.3</v>
      </c>
      <c r="I222" s="7" t="s">
        <v>1162</v>
      </c>
      <c r="J222" s="7">
        <v>15</v>
      </c>
      <c r="K222" s="7" t="s">
        <v>1130</v>
      </c>
      <c r="L222" s="10">
        <v>46234</v>
      </c>
      <c r="M222" s="7">
        <v>5.2473000000000001</v>
      </c>
      <c r="N222" s="7" t="s">
        <v>773</v>
      </c>
      <c r="O222" s="7">
        <v>119.93600000000001</v>
      </c>
      <c r="P222" s="7" t="s">
        <v>1159</v>
      </c>
      <c r="Q222" s="7" t="s">
        <v>775</v>
      </c>
      <c r="R222" s="7">
        <v>66.224534522516336</v>
      </c>
      <c r="S222" s="7" t="s">
        <v>776</v>
      </c>
      <c r="T222" s="7">
        <v>175</v>
      </c>
      <c r="U222" s="7" t="s">
        <v>1160</v>
      </c>
      <c r="V222" s="7" t="s">
        <v>775</v>
      </c>
      <c r="W222" s="7">
        <v>7.0664913384026065</v>
      </c>
      <c r="X222" s="7" t="s">
        <v>776</v>
      </c>
      <c r="Y222" s="7">
        <v>175</v>
      </c>
      <c r="Z222" s="7" t="s">
        <v>1161</v>
      </c>
      <c r="AA222" s="7" t="s">
        <v>775</v>
      </c>
      <c r="AB222" s="7">
        <v>4.6481047395803561</v>
      </c>
      <c r="AC222" s="7" t="s">
        <v>776</v>
      </c>
      <c r="AD222" s="7"/>
      <c r="AE222" s="7" t="s">
        <v>779</v>
      </c>
      <c r="AF222" s="7"/>
      <c r="AG222" s="7">
        <v>0</v>
      </c>
      <c r="AH222" s="7" t="s">
        <v>776</v>
      </c>
      <c r="AI222" s="7">
        <v>0</v>
      </c>
      <c r="AJ222" s="7">
        <v>64.15280239361195</v>
      </c>
      <c r="AK222" s="7" t="s">
        <v>776</v>
      </c>
      <c r="AL222" s="7">
        <v>2.0190000000000001</v>
      </c>
      <c r="AM222" s="7" t="s">
        <v>780</v>
      </c>
      <c r="AN222" s="7" t="s">
        <v>781</v>
      </c>
      <c r="AO222" s="7" t="s">
        <v>782</v>
      </c>
      <c r="AP222" s="7">
        <v>0</v>
      </c>
      <c r="AQ222" s="7">
        <v>4.61485714285714E-2</v>
      </c>
      <c r="AR222" s="7">
        <v>4.61485714285714E-2</v>
      </c>
      <c r="AS222" s="8" t="b">
        <v>1</v>
      </c>
      <c r="AT222" s="8" t="b">
        <v>1</v>
      </c>
      <c r="AU222" s="8" t="b">
        <v>1</v>
      </c>
      <c r="AV222" s="8" t="b">
        <v>1</v>
      </c>
      <c r="AW222" s="8" t="b">
        <v>1</v>
      </c>
      <c r="AX222" s="8" t="b">
        <v>1</v>
      </c>
      <c r="AY222" s="8" t="b">
        <v>1</v>
      </c>
      <c r="AZ222" s="8" t="b">
        <v>1</v>
      </c>
      <c r="BA222" s="7" t="s">
        <v>783</v>
      </c>
      <c r="BB222" s="7" t="s">
        <v>783</v>
      </c>
      <c r="BC222" s="7" t="s">
        <v>784</v>
      </c>
      <c r="BD222" s="7">
        <v>-17.76336110162778</v>
      </c>
      <c r="BE222" s="7">
        <v>0.27689142857142862</v>
      </c>
      <c r="BF222" s="7">
        <v>27.888628437482136</v>
      </c>
      <c r="BG222" s="7">
        <v>0.13714285714285715</v>
      </c>
      <c r="BH222" s="7" t="s">
        <v>154</v>
      </c>
      <c r="BI222" s="7">
        <v>175</v>
      </c>
      <c r="BJ222" s="7">
        <v>24</v>
      </c>
      <c r="BK222" s="7">
        <v>24</v>
      </c>
      <c r="BL222" s="7">
        <v>24</v>
      </c>
      <c r="BM222" s="8" t="b">
        <v>1</v>
      </c>
      <c r="BN222" s="7">
        <v>0</v>
      </c>
      <c r="BO222" s="7">
        <v>0</v>
      </c>
      <c r="BP222" s="7">
        <v>42.398948030415639</v>
      </c>
      <c r="BQ222" s="7">
        <v>0.13714285714285715</v>
      </c>
      <c r="BR222" s="7" t="s">
        <v>154</v>
      </c>
      <c r="BS222" s="7">
        <v>175</v>
      </c>
      <c r="BT222" s="7">
        <v>24</v>
      </c>
      <c r="BU222" s="7">
        <v>24</v>
      </c>
      <c r="BV222" s="7">
        <v>24</v>
      </c>
      <c r="BW222" s="7" t="s">
        <v>1162</v>
      </c>
      <c r="BX222" s="8" t="b">
        <v>1</v>
      </c>
      <c r="BY222" s="7">
        <v>0</v>
      </c>
      <c r="BZ222" s="7">
        <v>0</v>
      </c>
      <c r="CA222" s="7">
        <v>46237.104166666664</v>
      </c>
      <c r="CB222" s="7">
        <v>46237.09375</v>
      </c>
      <c r="CC222" s="7">
        <v>7.0761142857142881E-4</v>
      </c>
      <c r="CD222" s="7">
        <v>59.81460233540372</v>
      </c>
      <c r="CE222" s="7">
        <v>60.069342449689437</v>
      </c>
      <c r="CF222" s="7">
        <v>662.24534522516342</v>
      </c>
      <c r="CG222" s="7">
        <v>0.3125</v>
      </c>
      <c r="CH222" s="7" t="s">
        <v>150</v>
      </c>
      <c r="CI222" s="7">
        <v>128</v>
      </c>
      <c r="CJ222" s="8" t="b">
        <v>1</v>
      </c>
      <c r="CK222" s="7">
        <v>40</v>
      </c>
      <c r="CL222" s="7">
        <v>40</v>
      </c>
      <c r="CM222" s="7">
        <v>40</v>
      </c>
      <c r="CN222" s="8" t="b">
        <v>0</v>
      </c>
      <c r="CO222" s="7" t="s">
        <v>1125</v>
      </c>
      <c r="CP222" s="7">
        <v>714.76956059143345</v>
      </c>
    </row>
    <row r="223" spans="1:94" ht="21" customHeight="1" x14ac:dyDescent="0.45">
      <c r="A223" s="9">
        <v>46237.104166666664</v>
      </c>
      <c r="B223" s="9">
        <v>46237.114583333336</v>
      </c>
      <c r="C223" s="9">
        <v>46237.229166666664</v>
      </c>
      <c r="D223" s="10">
        <v>46237</v>
      </c>
      <c r="E223" s="7">
        <v>0.25</v>
      </c>
      <c r="F223" s="7" t="s">
        <v>770</v>
      </c>
      <c r="G223" s="9">
        <v>46237.083333333336</v>
      </c>
      <c r="H223" s="7">
        <v>168.24</v>
      </c>
      <c r="I223" s="7" t="s">
        <v>1163</v>
      </c>
      <c r="J223" s="7">
        <v>15</v>
      </c>
      <c r="K223" s="7" t="s">
        <v>1130</v>
      </c>
      <c r="L223" s="10">
        <v>46234</v>
      </c>
      <c r="M223" s="7">
        <v>5.2473000000000001</v>
      </c>
      <c r="N223" s="7" t="s">
        <v>773</v>
      </c>
      <c r="O223" s="7">
        <v>119.93600000000001</v>
      </c>
      <c r="P223" s="7" t="s">
        <v>1159</v>
      </c>
      <c r="Q223" s="7" t="s">
        <v>775</v>
      </c>
      <c r="R223" s="7">
        <v>66.224534522516336</v>
      </c>
      <c r="S223" s="7" t="s">
        <v>776</v>
      </c>
      <c r="T223" s="7">
        <v>175</v>
      </c>
      <c r="U223" s="7" t="s">
        <v>1160</v>
      </c>
      <c r="V223" s="7" t="s">
        <v>775</v>
      </c>
      <c r="W223" s="7">
        <v>7.0664913384026065</v>
      </c>
      <c r="X223" s="7" t="s">
        <v>776</v>
      </c>
      <c r="Y223" s="7">
        <v>175</v>
      </c>
      <c r="Z223" s="7" t="s">
        <v>1161</v>
      </c>
      <c r="AA223" s="7" t="s">
        <v>775</v>
      </c>
      <c r="AB223" s="7">
        <v>4.6481047395803561</v>
      </c>
      <c r="AC223" s="7" t="s">
        <v>776</v>
      </c>
      <c r="AD223" s="7"/>
      <c r="AE223" s="7" t="s">
        <v>779</v>
      </c>
      <c r="AF223" s="7"/>
      <c r="AG223" s="7">
        <v>152.45936005183617</v>
      </c>
      <c r="AH223" s="7" t="s">
        <v>776</v>
      </c>
      <c r="AI223" s="7">
        <v>3.3000000000000002E-2</v>
      </c>
      <c r="AJ223" s="7">
        <v>76.420254225982887</v>
      </c>
      <c r="AK223" s="7" t="s">
        <v>776</v>
      </c>
      <c r="AL223" s="7">
        <v>0.29699999999999999</v>
      </c>
      <c r="AM223" s="7" t="s">
        <v>780</v>
      </c>
      <c r="AN223" s="7" t="s">
        <v>781</v>
      </c>
      <c r="AO223" s="7" t="s">
        <v>782</v>
      </c>
      <c r="AP223" s="7">
        <v>7.5428571428569997E-4</v>
      </c>
      <c r="AQ223" s="7">
        <v>6.7885714285713999E-3</v>
      </c>
      <c r="AR223" s="7">
        <v>7.5428571428571003E-3</v>
      </c>
      <c r="AS223" s="8" t="b">
        <v>1</v>
      </c>
      <c r="AT223" s="8" t="b">
        <v>1</v>
      </c>
      <c r="AU223" s="8" t="b">
        <v>1</v>
      </c>
      <c r="AV223" s="8" t="b">
        <v>1</v>
      </c>
      <c r="AW223" s="8" t="b">
        <v>1</v>
      </c>
      <c r="AX223" s="8" t="b">
        <v>1</v>
      </c>
      <c r="AY223" s="8" t="b">
        <v>1</v>
      </c>
      <c r="AZ223" s="8" t="b">
        <v>1</v>
      </c>
      <c r="BA223" s="7" t="s">
        <v>783</v>
      </c>
      <c r="BB223" s="7" t="s">
        <v>783</v>
      </c>
      <c r="BC223" s="7" t="s">
        <v>784</v>
      </c>
      <c r="BD223" s="7">
        <v>-3.1127061264160343</v>
      </c>
      <c r="BE223" s="7">
        <v>4.0731428571428571E-2</v>
      </c>
      <c r="BF223" s="7">
        <v>27.888628437482136</v>
      </c>
      <c r="BG223" s="7">
        <v>0.13714285714285715</v>
      </c>
      <c r="BH223" s="7" t="s">
        <v>154</v>
      </c>
      <c r="BI223" s="7">
        <v>175</v>
      </c>
      <c r="BJ223" s="7">
        <v>24</v>
      </c>
      <c r="BK223" s="7">
        <v>24</v>
      </c>
      <c r="BL223" s="7">
        <v>24</v>
      </c>
      <c r="BM223" s="8" t="b">
        <v>1</v>
      </c>
      <c r="BN223" s="7">
        <v>0.68998750377745288</v>
      </c>
      <c r="BO223" s="7">
        <v>4.5257142857142857E-3</v>
      </c>
      <c r="BP223" s="7">
        <v>42.398948030415639</v>
      </c>
      <c r="BQ223" s="7">
        <v>0.13714285714285715</v>
      </c>
      <c r="BR223" s="7" t="s">
        <v>154</v>
      </c>
      <c r="BS223" s="7">
        <v>175</v>
      </c>
      <c r="BT223" s="7">
        <v>24</v>
      </c>
      <c r="BU223" s="7">
        <v>24</v>
      </c>
      <c r="BV223" s="7">
        <v>24</v>
      </c>
      <c r="BW223" s="7" t="s">
        <v>1163</v>
      </c>
      <c r="BX223" s="8" t="b">
        <v>1</v>
      </c>
      <c r="BY223" s="7">
        <v>0</v>
      </c>
      <c r="BZ223" s="7">
        <v>0</v>
      </c>
      <c r="CA223" s="7">
        <v>46237.114583333336</v>
      </c>
      <c r="CB223" s="7">
        <v>46237.104166666664</v>
      </c>
      <c r="CC223" s="7">
        <v>1.1775602484472051E-4</v>
      </c>
      <c r="CD223" s="7">
        <v>60.069342449689437</v>
      </c>
      <c r="CE223" s="7">
        <v>60.101896109316769</v>
      </c>
      <c r="CF223" s="7">
        <v>662.24534522516342</v>
      </c>
      <c r="CG223" s="7">
        <v>0.3125</v>
      </c>
      <c r="CH223" s="7" t="s">
        <v>150</v>
      </c>
      <c r="CI223" s="7">
        <v>128</v>
      </c>
      <c r="CJ223" s="8" t="b">
        <v>1</v>
      </c>
      <c r="CK223" s="7">
        <v>40</v>
      </c>
      <c r="CL223" s="7">
        <v>40</v>
      </c>
      <c r="CM223" s="7">
        <v>40</v>
      </c>
      <c r="CN223" s="8" t="b">
        <v>0</v>
      </c>
      <c r="CO223" s="7" t="s">
        <v>1125</v>
      </c>
      <c r="CP223" s="7">
        <v>730.11020307042259</v>
      </c>
    </row>
    <row r="224" spans="1:94" ht="21" customHeight="1" x14ac:dyDescent="0.45">
      <c r="A224" s="9">
        <v>46237.114583333336</v>
      </c>
      <c r="B224" s="9">
        <v>46237.125</v>
      </c>
      <c r="C224" s="9">
        <v>46237.239583333336</v>
      </c>
      <c r="D224" s="10">
        <v>46237</v>
      </c>
      <c r="E224" s="7">
        <v>0.25</v>
      </c>
      <c r="F224" s="7" t="s">
        <v>770</v>
      </c>
      <c r="G224" s="9">
        <v>46237.083333333336</v>
      </c>
      <c r="H224" s="7">
        <v>170.88</v>
      </c>
      <c r="I224" s="7" t="s">
        <v>1164</v>
      </c>
      <c r="J224" s="7">
        <v>15</v>
      </c>
      <c r="K224" s="7" t="s">
        <v>1130</v>
      </c>
      <c r="L224" s="10">
        <v>46234</v>
      </c>
      <c r="M224" s="7">
        <v>5.2473000000000001</v>
      </c>
      <c r="N224" s="7" t="s">
        <v>773</v>
      </c>
      <c r="O224" s="7">
        <v>119.93600000000001</v>
      </c>
      <c r="P224" s="7" t="s">
        <v>1159</v>
      </c>
      <c r="Q224" s="7" t="s">
        <v>775</v>
      </c>
      <c r="R224" s="7">
        <v>66.224534522516336</v>
      </c>
      <c r="S224" s="7" t="s">
        <v>776</v>
      </c>
      <c r="T224" s="7">
        <v>175</v>
      </c>
      <c r="U224" s="7" t="s">
        <v>1160</v>
      </c>
      <c r="V224" s="7" t="s">
        <v>775</v>
      </c>
      <c r="W224" s="7">
        <v>7.0664913384026065</v>
      </c>
      <c r="X224" s="7" t="s">
        <v>776</v>
      </c>
      <c r="Y224" s="7">
        <v>175</v>
      </c>
      <c r="Z224" s="7" t="s">
        <v>1161</v>
      </c>
      <c r="AA224" s="7" t="s">
        <v>775</v>
      </c>
      <c r="AB224" s="7">
        <v>4.6481047395803561</v>
      </c>
      <c r="AC224" s="7" t="s">
        <v>776</v>
      </c>
      <c r="AD224" s="7"/>
      <c r="AE224" s="7" t="s">
        <v>779</v>
      </c>
      <c r="AF224" s="7"/>
      <c r="AG224" s="7">
        <v>165.27776189659443</v>
      </c>
      <c r="AH224" s="7" t="s">
        <v>776</v>
      </c>
      <c r="AI224" s="7">
        <v>0.16800000000000001</v>
      </c>
      <c r="AJ224" s="7">
        <v>65.10357707773521</v>
      </c>
      <c r="AK224" s="7" t="s">
        <v>776</v>
      </c>
      <c r="AL224" s="7">
        <v>1.595</v>
      </c>
      <c r="AM224" s="7" t="s">
        <v>780</v>
      </c>
      <c r="AN224" s="7" t="s">
        <v>781</v>
      </c>
      <c r="AO224" s="7" t="s">
        <v>782</v>
      </c>
      <c r="AP224" s="7">
        <v>3.8400000000000001E-3</v>
      </c>
      <c r="AQ224" s="7">
        <v>3.6457142857142799E-2</v>
      </c>
      <c r="AR224" s="7">
        <v>4.0297142857142802E-2</v>
      </c>
      <c r="AS224" s="8" t="b">
        <v>1</v>
      </c>
      <c r="AT224" s="8" t="b">
        <v>1</v>
      </c>
      <c r="AU224" s="8" t="b">
        <v>1</v>
      </c>
      <c r="AV224" s="8" t="b">
        <v>1</v>
      </c>
      <c r="AW224" s="8" t="b">
        <v>1</v>
      </c>
      <c r="AX224" s="8" t="b">
        <v>1</v>
      </c>
      <c r="AY224" s="8" t="b">
        <v>1</v>
      </c>
      <c r="AZ224" s="8" t="b">
        <v>1</v>
      </c>
      <c r="BA224" s="7" t="s">
        <v>783</v>
      </c>
      <c r="BB224" s="7" t="s">
        <v>783</v>
      </c>
      <c r="BC224" s="7" t="s">
        <v>784</v>
      </c>
      <c r="BD224" s="7">
        <v>-14.240942460204021</v>
      </c>
      <c r="BE224" s="7">
        <v>0.21874285714285713</v>
      </c>
      <c r="BF224" s="7">
        <v>27.888628437482136</v>
      </c>
      <c r="BG224" s="7">
        <v>0.13714285714285715</v>
      </c>
      <c r="BH224" s="7" t="s">
        <v>154</v>
      </c>
      <c r="BI224" s="7">
        <v>175</v>
      </c>
      <c r="BJ224" s="7">
        <v>24</v>
      </c>
      <c r="BK224" s="7">
        <v>24</v>
      </c>
      <c r="BL224" s="7">
        <v>24</v>
      </c>
      <c r="BM224" s="8" t="b">
        <v>1</v>
      </c>
      <c r="BN224" s="7">
        <v>3.8079996340975359</v>
      </c>
      <c r="BO224" s="7">
        <v>2.3040000000000001E-2</v>
      </c>
      <c r="BP224" s="7">
        <v>42.398948030415639</v>
      </c>
      <c r="BQ224" s="7">
        <v>0.13714285714285715</v>
      </c>
      <c r="BR224" s="7" t="s">
        <v>154</v>
      </c>
      <c r="BS224" s="7">
        <v>175</v>
      </c>
      <c r="BT224" s="7">
        <v>24</v>
      </c>
      <c r="BU224" s="7">
        <v>24</v>
      </c>
      <c r="BV224" s="7">
        <v>24</v>
      </c>
      <c r="BW224" s="7" t="s">
        <v>1164</v>
      </c>
      <c r="BX224" s="8" t="b">
        <v>1</v>
      </c>
      <c r="BY224" s="7">
        <v>0</v>
      </c>
      <c r="BZ224" s="7">
        <v>0</v>
      </c>
      <c r="CA224" s="7">
        <v>46237.125</v>
      </c>
      <c r="CB224" s="7">
        <v>46237.114583333336</v>
      </c>
      <c r="CC224" s="7">
        <v>6.2857474120082816E-4</v>
      </c>
      <c r="CD224" s="7">
        <v>60.101896109316769</v>
      </c>
      <c r="CE224" s="7">
        <v>60.27809605962733</v>
      </c>
      <c r="CF224" s="7">
        <v>662.24534522516342</v>
      </c>
      <c r="CG224" s="7">
        <v>0.3125</v>
      </c>
      <c r="CH224" s="7" t="s">
        <v>150</v>
      </c>
      <c r="CI224" s="7">
        <v>128</v>
      </c>
      <c r="CJ224" s="8" t="b">
        <v>1</v>
      </c>
      <c r="CK224" s="7">
        <v>40</v>
      </c>
      <c r="CL224" s="7">
        <v>40</v>
      </c>
      <c r="CM224" s="7">
        <v>40</v>
      </c>
      <c r="CN224" s="8" t="b">
        <v>0</v>
      </c>
      <c r="CO224" s="7" t="s">
        <v>1125</v>
      </c>
      <c r="CP224" s="7">
        <v>722.09997886695476</v>
      </c>
    </row>
    <row r="225" spans="1:94" ht="21" customHeight="1" x14ac:dyDescent="0.45">
      <c r="A225" s="9">
        <v>46237.125</v>
      </c>
      <c r="B225" s="9">
        <v>46237.135416666664</v>
      </c>
      <c r="C225" s="9">
        <v>46237.25</v>
      </c>
      <c r="D225" s="10">
        <v>46237</v>
      </c>
      <c r="E225" s="7">
        <v>0.25</v>
      </c>
      <c r="F225" s="7" t="s">
        <v>770</v>
      </c>
      <c r="G225" s="9">
        <v>46237.125</v>
      </c>
      <c r="H225" s="7">
        <v>169.51</v>
      </c>
      <c r="I225" s="7" t="s">
        <v>1165</v>
      </c>
      <c r="J225" s="7">
        <v>15</v>
      </c>
      <c r="K225" s="7" t="s">
        <v>1130</v>
      </c>
      <c r="L225" s="10">
        <v>46234</v>
      </c>
      <c r="M225" s="7">
        <v>5.2473000000000001</v>
      </c>
      <c r="N225" s="7" t="s">
        <v>773</v>
      </c>
      <c r="O225" s="7">
        <v>128</v>
      </c>
      <c r="P225" s="7" t="s">
        <v>1166</v>
      </c>
      <c r="Q225" s="7" t="s">
        <v>775</v>
      </c>
      <c r="R225" s="7">
        <v>66.224534522516336</v>
      </c>
      <c r="S225" s="7" t="s">
        <v>776</v>
      </c>
      <c r="T225" s="7">
        <v>175</v>
      </c>
      <c r="U225" s="7" t="s">
        <v>1167</v>
      </c>
      <c r="V225" s="7" t="s">
        <v>775</v>
      </c>
      <c r="W225" s="7">
        <v>6.992167400377336</v>
      </c>
      <c r="X225" s="7" t="s">
        <v>776</v>
      </c>
      <c r="Y225" s="7">
        <v>175</v>
      </c>
      <c r="Z225" s="7" t="s">
        <v>1168</v>
      </c>
      <c r="AA225" s="7" t="s">
        <v>775</v>
      </c>
      <c r="AB225" s="7">
        <v>2.8376498389648011</v>
      </c>
      <c r="AC225" s="7" t="s">
        <v>776</v>
      </c>
      <c r="AD225" s="7"/>
      <c r="AE225" s="7" t="s">
        <v>779</v>
      </c>
      <c r="AF225" s="7"/>
      <c r="AG225" s="7">
        <v>0</v>
      </c>
      <c r="AH225" s="7" t="s">
        <v>776</v>
      </c>
      <c r="AI225" s="7">
        <v>0</v>
      </c>
      <c r="AJ225" s="7">
        <v>31.873725535037067</v>
      </c>
      <c r="AK225" s="7" t="s">
        <v>776</v>
      </c>
      <c r="AL225" s="7">
        <v>11.462999999999999</v>
      </c>
      <c r="AM225" s="7" t="s">
        <v>780</v>
      </c>
      <c r="AN225" s="7" t="s">
        <v>781</v>
      </c>
      <c r="AO225" s="7" t="s">
        <v>782</v>
      </c>
      <c r="AP225" s="7">
        <v>0</v>
      </c>
      <c r="AQ225" s="7">
        <v>0.26201142857142851</v>
      </c>
      <c r="AR225" s="7">
        <v>0.26201142857142851</v>
      </c>
      <c r="AS225" s="8" t="b">
        <v>1</v>
      </c>
      <c r="AT225" s="8" t="b">
        <v>1</v>
      </c>
      <c r="AU225" s="8" t="b">
        <v>1</v>
      </c>
      <c r="AV225" s="8" t="b">
        <v>1</v>
      </c>
      <c r="AW225" s="8" t="b">
        <v>1</v>
      </c>
      <c r="AX225" s="8" t="b">
        <v>1</v>
      </c>
      <c r="AY225" s="8" t="b">
        <v>1</v>
      </c>
      <c r="AZ225" s="8" t="b">
        <v>1</v>
      </c>
      <c r="BA225" s="7" t="s">
        <v>783</v>
      </c>
      <c r="BB225" s="7" t="s">
        <v>783</v>
      </c>
      <c r="BC225" s="7" t="s">
        <v>784</v>
      </c>
      <c r="BD225" s="7">
        <v>-50.107682167972101</v>
      </c>
      <c r="BE225" s="7">
        <v>1.5720685714285714</v>
      </c>
      <c r="BF225" s="7">
        <v>17.025899033788807</v>
      </c>
      <c r="BG225" s="7">
        <v>0.13714285714285715</v>
      </c>
      <c r="BH225" s="7" t="s">
        <v>154</v>
      </c>
      <c r="BI225" s="7">
        <v>175</v>
      </c>
      <c r="BJ225" s="7">
        <v>24</v>
      </c>
      <c r="BK225" s="7">
        <v>24</v>
      </c>
      <c r="BL225" s="7">
        <v>24</v>
      </c>
      <c r="BM225" s="8" t="b">
        <v>1</v>
      </c>
      <c r="BN225" s="7">
        <v>0</v>
      </c>
      <c r="BO225" s="7">
        <v>0</v>
      </c>
      <c r="BP225" s="7">
        <v>41.953004402264014</v>
      </c>
      <c r="BQ225" s="7">
        <v>0.13714285714285715</v>
      </c>
      <c r="BR225" s="7" t="s">
        <v>154</v>
      </c>
      <c r="BS225" s="7">
        <v>175</v>
      </c>
      <c r="BT225" s="7">
        <v>24</v>
      </c>
      <c r="BU225" s="7">
        <v>24</v>
      </c>
      <c r="BV225" s="7">
        <v>24</v>
      </c>
      <c r="BW225" s="7" t="s">
        <v>1165</v>
      </c>
      <c r="BX225" s="8" t="b">
        <v>1</v>
      </c>
      <c r="BY225" s="7">
        <v>0</v>
      </c>
      <c r="BZ225" s="7">
        <v>0</v>
      </c>
      <c r="CA225" s="7">
        <v>46237.135416666664</v>
      </c>
      <c r="CB225" s="7">
        <v>46237.125</v>
      </c>
      <c r="CC225" s="7">
        <v>4.0175085714285715E-3</v>
      </c>
      <c r="CD225" s="7">
        <v>60.27809605962733</v>
      </c>
      <c r="CE225" s="7">
        <v>61.724399145341614</v>
      </c>
      <c r="CF225" s="7">
        <v>662.24534522516342</v>
      </c>
      <c r="CG225" s="7">
        <v>0.3125</v>
      </c>
      <c r="CH225" s="7" t="s">
        <v>150</v>
      </c>
      <c r="CI225" s="7">
        <v>128</v>
      </c>
      <c r="CJ225" s="8" t="b">
        <v>1</v>
      </c>
      <c r="CK225" s="7">
        <v>40</v>
      </c>
      <c r="CL225" s="7">
        <v>40</v>
      </c>
      <c r="CM225" s="7">
        <v>40</v>
      </c>
      <c r="CN225" s="8" t="b">
        <v>0</v>
      </c>
      <c r="CO225" s="7" t="s">
        <v>1125</v>
      </c>
      <c r="CP225" s="7">
        <v>671.11656649324414</v>
      </c>
    </row>
    <row r="226" spans="1:94" ht="21" customHeight="1" x14ac:dyDescent="0.45">
      <c r="A226" s="9">
        <v>46237.135416666664</v>
      </c>
      <c r="B226" s="9">
        <v>46237.145833333336</v>
      </c>
      <c r="C226" s="9">
        <v>46237.260416666664</v>
      </c>
      <c r="D226" s="10">
        <v>46237</v>
      </c>
      <c r="E226" s="7">
        <v>0.25</v>
      </c>
      <c r="F226" s="7" t="s">
        <v>770</v>
      </c>
      <c r="G226" s="9">
        <v>46237.125</v>
      </c>
      <c r="H226" s="7">
        <v>173.81</v>
      </c>
      <c r="I226" s="7" t="s">
        <v>1169</v>
      </c>
      <c r="J226" s="7">
        <v>15</v>
      </c>
      <c r="K226" s="7" t="s">
        <v>1130</v>
      </c>
      <c r="L226" s="10">
        <v>46234</v>
      </c>
      <c r="M226" s="7">
        <v>5.2473000000000001</v>
      </c>
      <c r="N226" s="7" t="s">
        <v>773</v>
      </c>
      <c r="O226" s="7">
        <v>128</v>
      </c>
      <c r="P226" s="7" t="s">
        <v>1166</v>
      </c>
      <c r="Q226" s="7" t="s">
        <v>775</v>
      </c>
      <c r="R226" s="7">
        <v>66.224534522516336</v>
      </c>
      <c r="S226" s="7" t="s">
        <v>776</v>
      </c>
      <c r="T226" s="7">
        <v>175</v>
      </c>
      <c r="U226" s="7" t="s">
        <v>1167</v>
      </c>
      <c r="V226" s="7" t="s">
        <v>775</v>
      </c>
      <c r="W226" s="7">
        <v>6.992167400377336</v>
      </c>
      <c r="X226" s="7" t="s">
        <v>776</v>
      </c>
      <c r="Y226" s="7">
        <v>175</v>
      </c>
      <c r="Z226" s="7" t="s">
        <v>1168</v>
      </c>
      <c r="AA226" s="7" t="s">
        <v>775</v>
      </c>
      <c r="AB226" s="7">
        <v>2.8376498389648011</v>
      </c>
      <c r="AC226" s="7" t="s">
        <v>776</v>
      </c>
      <c r="AD226" s="7"/>
      <c r="AE226" s="7" t="s">
        <v>779</v>
      </c>
      <c r="AF226" s="7"/>
      <c r="AG226" s="7">
        <v>0</v>
      </c>
      <c r="AH226" s="7" t="s">
        <v>776</v>
      </c>
      <c r="AI226" s="7">
        <v>0</v>
      </c>
      <c r="AJ226" s="7">
        <v>43.416995407161778</v>
      </c>
      <c r="AK226" s="7" t="s">
        <v>776</v>
      </c>
      <c r="AL226" s="7">
        <v>16.381</v>
      </c>
      <c r="AM226" s="7" t="s">
        <v>780</v>
      </c>
      <c r="AN226" s="7" t="s">
        <v>781</v>
      </c>
      <c r="AO226" s="7" t="s">
        <v>782</v>
      </c>
      <c r="AP226" s="7">
        <v>0</v>
      </c>
      <c r="AQ226" s="7">
        <v>0.37442285714285711</v>
      </c>
      <c r="AR226" s="7">
        <v>0.37442285714285711</v>
      </c>
      <c r="AS226" s="8" t="b">
        <v>1</v>
      </c>
      <c r="AT226" s="8" t="b">
        <v>1</v>
      </c>
      <c r="AU226" s="8" t="b">
        <v>1</v>
      </c>
      <c r="AV226" s="8" t="b">
        <v>1</v>
      </c>
      <c r="AW226" s="8" t="b">
        <v>1</v>
      </c>
      <c r="AX226" s="8" t="b">
        <v>1</v>
      </c>
      <c r="AY226" s="8" t="b">
        <v>1</v>
      </c>
      <c r="AZ226" s="8" t="b">
        <v>1</v>
      </c>
      <c r="BA226" s="7" t="s">
        <v>783</v>
      </c>
      <c r="BB226" s="7" t="s">
        <v>783</v>
      </c>
      <c r="BC226" s="7" t="s">
        <v>784</v>
      </c>
      <c r="BD226" s="7">
        <v>-97.537892813446916</v>
      </c>
      <c r="BE226" s="7">
        <v>2.246537142857143</v>
      </c>
      <c r="BF226" s="7">
        <v>17.025899033788807</v>
      </c>
      <c r="BG226" s="7">
        <v>0.13714285714285715</v>
      </c>
      <c r="BH226" s="7" t="s">
        <v>154</v>
      </c>
      <c r="BI226" s="7">
        <v>175</v>
      </c>
      <c r="BJ226" s="7">
        <v>24</v>
      </c>
      <c r="BK226" s="7">
        <v>24</v>
      </c>
      <c r="BL226" s="7">
        <v>24</v>
      </c>
      <c r="BM226" s="8" t="b">
        <v>1</v>
      </c>
      <c r="BN226" s="7">
        <v>0</v>
      </c>
      <c r="BO226" s="7">
        <v>0</v>
      </c>
      <c r="BP226" s="7">
        <v>41.953004402264014</v>
      </c>
      <c r="BQ226" s="7">
        <v>0.13714285714285715</v>
      </c>
      <c r="BR226" s="7" t="s">
        <v>154</v>
      </c>
      <c r="BS226" s="7">
        <v>175</v>
      </c>
      <c r="BT226" s="7">
        <v>24</v>
      </c>
      <c r="BU226" s="7">
        <v>24</v>
      </c>
      <c r="BV226" s="7">
        <v>24</v>
      </c>
      <c r="BW226" s="7" t="s">
        <v>1169</v>
      </c>
      <c r="BX226" s="8" t="b">
        <v>1</v>
      </c>
      <c r="BY226" s="7">
        <v>1042.8600000000001</v>
      </c>
      <c r="BZ226" s="7">
        <v>24</v>
      </c>
      <c r="CA226" s="7">
        <v>46237.145833333336</v>
      </c>
      <c r="CB226" s="7">
        <v>46237.135416666664</v>
      </c>
      <c r="CC226" s="7">
        <v>1.1332919254658385E-2</v>
      </c>
      <c r="CD226" s="7">
        <v>61.724399145341614</v>
      </c>
      <c r="CE226" s="7">
        <v>57.644548213664592</v>
      </c>
      <c r="CF226" s="7">
        <v>662.24534522516342</v>
      </c>
      <c r="CG226" s="7">
        <v>0.3125</v>
      </c>
      <c r="CH226" s="7" t="s">
        <v>150</v>
      </c>
      <c r="CI226" s="7">
        <v>128</v>
      </c>
      <c r="CJ226" s="8" t="b">
        <v>1</v>
      </c>
      <c r="CK226" s="7">
        <v>40</v>
      </c>
      <c r="CL226" s="7">
        <v>40</v>
      </c>
      <c r="CM226" s="7">
        <v>40</v>
      </c>
      <c r="CN226" s="8" t="b">
        <v>0</v>
      </c>
      <c r="CO226" s="7" t="s">
        <v>1125</v>
      </c>
      <c r="CP226" s="7">
        <v>1666.5463558477695</v>
      </c>
    </row>
    <row r="227" spans="1:94" ht="21" customHeight="1" x14ac:dyDescent="0.45">
      <c r="A227" s="9">
        <v>46237.145833333336</v>
      </c>
      <c r="B227" s="9">
        <v>46237.15625</v>
      </c>
      <c r="C227" s="9">
        <v>46237.270833333336</v>
      </c>
      <c r="D227" s="10">
        <v>46237</v>
      </c>
      <c r="E227" s="7">
        <v>0.25</v>
      </c>
      <c r="F227" s="7" t="s">
        <v>770</v>
      </c>
      <c r="G227" s="9">
        <v>46237.125</v>
      </c>
      <c r="H227" s="7">
        <v>176.3</v>
      </c>
      <c r="I227" s="7" t="s">
        <v>1170</v>
      </c>
      <c r="J227" s="7">
        <v>15</v>
      </c>
      <c r="K227" s="7" t="s">
        <v>1130</v>
      </c>
      <c r="L227" s="10">
        <v>46234</v>
      </c>
      <c r="M227" s="7">
        <v>5.2473000000000001</v>
      </c>
      <c r="N227" s="7" t="s">
        <v>773</v>
      </c>
      <c r="O227" s="7">
        <v>128</v>
      </c>
      <c r="P227" s="7" t="s">
        <v>1166</v>
      </c>
      <c r="Q227" s="7" t="s">
        <v>775</v>
      </c>
      <c r="R227" s="7">
        <v>66.224534522516336</v>
      </c>
      <c r="S227" s="7" t="s">
        <v>776</v>
      </c>
      <c r="T227" s="7">
        <v>175</v>
      </c>
      <c r="U227" s="7" t="s">
        <v>1167</v>
      </c>
      <c r="V227" s="7" t="s">
        <v>775</v>
      </c>
      <c r="W227" s="7">
        <v>6.992167400377336</v>
      </c>
      <c r="X227" s="7" t="s">
        <v>776</v>
      </c>
      <c r="Y227" s="7">
        <v>175</v>
      </c>
      <c r="Z227" s="7" t="s">
        <v>1168</v>
      </c>
      <c r="AA227" s="7" t="s">
        <v>775</v>
      </c>
      <c r="AB227" s="7">
        <v>2.8376498389648011</v>
      </c>
      <c r="AC227" s="7" t="s">
        <v>776</v>
      </c>
      <c r="AD227" s="7"/>
      <c r="AE227" s="7" t="s">
        <v>779</v>
      </c>
      <c r="AF227" s="7"/>
      <c r="AG227" s="7">
        <v>0</v>
      </c>
      <c r="AH227" s="7" t="s">
        <v>776</v>
      </c>
      <c r="AI227" s="7">
        <v>0</v>
      </c>
      <c r="AJ227" s="7">
        <v>56.063308749261523</v>
      </c>
      <c r="AK227" s="7" t="s">
        <v>776</v>
      </c>
      <c r="AL227" s="7">
        <v>6.7309999999999999</v>
      </c>
      <c r="AM227" s="7" t="s">
        <v>780</v>
      </c>
      <c r="AN227" s="7" t="s">
        <v>781</v>
      </c>
      <c r="AO227" s="7" t="s">
        <v>782</v>
      </c>
      <c r="AP227" s="7">
        <v>0</v>
      </c>
      <c r="AQ227" s="7">
        <v>0.1538514285714285</v>
      </c>
      <c r="AR227" s="7">
        <v>0.1538514285714285</v>
      </c>
      <c r="AS227" s="8" t="b">
        <v>1</v>
      </c>
      <c r="AT227" s="8" t="b">
        <v>1</v>
      </c>
      <c r="AU227" s="8" t="b">
        <v>1</v>
      </c>
      <c r="AV227" s="8" t="b">
        <v>1</v>
      </c>
      <c r="AW227" s="8" t="b">
        <v>1</v>
      </c>
      <c r="AX227" s="8" t="b">
        <v>1</v>
      </c>
      <c r="AY227" s="8" t="b">
        <v>1</v>
      </c>
      <c r="AZ227" s="8" t="b">
        <v>1</v>
      </c>
      <c r="BA227" s="7" t="s">
        <v>783</v>
      </c>
      <c r="BB227" s="7" t="s">
        <v>783</v>
      </c>
      <c r="BC227" s="7" t="s">
        <v>784</v>
      </c>
      <c r="BD227" s="7">
        <v>-51.752520849089734</v>
      </c>
      <c r="BE227" s="7">
        <v>0.92310857142857139</v>
      </c>
      <c r="BF227" s="7">
        <v>17.025899033788807</v>
      </c>
      <c r="BG227" s="7">
        <v>0.13714285714285715</v>
      </c>
      <c r="BH227" s="7" t="s">
        <v>154</v>
      </c>
      <c r="BI227" s="7">
        <v>175</v>
      </c>
      <c r="BJ227" s="7">
        <v>24</v>
      </c>
      <c r="BK227" s="7">
        <v>24</v>
      </c>
      <c r="BL227" s="7">
        <v>24</v>
      </c>
      <c r="BM227" s="8" t="b">
        <v>1</v>
      </c>
      <c r="BN227" s="7">
        <v>0</v>
      </c>
      <c r="BO227" s="7">
        <v>0</v>
      </c>
      <c r="BP227" s="7">
        <v>41.953004402264014</v>
      </c>
      <c r="BQ227" s="7">
        <v>0.13714285714285715</v>
      </c>
      <c r="BR227" s="7" t="s">
        <v>154</v>
      </c>
      <c r="BS227" s="7">
        <v>175</v>
      </c>
      <c r="BT227" s="7">
        <v>24</v>
      </c>
      <c r="BU227" s="7">
        <v>24</v>
      </c>
      <c r="BV227" s="7">
        <v>24</v>
      </c>
      <c r="BW227" s="7" t="s">
        <v>1170</v>
      </c>
      <c r="BX227" s="8" t="b">
        <v>1</v>
      </c>
      <c r="BY227" s="7">
        <v>0</v>
      </c>
      <c r="BZ227" s="7">
        <v>0</v>
      </c>
      <c r="CA227" s="7">
        <v>46237.15625</v>
      </c>
      <c r="CB227" s="7">
        <v>46237.145833333336</v>
      </c>
      <c r="CC227" s="7">
        <v>2.3590552380952381E-3</v>
      </c>
      <c r="CD227" s="7">
        <v>57.644548213664592</v>
      </c>
      <c r="CE227" s="7">
        <v>58.493808099378874</v>
      </c>
      <c r="CF227" s="7">
        <v>662.24534522516342</v>
      </c>
      <c r="CG227" s="7">
        <v>0.3125</v>
      </c>
      <c r="CH227" s="7" t="s">
        <v>150</v>
      </c>
      <c r="CI227" s="7">
        <v>128</v>
      </c>
      <c r="CJ227" s="8" t="b">
        <v>1</v>
      </c>
      <c r="CK227" s="7">
        <v>40</v>
      </c>
      <c r="CL227" s="7">
        <v>40</v>
      </c>
      <c r="CM227" s="7">
        <v>40</v>
      </c>
      <c r="CN227" s="8" t="b">
        <v>0</v>
      </c>
      <c r="CO227" s="7" t="s">
        <v>1125</v>
      </c>
      <c r="CP227" s="7">
        <v>669.47172781212646</v>
      </c>
    </row>
    <row r="228" spans="1:94" ht="21" customHeight="1" x14ac:dyDescent="0.45">
      <c r="A228" s="9">
        <v>46237.15625</v>
      </c>
      <c r="B228" s="9">
        <v>46237.166666666664</v>
      </c>
      <c r="C228" s="9">
        <v>46237.28125</v>
      </c>
      <c r="D228" s="10">
        <v>46237</v>
      </c>
      <c r="E228" s="7">
        <v>0.25</v>
      </c>
      <c r="F228" s="7" t="s">
        <v>770</v>
      </c>
      <c r="G228" s="9">
        <v>46237.125</v>
      </c>
      <c r="H228" s="7">
        <v>181.56</v>
      </c>
      <c r="I228" s="7" t="s">
        <v>1171</v>
      </c>
      <c r="J228" s="7">
        <v>15</v>
      </c>
      <c r="K228" s="7" t="s">
        <v>1130</v>
      </c>
      <c r="L228" s="10">
        <v>46234</v>
      </c>
      <c r="M228" s="7">
        <v>5.2473000000000001</v>
      </c>
      <c r="N228" s="7" t="s">
        <v>773</v>
      </c>
      <c r="O228" s="7">
        <v>128</v>
      </c>
      <c r="P228" s="7" t="s">
        <v>1166</v>
      </c>
      <c r="Q228" s="7" t="s">
        <v>775</v>
      </c>
      <c r="R228" s="7">
        <v>66.224534522516336</v>
      </c>
      <c r="S228" s="7" t="s">
        <v>776</v>
      </c>
      <c r="T228" s="7">
        <v>175</v>
      </c>
      <c r="U228" s="7" t="s">
        <v>1167</v>
      </c>
      <c r="V228" s="7" t="s">
        <v>775</v>
      </c>
      <c r="W228" s="7">
        <v>6.992167400377336</v>
      </c>
      <c r="X228" s="7" t="s">
        <v>776</v>
      </c>
      <c r="Y228" s="7">
        <v>175</v>
      </c>
      <c r="Z228" s="7" t="s">
        <v>1168</v>
      </c>
      <c r="AA228" s="7" t="s">
        <v>775</v>
      </c>
      <c r="AB228" s="7">
        <v>2.8376498389648011</v>
      </c>
      <c r="AC228" s="7" t="s">
        <v>776</v>
      </c>
      <c r="AD228" s="7"/>
      <c r="AE228" s="7" t="s">
        <v>779</v>
      </c>
      <c r="AF228" s="7"/>
      <c r="AG228" s="7">
        <v>0</v>
      </c>
      <c r="AH228" s="7" t="s">
        <v>776</v>
      </c>
      <c r="AI228" s="7">
        <v>0</v>
      </c>
      <c r="AJ228" s="7">
        <v>2.679282678710956</v>
      </c>
      <c r="AK228" s="7" t="s">
        <v>776</v>
      </c>
      <c r="AL228" s="7">
        <v>24.224</v>
      </c>
      <c r="AM228" s="7" t="s">
        <v>780</v>
      </c>
      <c r="AN228" s="7" t="s">
        <v>781</v>
      </c>
      <c r="AO228" s="7" t="s">
        <v>782</v>
      </c>
      <c r="AP228" s="7">
        <v>0</v>
      </c>
      <c r="AQ228" s="7">
        <v>0.55369142857142861</v>
      </c>
      <c r="AR228" s="7">
        <v>0.55369142857142861</v>
      </c>
      <c r="AS228" s="8" t="b">
        <v>1</v>
      </c>
      <c r="AT228" s="8" t="b">
        <v>1</v>
      </c>
      <c r="AU228" s="8" t="b">
        <v>1</v>
      </c>
      <c r="AV228" s="8" t="b">
        <v>1</v>
      </c>
      <c r="AW228" s="8" t="b">
        <v>1</v>
      </c>
      <c r="AX228" s="8" t="b">
        <v>1</v>
      </c>
      <c r="AY228" s="8" t="b">
        <v>1</v>
      </c>
      <c r="AZ228" s="8" t="b">
        <v>1</v>
      </c>
      <c r="BA228" s="7" t="s">
        <v>783</v>
      </c>
      <c r="BB228" s="7" t="s">
        <v>783</v>
      </c>
      <c r="BC228" s="7" t="s">
        <v>784</v>
      </c>
      <c r="BD228" s="7">
        <v>-8.900975123532918</v>
      </c>
      <c r="BE228" s="7">
        <v>3.3221485714285715</v>
      </c>
      <c r="BF228" s="7">
        <v>17.025899033788807</v>
      </c>
      <c r="BG228" s="7">
        <v>0.13714285714285715</v>
      </c>
      <c r="BH228" s="7" t="s">
        <v>154</v>
      </c>
      <c r="BI228" s="7">
        <v>175</v>
      </c>
      <c r="BJ228" s="7">
        <v>24</v>
      </c>
      <c r="BK228" s="7">
        <v>24</v>
      </c>
      <c r="BL228" s="7">
        <v>24</v>
      </c>
      <c r="BM228" s="8" t="b">
        <v>1</v>
      </c>
      <c r="BN228" s="7">
        <v>0</v>
      </c>
      <c r="BO228" s="7">
        <v>0</v>
      </c>
      <c r="BP228" s="7">
        <v>41.953004402264014</v>
      </c>
      <c r="BQ228" s="7">
        <v>0.13714285714285715</v>
      </c>
      <c r="BR228" s="7" t="s">
        <v>154</v>
      </c>
      <c r="BS228" s="7">
        <v>175</v>
      </c>
      <c r="BT228" s="7">
        <v>24</v>
      </c>
      <c r="BU228" s="7">
        <v>24</v>
      </c>
      <c r="BV228" s="7">
        <v>24</v>
      </c>
      <c r="BW228" s="7" t="s">
        <v>1171</v>
      </c>
      <c r="BX228" s="8" t="b">
        <v>1</v>
      </c>
      <c r="BY228" s="7">
        <v>1089.3600000000001</v>
      </c>
      <c r="BZ228" s="7">
        <v>24</v>
      </c>
      <c r="CA228" s="7">
        <v>46237.166666666664</v>
      </c>
      <c r="CB228" s="7">
        <v>46237.15625</v>
      </c>
      <c r="CC228" s="7">
        <v>8.0853002070393372E-3</v>
      </c>
      <c r="CD228" s="7">
        <v>58.493808099378874</v>
      </c>
      <c r="CE228" s="7">
        <v>55.583100024844711</v>
      </c>
      <c r="CF228" s="7">
        <v>662.24534522516342</v>
      </c>
      <c r="CG228" s="7">
        <v>0.3125</v>
      </c>
      <c r="CH228" s="7" t="s">
        <v>150</v>
      </c>
      <c r="CI228" s="7">
        <v>128</v>
      </c>
      <c r="CJ228" s="8" t="b">
        <v>1</v>
      </c>
      <c r="CK228" s="7">
        <v>40</v>
      </c>
      <c r="CL228" s="7">
        <v>40</v>
      </c>
      <c r="CM228" s="7">
        <v>40</v>
      </c>
      <c r="CN228" s="8" t="b">
        <v>0</v>
      </c>
      <c r="CO228" s="7" t="s">
        <v>1125</v>
      </c>
      <c r="CP228" s="7">
        <v>1801.6832735376834</v>
      </c>
    </row>
    <row r="229" spans="1:94" ht="21" customHeight="1" x14ac:dyDescent="0.45">
      <c r="A229" s="9">
        <v>46237.166666666664</v>
      </c>
      <c r="B229" s="9">
        <v>46237.177083333336</v>
      </c>
      <c r="C229" s="9">
        <v>46237.291666666664</v>
      </c>
      <c r="D229" s="10">
        <v>46237</v>
      </c>
      <c r="E229" s="7">
        <v>0.25</v>
      </c>
      <c r="F229" s="7" t="s">
        <v>770</v>
      </c>
      <c r="G229" s="9">
        <v>46237.166666666664</v>
      </c>
      <c r="H229" s="7">
        <v>182.39</v>
      </c>
      <c r="I229" s="7" t="s">
        <v>1172</v>
      </c>
      <c r="J229" s="7">
        <v>15</v>
      </c>
      <c r="K229" s="7" t="s">
        <v>1130</v>
      </c>
      <c r="L229" s="10">
        <v>46234</v>
      </c>
      <c r="M229" s="7">
        <v>5.2473000000000001</v>
      </c>
      <c r="N229" s="7" t="s">
        <v>773</v>
      </c>
      <c r="O229" s="7">
        <v>128</v>
      </c>
      <c r="P229" s="7" t="s">
        <v>1173</v>
      </c>
      <c r="Q229" s="7" t="s">
        <v>775</v>
      </c>
      <c r="R229" s="7">
        <v>66.224534522516336</v>
      </c>
      <c r="S229" s="7" t="s">
        <v>776</v>
      </c>
      <c r="T229" s="7">
        <v>175</v>
      </c>
      <c r="U229" s="7" t="s">
        <v>1174</v>
      </c>
      <c r="V229" s="7" t="s">
        <v>775</v>
      </c>
      <c r="W229" s="7">
        <v>6.5748099022354349</v>
      </c>
      <c r="X229" s="7" t="s">
        <v>776</v>
      </c>
      <c r="Y229" s="7">
        <v>175</v>
      </c>
      <c r="Z229" s="7" t="s">
        <v>1175</v>
      </c>
      <c r="AA229" s="7" t="s">
        <v>775</v>
      </c>
      <c r="AB229" s="7">
        <v>2.6070550568863986</v>
      </c>
      <c r="AC229" s="7" t="s">
        <v>776</v>
      </c>
      <c r="AD229" s="7"/>
      <c r="AE229" s="7" t="s">
        <v>779</v>
      </c>
      <c r="AF229" s="7"/>
      <c r="AG229" s="7">
        <v>0</v>
      </c>
      <c r="AH229" s="7" t="s">
        <v>776</v>
      </c>
      <c r="AI229" s="7">
        <v>0</v>
      </c>
      <c r="AJ229" s="7">
        <v>-30.909991805309396</v>
      </c>
      <c r="AK229" s="7" t="s">
        <v>776</v>
      </c>
      <c r="AL229" s="7">
        <v>44.981999999999999</v>
      </c>
      <c r="AM229" s="7" t="s">
        <v>780</v>
      </c>
      <c r="AN229" s="7" t="s">
        <v>781</v>
      </c>
      <c r="AO229" s="7" t="s">
        <v>782</v>
      </c>
      <c r="AP229" s="7">
        <v>0</v>
      </c>
      <c r="AQ229" s="7">
        <v>1.02816</v>
      </c>
      <c r="AR229" s="7">
        <v>1.02816</v>
      </c>
      <c r="AS229" s="8" t="b">
        <v>1</v>
      </c>
      <c r="AT229" s="8" t="b">
        <v>0</v>
      </c>
      <c r="AU229" s="8" t="b">
        <v>1</v>
      </c>
      <c r="AV229" s="8" t="b">
        <v>0</v>
      </c>
      <c r="AW229" s="8" t="b">
        <v>0</v>
      </c>
      <c r="AX229" s="8" t="b">
        <v>1</v>
      </c>
      <c r="AY229" s="8" t="b">
        <v>1</v>
      </c>
      <c r="AZ229" s="8" t="b">
        <v>1</v>
      </c>
      <c r="BA229" s="7" t="s">
        <v>1176</v>
      </c>
      <c r="BB229" s="7" t="s">
        <v>1176</v>
      </c>
      <c r="BC229" s="7" t="s">
        <v>784</v>
      </c>
      <c r="BD229" s="7">
        <v>0</v>
      </c>
      <c r="BE229" s="7">
        <v>0</v>
      </c>
      <c r="BF229" s="7">
        <v>0</v>
      </c>
      <c r="BG229" s="7">
        <v>0.13714285714285715</v>
      </c>
      <c r="BH229" s="7" t="s">
        <v>154</v>
      </c>
      <c r="BI229" s="7">
        <v>175</v>
      </c>
      <c r="BJ229" s="7">
        <v>0</v>
      </c>
      <c r="BK229" s="7">
        <v>24</v>
      </c>
      <c r="BL229" s="7">
        <v>0</v>
      </c>
      <c r="BM229" s="8" t="b">
        <v>0</v>
      </c>
      <c r="BN229" s="7">
        <v>0</v>
      </c>
      <c r="BO229" s="7">
        <v>0</v>
      </c>
      <c r="BP229" s="7">
        <v>0</v>
      </c>
      <c r="BQ229" s="7">
        <v>0.13714285714285715</v>
      </c>
      <c r="BR229" s="7" t="s">
        <v>154</v>
      </c>
      <c r="BS229" s="7">
        <v>175</v>
      </c>
      <c r="BT229" s="7">
        <v>0</v>
      </c>
      <c r="BU229" s="7">
        <v>24</v>
      </c>
      <c r="BV229" s="7">
        <v>0</v>
      </c>
      <c r="BW229" s="7" t="s">
        <v>1172</v>
      </c>
      <c r="BX229" s="8" t="b">
        <v>1</v>
      </c>
      <c r="BY229" s="7">
        <v>2735.8499999999995</v>
      </c>
      <c r="BZ229" s="7">
        <v>59.999999999999993</v>
      </c>
      <c r="CA229" s="7">
        <v>46237.177083333336</v>
      </c>
      <c r="CB229" s="7">
        <v>46237.166666666664</v>
      </c>
      <c r="CC229" s="7">
        <v>4.5289855072463761E-2</v>
      </c>
      <c r="CD229" s="7">
        <v>55.583100024844711</v>
      </c>
      <c r="CE229" s="7">
        <v>39.278752198757758</v>
      </c>
      <c r="CF229" s="7">
        <v>662.24534522516342</v>
      </c>
      <c r="CG229" s="7">
        <v>0.3125</v>
      </c>
      <c r="CH229" s="7" t="s">
        <v>150</v>
      </c>
      <c r="CI229" s="7">
        <v>128</v>
      </c>
      <c r="CJ229" s="8" t="b">
        <v>1</v>
      </c>
      <c r="CK229" s="7">
        <v>40</v>
      </c>
      <c r="CL229" s="7">
        <v>40</v>
      </c>
      <c r="CM229" s="7">
        <v>40</v>
      </c>
      <c r="CN229" s="8" t="b">
        <v>0</v>
      </c>
      <c r="CO229" s="7" t="s">
        <v>1125</v>
      </c>
      <c r="CP229" s="7">
        <v>3398.0953452251629</v>
      </c>
    </row>
    <row r="230" spans="1:94" ht="21" customHeight="1" x14ac:dyDescent="0.45">
      <c r="A230" s="9">
        <v>46237.177083333336</v>
      </c>
      <c r="B230" s="9">
        <v>46237.1875</v>
      </c>
      <c r="C230" s="9">
        <v>46237.302083333336</v>
      </c>
      <c r="D230" s="10">
        <v>46237</v>
      </c>
      <c r="E230" s="7">
        <v>0.25</v>
      </c>
      <c r="F230" s="7" t="s">
        <v>770</v>
      </c>
      <c r="G230" s="9">
        <v>46237.166666666664</v>
      </c>
      <c r="H230" s="7">
        <v>182.3</v>
      </c>
      <c r="I230" s="7" t="s">
        <v>1177</v>
      </c>
      <c r="J230" s="7">
        <v>15</v>
      </c>
      <c r="K230" s="7" t="s">
        <v>1130</v>
      </c>
      <c r="L230" s="10">
        <v>46234</v>
      </c>
      <c r="M230" s="7">
        <v>5.2473000000000001</v>
      </c>
      <c r="N230" s="7" t="s">
        <v>773</v>
      </c>
      <c r="O230" s="7">
        <v>128</v>
      </c>
      <c r="P230" s="7" t="s">
        <v>1173</v>
      </c>
      <c r="Q230" s="7" t="s">
        <v>775</v>
      </c>
      <c r="R230" s="7">
        <v>66.224534522516336</v>
      </c>
      <c r="S230" s="7" t="s">
        <v>776</v>
      </c>
      <c r="T230" s="7">
        <v>175</v>
      </c>
      <c r="U230" s="7" t="s">
        <v>1174</v>
      </c>
      <c r="V230" s="7" t="s">
        <v>775</v>
      </c>
      <c r="W230" s="7">
        <v>6.5748099022354349</v>
      </c>
      <c r="X230" s="7" t="s">
        <v>776</v>
      </c>
      <c r="Y230" s="7">
        <v>175</v>
      </c>
      <c r="Z230" s="7" t="s">
        <v>1175</v>
      </c>
      <c r="AA230" s="7" t="s">
        <v>775</v>
      </c>
      <c r="AB230" s="7">
        <v>2.6070550568863986</v>
      </c>
      <c r="AC230" s="7" t="s">
        <v>776</v>
      </c>
      <c r="AD230" s="7"/>
      <c r="AE230" s="7" t="s">
        <v>779</v>
      </c>
      <c r="AF230" s="7"/>
      <c r="AG230" s="7">
        <v>0</v>
      </c>
      <c r="AH230" s="7" t="s">
        <v>776</v>
      </c>
      <c r="AI230" s="7">
        <v>0</v>
      </c>
      <c r="AJ230" s="7">
        <v>-53.904103062527398</v>
      </c>
      <c r="AK230" s="7" t="s">
        <v>776</v>
      </c>
      <c r="AL230" s="7">
        <v>56.984999999999999</v>
      </c>
      <c r="AM230" s="7" t="s">
        <v>780</v>
      </c>
      <c r="AN230" s="7" t="s">
        <v>781</v>
      </c>
      <c r="AO230" s="7" t="s">
        <v>782</v>
      </c>
      <c r="AP230" s="7">
        <v>0</v>
      </c>
      <c r="AQ230" s="7">
        <v>1.3025142857142855</v>
      </c>
      <c r="AR230" s="7">
        <v>1.3025142857142855</v>
      </c>
      <c r="AS230" s="8" t="b">
        <v>1</v>
      </c>
      <c r="AT230" s="8" t="b">
        <v>0</v>
      </c>
      <c r="AU230" s="8" t="b">
        <v>1</v>
      </c>
      <c r="AV230" s="8" t="b">
        <v>0</v>
      </c>
      <c r="AW230" s="8" t="b">
        <v>0</v>
      </c>
      <c r="AX230" s="8" t="b">
        <v>1</v>
      </c>
      <c r="AY230" s="8" t="b">
        <v>1</v>
      </c>
      <c r="AZ230" s="8" t="b">
        <v>1</v>
      </c>
      <c r="BA230" s="7" t="s">
        <v>1176</v>
      </c>
      <c r="BB230" s="7" t="s">
        <v>1176</v>
      </c>
      <c r="BC230" s="7" t="s">
        <v>784</v>
      </c>
      <c r="BD230" s="7">
        <v>0</v>
      </c>
      <c r="BE230" s="7">
        <v>0</v>
      </c>
      <c r="BF230" s="7">
        <v>0</v>
      </c>
      <c r="BG230" s="7">
        <v>0.13714285714285715</v>
      </c>
      <c r="BH230" s="7" t="s">
        <v>154</v>
      </c>
      <c r="BI230" s="7">
        <v>175</v>
      </c>
      <c r="BJ230" s="7">
        <v>0</v>
      </c>
      <c r="BK230" s="7">
        <v>24</v>
      </c>
      <c r="BL230" s="7">
        <v>0</v>
      </c>
      <c r="BM230" s="8" t="b">
        <v>0</v>
      </c>
      <c r="BN230" s="7">
        <v>0</v>
      </c>
      <c r="BO230" s="7">
        <v>0</v>
      </c>
      <c r="BP230" s="7">
        <v>0</v>
      </c>
      <c r="BQ230" s="7">
        <v>0.13714285714285715</v>
      </c>
      <c r="BR230" s="7" t="s">
        <v>154</v>
      </c>
      <c r="BS230" s="7">
        <v>175</v>
      </c>
      <c r="BT230" s="7">
        <v>0</v>
      </c>
      <c r="BU230" s="7">
        <v>24</v>
      </c>
      <c r="BV230" s="7">
        <v>0</v>
      </c>
      <c r="BW230" s="7" t="s">
        <v>1177</v>
      </c>
      <c r="BX230" s="8" t="b">
        <v>1</v>
      </c>
      <c r="BY230" s="7">
        <v>1264.5152037668609</v>
      </c>
      <c r="BZ230" s="7">
        <v>27.745808091428653</v>
      </c>
      <c r="CA230" s="7">
        <v>46237.1875</v>
      </c>
      <c r="CB230" s="7">
        <v>46237.177083333336</v>
      </c>
      <c r="CC230" s="7">
        <v>2.0943393788819934E-2</v>
      </c>
      <c r="CD230" s="7">
        <v>39.278752198757758</v>
      </c>
      <c r="CE230" s="7">
        <v>31.739130434782581</v>
      </c>
      <c r="CF230" s="7">
        <v>662.24534522516342</v>
      </c>
      <c r="CG230" s="7">
        <v>0.3125</v>
      </c>
      <c r="CH230" s="7" t="s">
        <v>150</v>
      </c>
      <c r="CI230" s="7">
        <v>128</v>
      </c>
      <c r="CJ230" s="8" t="b">
        <v>1</v>
      </c>
      <c r="CK230" s="7">
        <v>40</v>
      </c>
      <c r="CL230" s="7">
        <v>40</v>
      </c>
      <c r="CM230" s="7">
        <v>40</v>
      </c>
      <c r="CN230" s="8" t="b">
        <v>0</v>
      </c>
      <c r="CO230" s="7" t="s">
        <v>1125</v>
      </c>
      <c r="CP230" s="7">
        <v>1926.7605489920243</v>
      </c>
    </row>
    <row r="231" spans="1:94" ht="21" customHeight="1" x14ac:dyDescent="0.45">
      <c r="A231" s="9">
        <v>46237.1875</v>
      </c>
      <c r="B231" s="9">
        <v>46237.197916666664</v>
      </c>
      <c r="C231" s="9">
        <v>46237.3125</v>
      </c>
      <c r="D231" s="10">
        <v>46237</v>
      </c>
      <c r="E231" s="7">
        <v>0.25</v>
      </c>
      <c r="F231" s="7" t="s">
        <v>770</v>
      </c>
      <c r="G231" s="9">
        <v>46237.166666666664</v>
      </c>
      <c r="H231" s="7">
        <v>177.73</v>
      </c>
      <c r="I231" s="7" t="s">
        <v>1178</v>
      </c>
      <c r="J231" s="7">
        <v>15</v>
      </c>
      <c r="K231" s="7" t="s">
        <v>1130</v>
      </c>
      <c r="L231" s="10">
        <v>46234</v>
      </c>
      <c r="M231" s="7">
        <v>5.2473000000000001</v>
      </c>
      <c r="N231" s="7" t="s">
        <v>773</v>
      </c>
      <c r="O231" s="7">
        <v>128</v>
      </c>
      <c r="P231" s="7" t="s">
        <v>1173</v>
      </c>
      <c r="Q231" s="7" t="s">
        <v>775</v>
      </c>
      <c r="R231" s="7">
        <v>66.224534522516336</v>
      </c>
      <c r="S231" s="7" t="s">
        <v>776</v>
      </c>
      <c r="T231" s="7">
        <v>175</v>
      </c>
      <c r="U231" s="7" t="s">
        <v>1174</v>
      </c>
      <c r="V231" s="7" t="s">
        <v>775</v>
      </c>
      <c r="W231" s="7">
        <v>6.5748099022354349</v>
      </c>
      <c r="X231" s="7" t="s">
        <v>776</v>
      </c>
      <c r="Y231" s="7">
        <v>175</v>
      </c>
      <c r="Z231" s="7" t="s">
        <v>1175</v>
      </c>
      <c r="AA231" s="7" t="s">
        <v>775</v>
      </c>
      <c r="AB231" s="7">
        <v>2.6070550568863986</v>
      </c>
      <c r="AC231" s="7" t="s">
        <v>776</v>
      </c>
      <c r="AD231" s="7"/>
      <c r="AE231" s="7" t="s">
        <v>779</v>
      </c>
      <c r="AF231" s="7"/>
      <c r="AG231" s="7">
        <v>0</v>
      </c>
      <c r="AH231" s="7" t="s">
        <v>776</v>
      </c>
      <c r="AI231" s="7">
        <v>0</v>
      </c>
      <c r="AJ231" s="7">
        <v>-25.472719303260725</v>
      </c>
      <c r="AK231" s="7" t="s">
        <v>776</v>
      </c>
      <c r="AL231" s="7">
        <v>37.880000000000003</v>
      </c>
      <c r="AM231" s="7" t="s">
        <v>780</v>
      </c>
      <c r="AN231" s="7" t="s">
        <v>781</v>
      </c>
      <c r="AO231" s="7" t="s">
        <v>782</v>
      </c>
      <c r="AP231" s="7">
        <v>0</v>
      </c>
      <c r="AQ231" s="7">
        <v>0.8658285714285715</v>
      </c>
      <c r="AR231" s="7">
        <v>0.8658285714285715</v>
      </c>
      <c r="AS231" s="8" t="b">
        <v>1</v>
      </c>
      <c r="AT231" s="8" t="b">
        <v>1</v>
      </c>
      <c r="AU231" s="8" t="b">
        <v>1</v>
      </c>
      <c r="AV231" s="8" t="b">
        <v>1</v>
      </c>
      <c r="AW231" s="8" t="b">
        <v>0</v>
      </c>
      <c r="AX231" s="8" t="b">
        <v>1</v>
      </c>
      <c r="AY231" s="8" t="b">
        <v>1</v>
      </c>
      <c r="AZ231" s="8" t="b">
        <v>1</v>
      </c>
      <c r="BA231" s="7" t="s">
        <v>783</v>
      </c>
      <c r="BB231" s="7" t="s">
        <v>1179</v>
      </c>
      <c r="BC231" s="7" t="s">
        <v>784</v>
      </c>
      <c r="BD231" s="7">
        <v>0</v>
      </c>
      <c r="BE231" s="7">
        <v>0</v>
      </c>
      <c r="BF231" s="7">
        <v>0</v>
      </c>
      <c r="BG231" s="7">
        <v>0.13714285714285715</v>
      </c>
      <c r="BH231" s="7" t="s">
        <v>154</v>
      </c>
      <c r="BI231" s="7">
        <v>175</v>
      </c>
      <c r="BJ231" s="7">
        <v>0</v>
      </c>
      <c r="BK231" s="7">
        <v>24</v>
      </c>
      <c r="BL231" s="7">
        <v>0</v>
      </c>
      <c r="BM231" s="8" t="b">
        <v>0</v>
      </c>
      <c r="BN231" s="7">
        <v>0</v>
      </c>
      <c r="BO231" s="7">
        <v>0</v>
      </c>
      <c r="BP231" s="7">
        <v>0</v>
      </c>
      <c r="BQ231" s="7">
        <v>0.13714285714285715</v>
      </c>
      <c r="BR231" s="7" t="s">
        <v>154</v>
      </c>
      <c r="BS231" s="7">
        <v>175</v>
      </c>
      <c r="BT231" s="7">
        <v>0</v>
      </c>
      <c r="BU231" s="7">
        <v>24</v>
      </c>
      <c r="BV231" s="7">
        <v>0</v>
      </c>
      <c r="BW231" s="7" t="s">
        <v>1178</v>
      </c>
      <c r="BX231" s="8" t="b">
        <v>1</v>
      </c>
      <c r="BY231" s="7">
        <v>0</v>
      </c>
      <c r="BZ231" s="7">
        <v>0</v>
      </c>
      <c r="CA231" s="7">
        <v>46237.197916666664</v>
      </c>
      <c r="CB231" s="7">
        <v>46237.1875</v>
      </c>
      <c r="CC231" s="7">
        <v>0</v>
      </c>
      <c r="CD231" s="7">
        <v>31.739130434782581</v>
      </c>
      <c r="CE231" s="7">
        <v>31.739130434782581</v>
      </c>
      <c r="CF231" s="7">
        <v>662.24534522516342</v>
      </c>
      <c r="CG231" s="7">
        <v>0.3125</v>
      </c>
      <c r="CH231" s="7" t="s">
        <v>150</v>
      </c>
      <c r="CI231" s="7">
        <v>128</v>
      </c>
      <c r="CJ231" s="8" t="b">
        <v>1</v>
      </c>
      <c r="CK231" s="7">
        <v>40</v>
      </c>
      <c r="CL231" s="7">
        <v>40</v>
      </c>
      <c r="CM231" s="7">
        <v>40</v>
      </c>
      <c r="CN231" s="8" t="b">
        <v>0</v>
      </c>
      <c r="CO231" s="7" t="s">
        <v>1125</v>
      </c>
      <c r="CP231" s="7">
        <v>662.24534522516342</v>
      </c>
    </row>
    <row r="232" spans="1:94" ht="21" customHeight="1" x14ac:dyDescent="0.45">
      <c r="A232" s="9">
        <v>46237.197916666664</v>
      </c>
      <c r="B232" s="9">
        <v>46237.208333333336</v>
      </c>
      <c r="C232" s="9">
        <v>46237.322916666664</v>
      </c>
      <c r="D232" s="10">
        <v>46237</v>
      </c>
      <c r="E232" s="7">
        <v>0.25</v>
      </c>
      <c r="F232" s="7" t="s">
        <v>770</v>
      </c>
      <c r="G232" s="9">
        <v>46237.166666666664</v>
      </c>
      <c r="H232" s="7">
        <v>170.1</v>
      </c>
      <c r="I232" s="7" t="s">
        <v>1180</v>
      </c>
      <c r="J232" s="7">
        <v>15</v>
      </c>
      <c r="K232" s="7" t="s">
        <v>1130</v>
      </c>
      <c r="L232" s="10">
        <v>46234</v>
      </c>
      <c r="M232" s="7">
        <v>5.2473000000000001</v>
      </c>
      <c r="N232" s="7" t="s">
        <v>773</v>
      </c>
      <c r="O232" s="7">
        <v>128</v>
      </c>
      <c r="P232" s="7" t="s">
        <v>1173</v>
      </c>
      <c r="Q232" s="7" t="s">
        <v>775</v>
      </c>
      <c r="R232" s="7">
        <v>66.224534522516336</v>
      </c>
      <c r="S232" s="7" t="s">
        <v>776</v>
      </c>
      <c r="T232" s="7">
        <v>175</v>
      </c>
      <c r="U232" s="7" t="s">
        <v>1174</v>
      </c>
      <c r="V232" s="7" t="s">
        <v>775</v>
      </c>
      <c r="W232" s="7">
        <v>6.5748099022354349</v>
      </c>
      <c r="X232" s="7" t="s">
        <v>776</v>
      </c>
      <c r="Y232" s="7">
        <v>175</v>
      </c>
      <c r="Z232" s="7" t="s">
        <v>1175</v>
      </c>
      <c r="AA232" s="7" t="s">
        <v>775</v>
      </c>
      <c r="AB232" s="7">
        <v>2.6070550568863986</v>
      </c>
      <c r="AC232" s="7" t="s">
        <v>776</v>
      </c>
      <c r="AD232" s="7"/>
      <c r="AE232" s="7" t="s">
        <v>779</v>
      </c>
      <c r="AF232" s="7"/>
      <c r="AG232" s="7">
        <v>0</v>
      </c>
      <c r="AH232" s="7" t="s">
        <v>776</v>
      </c>
      <c r="AI232" s="7">
        <v>0</v>
      </c>
      <c r="AJ232" s="7">
        <v>60.585062794198926</v>
      </c>
      <c r="AK232" s="7" t="s">
        <v>776</v>
      </c>
      <c r="AL232" s="7">
        <v>1.8180000000000001</v>
      </c>
      <c r="AM232" s="7" t="s">
        <v>780</v>
      </c>
      <c r="AN232" s="7" t="s">
        <v>781</v>
      </c>
      <c r="AO232" s="7" t="s">
        <v>782</v>
      </c>
      <c r="AP232" s="7">
        <v>0</v>
      </c>
      <c r="AQ232" s="7">
        <v>4.1554285714285703E-2</v>
      </c>
      <c r="AR232" s="7">
        <v>4.1554285714285703E-2</v>
      </c>
      <c r="AS232" s="8" t="b">
        <v>1</v>
      </c>
      <c r="AT232" s="8" t="b">
        <v>1</v>
      </c>
      <c r="AU232" s="8" t="b">
        <v>1</v>
      </c>
      <c r="AV232" s="8" t="b">
        <v>1</v>
      </c>
      <c r="AW232" s="8" t="b">
        <v>0</v>
      </c>
      <c r="AX232" s="8" t="b">
        <v>1</v>
      </c>
      <c r="AY232" s="8" t="b">
        <v>1</v>
      </c>
      <c r="AZ232" s="8" t="b">
        <v>1</v>
      </c>
      <c r="BA232" s="7" t="s">
        <v>783</v>
      </c>
      <c r="BB232" s="7" t="s">
        <v>1179</v>
      </c>
      <c r="BC232" s="7" t="s">
        <v>784</v>
      </c>
      <c r="BD232" s="7">
        <v>0</v>
      </c>
      <c r="BE232" s="7">
        <v>0</v>
      </c>
      <c r="BF232" s="7">
        <v>0</v>
      </c>
      <c r="BG232" s="7">
        <v>0.13714285714285715</v>
      </c>
      <c r="BH232" s="7" t="s">
        <v>154</v>
      </c>
      <c r="BI232" s="7">
        <v>175</v>
      </c>
      <c r="BJ232" s="7">
        <v>0</v>
      </c>
      <c r="BK232" s="7">
        <v>24</v>
      </c>
      <c r="BL232" s="7">
        <v>0</v>
      </c>
      <c r="BM232" s="8" t="b">
        <v>0</v>
      </c>
      <c r="BN232" s="7">
        <v>0</v>
      </c>
      <c r="BO232" s="7">
        <v>0</v>
      </c>
      <c r="BP232" s="7">
        <v>0</v>
      </c>
      <c r="BQ232" s="7">
        <v>0.13714285714285715</v>
      </c>
      <c r="BR232" s="7" t="s">
        <v>154</v>
      </c>
      <c r="BS232" s="7">
        <v>175</v>
      </c>
      <c r="BT232" s="7">
        <v>0</v>
      </c>
      <c r="BU232" s="7">
        <v>24</v>
      </c>
      <c r="BV232" s="7">
        <v>0</v>
      </c>
      <c r="BW232" s="7" t="s">
        <v>1180</v>
      </c>
      <c r="BX232" s="8" t="b">
        <v>1</v>
      </c>
      <c r="BY232" s="7">
        <v>0</v>
      </c>
      <c r="BZ232" s="7">
        <v>0</v>
      </c>
      <c r="CA232" s="7">
        <v>46237.208333333336</v>
      </c>
      <c r="CB232" s="7">
        <v>46237.197916666664</v>
      </c>
      <c r="CC232" s="7">
        <v>0</v>
      </c>
      <c r="CD232" s="7">
        <v>31.739130434782581</v>
      </c>
      <c r="CE232" s="7">
        <v>31.739130434782581</v>
      </c>
      <c r="CF232" s="7">
        <v>662.24534522516342</v>
      </c>
      <c r="CG232" s="7">
        <v>0.3125</v>
      </c>
      <c r="CH232" s="7" t="s">
        <v>150</v>
      </c>
      <c r="CI232" s="7">
        <v>128</v>
      </c>
      <c r="CJ232" s="8" t="b">
        <v>1</v>
      </c>
      <c r="CK232" s="7">
        <v>40</v>
      </c>
      <c r="CL232" s="7">
        <v>40</v>
      </c>
      <c r="CM232" s="7">
        <v>40</v>
      </c>
      <c r="CN232" s="8" t="b">
        <v>0</v>
      </c>
      <c r="CO232" s="7" t="s">
        <v>1125</v>
      </c>
      <c r="CP232" s="7">
        <v>662.24534522516342</v>
      </c>
    </row>
    <row r="233" spans="1:94" ht="21" customHeight="1" x14ac:dyDescent="0.45">
      <c r="A233" s="9">
        <v>46237.208333333336</v>
      </c>
      <c r="B233" s="9">
        <v>46237.21875</v>
      </c>
      <c r="C233" s="9">
        <v>46237.333333333336</v>
      </c>
      <c r="D233" s="10">
        <v>46237</v>
      </c>
      <c r="E233" s="7">
        <v>0.25</v>
      </c>
      <c r="F233" s="7" t="s">
        <v>770</v>
      </c>
      <c r="G233" s="9">
        <v>46237.208333333336</v>
      </c>
      <c r="H233" s="7">
        <v>174.48</v>
      </c>
      <c r="I233" s="7" t="s">
        <v>1181</v>
      </c>
      <c r="J233" s="7">
        <v>15</v>
      </c>
      <c r="K233" s="7" t="s">
        <v>1130</v>
      </c>
      <c r="L233" s="10">
        <v>46234</v>
      </c>
      <c r="M233" s="7">
        <v>5.2473000000000001</v>
      </c>
      <c r="N233" s="7" t="s">
        <v>773</v>
      </c>
      <c r="O233" s="7">
        <v>128</v>
      </c>
      <c r="P233" s="7" t="s">
        <v>1182</v>
      </c>
      <c r="Q233" s="7" t="s">
        <v>775</v>
      </c>
      <c r="R233" s="7">
        <v>66.224534522516336</v>
      </c>
      <c r="S233" s="7" t="s">
        <v>776</v>
      </c>
      <c r="T233" s="7">
        <v>175</v>
      </c>
      <c r="U233" s="7" t="s">
        <v>1183</v>
      </c>
      <c r="V233" s="7" t="s">
        <v>775</v>
      </c>
      <c r="W233" s="7">
        <v>6.6815314542717212</v>
      </c>
      <c r="X233" s="7" t="s">
        <v>776</v>
      </c>
      <c r="Y233" s="7">
        <v>175</v>
      </c>
      <c r="Z233" s="7" t="s">
        <v>1184</v>
      </c>
      <c r="AA233" s="7" t="s">
        <v>775</v>
      </c>
      <c r="AB233" s="7">
        <v>2.6280182188935259</v>
      </c>
      <c r="AC233" s="7" t="s">
        <v>776</v>
      </c>
      <c r="AD233" s="7"/>
      <c r="AE233" s="7" t="s">
        <v>779</v>
      </c>
      <c r="AF233" s="7"/>
      <c r="AG233" s="7">
        <v>158.54572827930554</v>
      </c>
      <c r="AH233" s="7" t="s">
        <v>776</v>
      </c>
      <c r="AI233" s="7">
        <v>0.191</v>
      </c>
      <c r="AJ233" s="7">
        <v>62.2497284317649</v>
      </c>
      <c r="AK233" s="7" t="s">
        <v>776</v>
      </c>
      <c r="AL233" s="7">
        <v>1.1639999999999999</v>
      </c>
      <c r="AM233" s="7" t="s">
        <v>780</v>
      </c>
      <c r="AN233" s="7" t="s">
        <v>781</v>
      </c>
      <c r="AO233" s="7" t="s">
        <v>782</v>
      </c>
      <c r="AP233" s="7">
        <v>4.3657142857142003E-3</v>
      </c>
      <c r="AQ233" s="7">
        <v>2.6605714285714201E-2</v>
      </c>
      <c r="AR233" s="7">
        <v>3.0971428571428501E-2</v>
      </c>
      <c r="AS233" s="8" t="b">
        <v>1</v>
      </c>
      <c r="AT233" s="8" t="b">
        <v>1</v>
      </c>
      <c r="AU233" s="8" t="b">
        <v>1</v>
      </c>
      <c r="AV233" s="8" t="b">
        <v>1</v>
      </c>
      <c r="AW233" s="8" t="b">
        <v>1</v>
      </c>
      <c r="AX233" s="8" t="b">
        <v>1</v>
      </c>
      <c r="AY233" s="8" t="b">
        <v>1</v>
      </c>
      <c r="AZ233" s="8" t="b">
        <v>1</v>
      </c>
      <c r="BA233" s="7" t="s">
        <v>783</v>
      </c>
      <c r="BB233" s="7" t="s">
        <v>783</v>
      </c>
      <c r="BC233" s="7" t="s">
        <v>784</v>
      </c>
      <c r="BD233" s="7">
        <v>-9.9371909341130529</v>
      </c>
      <c r="BE233" s="7">
        <v>0.1596342857142857</v>
      </c>
      <c r="BF233" s="7">
        <v>15.768109313361155</v>
      </c>
      <c r="BG233" s="7">
        <v>0.13714285714285715</v>
      </c>
      <c r="BH233" s="7" t="s">
        <v>154</v>
      </c>
      <c r="BI233" s="7">
        <v>175</v>
      </c>
      <c r="BJ233" s="7">
        <v>24</v>
      </c>
      <c r="BK233" s="7">
        <v>24</v>
      </c>
      <c r="BL233" s="7">
        <v>24</v>
      </c>
      <c r="BM233" s="8" t="b">
        <v>1</v>
      </c>
      <c r="BN233" s="7">
        <v>4.1529921053276384</v>
      </c>
      <c r="BO233" s="7">
        <v>2.6194285714285719E-2</v>
      </c>
      <c r="BP233" s="7">
        <v>40.089188725630329</v>
      </c>
      <c r="BQ233" s="7">
        <v>0.13714285714285715</v>
      </c>
      <c r="BR233" s="7" t="s">
        <v>154</v>
      </c>
      <c r="BS233" s="7">
        <v>175</v>
      </c>
      <c r="BT233" s="7">
        <v>24</v>
      </c>
      <c r="BU233" s="7">
        <v>24</v>
      </c>
      <c r="BV233" s="7">
        <v>24</v>
      </c>
      <c r="BW233" s="7" t="s">
        <v>1181</v>
      </c>
      <c r="BX233" s="8" t="b">
        <v>1</v>
      </c>
      <c r="BY233" s="7">
        <v>0</v>
      </c>
      <c r="BZ233" s="7">
        <v>0</v>
      </c>
      <c r="CA233" s="7">
        <v>46237.21875</v>
      </c>
      <c r="CB233" s="7">
        <v>46237.208333333336</v>
      </c>
      <c r="CC233" s="7">
        <v>4.8704331262939952E-4</v>
      </c>
      <c r="CD233" s="7">
        <v>31.739130434782581</v>
      </c>
      <c r="CE233" s="7">
        <v>31.857521927950284</v>
      </c>
      <c r="CF233" s="7">
        <v>662.24534522516342</v>
      </c>
      <c r="CG233" s="7">
        <v>0.3125</v>
      </c>
      <c r="CH233" s="7" t="s">
        <v>150</v>
      </c>
      <c r="CI233" s="7">
        <v>128</v>
      </c>
      <c r="CJ233" s="8" t="b">
        <v>1</v>
      </c>
      <c r="CK233" s="7">
        <v>40</v>
      </c>
      <c r="CL233" s="7">
        <v>40</v>
      </c>
      <c r="CM233" s="7">
        <v>40</v>
      </c>
      <c r="CN233" s="8" t="b">
        <v>0</v>
      </c>
      <c r="CO233" s="7" t="s">
        <v>1125</v>
      </c>
      <c r="CP233" s="7">
        <v>712.31844443536954</v>
      </c>
    </row>
    <row r="234" spans="1:94" ht="21" customHeight="1" x14ac:dyDescent="0.45">
      <c r="A234" s="9">
        <v>46237.21875</v>
      </c>
      <c r="B234" s="9">
        <v>46237.229166666664</v>
      </c>
      <c r="C234" s="9">
        <v>46237.34375</v>
      </c>
      <c r="D234" s="10">
        <v>46237</v>
      </c>
      <c r="E234" s="7">
        <v>0.25</v>
      </c>
      <c r="F234" s="7" t="s">
        <v>770</v>
      </c>
      <c r="G234" s="9">
        <v>46237.208333333336</v>
      </c>
      <c r="H234" s="7">
        <v>167.23</v>
      </c>
      <c r="I234" s="7" t="s">
        <v>1185</v>
      </c>
      <c r="J234" s="7">
        <v>15</v>
      </c>
      <c r="K234" s="7" t="s">
        <v>1130</v>
      </c>
      <c r="L234" s="10">
        <v>46234</v>
      </c>
      <c r="M234" s="7">
        <v>5.2473000000000001</v>
      </c>
      <c r="N234" s="7" t="s">
        <v>773</v>
      </c>
      <c r="O234" s="7">
        <v>128</v>
      </c>
      <c r="P234" s="7" t="s">
        <v>1182</v>
      </c>
      <c r="Q234" s="7" t="s">
        <v>775</v>
      </c>
      <c r="R234" s="7">
        <v>66.224534522516336</v>
      </c>
      <c r="S234" s="7" t="s">
        <v>776</v>
      </c>
      <c r="T234" s="7">
        <v>175</v>
      </c>
      <c r="U234" s="7" t="s">
        <v>1183</v>
      </c>
      <c r="V234" s="7" t="s">
        <v>775</v>
      </c>
      <c r="W234" s="7">
        <v>6.6815314542717212</v>
      </c>
      <c r="X234" s="7" t="s">
        <v>776</v>
      </c>
      <c r="Y234" s="7">
        <v>175</v>
      </c>
      <c r="Z234" s="7" t="s">
        <v>1184</v>
      </c>
      <c r="AA234" s="7" t="s">
        <v>775</v>
      </c>
      <c r="AB234" s="7">
        <v>2.6280182188935259</v>
      </c>
      <c r="AC234" s="7" t="s">
        <v>776</v>
      </c>
      <c r="AD234" s="7"/>
      <c r="AE234" s="7" t="s">
        <v>779</v>
      </c>
      <c r="AF234" s="7"/>
      <c r="AG234" s="7">
        <v>0</v>
      </c>
      <c r="AH234" s="7" t="s">
        <v>776</v>
      </c>
      <c r="AI234" s="7">
        <v>0</v>
      </c>
      <c r="AJ234" s="7">
        <v>37.845939816667617</v>
      </c>
      <c r="AK234" s="7" t="s">
        <v>776</v>
      </c>
      <c r="AL234" s="7">
        <v>9.9589999999999996</v>
      </c>
      <c r="AM234" s="7" t="s">
        <v>780</v>
      </c>
      <c r="AN234" s="7" t="s">
        <v>781</v>
      </c>
      <c r="AO234" s="7" t="s">
        <v>782</v>
      </c>
      <c r="AP234" s="7">
        <v>0</v>
      </c>
      <c r="AQ234" s="7">
        <v>0.22763428571428571</v>
      </c>
      <c r="AR234" s="7">
        <v>0.22763428571428571</v>
      </c>
      <c r="AS234" s="8" t="b">
        <v>1</v>
      </c>
      <c r="AT234" s="8" t="b">
        <v>1</v>
      </c>
      <c r="AU234" s="8" t="b">
        <v>1</v>
      </c>
      <c r="AV234" s="8" t="b">
        <v>1</v>
      </c>
      <c r="AW234" s="8" t="b">
        <v>1</v>
      </c>
      <c r="AX234" s="8" t="b">
        <v>1</v>
      </c>
      <c r="AY234" s="8" t="b">
        <v>1</v>
      </c>
      <c r="AZ234" s="8" t="b">
        <v>1</v>
      </c>
      <c r="BA234" s="7" t="s">
        <v>783</v>
      </c>
      <c r="BB234" s="7" t="s">
        <v>783</v>
      </c>
      <c r="BC234" s="7" t="s">
        <v>784</v>
      </c>
      <c r="BD234" s="7">
        <v>-51.69020086411787</v>
      </c>
      <c r="BE234" s="7">
        <v>1.3658057142857143</v>
      </c>
      <c r="BF234" s="7">
        <v>15.768109313361155</v>
      </c>
      <c r="BG234" s="7">
        <v>0.13714285714285715</v>
      </c>
      <c r="BH234" s="7" t="s">
        <v>154</v>
      </c>
      <c r="BI234" s="7">
        <v>175</v>
      </c>
      <c r="BJ234" s="7">
        <v>24</v>
      </c>
      <c r="BK234" s="7">
        <v>24</v>
      </c>
      <c r="BL234" s="7">
        <v>24</v>
      </c>
      <c r="BM234" s="8" t="b">
        <v>1</v>
      </c>
      <c r="BN234" s="7">
        <v>0</v>
      </c>
      <c r="BO234" s="7">
        <v>0</v>
      </c>
      <c r="BP234" s="7">
        <v>40.089188725630329</v>
      </c>
      <c r="BQ234" s="7">
        <v>0.13714285714285715</v>
      </c>
      <c r="BR234" s="7" t="s">
        <v>154</v>
      </c>
      <c r="BS234" s="7">
        <v>175</v>
      </c>
      <c r="BT234" s="7">
        <v>24</v>
      </c>
      <c r="BU234" s="7">
        <v>24</v>
      </c>
      <c r="BV234" s="7">
        <v>24</v>
      </c>
      <c r="BW234" s="7" t="s">
        <v>1185</v>
      </c>
      <c r="BX234" s="8" t="b">
        <v>1</v>
      </c>
      <c r="BY234" s="7">
        <v>0</v>
      </c>
      <c r="BZ234" s="7">
        <v>0</v>
      </c>
      <c r="CA234" s="7">
        <v>46237.229166666664</v>
      </c>
      <c r="CB234" s="7">
        <v>46237.21875</v>
      </c>
      <c r="CC234" s="7">
        <v>3.4903923809523809E-3</v>
      </c>
      <c r="CD234" s="7">
        <v>31.857521927950284</v>
      </c>
      <c r="CE234" s="7">
        <v>33.114063185093144</v>
      </c>
      <c r="CF234" s="7">
        <v>662.24534522516342</v>
      </c>
      <c r="CG234" s="7">
        <v>0.3125</v>
      </c>
      <c r="CH234" s="7" t="s">
        <v>150</v>
      </c>
      <c r="CI234" s="7">
        <v>128</v>
      </c>
      <c r="CJ234" s="8" t="b">
        <v>1</v>
      </c>
      <c r="CK234" s="7">
        <v>40</v>
      </c>
      <c r="CL234" s="7">
        <v>40</v>
      </c>
      <c r="CM234" s="7">
        <v>40</v>
      </c>
      <c r="CN234" s="8" t="b">
        <v>0</v>
      </c>
      <c r="CO234" s="7" t="s">
        <v>1125</v>
      </c>
      <c r="CP234" s="7">
        <v>666.41244240003698</v>
      </c>
    </row>
    <row r="235" spans="1:94" ht="21" customHeight="1" x14ac:dyDescent="0.45">
      <c r="A235" s="9">
        <v>46237.229166666664</v>
      </c>
      <c r="B235" s="9">
        <v>46237.239583333336</v>
      </c>
      <c r="C235" s="9">
        <v>46237.354166666664</v>
      </c>
      <c r="D235" s="10">
        <v>46237</v>
      </c>
      <c r="E235" s="7">
        <v>0.25</v>
      </c>
      <c r="F235" s="7" t="s">
        <v>770</v>
      </c>
      <c r="G235" s="9">
        <v>46237.208333333336</v>
      </c>
      <c r="H235" s="7">
        <v>161.83000000000001</v>
      </c>
      <c r="I235" s="7" t="s">
        <v>1186</v>
      </c>
      <c r="J235" s="7">
        <v>15</v>
      </c>
      <c r="K235" s="7" t="s">
        <v>1130</v>
      </c>
      <c r="L235" s="10">
        <v>46234</v>
      </c>
      <c r="M235" s="7">
        <v>5.2473000000000001</v>
      </c>
      <c r="N235" s="7" t="s">
        <v>773</v>
      </c>
      <c r="O235" s="7">
        <v>128</v>
      </c>
      <c r="P235" s="7" t="s">
        <v>1182</v>
      </c>
      <c r="Q235" s="7" t="s">
        <v>775</v>
      </c>
      <c r="R235" s="7">
        <v>66.224534522516336</v>
      </c>
      <c r="S235" s="7" t="s">
        <v>776</v>
      </c>
      <c r="T235" s="7">
        <v>175</v>
      </c>
      <c r="U235" s="7" t="s">
        <v>1183</v>
      </c>
      <c r="V235" s="7" t="s">
        <v>775</v>
      </c>
      <c r="W235" s="7">
        <v>6.6815314542717212</v>
      </c>
      <c r="X235" s="7" t="s">
        <v>776</v>
      </c>
      <c r="Y235" s="7">
        <v>175</v>
      </c>
      <c r="Z235" s="7" t="s">
        <v>1184</v>
      </c>
      <c r="AA235" s="7" t="s">
        <v>775</v>
      </c>
      <c r="AB235" s="7">
        <v>2.6280182188935259</v>
      </c>
      <c r="AC235" s="7" t="s">
        <v>776</v>
      </c>
      <c r="AD235" s="7"/>
      <c r="AE235" s="7" t="s">
        <v>779</v>
      </c>
      <c r="AF235" s="7"/>
      <c r="AG235" s="7">
        <v>0</v>
      </c>
      <c r="AH235" s="7" t="s">
        <v>776</v>
      </c>
      <c r="AI235" s="7">
        <v>0</v>
      </c>
      <c r="AJ235" s="7">
        <v>33.207554361290569</v>
      </c>
      <c r="AK235" s="7" t="s">
        <v>776</v>
      </c>
      <c r="AL235" s="7">
        <v>20.890999999999998</v>
      </c>
      <c r="AM235" s="7" t="s">
        <v>780</v>
      </c>
      <c r="AN235" s="7" t="s">
        <v>781</v>
      </c>
      <c r="AO235" s="7" t="s">
        <v>782</v>
      </c>
      <c r="AP235" s="7">
        <v>0</v>
      </c>
      <c r="AQ235" s="7">
        <v>0.47750857142857139</v>
      </c>
      <c r="AR235" s="7">
        <v>0.47750857142857139</v>
      </c>
      <c r="AS235" s="8" t="b">
        <v>1</v>
      </c>
      <c r="AT235" s="8" t="b">
        <v>1</v>
      </c>
      <c r="AU235" s="8" t="b">
        <v>1</v>
      </c>
      <c r="AV235" s="8" t="b">
        <v>1</v>
      </c>
      <c r="AW235" s="8" t="b">
        <v>1</v>
      </c>
      <c r="AX235" s="8" t="b">
        <v>1</v>
      </c>
      <c r="AY235" s="8" t="b">
        <v>1</v>
      </c>
      <c r="AZ235" s="8" t="b">
        <v>1</v>
      </c>
      <c r="BA235" s="7" t="s">
        <v>783</v>
      </c>
      <c r="BB235" s="7" t="s">
        <v>783</v>
      </c>
      <c r="BC235" s="7" t="s">
        <v>784</v>
      </c>
      <c r="BD235" s="7">
        <v>-95.141351062178913</v>
      </c>
      <c r="BE235" s="7">
        <v>2.8650514285714284</v>
      </c>
      <c r="BF235" s="7">
        <v>15.768109313361155</v>
      </c>
      <c r="BG235" s="7">
        <v>0.13714285714285715</v>
      </c>
      <c r="BH235" s="7" t="s">
        <v>154</v>
      </c>
      <c r="BI235" s="7">
        <v>175</v>
      </c>
      <c r="BJ235" s="7">
        <v>24</v>
      </c>
      <c r="BK235" s="7">
        <v>24</v>
      </c>
      <c r="BL235" s="7">
        <v>24</v>
      </c>
      <c r="BM235" s="8" t="b">
        <v>1</v>
      </c>
      <c r="BN235" s="7">
        <v>0</v>
      </c>
      <c r="BO235" s="7">
        <v>0</v>
      </c>
      <c r="BP235" s="7">
        <v>40.089188725630329</v>
      </c>
      <c r="BQ235" s="7">
        <v>0.13714285714285715</v>
      </c>
      <c r="BR235" s="7" t="s">
        <v>154</v>
      </c>
      <c r="BS235" s="7">
        <v>175</v>
      </c>
      <c r="BT235" s="7">
        <v>24</v>
      </c>
      <c r="BU235" s="7">
        <v>24</v>
      </c>
      <c r="BV235" s="7">
        <v>24</v>
      </c>
      <c r="BW235" s="7" t="s">
        <v>1186</v>
      </c>
      <c r="BX235" s="8" t="b">
        <v>1</v>
      </c>
      <c r="BY235" s="7">
        <v>0</v>
      </c>
      <c r="BZ235" s="7">
        <v>0</v>
      </c>
      <c r="CA235" s="7">
        <v>46237.239583333336</v>
      </c>
      <c r="CB235" s="7">
        <v>46237.229166666664</v>
      </c>
      <c r="CC235" s="7">
        <v>7.3217980952380952E-3</v>
      </c>
      <c r="CD235" s="7">
        <v>33.114063185093144</v>
      </c>
      <c r="CE235" s="7">
        <v>35.749910499378856</v>
      </c>
      <c r="CF235" s="7">
        <v>662.24534522516342</v>
      </c>
      <c r="CG235" s="7">
        <v>0.3125</v>
      </c>
      <c r="CH235" s="7" t="s">
        <v>150</v>
      </c>
      <c r="CI235" s="7">
        <v>128</v>
      </c>
      <c r="CJ235" s="8" t="b">
        <v>1</v>
      </c>
      <c r="CK235" s="7">
        <v>40</v>
      </c>
      <c r="CL235" s="7">
        <v>40</v>
      </c>
      <c r="CM235" s="7">
        <v>40</v>
      </c>
      <c r="CN235" s="8" t="b">
        <v>0</v>
      </c>
      <c r="CO235" s="7" t="s">
        <v>1125</v>
      </c>
      <c r="CP235" s="7">
        <v>622.96129220197599</v>
      </c>
    </row>
    <row r="236" spans="1:94" ht="21" customHeight="1" x14ac:dyDescent="0.45">
      <c r="A236" s="9">
        <v>46237.239583333336</v>
      </c>
      <c r="B236" s="9">
        <v>46237.25</v>
      </c>
      <c r="C236" s="9">
        <v>46237.364583333336</v>
      </c>
      <c r="D236" s="10">
        <v>46237</v>
      </c>
      <c r="E236" s="7">
        <v>0.25</v>
      </c>
      <c r="F236" s="7" t="s">
        <v>770</v>
      </c>
      <c r="G236" s="9">
        <v>46237.208333333336</v>
      </c>
      <c r="H236" s="7">
        <v>155.63</v>
      </c>
      <c r="I236" s="7" t="s">
        <v>1187</v>
      </c>
      <c r="J236" s="7">
        <v>15</v>
      </c>
      <c r="K236" s="7" t="s">
        <v>1130</v>
      </c>
      <c r="L236" s="10">
        <v>46234</v>
      </c>
      <c r="M236" s="7">
        <v>5.2473000000000001</v>
      </c>
      <c r="N236" s="7" t="s">
        <v>773</v>
      </c>
      <c r="O236" s="7">
        <v>128</v>
      </c>
      <c r="P236" s="7" t="s">
        <v>1182</v>
      </c>
      <c r="Q236" s="7" t="s">
        <v>775</v>
      </c>
      <c r="R236" s="7">
        <v>66.224534522516336</v>
      </c>
      <c r="S236" s="7" t="s">
        <v>776</v>
      </c>
      <c r="T236" s="7">
        <v>175</v>
      </c>
      <c r="U236" s="7" t="s">
        <v>1183</v>
      </c>
      <c r="V236" s="7" t="s">
        <v>775</v>
      </c>
      <c r="W236" s="7">
        <v>6.6815314542717212</v>
      </c>
      <c r="X236" s="7" t="s">
        <v>776</v>
      </c>
      <c r="Y236" s="7">
        <v>175</v>
      </c>
      <c r="Z236" s="7" t="s">
        <v>1184</v>
      </c>
      <c r="AA236" s="7" t="s">
        <v>775</v>
      </c>
      <c r="AB236" s="7">
        <v>2.6280182188935259</v>
      </c>
      <c r="AC236" s="7" t="s">
        <v>776</v>
      </c>
      <c r="AD236" s="7"/>
      <c r="AE236" s="7" t="s">
        <v>779</v>
      </c>
      <c r="AF236" s="7"/>
      <c r="AG236" s="7">
        <v>0</v>
      </c>
      <c r="AH236" s="7" t="s">
        <v>776</v>
      </c>
      <c r="AI236" s="7">
        <v>0</v>
      </c>
      <c r="AJ236" s="7">
        <v>57.459455338936216</v>
      </c>
      <c r="AK236" s="7" t="s">
        <v>776</v>
      </c>
      <c r="AL236" s="7">
        <v>6.4989999999999997</v>
      </c>
      <c r="AM236" s="7" t="s">
        <v>780</v>
      </c>
      <c r="AN236" s="7" t="s">
        <v>781</v>
      </c>
      <c r="AO236" s="7" t="s">
        <v>782</v>
      </c>
      <c r="AP236" s="7">
        <v>0</v>
      </c>
      <c r="AQ236" s="7">
        <v>0.14854857142857139</v>
      </c>
      <c r="AR236" s="7">
        <v>0.14854857142857139</v>
      </c>
      <c r="AS236" s="8" t="b">
        <v>1</v>
      </c>
      <c r="AT236" s="8" t="b">
        <v>1</v>
      </c>
      <c r="AU236" s="8" t="b">
        <v>1</v>
      </c>
      <c r="AV236" s="8" t="b">
        <v>1</v>
      </c>
      <c r="AW236" s="8" t="b">
        <v>1</v>
      </c>
      <c r="AX236" s="8" t="b">
        <v>1</v>
      </c>
      <c r="AY236" s="8" t="b">
        <v>1</v>
      </c>
      <c r="AZ236" s="8" t="b">
        <v>1</v>
      </c>
      <c r="BA236" s="7" t="s">
        <v>783</v>
      </c>
      <c r="BB236" s="7" t="s">
        <v>783</v>
      </c>
      <c r="BC236" s="7" t="s">
        <v>784</v>
      </c>
      <c r="BD236" s="7">
        <v>-51.213120033976658</v>
      </c>
      <c r="BE236" s="7">
        <v>0.89129142857142851</v>
      </c>
      <c r="BF236" s="7">
        <v>15.768109313361155</v>
      </c>
      <c r="BG236" s="7">
        <v>0.13714285714285715</v>
      </c>
      <c r="BH236" s="7" t="s">
        <v>154</v>
      </c>
      <c r="BI236" s="7">
        <v>175</v>
      </c>
      <c r="BJ236" s="7">
        <v>24</v>
      </c>
      <c r="BK236" s="7">
        <v>24</v>
      </c>
      <c r="BL236" s="7">
        <v>24</v>
      </c>
      <c r="BM236" s="8" t="b">
        <v>1</v>
      </c>
      <c r="BN236" s="7">
        <v>0</v>
      </c>
      <c r="BO236" s="7">
        <v>0</v>
      </c>
      <c r="BP236" s="7">
        <v>40.089188725630329</v>
      </c>
      <c r="BQ236" s="7">
        <v>0.13714285714285715</v>
      </c>
      <c r="BR236" s="7" t="s">
        <v>154</v>
      </c>
      <c r="BS236" s="7">
        <v>175</v>
      </c>
      <c r="BT236" s="7">
        <v>24</v>
      </c>
      <c r="BU236" s="7">
        <v>24</v>
      </c>
      <c r="BV236" s="7">
        <v>24</v>
      </c>
      <c r="BW236" s="7" t="s">
        <v>1187</v>
      </c>
      <c r="BX236" s="8" t="b">
        <v>1</v>
      </c>
      <c r="BY236" s="7">
        <v>0</v>
      </c>
      <c r="BZ236" s="7">
        <v>0</v>
      </c>
      <c r="CA236" s="7">
        <v>46237.25</v>
      </c>
      <c r="CB236" s="7">
        <v>46237.239583333336</v>
      </c>
      <c r="CC236" s="7">
        <v>2.2777447619047619E-3</v>
      </c>
      <c r="CD236" s="7">
        <v>35.749910499378856</v>
      </c>
      <c r="CE236" s="7">
        <v>36.56989861366457</v>
      </c>
      <c r="CF236" s="7">
        <v>662.24534522516342</v>
      </c>
      <c r="CG236" s="7">
        <v>0.3125</v>
      </c>
      <c r="CH236" s="7" t="s">
        <v>150</v>
      </c>
      <c r="CI236" s="7">
        <v>128</v>
      </c>
      <c r="CJ236" s="8" t="b">
        <v>1</v>
      </c>
      <c r="CK236" s="7">
        <v>40</v>
      </c>
      <c r="CL236" s="7">
        <v>40</v>
      </c>
      <c r="CM236" s="7">
        <v>40</v>
      </c>
      <c r="CN236" s="8" t="b">
        <v>0</v>
      </c>
      <c r="CO236" s="7" t="s">
        <v>1125</v>
      </c>
      <c r="CP236" s="7">
        <v>666.88952323017827</v>
      </c>
    </row>
    <row r="237" spans="1:94" ht="21" customHeight="1" x14ac:dyDescent="0.45">
      <c r="A237" s="9">
        <v>46237.25</v>
      </c>
      <c r="B237" s="9">
        <v>46237.260416666664</v>
      </c>
      <c r="C237" s="9">
        <v>46237.375</v>
      </c>
      <c r="D237" s="10">
        <v>46237</v>
      </c>
      <c r="E237" s="7">
        <v>0.25</v>
      </c>
      <c r="F237" s="7" t="s">
        <v>770</v>
      </c>
      <c r="G237" s="9">
        <v>46237.25</v>
      </c>
      <c r="H237" s="7">
        <v>167.27</v>
      </c>
      <c r="I237" s="7" t="s">
        <v>1188</v>
      </c>
      <c r="J237" s="7">
        <v>15</v>
      </c>
      <c r="K237" s="7" t="s">
        <v>1130</v>
      </c>
      <c r="L237" s="10">
        <v>46234</v>
      </c>
      <c r="M237" s="7">
        <v>5.2473000000000001</v>
      </c>
      <c r="N237" s="7" t="s">
        <v>773</v>
      </c>
      <c r="O237" s="7">
        <v>91.903999999999996</v>
      </c>
      <c r="P237" s="7" t="s">
        <v>1189</v>
      </c>
      <c r="Q237" s="7" t="s">
        <v>775</v>
      </c>
      <c r="R237" s="7">
        <v>66.224534522516336</v>
      </c>
      <c r="S237" s="7" t="s">
        <v>776</v>
      </c>
      <c r="T237" s="7">
        <v>175</v>
      </c>
      <c r="U237" s="7" t="s">
        <v>1190</v>
      </c>
      <c r="V237" s="7" t="s">
        <v>775</v>
      </c>
      <c r="W237" s="7">
        <v>7.1541554704324124</v>
      </c>
      <c r="X237" s="7" t="s">
        <v>776</v>
      </c>
      <c r="Y237" s="7">
        <v>175</v>
      </c>
      <c r="Z237" s="7" t="s">
        <v>1191</v>
      </c>
      <c r="AA237" s="7" t="s">
        <v>775</v>
      </c>
      <c r="AB237" s="7">
        <v>2.3250052407905017</v>
      </c>
      <c r="AC237" s="7" t="s">
        <v>776</v>
      </c>
      <c r="AD237" s="7"/>
      <c r="AE237" s="7" t="s">
        <v>779</v>
      </c>
      <c r="AF237" s="7"/>
      <c r="AG237" s="7">
        <v>180.59954643340384</v>
      </c>
      <c r="AH237" s="7" t="s">
        <v>776</v>
      </c>
      <c r="AI237" s="7">
        <v>10.968999999999999</v>
      </c>
      <c r="AJ237" s="7">
        <v>76.229680025918086</v>
      </c>
      <c r="AK237" s="7" t="s">
        <v>776</v>
      </c>
      <c r="AL237" s="7">
        <v>2E-3</v>
      </c>
      <c r="AM237" s="7" t="s">
        <v>780</v>
      </c>
      <c r="AN237" s="7" t="s">
        <v>781</v>
      </c>
      <c r="AO237" s="7" t="s">
        <v>782</v>
      </c>
      <c r="AP237" s="7">
        <v>0.25072</v>
      </c>
      <c r="AQ237" s="7">
        <v>4.5714285714285723E-5</v>
      </c>
      <c r="AR237" s="7">
        <v>0.2507657142857142</v>
      </c>
      <c r="AS237" s="8" t="b">
        <v>1</v>
      </c>
      <c r="AT237" s="8" t="b">
        <v>1</v>
      </c>
      <c r="AU237" s="8" t="b">
        <v>1</v>
      </c>
      <c r="AV237" s="8" t="b">
        <v>1</v>
      </c>
      <c r="AW237" s="8" t="b">
        <v>1</v>
      </c>
      <c r="AX237" s="8" t="b">
        <v>1</v>
      </c>
      <c r="AY237" s="8" t="b">
        <v>1</v>
      </c>
      <c r="AZ237" s="8" t="b">
        <v>1</v>
      </c>
      <c r="BA237" s="7" t="s">
        <v>783</v>
      </c>
      <c r="BB237" s="7" t="s">
        <v>783</v>
      </c>
      <c r="BC237" s="7" t="s">
        <v>784</v>
      </c>
      <c r="BD237" s="7">
        <v>-2.0908712235680391E-2</v>
      </c>
      <c r="BE237" s="7">
        <v>2.7428571428571432E-4</v>
      </c>
      <c r="BF237" s="7">
        <v>13.950031444743011</v>
      </c>
      <c r="BG237" s="7">
        <v>0.13714285714285715</v>
      </c>
      <c r="BH237" s="7" t="s">
        <v>154</v>
      </c>
      <c r="BI237" s="7">
        <v>175</v>
      </c>
      <c r="BJ237" s="7">
        <v>24</v>
      </c>
      <c r="BK237" s="7">
        <v>24</v>
      </c>
      <c r="BL237" s="7">
        <v>24</v>
      </c>
      <c r="BM237" s="8" t="b">
        <v>1</v>
      </c>
      <c r="BN237" s="7">
        <v>271.67950969069807</v>
      </c>
      <c r="BO237" s="7">
        <v>1.5043199999999999</v>
      </c>
      <c r="BP237" s="7">
        <v>42.924932822594471</v>
      </c>
      <c r="BQ237" s="7">
        <v>0.13714285714285715</v>
      </c>
      <c r="BR237" s="7" t="s">
        <v>154</v>
      </c>
      <c r="BS237" s="7">
        <v>175</v>
      </c>
      <c r="BT237" s="7">
        <v>24</v>
      </c>
      <c r="BU237" s="7">
        <v>24</v>
      </c>
      <c r="BV237" s="7">
        <v>24</v>
      </c>
      <c r="BW237" s="7" t="s">
        <v>1188</v>
      </c>
      <c r="BX237" s="8" t="b">
        <v>1</v>
      </c>
      <c r="BY237" s="7">
        <v>0</v>
      </c>
      <c r="BZ237" s="7">
        <v>0</v>
      </c>
      <c r="CA237" s="7">
        <v>46237.260416666664</v>
      </c>
      <c r="CB237" s="7">
        <v>46237.25</v>
      </c>
      <c r="CC237" s="7">
        <v>4.5427299378881982E-3</v>
      </c>
      <c r="CD237" s="7">
        <v>36.56989861366457</v>
      </c>
      <c r="CE237" s="7">
        <v>34.935020521739105</v>
      </c>
      <c r="CF237" s="7">
        <v>662.24534522516342</v>
      </c>
      <c r="CG237" s="7">
        <v>0.3125</v>
      </c>
      <c r="CH237" s="7" t="s">
        <v>150</v>
      </c>
      <c r="CI237" s="7">
        <v>128</v>
      </c>
      <c r="CJ237" s="8" t="b">
        <v>1</v>
      </c>
      <c r="CK237" s="7">
        <v>40</v>
      </c>
      <c r="CL237" s="7">
        <v>40</v>
      </c>
      <c r="CM237" s="7">
        <v>40</v>
      </c>
      <c r="CN237" s="8" t="b">
        <v>0</v>
      </c>
      <c r="CO237" s="7" t="s">
        <v>1125</v>
      </c>
      <c r="CP237" s="7">
        <v>990.7789104709633</v>
      </c>
    </row>
    <row r="238" spans="1:94" ht="21" customHeight="1" x14ac:dyDescent="0.45">
      <c r="A238" s="9">
        <v>46237.260416666664</v>
      </c>
      <c r="B238" s="9">
        <v>46237.270833333336</v>
      </c>
      <c r="C238" s="9">
        <v>46237.385416666664</v>
      </c>
      <c r="D238" s="10">
        <v>46237</v>
      </c>
      <c r="E238" s="7">
        <v>0.25</v>
      </c>
      <c r="F238" s="7" t="s">
        <v>770</v>
      </c>
      <c r="G238" s="9">
        <v>46237.25</v>
      </c>
      <c r="H238" s="7">
        <v>156.94999999999999</v>
      </c>
      <c r="I238" s="7" t="s">
        <v>1192</v>
      </c>
      <c r="J238" s="7">
        <v>15</v>
      </c>
      <c r="K238" s="7" t="s">
        <v>1130</v>
      </c>
      <c r="L238" s="10">
        <v>46234</v>
      </c>
      <c r="M238" s="7">
        <v>5.2473000000000001</v>
      </c>
      <c r="N238" s="7" t="s">
        <v>773</v>
      </c>
      <c r="O238" s="7">
        <v>91.903999999999996</v>
      </c>
      <c r="P238" s="7" t="s">
        <v>1189</v>
      </c>
      <c r="Q238" s="7" t="s">
        <v>775</v>
      </c>
      <c r="R238" s="7">
        <v>66.224534522516336</v>
      </c>
      <c r="S238" s="7" t="s">
        <v>776</v>
      </c>
      <c r="T238" s="7">
        <v>175</v>
      </c>
      <c r="U238" s="7" t="s">
        <v>1190</v>
      </c>
      <c r="V238" s="7" t="s">
        <v>775</v>
      </c>
      <c r="W238" s="7">
        <v>7.1541554704324124</v>
      </c>
      <c r="X238" s="7" t="s">
        <v>776</v>
      </c>
      <c r="Y238" s="7">
        <v>175</v>
      </c>
      <c r="Z238" s="7" t="s">
        <v>1191</v>
      </c>
      <c r="AA238" s="7" t="s">
        <v>775</v>
      </c>
      <c r="AB238" s="7">
        <v>2.3250052407905017</v>
      </c>
      <c r="AC238" s="7" t="s">
        <v>776</v>
      </c>
      <c r="AD238" s="7"/>
      <c r="AE238" s="7" t="s">
        <v>779</v>
      </c>
      <c r="AF238" s="7"/>
      <c r="AG238" s="7">
        <v>172.22228574695558</v>
      </c>
      <c r="AH238" s="7" t="s">
        <v>776</v>
      </c>
      <c r="AI238" s="7">
        <v>13.14</v>
      </c>
      <c r="AJ238" s="7">
        <v>0</v>
      </c>
      <c r="AK238" s="7" t="s">
        <v>776</v>
      </c>
      <c r="AL238" s="7">
        <v>0</v>
      </c>
      <c r="AM238" s="7" t="s">
        <v>780</v>
      </c>
      <c r="AN238" s="7" t="s">
        <v>781</v>
      </c>
      <c r="AO238" s="7" t="s">
        <v>782</v>
      </c>
      <c r="AP238" s="7">
        <v>0.30034285714285708</v>
      </c>
      <c r="AQ238" s="7">
        <v>0</v>
      </c>
      <c r="AR238" s="7">
        <v>0.30034285714285708</v>
      </c>
      <c r="AS238" s="8" t="b">
        <v>1</v>
      </c>
      <c r="AT238" s="8" t="b">
        <v>1</v>
      </c>
      <c r="AU238" s="8" t="b">
        <v>1</v>
      </c>
      <c r="AV238" s="8" t="b">
        <v>1</v>
      </c>
      <c r="AW238" s="8" t="b">
        <v>1</v>
      </c>
      <c r="AX238" s="8" t="b">
        <v>1</v>
      </c>
      <c r="AY238" s="8" t="b">
        <v>1</v>
      </c>
      <c r="AZ238" s="8" t="b">
        <v>1</v>
      </c>
      <c r="BA238" s="7" t="s">
        <v>783</v>
      </c>
      <c r="BB238" s="7" t="s">
        <v>783</v>
      </c>
      <c r="BC238" s="7" t="s">
        <v>784</v>
      </c>
      <c r="BD238" s="7">
        <v>0</v>
      </c>
      <c r="BE238" s="7">
        <v>0</v>
      </c>
      <c r="BF238" s="7">
        <v>13.950031444743011</v>
      </c>
      <c r="BG238" s="7">
        <v>0.13714285714285715</v>
      </c>
      <c r="BH238" s="7" t="s">
        <v>154</v>
      </c>
      <c r="BI238" s="7">
        <v>175</v>
      </c>
      <c r="BJ238" s="7">
        <v>24</v>
      </c>
      <c r="BK238" s="7">
        <v>24</v>
      </c>
      <c r="BL238" s="7">
        <v>24</v>
      </c>
      <c r="BM238" s="8" t="b">
        <v>1</v>
      </c>
      <c r="BN238" s="7">
        <v>310.3544001894852</v>
      </c>
      <c r="BO238" s="7">
        <v>1.8020571428571428</v>
      </c>
      <c r="BP238" s="7">
        <v>42.924932822594471</v>
      </c>
      <c r="BQ238" s="7">
        <v>0.13714285714285715</v>
      </c>
      <c r="BR238" s="7" t="s">
        <v>154</v>
      </c>
      <c r="BS238" s="7">
        <v>175</v>
      </c>
      <c r="BT238" s="7">
        <v>24</v>
      </c>
      <c r="BU238" s="7">
        <v>24</v>
      </c>
      <c r="BV238" s="7">
        <v>24</v>
      </c>
      <c r="BW238" s="7" t="s">
        <v>1192</v>
      </c>
      <c r="BX238" s="8" t="b">
        <v>1</v>
      </c>
      <c r="BY238" s="7">
        <v>-70.165618590916893</v>
      </c>
      <c r="BZ238" s="7">
        <v>-1.7882285719252473</v>
      </c>
      <c r="CA238" s="7">
        <v>46237.270833333336</v>
      </c>
      <c r="CB238" s="7">
        <v>46237.260416666664</v>
      </c>
      <c r="CC238" s="7">
        <v>5.8349317810184164E-3</v>
      </c>
      <c r="CD238" s="7">
        <v>34.935020521739105</v>
      </c>
      <c r="CE238" s="7">
        <v>33.409972651540492</v>
      </c>
      <c r="CF238" s="7">
        <v>662.24534522516342</v>
      </c>
      <c r="CG238" s="7">
        <v>0.3125</v>
      </c>
      <c r="CH238" s="7" t="s">
        <v>150</v>
      </c>
      <c r="CI238" s="7">
        <v>128</v>
      </c>
      <c r="CJ238" s="8" t="b">
        <v>1</v>
      </c>
      <c r="CK238" s="7">
        <v>40</v>
      </c>
      <c r="CL238" s="7">
        <v>40</v>
      </c>
      <c r="CM238" s="7">
        <v>40</v>
      </c>
      <c r="CN238" s="8" t="b">
        <v>0</v>
      </c>
      <c r="CO238" s="7" t="s">
        <v>1125</v>
      </c>
      <c r="CP238" s="7">
        <v>959.30909109106926</v>
      </c>
    </row>
    <row r="239" spans="1:94" ht="21" customHeight="1" x14ac:dyDescent="0.45">
      <c r="A239" s="9">
        <v>46237.270833333336</v>
      </c>
      <c r="B239" s="9">
        <v>46237.28125</v>
      </c>
      <c r="C239" s="9">
        <v>46237.395833333336</v>
      </c>
      <c r="D239" s="10">
        <v>46237</v>
      </c>
      <c r="E239" s="7">
        <v>0.25</v>
      </c>
      <c r="F239" s="7" t="s">
        <v>770</v>
      </c>
      <c r="G239" s="9">
        <v>46237.25</v>
      </c>
      <c r="H239" s="7">
        <v>150.22999999999999</v>
      </c>
      <c r="I239" s="7" t="s">
        <v>1193</v>
      </c>
      <c r="J239" s="7">
        <v>15</v>
      </c>
      <c r="K239" s="7" t="s">
        <v>1130</v>
      </c>
      <c r="L239" s="10">
        <v>46234</v>
      </c>
      <c r="M239" s="7">
        <v>5.2473000000000001</v>
      </c>
      <c r="N239" s="7" t="s">
        <v>773</v>
      </c>
      <c r="O239" s="7">
        <v>91.903999999999996</v>
      </c>
      <c r="P239" s="7" t="s">
        <v>1189</v>
      </c>
      <c r="Q239" s="7" t="s">
        <v>775</v>
      </c>
      <c r="R239" s="7">
        <v>66.224534522516336</v>
      </c>
      <c r="S239" s="7" t="s">
        <v>776</v>
      </c>
      <c r="T239" s="7">
        <v>175</v>
      </c>
      <c r="U239" s="7" t="s">
        <v>1190</v>
      </c>
      <c r="V239" s="7" t="s">
        <v>775</v>
      </c>
      <c r="W239" s="7">
        <v>7.1541554704324124</v>
      </c>
      <c r="X239" s="7" t="s">
        <v>776</v>
      </c>
      <c r="Y239" s="7">
        <v>175</v>
      </c>
      <c r="Z239" s="7" t="s">
        <v>1191</v>
      </c>
      <c r="AA239" s="7" t="s">
        <v>775</v>
      </c>
      <c r="AB239" s="7">
        <v>2.3250052407905017</v>
      </c>
      <c r="AC239" s="7" t="s">
        <v>776</v>
      </c>
      <c r="AD239" s="7"/>
      <c r="AE239" s="7" t="s">
        <v>779</v>
      </c>
      <c r="AF239" s="7"/>
      <c r="AG239" s="7">
        <v>207.87452594667732</v>
      </c>
      <c r="AH239" s="7" t="s">
        <v>776</v>
      </c>
      <c r="AI239" s="7">
        <v>17.021999999999998</v>
      </c>
      <c r="AJ239" s="7">
        <v>0</v>
      </c>
      <c r="AK239" s="7" t="s">
        <v>776</v>
      </c>
      <c r="AL239" s="7">
        <v>0</v>
      </c>
      <c r="AM239" s="7" t="s">
        <v>780</v>
      </c>
      <c r="AN239" s="7" t="s">
        <v>781</v>
      </c>
      <c r="AO239" s="7" t="s">
        <v>782</v>
      </c>
      <c r="AP239" s="7">
        <v>0.38907428571428571</v>
      </c>
      <c r="AQ239" s="7">
        <v>0</v>
      </c>
      <c r="AR239" s="7">
        <v>0.38907428571428571</v>
      </c>
      <c r="AS239" s="8" t="b">
        <v>1</v>
      </c>
      <c r="AT239" s="8" t="b">
        <v>1</v>
      </c>
      <c r="AU239" s="8" t="b">
        <v>1</v>
      </c>
      <c r="AV239" s="8" t="b">
        <v>1</v>
      </c>
      <c r="AW239" s="8" t="b">
        <v>1</v>
      </c>
      <c r="AX239" s="8" t="b">
        <v>1</v>
      </c>
      <c r="AY239" s="8" t="b">
        <v>1</v>
      </c>
      <c r="AZ239" s="8" t="b">
        <v>1</v>
      </c>
      <c r="BA239" s="7" t="s">
        <v>783</v>
      </c>
      <c r="BB239" s="7" t="s">
        <v>783</v>
      </c>
      <c r="BC239" s="7" t="s">
        <v>784</v>
      </c>
      <c r="BD239" s="7">
        <v>0</v>
      </c>
      <c r="BE239" s="7">
        <v>0</v>
      </c>
      <c r="BF239" s="7">
        <v>13.950031444743011</v>
      </c>
      <c r="BG239" s="7">
        <v>0.13714285714285715</v>
      </c>
      <c r="BH239" s="7" t="s">
        <v>154</v>
      </c>
      <c r="BI239" s="7">
        <v>175</v>
      </c>
      <c r="BJ239" s="7">
        <v>24</v>
      </c>
      <c r="BK239" s="7">
        <v>24</v>
      </c>
      <c r="BL239" s="7">
        <v>24</v>
      </c>
      <c r="BM239" s="8" t="b">
        <v>1</v>
      </c>
      <c r="BN239" s="7">
        <v>485.27179620539539</v>
      </c>
      <c r="BO239" s="7">
        <v>2.3344457142857142</v>
      </c>
      <c r="BP239" s="7">
        <v>42.924932822594471</v>
      </c>
      <c r="BQ239" s="7">
        <v>0.13714285714285715</v>
      </c>
      <c r="BR239" s="7" t="s">
        <v>154</v>
      </c>
      <c r="BS239" s="7">
        <v>175</v>
      </c>
      <c r="BT239" s="7">
        <v>24</v>
      </c>
      <c r="BU239" s="7">
        <v>24</v>
      </c>
      <c r="BV239" s="7">
        <v>24</v>
      </c>
      <c r="BW239" s="7" t="s">
        <v>1193</v>
      </c>
      <c r="BX239" s="8" t="b">
        <v>1</v>
      </c>
      <c r="BY239" s="7">
        <v>-307.84353510178062</v>
      </c>
      <c r="BZ239" s="7">
        <v>-8.1965928270460129</v>
      </c>
      <c r="CA239" s="7">
        <v>46237.28125</v>
      </c>
      <c r="CB239" s="7">
        <v>46237.270833333336</v>
      </c>
      <c r="CC239" s="7">
        <v>7.8404704502764502E-3</v>
      </c>
      <c r="CD239" s="7">
        <v>33.409972651540492</v>
      </c>
      <c r="CE239" s="7">
        <v>32.890857580124205</v>
      </c>
      <c r="CF239" s="7">
        <v>662.24534522516342</v>
      </c>
      <c r="CG239" s="7">
        <v>0.3125</v>
      </c>
      <c r="CH239" s="7" t="s">
        <v>150</v>
      </c>
      <c r="CI239" s="7">
        <v>128</v>
      </c>
      <c r="CJ239" s="8" t="b">
        <v>1</v>
      </c>
      <c r="CK239" s="7">
        <v>40</v>
      </c>
      <c r="CL239" s="7">
        <v>40</v>
      </c>
      <c r="CM239" s="7">
        <v>40</v>
      </c>
      <c r="CN239" s="8" t="b">
        <v>0</v>
      </c>
      <c r="CO239" s="7" t="s">
        <v>1125</v>
      </c>
      <c r="CP239" s="7">
        <v>896.54857059611572</v>
      </c>
    </row>
    <row r="240" spans="1:94" ht="21" customHeight="1" x14ac:dyDescent="0.45">
      <c r="A240" s="9">
        <v>46237.28125</v>
      </c>
      <c r="B240" s="9">
        <v>46237.291666666664</v>
      </c>
      <c r="C240" s="9">
        <v>46237.40625</v>
      </c>
      <c r="D240" s="10">
        <v>46237</v>
      </c>
      <c r="E240" s="7">
        <v>0.25</v>
      </c>
      <c r="F240" s="7" t="s">
        <v>770</v>
      </c>
      <c r="G240" s="9">
        <v>46237.25</v>
      </c>
      <c r="H240" s="7">
        <v>125.55</v>
      </c>
      <c r="I240" s="7" t="s">
        <v>1194</v>
      </c>
      <c r="J240" s="7">
        <v>15</v>
      </c>
      <c r="K240" s="7" t="s">
        <v>1130</v>
      </c>
      <c r="L240" s="10">
        <v>46234</v>
      </c>
      <c r="M240" s="7">
        <v>5.2473000000000001</v>
      </c>
      <c r="N240" s="7" t="s">
        <v>773</v>
      </c>
      <c r="O240" s="7">
        <v>91.903999999999996</v>
      </c>
      <c r="P240" s="7" t="s">
        <v>1189</v>
      </c>
      <c r="Q240" s="7" t="s">
        <v>775</v>
      </c>
      <c r="R240" s="7">
        <v>66.224534522516336</v>
      </c>
      <c r="S240" s="7" t="s">
        <v>776</v>
      </c>
      <c r="T240" s="7">
        <v>175</v>
      </c>
      <c r="U240" s="7" t="s">
        <v>1190</v>
      </c>
      <c r="V240" s="7" t="s">
        <v>775</v>
      </c>
      <c r="W240" s="7">
        <v>7.1541554704324124</v>
      </c>
      <c r="X240" s="7" t="s">
        <v>776</v>
      </c>
      <c r="Y240" s="7">
        <v>175</v>
      </c>
      <c r="Z240" s="7" t="s">
        <v>1191</v>
      </c>
      <c r="AA240" s="7" t="s">
        <v>775</v>
      </c>
      <c r="AB240" s="7">
        <v>2.3250052407905017</v>
      </c>
      <c r="AC240" s="7" t="s">
        <v>776</v>
      </c>
      <c r="AD240" s="7"/>
      <c r="AE240" s="7" t="s">
        <v>779</v>
      </c>
      <c r="AF240" s="7"/>
      <c r="AG240" s="7">
        <v>152.59828864368342</v>
      </c>
      <c r="AH240" s="7" t="s">
        <v>776</v>
      </c>
      <c r="AI240" s="7">
        <v>2.5659999999999998</v>
      </c>
      <c r="AJ240" s="7">
        <v>40.633659215215445</v>
      </c>
      <c r="AK240" s="7" t="s">
        <v>776</v>
      </c>
      <c r="AL240" s="7">
        <v>0.627</v>
      </c>
      <c r="AM240" s="7" t="s">
        <v>780</v>
      </c>
      <c r="AN240" s="7" t="s">
        <v>781</v>
      </c>
      <c r="AO240" s="7" t="s">
        <v>782</v>
      </c>
      <c r="AP240" s="7">
        <v>5.86514285714285E-2</v>
      </c>
      <c r="AQ240" s="7">
        <v>1.43314285714285E-2</v>
      </c>
      <c r="AR240" s="7">
        <v>7.2982857142857099E-2</v>
      </c>
      <c r="AS240" s="8" t="b">
        <v>1</v>
      </c>
      <c r="AT240" s="8" t="b">
        <v>1</v>
      </c>
      <c r="AU240" s="8" t="b">
        <v>1</v>
      </c>
      <c r="AV240" s="8" t="b">
        <v>1</v>
      </c>
      <c r="AW240" s="8" t="b">
        <v>1</v>
      </c>
      <c r="AX240" s="8" t="b">
        <v>1</v>
      </c>
      <c r="AY240" s="8" t="b">
        <v>1</v>
      </c>
      <c r="AZ240" s="8" t="b">
        <v>1</v>
      </c>
      <c r="BA240" s="7" t="s">
        <v>783</v>
      </c>
      <c r="BB240" s="7" t="s">
        <v>783</v>
      </c>
      <c r="BC240" s="7" t="s">
        <v>784</v>
      </c>
      <c r="BD240" s="7">
        <v>-3.4940303078317831</v>
      </c>
      <c r="BE240" s="7">
        <v>8.5988571428571428E-2</v>
      </c>
      <c r="BF240" s="7">
        <v>13.950031444743011</v>
      </c>
      <c r="BG240" s="7">
        <v>0.13714285714285715</v>
      </c>
      <c r="BH240" s="7" t="s">
        <v>154</v>
      </c>
      <c r="BI240" s="7">
        <v>175</v>
      </c>
      <c r="BJ240" s="7">
        <v>24</v>
      </c>
      <c r="BK240" s="7">
        <v>24</v>
      </c>
      <c r="BL240" s="7">
        <v>24</v>
      </c>
      <c r="BM240" s="8" t="b">
        <v>1</v>
      </c>
      <c r="BN240" s="7">
        <v>53.700645759043425</v>
      </c>
      <c r="BO240" s="7">
        <v>0.3519085714285714</v>
      </c>
      <c r="BP240" s="7">
        <v>42.924932822594471</v>
      </c>
      <c r="BQ240" s="7">
        <v>0.13714285714285715</v>
      </c>
      <c r="BR240" s="7" t="s">
        <v>154</v>
      </c>
      <c r="BS240" s="7">
        <v>175</v>
      </c>
      <c r="BT240" s="7">
        <v>24</v>
      </c>
      <c r="BU240" s="7">
        <v>24</v>
      </c>
      <c r="BV240" s="7">
        <v>24</v>
      </c>
      <c r="BW240" s="7" t="s">
        <v>1194</v>
      </c>
      <c r="BX240" s="8" t="b">
        <v>1</v>
      </c>
      <c r="BY240" s="7">
        <v>-1129.95</v>
      </c>
      <c r="BZ240" s="7">
        <v>-36</v>
      </c>
      <c r="CA240" s="7">
        <v>46237.291666666664</v>
      </c>
      <c r="CB240" s="7">
        <v>46237.28125</v>
      </c>
      <c r="CC240" s="7">
        <v>2.2320426666666667E-2</v>
      </c>
      <c r="CD240" s="7">
        <v>32.890857580124205</v>
      </c>
      <c r="CE240" s="7">
        <v>40.926211180124213</v>
      </c>
      <c r="CF240" s="7">
        <v>662.24534522516342</v>
      </c>
      <c r="CG240" s="7">
        <v>0.3125</v>
      </c>
      <c r="CH240" s="7" t="s">
        <v>150</v>
      </c>
      <c r="CI240" s="7">
        <v>128</v>
      </c>
      <c r="CJ240" s="8" t="b">
        <v>1</v>
      </c>
      <c r="CK240" s="7">
        <v>40</v>
      </c>
      <c r="CL240" s="7">
        <v>40</v>
      </c>
      <c r="CM240" s="7">
        <v>40</v>
      </c>
      <c r="CN240" s="8" t="b">
        <v>0</v>
      </c>
      <c r="CO240" s="7" t="s">
        <v>1125</v>
      </c>
      <c r="CP240" s="7">
        <v>-360.62307505628752</v>
      </c>
    </row>
    <row r="241" spans="1:94" ht="21" customHeight="1" x14ac:dyDescent="0.45">
      <c r="A241" s="9">
        <v>46237.291666666664</v>
      </c>
      <c r="B241" s="9">
        <v>46237.302083333336</v>
      </c>
      <c r="C241" s="9">
        <v>46237.416666666664</v>
      </c>
      <c r="D241" s="10">
        <v>46237</v>
      </c>
      <c r="E241" s="7">
        <v>0.25</v>
      </c>
      <c r="F241" s="7" t="s">
        <v>770</v>
      </c>
      <c r="G241" s="9">
        <v>46237.291666666664</v>
      </c>
      <c r="H241" s="7">
        <v>163.11000000000001</v>
      </c>
      <c r="I241" s="7" t="s">
        <v>1195</v>
      </c>
      <c r="J241" s="7">
        <v>15</v>
      </c>
      <c r="K241" s="7" t="s">
        <v>1130</v>
      </c>
      <c r="L241" s="10">
        <v>46234</v>
      </c>
      <c r="M241" s="7">
        <v>5.2473000000000001</v>
      </c>
      <c r="N241" s="7" t="s">
        <v>773</v>
      </c>
      <c r="O241" s="7">
        <v>91.903999999999996</v>
      </c>
      <c r="P241" s="7" t="s">
        <v>1196</v>
      </c>
      <c r="Q241" s="7" t="s">
        <v>775</v>
      </c>
      <c r="R241" s="7">
        <v>66.224534522516336</v>
      </c>
      <c r="S241" s="7" t="s">
        <v>776</v>
      </c>
      <c r="T241" s="7">
        <v>175</v>
      </c>
      <c r="U241" s="7" t="s">
        <v>1197</v>
      </c>
      <c r="V241" s="7" t="s">
        <v>775</v>
      </c>
      <c r="W241" s="7">
        <v>5.7743982619632952</v>
      </c>
      <c r="X241" s="7" t="s">
        <v>776</v>
      </c>
      <c r="Y241" s="7">
        <v>175</v>
      </c>
      <c r="Z241" s="7" t="s">
        <v>1198</v>
      </c>
      <c r="AA241" s="7" t="s">
        <v>775</v>
      </c>
      <c r="AB241" s="7">
        <v>2.913879518990719</v>
      </c>
      <c r="AC241" s="7" t="s">
        <v>776</v>
      </c>
      <c r="AD241" s="7"/>
      <c r="AE241" s="7" t="s">
        <v>779</v>
      </c>
      <c r="AF241" s="7"/>
      <c r="AG241" s="7">
        <v>156.43035465858631</v>
      </c>
      <c r="AH241" s="7" t="s">
        <v>776</v>
      </c>
      <c r="AI241" s="7">
        <v>1.359</v>
      </c>
      <c r="AJ241" s="7">
        <v>-5.9013206792064494</v>
      </c>
      <c r="AK241" s="7" t="s">
        <v>776</v>
      </c>
      <c r="AL241" s="7">
        <v>5.3540000000000001</v>
      </c>
      <c r="AM241" s="7" t="s">
        <v>780</v>
      </c>
      <c r="AN241" s="7" t="s">
        <v>781</v>
      </c>
      <c r="AO241" s="7" t="s">
        <v>782</v>
      </c>
      <c r="AP241" s="7">
        <v>3.10628571428571E-2</v>
      </c>
      <c r="AQ241" s="7">
        <v>0.1223771428571428</v>
      </c>
      <c r="AR241" s="7">
        <v>0.15343999999999999</v>
      </c>
      <c r="AS241" s="8" t="b">
        <v>1</v>
      </c>
      <c r="AT241" s="8" t="b">
        <v>1</v>
      </c>
      <c r="AU241" s="8" t="b">
        <v>1</v>
      </c>
      <c r="AV241" s="8" t="b">
        <v>1</v>
      </c>
      <c r="AW241" s="8" t="b">
        <v>1</v>
      </c>
      <c r="AX241" s="8" t="b">
        <v>1</v>
      </c>
      <c r="AY241" s="8" t="b">
        <v>1</v>
      </c>
      <c r="AZ241" s="8" t="b">
        <v>1</v>
      </c>
      <c r="BA241" s="7" t="s">
        <v>783</v>
      </c>
      <c r="BB241" s="7" t="s">
        <v>783</v>
      </c>
      <c r="BC241" s="7" t="s">
        <v>784</v>
      </c>
      <c r="BD241" s="7">
        <v>4.3331205828303547</v>
      </c>
      <c r="BE241" s="7">
        <v>0.73426285714285722</v>
      </c>
      <c r="BF241" s="7">
        <v>17.483277113944315</v>
      </c>
      <c r="BG241" s="7">
        <v>0.13714285714285715</v>
      </c>
      <c r="BH241" s="7" t="s">
        <v>154</v>
      </c>
      <c r="BI241" s="7">
        <v>175</v>
      </c>
      <c r="BJ241" s="7">
        <v>24</v>
      </c>
      <c r="BK241" s="7">
        <v>24</v>
      </c>
      <c r="BL241" s="7">
        <v>24</v>
      </c>
      <c r="BM241" s="8" t="b">
        <v>1</v>
      </c>
      <c r="BN241" s="7">
        <v>29.155042557396861</v>
      </c>
      <c r="BO241" s="7">
        <v>0.18637714285714285</v>
      </c>
      <c r="BP241" s="7">
        <v>34.646389571779771</v>
      </c>
      <c r="BQ241" s="7">
        <v>0.13714285714285715</v>
      </c>
      <c r="BR241" s="7" t="s">
        <v>154</v>
      </c>
      <c r="BS241" s="7">
        <v>175</v>
      </c>
      <c r="BT241" s="7">
        <v>24</v>
      </c>
      <c r="BU241" s="7">
        <v>24</v>
      </c>
      <c r="BV241" s="7">
        <v>24</v>
      </c>
      <c r="BW241" s="7" t="s">
        <v>1195</v>
      </c>
      <c r="BX241" s="8" t="b">
        <v>1</v>
      </c>
      <c r="BY241" s="7">
        <v>1467.9900000000002</v>
      </c>
      <c r="BZ241" s="7">
        <v>36</v>
      </c>
      <c r="CA241" s="7">
        <v>46237.302083333336</v>
      </c>
      <c r="CB241" s="7">
        <v>46237.291666666664</v>
      </c>
      <c r="CC241" s="7">
        <v>2.551966873706004E-2</v>
      </c>
      <c r="CD241" s="7">
        <v>40.926211180124213</v>
      </c>
      <c r="CE241" s="7">
        <v>31.739130434782595</v>
      </c>
      <c r="CF241" s="7">
        <v>662.24534522516342</v>
      </c>
      <c r="CG241" s="7">
        <v>0.3125</v>
      </c>
      <c r="CH241" s="7" t="s">
        <v>150</v>
      </c>
      <c r="CI241" s="7">
        <v>128</v>
      </c>
      <c r="CJ241" s="8" t="b">
        <v>1</v>
      </c>
      <c r="CK241" s="7">
        <v>40</v>
      </c>
      <c r="CL241" s="7">
        <v>40</v>
      </c>
      <c r="CM241" s="7">
        <v>40</v>
      </c>
      <c r="CN241" s="8" t="b">
        <v>0</v>
      </c>
      <c r="CO241" s="7" t="s">
        <v>1125</v>
      </c>
      <c r="CP241" s="7">
        <v>2215.8531750511152</v>
      </c>
    </row>
    <row r="242" spans="1:94" ht="21" customHeight="1" x14ac:dyDescent="0.45">
      <c r="A242" s="9">
        <v>46237.302083333336</v>
      </c>
      <c r="B242" s="9">
        <v>46237.3125</v>
      </c>
      <c r="C242" s="9">
        <v>46237.427083333336</v>
      </c>
      <c r="D242" s="10">
        <v>46237</v>
      </c>
      <c r="E242" s="7">
        <v>0.25</v>
      </c>
      <c r="F242" s="7" t="s">
        <v>770</v>
      </c>
      <c r="G242" s="9">
        <v>46237.291666666664</v>
      </c>
      <c r="H242" s="7">
        <v>134.68</v>
      </c>
      <c r="I242" s="7" t="s">
        <v>1199</v>
      </c>
      <c r="J242" s="7">
        <v>15</v>
      </c>
      <c r="K242" s="7" t="s">
        <v>1130</v>
      </c>
      <c r="L242" s="10">
        <v>46234</v>
      </c>
      <c r="M242" s="7">
        <v>5.2473000000000001</v>
      </c>
      <c r="N242" s="7" t="s">
        <v>773</v>
      </c>
      <c r="O242" s="7">
        <v>91.903999999999996</v>
      </c>
      <c r="P242" s="7" t="s">
        <v>1196</v>
      </c>
      <c r="Q242" s="7" t="s">
        <v>775</v>
      </c>
      <c r="R242" s="7">
        <v>66.224534522516336</v>
      </c>
      <c r="S242" s="7" t="s">
        <v>776</v>
      </c>
      <c r="T242" s="7">
        <v>175</v>
      </c>
      <c r="U242" s="7" t="s">
        <v>1197</v>
      </c>
      <c r="V242" s="7" t="s">
        <v>775</v>
      </c>
      <c r="W242" s="7">
        <v>5.7743982619632952</v>
      </c>
      <c r="X242" s="7" t="s">
        <v>776</v>
      </c>
      <c r="Y242" s="7">
        <v>175</v>
      </c>
      <c r="Z242" s="7" t="s">
        <v>1198</v>
      </c>
      <c r="AA242" s="7" t="s">
        <v>775</v>
      </c>
      <c r="AB242" s="7">
        <v>2.913879518990719</v>
      </c>
      <c r="AC242" s="7" t="s">
        <v>776</v>
      </c>
      <c r="AD242" s="7"/>
      <c r="AE242" s="7" t="s">
        <v>779</v>
      </c>
      <c r="AF242" s="7"/>
      <c r="AG242" s="7">
        <v>0</v>
      </c>
      <c r="AH242" s="7" t="s">
        <v>776</v>
      </c>
      <c r="AI242" s="7">
        <v>0</v>
      </c>
      <c r="AJ242" s="7">
        <v>-5.2798582127951512</v>
      </c>
      <c r="AK242" s="7" t="s">
        <v>776</v>
      </c>
      <c r="AL242" s="7">
        <v>17.962</v>
      </c>
      <c r="AM242" s="7" t="s">
        <v>780</v>
      </c>
      <c r="AN242" s="7" t="s">
        <v>781</v>
      </c>
      <c r="AO242" s="7" t="s">
        <v>782</v>
      </c>
      <c r="AP242" s="7">
        <v>0</v>
      </c>
      <c r="AQ242" s="7">
        <v>0.41055999999999998</v>
      </c>
      <c r="AR242" s="7">
        <v>0.41055999999999998</v>
      </c>
      <c r="AS242" s="8" t="b">
        <v>1</v>
      </c>
      <c r="AT242" s="8" t="b">
        <v>1</v>
      </c>
      <c r="AU242" s="8" t="b">
        <v>1</v>
      </c>
      <c r="AV242" s="8" t="b">
        <v>1</v>
      </c>
      <c r="AW242" s="8" t="b">
        <v>1</v>
      </c>
      <c r="AX242" s="8" t="b">
        <v>1</v>
      </c>
      <c r="AY242" s="8" t="b">
        <v>1</v>
      </c>
      <c r="AZ242" s="8" t="b">
        <v>1</v>
      </c>
      <c r="BA242" s="7" t="s">
        <v>783</v>
      </c>
      <c r="BB242" s="7" t="s">
        <v>783</v>
      </c>
      <c r="BC242" s="7" t="s">
        <v>784</v>
      </c>
      <c r="BD242" s="7">
        <v>13.006191527071062</v>
      </c>
      <c r="BE242" s="7">
        <v>2.4633599999999998</v>
      </c>
      <c r="BF242" s="7">
        <v>17.483277113944315</v>
      </c>
      <c r="BG242" s="7">
        <v>0.13714285714285715</v>
      </c>
      <c r="BH242" s="7" t="s">
        <v>154</v>
      </c>
      <c r="BI242" s="7">
        <v>175</v>
      </c>
      <c r="BJ242" s="7">
        <v>24</v>
      </c>
      <c r="BK242" s="7">
        <v>24</v>
      </c>
      <c r="BL242" s="7">
        <v>24</v>
      </c>
      <c r="BM242" s="8" t="b">
        <v>1</v>
      </c>
      <c r="BN242" s="7">
        <v>0</v>
      </c>
      <c r="BO242" s="7">
        <v>0</v>
      </c>
      <c r="BP242" s="7">
        <v>34.646389571779771</v>
      </c>
      <c r="BQ242" s="7">
        <v>0.13714285714285715</v>
      </c>
      <c r="BR242" s="7" t="s">
        <v>154</v>
      </c>
      <c r="BS242" s="7">
        <v>175</v>
      </c>
      <c r="BT242" s="7">
        <v>24</v>
      </c>
      <c r="BU242" s="7">
        <v>24</v>
      </c>
      <c r="BV242" s="7">
        <v>24</v>
      </c>
      <c r="BW242" s="7" t="s">
        <v>1199</v>
      </c>
      <c r="BX242" s="8" t="b">
        <v>1</v>
      </c>
      <c r="BY242" s="7">
        <v>299.70625132721705</v>
      </c>
      <c r="BZ242" s="7">
        <v>8.9012845657029107</v>
      </c>
      <c r="CA242" s="7">
        <v>46237.3125</v>
      </c>
      <c r="CB242" s="7">
        <v>46237.302083333336</v>
      </c>
      <c r="CC242" s="7">
        <v>7.9208532222341844E-3</v>
      </c>
      <c r="CD242" s="7">
        <v>31.739130434782595</v>
      </c>
      <c r="CE242" s="7">
        <v>31.739130434782595</v>
      </c>
      <c r="CF242" s="7">
        <v>662.24534522516342</v>
      </c>
      <c r="CG242" s="7">
        <v>0.3125</v>
      </c>
      <c r="CH242" s="7" t="s">
        <v>150</v>
      </c>
      <c r="CI242" s="7">
        <v>128</v>
      </c>
      <c r="CJ242" s="8" t="b">
        <v>1</v>
      </c>
      <c r="CK242" s="7">
        <v>40</v>
      </c>
      <c r="CL242" s="7">
        <v>40</v>
      </c>
      <c r="CM242" s="7">
        <v>40</v>
      </c>
      <c r="CN242" s="8" t="b">
        <v>0</v>
      </c>
      <c r="CO242" s="7" t="s">
        <v>1125</v>
      </c>
      <c r="CP242" s="7">
        <v>1027.0874547651756</v>
      </c>
    </row>
    <row r="243" spans="1:94" ht="21" customHeight="1" x14ac:dyDescent="0.45">
      <c r="A243" s="9">
        <v>46237.3125</v>
      </c>
      <c r="B243" s="9">
        <v>46237.322916666664</v>
      </c>
      <c r="C243" s="9">
        <v>46237.4375</v>
      </c>
      <c r="D243" s="10">
        <v>46237</v>
      </c>
      <c r="E243" s="7">
        <v>0.25</v>
      </c>
      <c r="F243" s="7" t="s">
        <v>770</v>
      </c>
      <c r="G243" s="9">
        <v>46237.291666666664</v>
      </c>
      <c r="H243" s="7">
        <v>79.64</v>
      </c>
      <c r="I243" s="7" t="s">
        <v>1200</v>
      </c>
      <c r="J243" s="7">
        <v>15</v>
      </c>
      <c r="K243" s="7" t="s">
        <v>1130</v>
      </c>
      <c r="L243" s="10">
        <v>46234</v>
      </c>
      <c r="M243" s="7">
        <v>5.2473000000000001</v>
      </c>
      <c r="N243" s="7" t="s">
        <v>773</v>
      </c>
      <c r="O243" s="7">
        <v>91.903999999999996</v>
      </c>
      <c r="P243" s="7" t="s">
        <v>1196</v>
      </c>
      <c r="Q243" s="7" t="s">
        <v>775</v>
      </c>
      <c r="R243" s="7">
        <v>66.224534522516336</v>
      </c>
      <c r="S243" s="7" t="s">
        <v>776</v>
      </c>
      <c r="T243" s="7">
        <v>175</v>
      </c>
      <c r="U243" s="7" t="s">
        <v>1197</v>
      </c>
      <c r="V243" s="7" t="s">
        <v>775</v>
      </c>
      <c r="W243" s="7">
        <v>5.7743982619632952</v>
      </c>
      <c r="X243" s="7" t="s">
        <v>776</v>
      </c>
      <c r="Y243" s="7">
        <v>175</v>
      </c>
      <c r="Z243" s="7" t="s">
        <v>1198</v>
      </c>
      <c r="AA243" s="7" t="s">
        <v>775</v>
      </c>
      <c r="AB243" s="7">
        <v>2.913879518990719</v>
      </c>
      <c r="AC243" s="7" t="s">
        <v>776</v>
      </c>
      <c r="AD243" s="7"/>
      <c r="AE243" s="7" t="s">
        <v>779</v>
      </c>
      <c r="AF243" s="7"/>
      <c r="AG243" s="7">
        <v>0</v>
      </c>
      <c r="AH243" s="7" t="s">
        <v>776</v>
      </c>
      <c r="AI243" s="7">
        <v>0</v>
      </c>
      <c r="AJ243" s="7">
        <v>2.1113715625178666</v>
      </c>
      <c r="AK243" s="7" t="s">
        <v>776</v>
      </c>
      <c r="AL243" s="7">
        <v>20.643000000000001</v>
      </c>
      <c r="AM243" s="7" t="s">
        <v>780</v>
      </c>
      <c r="AN243" s="7" t="s">
        <v>781</v>
      </c>
      <c r="AO243" s="7" t="s">
        <v>782</v>
      </c>
      <c r="AP243" s="7">
        <v>0</v>
      </c>
      <c r="AQ243" s="7">
        <v>0.47183999999999998</v>
      </c>
      <c r="AR243" s="7">
        <v>0.47183999999999998</v>
      </c>
      <c r="AS243" s="8" t="b">
        <v>1</v>
      </c>
      <c r="AT243" s="8" t="b">
        <v>1</v>
      </c>
      <c r="AU243" s="8" t="b">
        <v>1</v>
      </c>
      <c r="AV243" s="8" t="b">
        <v>1</v>
      </c>
      <c r="AW243" s="8" t="b">
        <v>1</v>
      </c>
      <c r="AX243" s="8" t="b">
        <v>1</v>
      </c>
      <c r="AY243" s="8" t="b">
        <v>1</v>
      </c>
      <c r="AZ243" s="8" t="b">
        <v>1</v>
      </c>
      <c r="BA243" s="7" t="s">
        <v>783</v>
      </c>
      <c r="BB243" s="7" t="s">
        <v>783</v>
      </c>
      <c r="BC243" s="7" t="s">
        <v>784</v>
      </c>
      <c r="BD243" s="7">
        <v>-5.9773773483505819</v>
      </c>
      <c r="BE243" s="7">
        <v>2.8310400000000002</v>
      </c>
      <c r="BF243" s="7">
        <v>17.483277113944315</v>
      </c>
      <c r="BG243" s="7">
        <v>0.13714285714285715</v>
      </c>
      <c r="BH243" s="7" t="s">
        <v>154</v>
      </c>
      <c r="BI243" s="7">
        <v>175</v>
      </c>
      <c r="BJ243" s="7">
        <v>24</v>
      </c>
      <c r="BK243" s="7">
        <v>24</v>
      </c>
      <c r="BL243" s="7">
        <v>24</v>
      </c>
      <c r="BM243" s="8" t="b">
        <v>1</v>
      </c>
      <c r="BN243" s="7">
        <v>0</v>
      </c>
      <c r="BO243" s="7">
        <v>0</v>
      </c>
      <c r="BP243" s="7">
        <v>34.646389571779771</v>
      </c>
      <c r="BQ243" s="7">
        <v>0.13714285714285715</v>
      </c>
      <c r="BR243" s="7" t="s">
        <v>154</v>
      </c>
      <c r="BS243" s="7">
        <v>175</v>
      </c>
      <c r="BT243" s="7">
        <v>24</v>
      </c>
      <c r="BU243" s="7">
        <v>24</v>
      </c>
      <c r="BV243" s="7">
        <v>24</v>
      </c>
      <c r="BW243" s="7" t="s">
        <v>1200</v>
      </c>
      <c r="BX243" s="8" t="b">
        <v>1</v>
      </c>
      <c r="BY243" s="7">
        <v>0</v>
      </c>
      <c r="BZ243" s="7">
        <v>0</v>
      </c>
      <c r="CA243" s="7">
        <v>46237.322916666664</v>
      </c>
      <c r="CB243" s="7">
        <v>46237.3125</v>
      </c>
      <c r="CC243" s="7">
        <v>7.23488E-3</v>
      </c>
      <c r="CD243" s="7">
        <v>31.739130434782595</v>
      </c>
      <c r="CE243" s="7">
        <v>34.343687234782593</v>
      </c>
      <c r="CF243" s="7">
        <v>662.24534522516342</v>
      </c>
      <c r="CG243" s="7">
        <v>0.3125</v>
      </c>
      <c r="CH243" s="7" t="s">
        <v>150</v>
      </c>
      <c r="CI243" s="7">
        <v>128</v>
      </c>
      <c r="CJ243" s="8" t="b">
        <v>1</v>
      </c>
      <c r="CK243" s="7">
        <v>40</v>
      </c>
      <c r="CL243" s="7">
        <v>40</v>
      </c>
      <c r="CM243" s="7">
        <v>40</v>
      </c>
      <c r="CN243" s="8" t="b">
        <v>0</v>
      </c>
      <c r="CO243" s="7" t="s">
        <v>1125</v>
      </c>
      <c r="CP243" s="7">
        <v>708.39763456253695</v>
      </c>
    </row>
    <row r="244" spans="1:94" ht="21" customHeight="1" x14ac:dyDescent="0.45">
      <c r="A244" s="9">
        <v>46237.322916666664</v>
      </c>
      <c r="B244" s="9">
        <v>46237.333333333336</v>
      </c>
      <c r="C244" s="9">
        <v>46237.447916666664</v>
      </c>
      <c r="D244" s="10">
        <v>46237</v>
      </c>
      <c r="E244" s="7">
        <v>0.25</v>
      </c>
      <c r="F244" s="7" t="s">
        <v>770</v>
      </c>
      <c r="G244" s="9">
        <v>46237.291666666664</v>
      </c>
      <c r="H244" s="7">
        <v>38.11</v>
      </c>
      <c r="I244" s="7" t="s">
        <v>1201</v>
      </c>
      <c r="J244" s="7">
        <v>15</v>
      </c>
      <c r="K244" s="7" t="s">
        <v>1130</v>
      </c>
      <c r="L244" s="10">
        <v>46234</v>
      </c>
      <c r="M244" s="7">
        <v>5.2473000000000001</v>
      </c>
      <c r="N244" s="7" t="s">
        <v>773</v>
      </c>
      <c r="O244" s="7">
        <v>91.903999999999996</v>
      </c>
      <c r="P244" s="7" t="s">
        <v>1196</v>
      </c>
      <c r="Q244" s="7" t="s">
        <v>775</v>
      </c>
      <c r="R244" s="7">
        <v>66.224534522516336</v>
      </c>
      <c r="S244" s="7" t="s">
        <v>776</v>
      </c>
      <c r="T244" s="7">
        <v>175</v>
      </c>
      <c r="U244" s="7" t="s">
        <v>1197</v>
      </c>
      <c r="V244" s="7" t="s">
        <v>775</v>
      </c>
      <c r="W244" s="7">
        <v>5.7743982619632952</v>
      </c>
      <c r="X244" s="7" t="s">
        <v>776</v>
      </c>
      <c r="Y244" s="7">
        <v>175</v>
      </c>
      <c r="Z244" s="7" t="s">
        <v>1198</v>
      </c>
      <c r="AA244" s="7" t="s">
        <v>775</v>
      </c>
      <c r="AB244" s="7">
        <v>2.913879518990719</v>
      </c>
      <c r="AC244" s="7" t="s">
        <v>776</v>
      </c>
      <c r="AD244" s="7"/>
      <c r="AE244" s="7" t="s">
        <v>779</v>
      </c>
      <c r="AF244" s="7"/>
      <c r="AG244" s="7">
        <v>0</v>
      </c>
      <c r="AH244" s="7" t="s">
        <v>776</v>
      </c>
      <c r="AI244" s="7">
        <v>0</v>
      </c>
      <c r="AJ244" s="7">
        <v>-26.560326263030511</v>
      </c>
      <c r="AK244" s="7" t="s">
        <v>776</v>
      </c>
      <c r="AL244" s="7">
        <v>32.323</v>
      </c>
      <c r="AM244" s="7" t="s">
        <v>780</v>
      </c>
      <c r="AN244" s="7" t="s">
        <v>781</v>
      </c>
      <c r="AO244" s="7" t="s">
        <v>782</v>
      </c>
      <c r="AP244" s="7">
        <v>0</v>
      </c>
      <c r="AQ244" s="7">
        <v>0.73881142857142856</v>
      </c>
      <c r="AR244" s="7">
        <v>0.73881142857142856</v>
      </c>
      <c r="AS244" s="8" t="b">
        <v>1</v>
      </c>
      <c r="AT244" s="8" t="b">
        <v>1</v>
      </c>
      <c r="AU244" s="8" t="b">
        <v>1</v>
      </c>
      <c r="AV244" s="8" t="b">
        <v>1</v>
      </c>
      <c r="AW244" s="8" t="b">
        <v>1</v>
      </c>
      <c r="AX244" s="8" t="b">
        <v>1</v>
      </c>
      <c r="AY244" s="8" t="b">
        <v>1</v>
      </c>
      <c r="AZ244" s="8" t="b">
        <v>1</v>
      </c>
      <c r="BA244" s="7" t="s">
        <v>783</v>
      </c>
      <c r="BB244" s="7" t="s">
        <v>783</v>
      </c>
      <c r="BC244" s="7" t="s">
        <v>784</v>
      </c>
      <c r="BD244" s="7">
        <v>117.73843553827682</v>
      </c>
      <c r="BE244" s="7">
        <v>4.4328685714285712</v>
      </c>
      <c r="BF244" s="7">
        <v>17.483277113944315</v>
      </c>
      <c r="BG244" s="7">
        <v>0.13714285714285715</v>
      </c>
      <c r="BH244" s="7" t="s">
        <v>154</v>
      </c>
      <c r="BI244" s="7">
        <v>175</v>
      </c>
      <c r="BJ244" s="7">
        <v>24</v>
      </c>
      <c r="BK244" s="7">
        <v>24</v>
      </c>
      <c r="BL244" s="7">
        <v>24</v>
      </c>
      <c r="BM244" s="8" t="b">
        <v>1</v>
      </c>
      <c r="BN244" s="7">
        <v>0</v>
      </c>
      <c r="BO244" s="7">
        <v>0</v>
      </c>
      <c r="BP244" s="7">
        <v>34.646389571779771</v>
      </c>
      <c r="BQ244" s="7">
        <v>0.13714285714285715</v>
      </c>
      <c r="BR244" s="7" t="s">
        <v>154</v>
      </c>
      <c r="BS244" s="7">
        <v>175</v>
      </c>
      <c r="BT244" s="7">
        <v>24</v>
      </c>
      <c r="BU244" s="7">
        <v>24</v>
      </c>
      <c r="BV244" s="7">
        <v>24</v>
      </c>
      <c r="BW244" s="7" t="s">
        <v>1201</v>
      </c>
      <c r="BX244" s="8" t="b">
        <v>1</v>
      </c>
      <c r="BY244" s="7">
        <v>-342.99</v>
      </c>
      <c r="BZ244" s="7">
        <v>-36</v>
      </c>
      <c r="CA244" s="7">
        <v>46237.333333333336</v>
      </c>
      <c r="CB244" s="7">
        <v>46237.322916666664</v>
      </c>
      <c r="CC244" s="7">
        <v>3.4328441904761905E-2</v>
      </c>
      <c r="CD244" s="7">
        <v>34.343687234782593</v>
      </c>
      <c r="CE244" s="7">
        <v>46.701926320496874</v>
      </c>
      <c r="CF244" s="7">
        <v>662.24534522516342</v>
      </c>
      <c r="CG244" s="7">
        <v>0.3125</v>
      </c>
      <c r="CH244" s="7" t="s">
        <v>150</v>
      </c>
      <c r="CI244" s="7">
        <v>128</v>
      </c>
      <c r="CJ244" s="8" t="b">
        <v>1</v>
      </c>
      <c r="CK244" s="7">
        <v>40</v>
      </c>
      <c r="CL244" s="7">
        <v>40</v>
      </c>
      <c r="CM244" s="7">
        <v>40</v>
      </c>
      <c r="CN244" s="8" t="b">
        <v>0</v>
      </c>
      <c r="CO244" s="7" t="s">
        <v>1125</v>
      </c>
      <c r="CP244" s="7">
        <v>489.1234474491643</v>
      </c>
    </row>
    <row r="245" spans="1:94" ht="21" customHeight="1" x14ac:dyDescent="0.45">
      <c r="A245" s="9">
        <v>46237.333333333336</v>
      </c>
      <c r="B245" s="9">
        <v>46237.34375</v>
      </c>
      <c r="C245" s="9">
        <v>46237.458333333336</v>
      </c>
      <c r="D245" s="10">
        <v>46237</v>
      </c>
      <c r="E245" s="7">
        <v>0.25</v>
      </c>
      <c r="F245" s="7" t="s">
        <v>770</v>
      </c>
      <c r="G245" s="9">
        <v>46237.333333333336</v>
      </c>
      <c r="H245" s="7">
        <v>66.989999999999995</v>
      </c>
      <c r="I245" s="7" t="s">
        <v>1202</v>
      </c>
      <c r="J245" s="7">
        <v>15</v>
      </c>
      <c r="K245" s="7" t="s">
        <v>1130</v>
      </c>
      <c r="L245" s="10">
        <v>46234</v>
      </c>
      <c r="M245" s="7">
        <v>5.2473000000000001</v>
      </c>
      <c r="N245" s="7" t="s">
        <v>773</v>
      </c>
      <c r="O245" s="7">
        <v>91.903999999999996</v>
      </c>
      <c r="P245" s="7" t="s">
        <v>1203</v>
      </c>
      <c r="Q245" s="7" t="s">
        <v>775</v>
      </c>
      <c r="R245" s="7">
        <v>66.224534522516336</v>
      </c>
      <c r="S245" s="7" t="s">
        <v>776</v>
      </c>
      <c r="T245" s="7">
        <v>175</v>
      </c>
      <c r="U245" s="7" t="s">
        <v>1204</v>
      </c>
      <c r="V245" s="7" t="s">
        <v>775</v>
      </c>
      <c r="W245" s="7">
        <v>5.1779010157604866</v>
      </c>
      <c r="X245" s="7" t="s">
        <v>776</v>
      </c>
      <c r="Y245" s="7">
        <v>175</v>
      </c>
      <c r="Z245" s="7" t="s">
        <v>1205</v>
      </c>
      <c r="AA245" s="7" t="s">
        <v>775</v>
      </c>
      <c r="AB245" s="7">
        <v>3.0072608770224685</v>
      </c>
      <c r="AC245" s="7" t="s">
        <v>776</v>
      </c>
      <c r="AD245" s="7"/>
      <c r="AE245" s="7" t="s">
        <v>779</v>
      </c>
      <c r="AF245" s="7"/>
      <c r="AG245" s="7">
        <v>0</v>
      </c>
      <c r="AH245" s="7" t="s">
        <v>776</v>
      </c>
      <c r="AI245" s="7">
        <v>0</v>
      </c>
      <c r="AJ245" s="7">
        <v>-198.52228765269754</v>
      </c>
      <c r="AK245" s="7" t="s">
        <v>776</v>
      </c>
      <c r="AL245" s="7">
        <v>30.512</v>
      </c>
      <c r="AM245" s="7" t="s">
        <v>780</v>
      </c>
      <c r="AN245" s="7" t="s">
        <v>781</v>
      </c>
      <c r="AO245" s="7" t="s">
        <v>782</v>
      </c>
      <c r="AP245" s="7">
        <v>0</v>
      </c>
      <c r="AQ245" s="7">
        <v>0.69741714285714285</v>
      </c>
      <c r="AR245" s="7">
        <v>0.69741714285714285</v>
      </c>
      <c r="AS245" s="8" t="b">
        <v>1</v>
      </c>
      <c r="AT245" s="8" t="b">
        <v>1</v>
      </c>
      <c r="AU245" s="8" t="b">
        <v>1</v>
      </c>
      <c r="AV245" s="8" t="b">
        <v>1</v>
      </c>
      <c r="AW245" s="8" t="b">
        <v>1</v>
      </c>
      <c r="AX245" s="8" t="b">
        <v>1</v>
      </c>
      <c r="AY245" s="8" t="b">
        <v>1</v>
      </c>
      <c r="AZ245" s="8" t="b">
        <v>1</v>
      </c>
      <c r="BA245" s="7" t="s">
        <v>783</v>
      </c>
      <c r="BB245" s="7" t="s">
        <v>783</v>
      </c>
      <c r="BC245" s="7" t="s">
        <v>784</v>
      </c>
      <c r="BD245" s="7">
        <v>830.71707988924902</v>
      </c>
      <c r="BE245" s="7">
        <v>4.1845028571428573</v>
      </c>
      <c r="BF245" s="7">
        <v>18.043565262134813</v>
      </c>
      <c r="BG245" s="7">
        <v>0.13714285714285715</v>
      </c>
      <c r="BH245" s="7" t="s">
        <v>154</v>
      </c>
      <c r="BI245" s="7">
        <v>175</v>
      </c>
      <c r="BJ245" s="7">
        <v>24</v>
      </c>
      <c r="BK245" s="7">
        <v>24</v>
      </c>
      <c r="BL245" s="7">
        <v>24</v>
      </c>
      <c r="BM245" s="8" t="b">
        <v>1</v>
      </c>
      <c r="BN245" s="7">
        <v>0</v>
      </c>
      <c r="BO245" s="7">
        <v>0</v>
      </c>
      <c r="BP245" s="7">
        <v>31.067406094562919</v>
      </c>
      <c r="BQ245" s="7">
        <v>0.13714285714285715</v>
      </c>
      <c r="BR245" s="7" t="s">
        <v>154</v>
      </c>
      <c r="BS245" s="7">
        <v>175</v>
      </c>
      <c r="BT245" s="7">
        <v>24</v>
      </c>
      <c r="BU245" s="7">
        <v>24</v>
      </c>
      <c r="BV245" s="7">
        <v>24</v>
      </c>
      <c r="BW245" s="7" t="s">
        <v>1202</v>
      </c>
      <c r="BX245" s="8" t="b">
        <v>1</v>
      </c>
      <c r="BY245" s="7">
        <v>-602.91</v>
      </c>
      <c r="BZ245" s="7">
        <v>-36</v>
      </c>
      <c r="CA245" s="7">
        <v>46237.34375</v>
      </c>
      <c r="CB245" s="7">
        <v>46237.333333333336</v>
      </c>
      <c r="CC245" s="7">
        <v>3.3693729523809529E-2</v>
      </c>
      <c r="CD245" s="7">
        <v>46.701926320496874</v>
      </c>
      <c r="CE245" s="7">
        <v>58.831668949068302</v>
      </c>
      <c r="CF245" s="7">
        <v>662.24534522516342</v>
      </c>
      <c r="CG245" s="7">
        <v>0.3125</v>
      </c>
      <c r="CH245" s="7" t="s">
        <v>150</v>
      </c>
      <c r="CI245" s="7">
        <v>128</v>
      </c>
      <c r="CJ245" s="8" t="b">
        <v>1</v>
      </c>
      <c r="CK245" s="7">
        <v>40</v>
      </c>
      <c r="CL245" s="7">
        <v>40</v>
      </c>
      <c r="CM245" s="7">
        <v>40</v>
      </c>
      <c r="CN245" s="8" t="b">
        <v>0</v>
      </c>
      <c r="CO245" s="7" t="s">
        <v>1125</v>
      </c>
      <c r="CP245" s="7">
        <v>939.16339647111022</v>
      </c>
    </row>
    <row r="246" spans="1:94" ht="21" customHeight="1" x14ac:dyDescent="0.45">
      <c r="A246" s="9">
        <v>46237.34375</v>
      </c>
      <c r="B246" s="9">
        <v>46237.354166666664</v>
      </c>
      <c r="C246" s="9">
        <v>46237.46875</v>
      </c>
      <c r="D246" s="10">
        <v>46237</v>
      </c>
      <c r="E246" s="7">
        <v>0.25</v>
      </c>
      <c r="F246" s="7" t="s">
        <v>770</v>
      </c>
      <c r="G246" s="9">
        <v>46237.333333333336</v>
      </c>
      <c r="H246" s="7">
        <v>79.989999999999995</v>
      </c>
      <c r="I246" s="7" t="s">
        <v>1206</v>
      </c>
      <c r="J246" s="7">
        <v>15</v>
      </c>
      <c r="K246" s="7" t="s">
        <v>1130</v>
      </c>
      <c r="L246" s="10">
        <v>46234</v>
      </c>
      <c r="M246" s="7">
        <v>5.2473000000000001</v>
      </c>
      <c r="N246" s="7" t="s">
        <v>773</v>
      </c>
      <c r="O246" s="7">
        <v>91.903999999999996</v>
      </c>
      <c r="P246" s="7" t="s">
        <v>1203</v>
      </c>
      <c r="Q246" s="7" t="s">
        <v>775</v>
      </c>
      <c r="R246" s="7">
        <v>66.224534522516336</v>
      </c>
      <c r="S246" s="7" t="s">
        <v>776</v>
      </c>
      <c r="T246" s="7">
        <v>175</v>
      </c>
      <c r="U246" s="7" t="s">
        <v>1204</v>
      </c>
      <c r="V246" s="7" t="s">
        <v>775</v>
      </c>
      <c r="W246" s="7">
        <v>5.1779010157604866</v>
      </c>
      <c r="X246" s="7" t="s">
        <v>776</v>
      </c>
      <c r="Y246" s="7">
        <v>175</v>
      </c>
      <c r="Z246" s="7" t="s">
        <v>1205</v>
      </c>
      <c r="AA246" s="7" t="s">
        <v>775</v>
      </c>
      <c r="AB246" s="7">
        <v>3.0072608770224685</v>
      </c>
      <c r="AC246" s="7" t="s">
        <v>776</v>
      </c>
      <c r="AD246" s="7"/>
      <c r="AE246" s="7" t="s">
        <v>779</v>
      </c>
      <c r="AF246" s="7"/>
      <c r="AG246" s="7">
        <v>0</v>
      </c>
      <c r="AH246" s="7" t="s">
        <v>776</v>
      </c>
      <c r="AI246" s="7">
        <v>0</v>
      </c>
      <c r="AJ246" s="7">
        <v>40.422312427343584</v>
      </c>
      <c r="AK246" s="7" t="s">
        <v>776</v>
      </c>
      <c r="AL246" s="7">
        <v>10.981999999999999</v>
      </c>
      <c r="AM246" s="7" t="s">
        <v>780</v>
      </c>
      <c r="AN246" s="7" t="s">
        <v>781</v>
      </c>
      <c r="AO246" s="7" t="s">
        <v>782</v>
      </c>
      <c r="AP246" s="7">
        <v>0</v>
      </c>
      <c r="AQ246" s="7">
        <v>0.25101714285714283</v>
      </c>
      <c r="AR246" s="7">
        <v>0.25101714285714283</v>
      </c>
      <c r="AS246" s="8" t="b">
        <v>1</v>
      </c>
      <c r="AT246" s="8" t="b">
        <v>1</v>
      </c>
      <c r="AU246" s="8" t="b">
        <v>1</v>
      </c>
      <c r="AV246" s="8" t="b">
        <v>1</v>
      </c>
      <c r="AW246" s="8" t="b">
        <v>1</v>
      </c>
      <c r="AX246" s="8" t="b">
        <v>1</v>
      </c>
      <c r="AY246" s="8" t="b">
        <v>1</v>
      </c>
      <c r="AZ246" s="8" t="b">
        <v>1</v>
      </c>
      <c r="BA246" s="7" t="s">
        <v>783</v>
      </c>
      <c r="BB246" s="7" t="s">
        <v>783</v>
      </c>
      <c r="BC246" s="7" t="s">
        <v>784</v>
      </c>
      <c r="BD246" s="7">
        <v>-60.880160239143386</v>
      </c>
      <c r="BE246" s="7">
        <v>1.506102857142857</v>
      </c>
      <c r="BF246" s="7">
        <v>18.043565262134813</v>
      </c>
      <c r="BG246" s="7">
        <v>0.13714285714285715</v>
      </c>
      <c r="BH246" s="7" t="s">
        <v>154</v>
      </c>
      <c r="BI246" s="7">
        <v>175</v>
      </c>
      <c r="BJ246" s="7">
        <v>24</v>
      </c>
      <c r="BK246" s="7">
        <v>24</v>
      </c>
      <c r="BL246" s="7">
        <v>24</v>
      </c>
      <c r="BM246" s="8" t="b">
        <v>1</v>
      </c>
      <c r="BN246" s="7">
        <v>0</v>
      </c>
      <c r="BO246" s="7">
        <v>0</v>
      </c>
      <c r="BP246" s="7">
        <v>31.067406094562919</v>
      </c>
      <c r="BQ246" s="7">
        <v>0.13714285714285715</v>
      </c>
      <c r="BR246" s="7" t="s">
        <v>154</v>
      </c>
      <c r="BS246" s="7">
        <v>175</v>
      </c>
      <c r="BT246" s="7">
        <v>24</v>
      </c>
      <c r="BU246" s="7">
        <v>24</v>
      </c>
      <c r="BV246" s="7">
        <v>24</v>
      </c>
      <c r="BW246" s="7" t="s">
        <v>1206</v>
      </c>
      <c r="BX246" s="8" t="b">
        <v>1</v>
      </c>
      <c r="BY246" s="7">
        <v>0</v>
      </c>
      <c r="BZ246" s="7">
        <v>0</v>
      </c>
      <c r="CA246" s="7">
        <v>46237.354166666664</v>
      </c>
      <c r="CB246" s="7">
        <v>46237.34375</v>
      </c>
      <c r="CC246" s="7">
        <v>3.8489295238095232E-3</v>
      </c>
      <c r="CD246" s="7">
        <v>58.831668949068302</v>
      </c>
      <c r="CE246" s="7">
        <v>60.217283577639733</v>
      </c>
      <c r="CF246" s="7">
        <v>662.24534522516342</v>
      </c>
      <c r="CG246" s="7">
        <v>0.3125</v>
      </c>
      <c r="CH246" s="7" t="s">
        <v>150</v>
      </c>
      <c r="CI246" s="7">
        <v>128</v>
      </c>
      <c r="CJ246" s="8" t="b">
        <v>1</v>
      </c>
      <c r="CK246" s="7">
        <v>40</v>
      </c>
      <c r="CL246" s="7">
        <v>40</v>
      </c>
      <c r="CM246" s="7">
        <v>40</v>
      </c>
      <c r="CN246" s="8" t="b">
        <v>0</v>
      </c>
      <c r="CO246" s="7" t="s">
        <v>1125</v>
      </c>
      <c r="CP246" s="7">
        <v>650.47615634271779</v>
      </c>
    </row>
    <row r="247" spans="1:94" ht="21" customHeight="1" x14ac:dyDescent="0.45">
      <c r="A247" s="9">
        <v>46237.354166666664</v>
      </c>
      <c r="B247" s="9">
        <v>46237.364583333336</v>
      </c>
      <c r="C247" s="9">
        <v>46237.479166666664</v>
      </c>
      <c r="D247" s="10">
        <v>46237</v>
      </c>
      <c r="E247" s="7">
        <v>0.25</v>
      </c>
      <c r="F247" s="7" t="s">
        <v>770</v>
      </c>
      <c r="G247" s="9">
        <v>46237.333333333336</v>
      </c>
      <c r="H247" s="7">
        <v>79.63</v>
      </c>
      <c r="I247" s="7" t="s">
        <v>1207</v>
      </c>
      <c r="J247" s="7">
        <v>15</v>
      </c>
      <c r="K247" s="7" t="s">
        <v>1130</v>
      </c>
      <c r="L247" s="10">
        <v>46234</v>
      </c>
      <c r="M247" s="7">
        <v>5.2473000000000001</v>
      </c>
      <c r="N247" s="7" t="s">
        <v>773</v>
      </c>
      <c r="O247" s="7">
        <v>91.903999999999996</v>
      </c>
      <c r="P247" s="7" t="s">
        <v>1203</v>
      </c>
      <c r="Q247" s="7" t="s">
        <v>775</v>
      </c>
      <c r="R247" s="7">
        <v>66.224534522516336</v>
      </c>
      <c r="S247" s="7" t="s">
        <v>776</v>
      </c>
      <c r="T247" s="7">
        <v>175</v>
      </c>
      <c r="U247" s="7" t="s">
        <v>1204</v>
      </c>
      <c r="V247" s="7" t="s">
        <v>775</v>
      </c>
      <c r="W247" s="7">
        <v>5.1779010157604866</v>
      </c>
      <c r="X247" s="7" t="s">
        <v>776</v>
      </c>
      <c r="Y247" s="7">
        <v>175</v>
      </c>
      <c r="Z247" s="7" t="s">
        <v>1205</v>
      </c>
      <c r="AA247" s="7" t="s">
        <v>775</v>
      </c>
      <c r="AB247" s="7">
        <v>3.0072608770224685</v>
      </c>
      <c r="AC247" s="7" t="s">
        <v>776</v>
      </c>
      <c r="AD247" s="7"/>
      <c r="AE247" s="7" t="s">
        <v>779</v>
      </c>
      <c r="AF247" s="7"/>
      <c r="AG247" s="7">
        <v>0</v>
      </c>
      <c r="AH247" s="7" t="s">
        <v>776</v>
      </c>
      <c r="AI247" s="7">
        <v>0</v>
      </c>
      <c r="AJ247" s="7">
        <v>31.51506489051512</v>
      </c>
      <c r="AK247" s="7" t="s">
        <v>776</v>
      </c>
      <c r="AL247" s="7">
        <v>8.6460000000000008</v>
      </c>
      <c r="AM247" s="7" t="s">
        <v>780</v>
      </c>
      <c r="AN247" s="7" t="s">
        <v>781</v>
      </c>
      <c r="AO247" s="7" t="s">
        <v>782</v>
      </c>
      <c r="AP247" s="7">
        <v>0</v>
      </c>
      <c r="AQ247" s="7">
        <v>0.1976228571428571</v>
      </c>
      <c r="AR247" s="7">
        <v>0.1976228571428571</v>
      </c>
      <c r="AS247" s="8" t="b">
        <v>1</v>
      </c>
      <c r="AT247" s="8" t="b">
        <v>1</v>
      </c>
      <c r="AU247" s="8" t="b">
        <v>1</v>
      </c>
      <c r="AV247" s="8" t="b">
        <v>1</v>
      </c>
      <c r="AW247" s="8" t="b">
        <v>1</v>
      </c>
      <c r="AX247" s="8" t="b">
        <v>1</v>
      </c>
      <c r="AY247" s="8" t="b">
        <v>1</v>
      </c>
      <c r="AZ247" s="8" t="b">
        <v>1</v>
      </c>
      <c r="BA247" s="7" t="s">
        <v>783</v>
      </c>
      <c r="BB247" s="7" t="s">
        <v>783</v>
      </c>
      <c r="BC247" s="7" t="s">
        <v>784</v>
      </c>
      <c r="BD247" s="7">
        <v>-37.36858300023686</v>
      </c>
      <c r="BE247" s="7">
        <v>1.185737142857143</v>
      </c>
      <c r="BF247" s="7">
        <v>18.043565262134813</v>
      </c>
      <c r="BG247" s="7">
        <v>0.13714285714285715</v>
      </c>
      <c r="BH247" s="7" t="s">
        <v>154</v>
      </c>
      <c r="BI247" s="7">
        <v>175</v>
      </c>
      <c r="BJ247" s="7">
        <v>24</v>
      </c>
      <c r="BK247" s="7">
        <v>24</v>
      </c>
      <c r="BL247" s="7">
        <v>24</v>
      </c>
      <c r="BM247" s="8" t="b">
        <v>1</v>
      </c>
      <c r="BN247" s="7">
        <v>0</v>
      </c>
      <c r="BO247" s="7">
        <v>0</v>
      </c>
      <c r="BP247" s="7">
        <v>31.067406094562919</v>
      </c>
      <c r="BQ247" s="7">
        <v>0.13714285714285715</v>
      </c>
      <c r="BR247" s="7" t="s">
        <v>154</v>
      </c>
      <c r="BS247" s="7">
        <v>175</v>
      </c>
      <c r="BT247" s="7">
        <v>24</v>
      </c>
      <c r="BU247" s="7">
        <v>24</v>
      </c>
      <c r="BV247" s="7">
        <v>24</v>
      </c>
      <c r="BW247" s="7" t="s">
        <v>1207</v>
      </c>
      <c r="BX247" s="8" t="b">
        <v>1</v>
      </c>
      <c r="BY247" s="7">
        <v>0</v>
      </c>
      <c r="BZ247" s="7">
        <v>0</v>
      </c>
      <c r="CA247" s="7">
        <v>46237.364583333336</v>
      </c>
      <c r="CB247" s="7">
        <v>46237.354166666664</v>
      </c>
      <c r="CC247" s="7">
        <v>3.0302171428571432E-3</v>
      </c>
      <c r="CD247" s="7">
        <v>60.217283577639733</v>
      </c>
      <c r="CE247" s="7">
        <v>61.308161749068304</v>
      </c>
      <c r="CF247" s="7">
        <v>662.24534522516342</v>
      </c>
      <c r="CG247" s="7">
        <v>0.3125</v>
      </c>
      <c r="CH247" s="7" t="s">
        <v>150</v>
      </c>
      <c r="CI247" s="7">
        <v>128</v>
      </c>
      <c r="CJ247" s="8" t="b">
        <v>1</v>
      </c>
      <c r="CK247" s="7">
        <v>40</v>
      </c>
      <c r="CL247" s="7">
        <v>40</v>
      </c>
      <c r="CM247" s="7">
        <v>40</v>
      </c>
      <c r="CN247" s="8" t="b">
        <v>0</v>
      </c>
      <c r="CO247" s="7" t="s">
        <v>1125</v>
      </c>
      <c r="CP247" s="7">
        <v>673.9877335816243</v>
      </c>
    </row>
    <row r="248" spans="1:94" ht="21" customHeight="1" x14ac:dyDescent="0.45">
      <c r="A248" s="9">
        <v>46237.364583333336</v>
      </c>
      <c r="B248" s="9">
        <v>46237.375</v>
      </c>
      <c r="C248" s="9">
        <v>46237.489583333336</v>
      </c>
      <c r="D248" s="10">
        <v>46237</v>
      </c>
      <c r="E248" s="7">
        <v>0.25</v>
      </c>
      <c r="F248" s="7" t="s">
        <v>770</v>
      </c>
      <c r="G248" s="9">
        <v>46237.333333333336</v>
      </c>
      <c r="H248" s="7">
        <v>69.760000000000005</v>
      </c>
      <c r="I248" s="7" t="s">
        <v>1208</v>
      </c>
      <c r="J248" s="7">
        <v>15</v>
      </c>
      <c r="K248" s="7" t="s">
        <v>1130</v>
      </c>
      <c r="L248" s="10">
        <v>46234</v>
      </c>
      <c r="M248" s="7">
        <v>5.2473000000000001</v>
      </c>
      <c r="N248" s="7" t="s">
        <v>773</v>
      </c>
      <c r="O248" s="7">
        <v>91.903999999999996</v>
      </c>
      <c r="P248" s="7" t="s">
        <v>1203</v>
      </c>
      <c r="Q248" s="7" t="s">
        <v>775</v>
      </c>
      <c r="R248" s="7">
        <v>66.224534522516336</v>
      </c>
      <c r="S248" s="7" t="s">
        <v>776</v>
      </c>
      <c r="T248" s="7">
        <v>175</v>
      </c>
      <c r="U248" s="7" t="s">
        <v>1204</v>
      </c>
      <c r="V248" s="7" t="s">
        <v>775</v>
      </c>
      <c r="W248" s="7">
        <v>5.1779010157604866</v>
      </c>
      <c r="X248" s="7" t="s">
        <v>776</v>
      </c>
      <c r="Y248" s="7">
        <v>175</v>
      </c>
      <c r="Z248" s="7" t="s">
        <v>1205</v>
      </c>
      <c r="AA248" s="7" t="s">
        <v>775</v>
      </c>
      <c r="AB248" s="7">
        <v>3.0072608770224685</v>
      </c>
      <c r="AC248" s="7" t="s">
        <v>776</v>
      </c>
      <c r="AD248" s="7"/>
      <c r="AE248" s="7" t="s">
        <v>779</v>
      </c>
      <c r="AF248" s="7"/>
      <c r="AG248" s="7">
        <v>0</v>
      </c>
      <c r="AH248" s="7" t="s">
        <v>776</v>
      </c>
      <c r="AI248" s="7">
        <v>0</v>
      </c>
      <c r="AJ248" s="7">
        <v>-10.234406266079699</v>
      </c>
      <c r="AK248" s="7" t="s">
        <v>776</v>
      </c>
      <c r="AL248" s="7">
        <v>13.574999999999999</v>
      </c>
      <c r="AM248" s="7" t="s">
        <v>780</v>
      </c>
      <c r="AN248" s="7" t="s">
        <v>781</v>
      </c>
      <c r="AO248" s="7" t="s">
        <v>782</v>
      </c>
      <c r="AP248" s="7">
        <v>0</v>
      </c>
      <c r="AQ248" s="7">
        <v>0.31028571428571428</v>
      </c>
      <c r="AR248" s="7">
        <v>0.31028571428571428</v>
      </c>
      <c r="AS248" s="8" t="b">
        <v>1</v>
      </c>
      <c r="AT248" s="8" t="b">
        <v>1</v>
      </c>
      <c r="AU248" s="8" t="b">
        <v>1</v>
      </c>
      <c r="AV248" s="8" t="b">
        <v>1</v>
      </c>
      <c r="AW248" s="8" t="b">
        <v>1</v>
      </c>
      <c r="AX248" s="8" t="b">
        <v>1</v>
      </c>
      <c r="AY248" s="8" t="b">
        <v>1</v>
      </c>
      <c r="AZ248" s="8" t="b">
        <v>1</v>
      </c>
      <c r="BA248" s="7" t="s">
        <v>783</v>
      </c>
      <c r="BB248" s="7" t="s">
        <v>783</v>
      </c>
      <c r="BC248" s="7" t="s">
        <v>784</v>
      </c>
      <c r="BD248" s="7">
        <v>19.053540351364376</v>
      </c>
      <c r="BE248" s="7">
        <v>1.8617142857142857</v>
      </c>
      <c r="BF248" s="7">
        <v>18.043565262134813</v>
      </c>
      <c r="BG248" s="7">
        <v>0.13714285714285715</v>
      </c>
      <c r="BH248" s="7" t="s">
        <v>154</v>
      </c>
      <c r="BI248" s="7">
        <v>175</v>
      </c>
      <c r="BJ248" s="7">
        <v>24</v>
      </c>
      <c r="BK248" s="7">
        <v>24</v>
      </c>
      <c r="BL248" s="7">
        <v>24</v>
      </c>
      <c r="BM248" s="8" t="b">
        <v>1</v>
      </c>
      <c r="BN248" s="7">
        <v>0</v>
      </c>
      <c r="BO248" s="7">
        <v>0</v>
      </c>
      <c r="BP248" s="7">
        <v>31.067406094562919</v>
      </c>
      <c r="BQ248" s="7">
        <v>0.13714285714285715</v>
      </c>
      <c r="BR248" s="7" t="s">
        <v>154</v>
      </c>
      <c r="BS248" s="7">
        <v>175</v>
      </c>
      <c r="BT248" s="7">
        <v>24</v>
      </c>
      <c r="BU248" s="7">
        <v>24</v>
      </c>
      <c r="BV248" s="7">
        <v>24</v>
      </c>
      <c r="BW248" s="7" t="s">
        <v>1208</v>
      </c>
      <c r="BX248" s="8" t="b">
        <v>1</v>
      </c>
      <c r="BY248" s="7">
        <v>-627.84</v>
      </c>
      <c r="BZ248" s="7">
        <v>-36</v>
      </c>
      <c r="CA248" s="7">
        <v>46237.375</v>
      </c>
      <c r="CB248" s="7">
        <v>46237.364583333336</v>
      </c>
      <c r="CC248" s="7">
        <v>2.7757714285714288E-2</v>
      </c>
      <c r="CD248" s="7">
        <v>61.308161749068304</v>
      </c>
      <c r="CE248" s="7">
        <v>71.300938891925441</v>
      </c>
      <c r="CF248" s="7">
        <v>662.24534522516342</v>
      </c>
      <c r="CG248" s="7">
        <v>0.3125</v>
      </c>
      <c r="CH248" s="7" t="s">
        <v>150</v>
      </c>
      <c r="CI248" s="7">
        <v>128</v>
      </c>
      <c r="CJ248" s="8" t="b">
        <v>1</v>
      </c>
      <c r="CK248" s="7">
        <v>40</v>
      </c>
      <c r="CL248" s="7">
        <v>40</v>
      </c>
      <c r="CM248" s="7">
        <v>40</v>
      </c>
      <c r="CN248" s="8" t="b">
        <v>0</v>
      </c>
      <c r="CO248" s="7" t="s">
        <v>1125</v>
      </c>
      <c r="CP248" s="7">
        <v>102.56985693322549</v>
      </c>
    </row>
    <row r="249" spans="1:94" ht="21" customHeight="1" x14ac:dyDescent="0.45">
      <c r="A249" s="9">
        <v>46237.375</v>
      </c>
      <c r="B249" s="9">
        <v>46237.385416666664</v>
      </c>
      <c r="C249" s="9">
        <v>46237.5</v>
      </c>
      <c r="D249" s="10">
        <v>46237</v>
      </c>
      <c r="E249" s="7">
        <v>0.25</v>
      </c>
      <c r="F249" s="7" t="s">
        <v>770</v>
      </c>
      <c r="G249" s="9">
        <v>46237.375</v>
      </c>
      <c r="H249" s="7">
        <v>91.42</v>
      </c>
      <c r="I249" s="7" t="s">
        <v>1209</v>
      </c>
      <c r="J249" s="7">
        <v>15</v>
      </c>
      <c r="K249" s="7" t="s">
        <v>1130</v>
      </c>
      <c r="L249" s="10">
        <v>46234</v>
      </c>
      <c r="M249" s="7">
        <v>5.2473000000000001</v>
      </c>
      <c r="N249" s="7" t="s">
        <v>773</v>
      </c>
      <c r="O249" s="7">
        <v>91.903999999999996</v>
      </c>
      <c r="P249" s="7" t="s">
        <v>1210</v>
      </c>
      <c r="Q249" s="7" t="s">
        <v>775</v>
      </c>
      <c r="R249" s="7">
        <v>66.224534522516336</v>
      </c>
      <c r="S249" s="7" t="s">
        <v>776</v>
      </c>
      <c r="T249" s="7">
        <v>175</v>
      </c>
      <c r="U249" s="7" t="s">
        <v>1211</v>
      </c>
      <c r="V249" s="7" t="s">
        <v>775</v>
      </c>
      <c r="W249" s="7">
        <v>5.2274503077773327</v>
      </c>
      <c r="X249" s="7" t="s">
        <v>776</v>
      </c>
      <c r="Y249" s="7">
        <v>175</v>
      </c>
      <c r="Z249" s="7" t="s">
        <v>1212</v>
      </c>
      <c r="AA249" s="7" t="s">
        <v>775</v>
      </c>
      <c r="AB249" s="7">
        <v>6.8740113963371634</v>
      </c>
      <c r="AC249" s="7" t="s">
        <v>776</v>
      </c>
      <c r="AD249" s="7"/>
      <c r="AE249" s="7" t="s">
        <v>779</v>
      </c>
      <c r="AF249" s="7"/>
      <c r="AG249" s="7">
        <v>0</v>
      </c>
      <c r="AH249" s="7" t="s">
        <v>776</v>
      </c>
      <c r="AI249" s="7">
        <v>0</v>
      </c>
      <c r="AJ249" s="7">
        <v>13.613667981628648</v>
      </c>
      <c r="AK249" s="7" t="s">
        <v>776</v>
      </c>
      <c r="AL249" s="7">
        <v>18.63</v>
      </c>
      <c r="AM249" s="7" t="s">
        <v>780</v>
      </c>
      <c r="AN249" s="7" t="s">
        <v>781</v>
      </c>
      <c r="AO249" s="7" t="s">
        <v>782</v>
      </c>
      <c r="AP249" s="7">
        <v>0</v>
      </c>
      <c r="AQ249" s="7">
        <v>0.42582857142857139</v>
      </c>
      <c r="AR249" s="7">
        <v>0.42582857142857139</v>
      </c>
      <c r="AS249" s="8" t="b">
        <v>1</v>
      </c>
      <c r="AT249" s="8" t="b">
        <v>1</v>
      </c>
      <c r="AU249" s="8" t="b">
        <v>1</v>
      </c>
      <c r="AV249" s="8" t="b">
        <v>1</v>
      </c>
      <c r="AW249" s="8" t="b">
        <v>1</v>
      </c>
      <c r="AX249" s="8" t="b">
        <v>1</v>
      </c>
      <c r="AY249" s="8" t="b">
        <v>1</v>
      </c>
      <c r="AZ249" s="8" t="b">
        <v>1</v>
      </c>
      <c r="BA249" s="7" t="s">
        <v>783</v>
      </c>
      <c r="BB249" s="7" t="s">
        <v>783</v>
      </c>
      <c r="BC249" s="7" t="s">
        <v>784</v>
      </c>
      <c r="BD249" s="7">
        <v>-34.782532731118856</v>
      </c>
      <c r="BE249" s="7">
        <v>2.5549714285714282</v>
      </c>
      <c r="BF249" s="7">
        <v>41.24406837802298</v>
      </c>
      <c r="BG249" s="7">
        <v>0.13714285714285715</v>
      </c>
      <c r="BH249" s="7" t="s">
        <v>154</v>
      </c>
      <c r="BI249" s="7">
        <v>175</v>
      </c>
      <c r="BJ249" s="7">
        <v>24</v>
      </c>
      <c r="BK249" s="7">
        <v>24</v>
      </c>
      <c r="BL249" s="7">
        <v>24</v>
      </c>
      <c r="BM249" s="8" t="b">
        <v>1</v>
      </c>
      <c r="BN249" s="7">
        <v>0</v>
      </c>
      <c r="BO249" s="7">
        <v>0</v>
      </c>
      <c r="BP249" s="7">
        <v>31.364701846663998</v>
      </c>
      <c r="BQ249" s="7">
        <v>0.13714285714285715</v>
      </c>
      <c r="BR249" s="7" t="s">
        <v>154</v>
      </c>
      <c r="BS249" s="7">
        <v>175</v>
      </c>
      <c r="BT249" s="7">
        <v>24</v>
      </c>
      <c r="BU249" s="7">
        <v>24</v>
      </c>
      <c r="BV249" s="7">
        <v>24</v>
      </c>
      <c r="BW249" s="7" t="s">
        <v>1209</v>
      </c>
      <c r="BX249" s="8" t="b">
        <v>1</v>
      </c>
      <c r="BY249" s="7">
        <v>822.77999999999986</v>
      </c>
      <c r="BZ249" s="7">
        <v>35.999999999999993</v>
      </c>
      <c r="CA249" s="7">
        <v>46237.385416666664</v>
      </c>
      <c r="CB249" s="7">
        <v>46237.375</v>
      </c>
      <c r="CC249" s="7">
        <v>1.9459627329192541E-2</v>
      </c>
      <c r="CD249" s="7">
        <v>71.300938891925441</v>
      </c>
      <c r="CE249" s="7">
        <v>64.295473053416131</v>
      </c>
      <c r="CF249" s="7">
        <v>662.24534522516342</v>
      </c>
      <c r="CG249" s="7">
        <v>0.3125</v>
      </c>
      <c r="CH249" s="7" t="s">
        <v>150</v>
      </c>
      <c r="CI249" s="7">
        <v>128</v>
      </c>
      <c r="CJ249" s="8" t="b">
        <v>1</v>
      </c>
      <c r="CK249" s="7">
        <v>40</v>
      </c>
      <c r="CL249" s="7">
        <v>40</v>
      </c>
      <c r="CM249" s="7">
        <v>40</v>
      </c>
      <c r="CN249" s="8" t="b">
        <v>0</v>
      </c>
      <c r="CO249" s="7" t="s">
        <v>1125</v>
      </c>
      <c r="CP249" s="7">
        <v>1522.8515827187314</v>
      </c>
    </row>
    <row r="250" spans="1:94" ht="21" customHeight="1" x14ac:dyDescent="0.45">
      <c r="A250" s="9">
        <v>46237.385416666664</v>
      </c>
      <c r="B250" s="9">
        <v>46237.395833333336</v>
      </c>
      <c r="C250" s="9">
        <v>46237.510416666664</v>
      </c>
      <c r="D250" s="10">
        <v>46237</v>
      </c>
      <c r="E250" s="7">
        <v>0.25</v>
      </c>
      <c r="F250" s="7" t="s">
        <v>770</v>
      </c>
      <c r="G250" s="9">
        <v>46237.375</v>
      </c>
      <c r="H250" s="7">
        <v>77.86</v>
      </c>
      <c r="I250" s="7" t="s">
        <v>1213</v>
      </c>
      <c r="J250" s="7">
        <v>15</v>
      </c>
      <c r="K250" s="7" t="s">
        <v>1130</v>
      </c>
      <c r="L250" s="10">
        <v>46234</v>
      </c>
      <c r="M250" s="7">
        <v>5.2473000000000001</v>
      </c>
      <c r="N250" s="7" t="s">
        <v>773</v>
      </c>
      <c r="O250" s="7">
        <v>91.903999999999996</v>
      </c>
      <c r="P250" s="7" t="s">
        <v>1210</v>
      </c>
      <c r="Q250" s="7" t="s">
        <v>775</v>
      </c>
      <c r="R250" s="7">
        <v>66.224534522516336</v>
      </c>
      <c r="S250" s="7" t="s">
        <v>776</v>
      </c>
      <c r="T250" s="7">
        <v>175</v>
      </c>
      <c r="U250" s="7" t="s">
        <v>1211</v>
      </c>
      <c r="V250" s="7" t="s">
        <v>775</v>
      </c>
      <c r="W250" s="7">
        <v>5.2274503077773327</v>
      </c>
      <c r="X250" s="7" t="s">
        <v>776</v>
      </c>
      <c r="Y250" s="7">
        <v>175</v>
      </c>
      <c r="Z250" s="7" t="s">
        <v>1212</v>
      </c>
      <c r="AA250" s="7" t="s">
        <v>775</v>
      </c>
      <c r="AB250" s="7">
        <v>6.8740113963371634</v>
      </c>
      <c r="AC250" s="7" t="s">
        <v>776</v>
      </c>
      <c r="AD250" s="7"/>
      <c r="AE250" s="7" t="s">
        <v>779</v>
      </c>
      <c r="AF250" s="7"/>
      <c r="AG250" s="7">
        <v>0</v>
      </c>
      <c r="AH250" s="7" t="s">
        <v>776</v>
      </c>
      <c r="AI250" s="7">
        <v>0</v>
      </c>
      <c r="AJ250" s="7">
        <v>23.074342995445278</v>
      </c>
      <c r="AK250" s="7" t="s">
        <v>776</v>
      </c>
      <c r="AL250" s="7">
        <v>14.162000000000001</v>
      </c>
      <c r="AM250" s="7" t="s">
        <v>780</v>
      </c>
      <c r="AN250" s="7" t="s">
        <v>781</v>
      </c>
      <c r="AO250" s="7" t="s">
        <v>782</v>
      </c>
      <c r="AP250" s="7">
        <v>0</v>
      </c>
      <c r="AQ250" s="7">
        <v>0.32370285714285718</v>
      </c>
      <c r="AR250" s="7">
        <v>0.32370285714285718</v>
      </c>
      <c r="AS250" s="8" t="b">
        <v>1</v>
      </c>
      <c r="AT250" s="8" t="b">
        <v>1</v>
      </c>
      <c r="AU250" s="8" t="b">
        <v>1</v>
      </c>
      <c r="AV250" s="8" t="b">
        <v>1</v>
      </c>
      <c r="AW250" s="8" t="b">
        <v>1</v>
      </c>
      <c r="AX250" s="8" t="b">
        <v>1</v>
      </c>
      <c r="AY250" s="8" t="b">
        <v>1</v>
      </c>
      <c r="AZ250" s="8" t="b">
        <v>1</v>
      </c>
      <c r="BA250" s="7" t="s">
        <v>783</v>
      </c>
      <c r="BB250" s="7" t="s">
        <v>783</v>
      </c>
      <c r="BC250" s="7" t="s">
        <v>784</v>
      </c>
      <c r="BD250" s="7">
        <v>-44.815384525919463</v>
      </c>
      <c r="BE250" s="7">
        <v>1.9422171428571431</v>
      </c>
      <c r="BF250" s="7">
        <v>41.24406837802298</v>
      </c>
      <c r="BG250" s="7">
        <v>0.13714285714285715</v>
      </c>
      <c r="BH250" s="7" t="s">
        <v>154</v>
      </c>
      <c r="BI250" s="7">
        <v>175</v>
      </c>
      <c r="BJ250" s="7">
        <v>24</v>
      </c>
      <c r="BK250" s="7">
        <v>24</v>
      </c>
      <c r="BL250" s="7">
        <v>24</v>
      </c>
      <c r="BM250" s="8" t="b">
        <v>1</v>
      </c>
      <c r="BN250" s="7">
        <v>0</v>
      </c>
      <c r="BO250" s="7">
        <v>0</v>
      </c>
      <c r="BP250" s="7">
        <v>31.364701846663998</v>
      </c>
      <c r="BQ250" s="7">
        <v>0.13714285714285715</v>
      </c>
      <c r="BR250" s="7" t="s">
        <v>154</v>
      </c>
      <c r="BS250" s="7">
        <v>175</v>
      </c>
      <c r="BT250" s="7">
        <v>24</v>
      </c>
      <c r="BU250" s="7">
        <v>24</v>
      </c>
      <c r="BV250" s="7">
        <v>24</v>
      </c>
      <c r="BW250" s="7" t="s">
        <v>1213</v>
      </c>
      <c r="BX250" s="8" t="b">
        <v>1</v>
      </c>
      <c r="BY250" s="7">
        <v>0</v>
      </c>
      <c r="BZ250" s="7">
        <v>0</v>
      </c>
      <c r="CA250" s="7">
        <v>46237.395833333336</v>
      </c>
      <c r="CB250" s="7">
        <v>46237.385416666664</v>
      </c>
      <c r="CC250" s="7">
        <v>4.9634438095238105E-3</v>
      </c>
      <c r="CD250" s="7">
        <v>64.295473053416131</v>
      </c>
      <c r="CE250" s="7">
        <v>66.082312824844706</v>
      </c>
      <c r="CF250" s="7">
        <v>662.24534522516342</v>
      </c>
      <c r="CG250" s="7">
        <v>0.3125</v>
      </c>
      <c r="CH250" s="7" t="s">
        <v>150</v>
      </c>
      <c r="CI250" s="7">
        <v>128</v>
      </c>
      <c r="CJ250" s="8" t="b">
        <v>1</v>
      </c>
      <c r="CK250" s="7">
        <v>40</v>
      </c>
      <c r="CL250" s="7">
        <v>40</v>
      </c>
      <c r="CM250" s="7">
        <v>40</v>
      </c>
      <c r="CN250" s="8" t="b">
        <v>0</v>
      </c>
      <c r="CO250" s="7" t="s">
        <v>1125</v>
      </c>
      <c r="CP250" s="7">
        <v>690.03873092393098</v>
      </c>
    </row>
    <row r="251" spans="1:94" ht="21" customHeight="1" x14ac:dyDescent="0.45">
      <c r="A251" s="9">
        <v>46237.395833333336</v>
      </c>
      <c r="B251" s="9">
        <v>46237.40625</v>
      </c>
      <c r="C251" s="9">
        <v>46237.520833333336</v>
      </c>
      <c r="D251" s="10">
        <v>46237</v>
      </c>
      <c r="E251" s="7">
        <v>0.25</v>
      </c>
      <c r="F251" s="7" t="s">
        <v>770</v>
      </c>
      <c r="G251" s="9">
        <v>46237.375</v>
      </c>
      <c r="H251" s="7">
        <v>67.92</v>
      </c>
      <c r="I251" s="7" t="s">
        <v>1214</v>
      </c>
      <c r="J251" s="7">
        <v>15</v>
      </c>
      <c r="K251" s="7" t="s">
        <v>1130</v>
      </c>
      <c r="L251" s="10">
        <v>46234</v>
      </c>
      <c r="M251" s="7">
        <v>5.2473000000000001</v>
      </c>
      <c r="N251" s="7" t="s">
        <v>773</v>
      </c>
      <c r="O251" s="7">
        <v>91.903999999999996</v>
      </c>
      <c r="P251" s="7" t="s">
        <v>1210</v>
      </c>
      <c r="Q251" s="7" t="s">
        <v>775</v>
      </c>
      <c r="R251" s="7">
        <v>66.224534522516336</v>
      </c>
      <c r="S251" s="7" t="s">
        <v>776</v>
      </c>
      <c r="T251" s="7">
        <v>175</v>
      </c>
      <c r="U251" s="7" t="s">
        <v>1211</v>
      </c>
      <c r="V251" s="7" t="s">
        <v>775</v>
      </c>
      <c r="W251" s="7">
        <v>5.2274503077773327</v>
      </c>
      <c r="X251" s="7" t="s">
        <v>776</v>
      </c>
      <c r="Y251" s="7">
        <v>175</v>
      </c>
      <c r="Z251" s="7" t="s">
        <v>1212</v>
      </c>
      <c r="AA251" s="7" t="s">
        <v>775</v>
      </c>
      <c r="AB251" s="7">
        <v>6.8740113963371634</v>
      </c>
      <c r="AC251" s="7" t="s">
        <v>776</v>
      </c>
      <c r="AD251" s="7"/>
      <c r="AE251" s="7" t="s">
        <v>779</v>
      </c>
      <c r="AF251" s="7"/>
      <c r="AG251" s="7">
        <v>0</v>
      </c>
      <c r="AH251" s="7" t="s">
        <v>776</v>
      </c>
      <c r="AI251" s="7">
        <v>0</v>
      </c>
      <c r="AJ251" s="7">
        <v>28.58994149372058</v>
      </c>
      <c r="AK251" s="7" t="s">
        <v>776</v>
      </c>
      <c r="AL251" s="7">
        <v>17.126999999999999</v>
      </c>
      <c r="AM251" s="7" t="s">
        <v>780</v>
      </c>
      <c r="AN251" s="7" t="s">
        <v>781</v>
      </c>
      <c r="AO251" s="7" t="s">
        <v>782</v>
      </c>
      <c r="AP251" s="7">
        <v>0</v>
      </c>
      <c r="AQ251" s="7">
        <v>0.39147428571428561</v>
      </c>
      <c r="AR251" s="7">
        <v>0.39147428571428561</v>
      </c>
      <c r="AS251" s="8" t="b">
        <v>1</v>
      </c>
      <c r="AT251" s="8" t="b">
        <v>1</v>
      </c>
      <c r="AU251" s="8" t="b">
        <v>1</v>
      </c>
      <c r="AV251" s="8" t="b">
        <v>1</v>
      </c>
      <c r="AW251" s="8" t="b">
        <v>1</v>
      </c>
      <c r="AX251" s="8" t="b">
        <v>1</v>
      </c>
      <c r="AY251" s="8" t="b">
        <v>1</v>
      </c>
      <c r="AZ251" s="8" t="b">
        <v>1</v>
      </c>
      <c r="BA251" s="7" t="s">
        <v>783</v>
      </c>
      <c r="BB251" s="7" t="s">
        <v>783</v>
      </c>
      <c r="BC251" s="7" t="s">
        <v>784</v>
      </c>
      <c r="BD251" s="7">
        <v>-67.153361549204888</v>
      </c>
      <c r="BE251" s="7">
        <v>2.348845714285714</v>
      </c>
      <c r="BF251" s="7">
        <v>41.24406837802298</v>
      </c>
      <c r="BG251" s="7">
        <v>0.13714285714285715</v>
      </c>
      <c r="BH251" s="7" t="s">
        <v>154</v>
      </c>
      <c r="BI251" s="7">
        <v>175</v>
      </c>
      <c r="BJ251" s="7">
        <v>24</v>
      </c>
      <c r="BK251" s="7">
        <v>24</v>
      </c>
      <c r="BL251" s="7">
        <v>24</v>
      </c>
      <c r="BM251" s="8" t="b">
        <v>1</v>
      </c>
      <c r="BN251" s="7">
        <v>0</v>
      </c>
      <c r="BO251" s="7">
        <v>0</v>
      </c>
      <c r="BP251" s="7">
        <v>31.364701846663998</v>
      </c>
      <c r="BQ251" s="7">
        <v>0.13714285714285715</v>
      </c>
      <c r="BR251" s="7" t="s">
        <v>154</v>
      </c>
      <c r="BS251" s="7">
        <v>175</v>
      </c>
      <c r="BT251" s="7">
        <v>24</v>
      </c>
      <c r="BU251" s="7">
        <v>24</v>
      </c>
      <c r="BV251" s="7">
        <v>24</v>
      </c>
      <c r="BW251" s="7" t="s">
        <v>1214</v>
      </c>
      <c r="BX251" s="8" t="b">
        <v>1</v>
      </c>
      <c r="BY251" s="7">
        <v>-611.28</v>
      </c>
      <c r="BZ251" s="7">
        <v>-36</v>
      </c>
      <c r="CA251" s="7">
        <v>46237.40625</v>
      </c>
      <c r="CB251" s="7">
        <v>46237.395833333336</v>
      </c>
      <c r="CC251" s="7">
        <v>2.9002605714285715E-2</v>
      </c>
      <c r="CD251" s="7">
        <v>66.082312824844706</v>
      </c>
      <c r="CE251" s="7">
        <v>76.523250881987565</v>
      </c>
      <c r="CF251" s="7">
        <v>662.24534522516342</v>
      </c>
      <c r="CG251" s="7">
        <v>0.3125</v>
      </c>
      <c r="CH251" s="7" t="s">
        <v>150</v>
      </c>
      <c r="CI251" s="7">
        <v>128</v>
      </c>
      <c r="CJ251" s="8" t="b">
        <v>1</v>
      </c>
      <c r="CK251" s="7">
        <v>40</v>
      </c>
      <c r="CL251" s="7">
        <v>40</v>
      </c>
      <c r="CM251" s="7">
        <v>40</v>
      </c>
      <c r="CN251" s="8" t="b">
        <v>0</v>
      </c>
      <c r="CO251" s="7" t="s">
        <v>1125</v>
      </c>
      <c r="CP251" s="7">
        <v>56.420753900645536</v>
      </c>
    </row>
    <row r="252" spans="1:94" ht="21" customHeight="1" x14ac:dyDescent="0.45">
      <c r="A252" s="9">
        <v>46237.40625</v>
      </c>
      <c r="B252" s="9">
        <v>46237.416666666664</v>
      </c>
      <c r="C252" s="9">
        <v>46237.53125</v>
      </c>
      <c r="D252" s="10">
        <v>46237</v>
      </c>
      <c r="E252" s="7">
        <v>0.25</v>
      </c>
      <c r="F252" s="7" t="s">
        <v>770</v>
      </c>
      <c r="G252" s="9">
        <v>46237.375</v>
      </c>
      <c r="H252" s="7">
        <v>69.12</v>
      </c>
      <c r="I252" s="7" t="s">
        <v>1215</v>
      </c>
      <c r="J252" s="7">
        <v>15</v>
      </c>
      <c r="K252" s="7" t="s">
        <v>1130</v>
      </c>
      <c r="L252" s="10">
        <v>46234</v>
      </c>
      <c r="M252" s="7">
        <v>5.2473000000000001</v>
      </c>
      <c r="N252" s="7" t="s">
        <v>773</v>
      </c>
      <c r="O252" s="7">
        <v>91.903999999999996</v>
      </c>
      <c r="P252" s="7" t="s">
        <v>1210</v>
      </c>
      <c r="Q252" s="7" t="s">
        <v>775</v>
      </c>
      <c r="R252" s="7">
        <v>66.224534522516336</v>
      </c>
      <c r="S252" s="7" t="s">
        <v>776</v>
      </c>
      <c r="T252" s="7">
        <v>175</v>
      </c>
      <c r="U252" s="7" t="s">
        <v>1211</v>
      </c>
      <c r="V252" s="7" t="s">
        <v>775</v>
      </c>
      <c r="W252" s="7">
        <v>5.2274503077773327</v>
      </c>
      <c r="X252" s="7" t="s">
        <v>776</v>
      </c>
      <c r="Y252" s="7">
        <v>175</v>
      </c>
      <c r="Z252" s="7" t="s">
        <v>1212</v>
      </c>
      <c r="AA252" s="7" t="s">
        <v>775</v>
      </c>
      <c r="AB252" s="7">
        <v>6.8740113963371634</v>
      </c>
      <c r="AC252" s="7" t="s">
        <v>776</v>
      </c>
      <c r="AD252" s="7"/>
      <c r="AE252" s="7" t="s">
        <v>779</v>
      </c>
      <c r="AF252" s="7"/>
      <c r="AG252" s="7">
        <v>0</v>
      </c>
      <c r="AH252" s="7" t="s">
        <v>776</v>
      </c>
      <c r="AI252" s="7">
        <v>0</v>
      </c>
      <c r="AJ252" s="7">
        <v>9.6664951498866074</v>
      </c>
      <c r="AK252" s="7" t="s">
        <v>776</v>
      </c>
      <c r="AL252" s="7">
        <v>14.71</v>
      </c>
      <c r="AM252" s="7" t="s">
        <v>780</v>
      </c>
      <c r="AN252" s="7" t="s">
        <v>781</v>
      </c>
      <c r="AO252" s="7" t="s">
        <v>782</v>
      </c>
      <c r="AP252" s="7">
        <v>0</v>
      </c>
      <c r="AQ252" s="7">
        <v>0.33622857142857138</v>
      </c>
      <c r="AR252" s="7">
        <v>0.33622857142857138</v>
      </c>
      <c r="AS252" s="8" t="b">
        <v>1</v>
      </c>
      <c r="AT252" s="8" t="b">
        <v>1</v>
      </c>
      <c r="AU252" s="8" t="b">
        <v>1</v>
      </c>
      <c r="AV252" s="8" t="b">
        <v>1</v>
      </c>
      <c r="AW252" s="8" t="b">
        <v>1</v>
      </c>
      <c r="AX252" s="8" t="b">
        <v>1</v>
      </c>
      <c r="AY252" s="8" t="b">
        <v>1</v>
      </c>
      <c r="AZ252" s="8" t="b">
        <v>1</v>
      </c>
      <c r="BA252" s="7" t="s">
        <v>783</v>
      </c>
      <c r="BB252" s="7" t="s">
        <v>783</v>
      </c>
      <c r="BC252" s="7" t="s">
        <v>784</v>
      </c>
      <c r="BD252" s="7">
        <v>-19.500911129805534</v>
      </c>
      <c r="BE252" s="7">
        <v>2.0173714285714288</v>
      </c>
      <c r="BF252" s="7">
        <v>41.24406837802298</v>
      </c>
      <c r="BG252" s="7">
        <v>0.13714285714285715</v>
      </c>
      <c r="BH252" s="7" t="s">
        <v>154</v>
      </c>
      <c r="BI252" s="7">
        <v>175</v>
      </c>
      <c r="BJ252" s="7">
        <v>24</v>
      </c>
      <c r="BK252" s="7">
        <v>24</v>
      </c>
      <c r="BL252" s="7">
        <v>24</v>
      </c>
      <c r="BM252" s="8" t="b">
        <v>1</v>
      </c>
      <c r="BN252" s="7">
        <v>0</v>
      </c>
      <c r="BO252" s="7">
        <v>0</v>
      </c>
      <c r="BP252" s="7">
        <v>31.364701846663998</v>
      </c>
      <c r="BQ252" s="7">
        <v>0.13714285714285715</v>
      </c>
      <c r="BR252" s="7" t="s">
        <v>154</v>
      </c>
      <c r="BS252" s="7">
        <v>175</v>
      </c>
      <c r="BT252" s="7">
        <v>24</v>
      </c>
      <c r="BU252" s="7">
        <v>24</v>
      </c>
      <c r="BV252" s="7">
        <v>24</v>
      </c>
      <c r="BW252" s="7" t="s">
        <v>1215</v>
      </c>
      <c r="BX252" s="8" t="b">
        <v>1</v>
      </c>
      <c r="BY252" s="7">
        <v>-622.08000000000004</v>
      </c>
      <c r="BZ252" s="7">
        <v>-36</v>
      </c>
      <c r="CA252" s="7">
        <v>46237.416666666664</v>
      </c>
      <c r="CB252" s="7">
        <v>46237.40625</v>
      </c>
      <c r="CC252" s="7">
        <v>2.8155504761904766E-2</v>
      </c>
      <c r="CD252" s="7">
        <v>76.523250881987565</v>
      </c>
      <c r="CE252" s="7">
        <v>86.65923259627327</v>
      </c>
      <c r="CF252" s="7">
        <v>662.24534522516342</v>
      </c>
      <c r="CG252" s="7">
        <v>0.3125</v>
      </c>
      <c r="CH252" s="7" t="s">
        <v>150</v>
      </c>
      <c r="CI252" s="7">
        <v>128</v>
      </c>
      <c r="CJ252" s="8" t="b">
        <v>1</v>
      </c>
      <c r="CK252" s="7">
        <v>40</v>
      </c>
      <c r="CL252" s="7">
        <v>40</v>
      </c>
      <c r="CM252" s="7">
        <v>40</v>
      </c>
      <c r="CN252" s="8" t="b">
        <v>0</v>
      </c>
      <c r="CO252" s="7" t="s">
        <v>1125</v>
      </c>
      <c r="CP252" s="7">
        <v>93.273204320044826</v>
      </c>
    </row>
    <row r="253" spans="1:94" ht="21" customHeight="1" x14ac:dyDescent="0.45">
      <c r="A253" s="9">
        <v>46237.416666666664</v>
      </c>
      <c r="B253" s="9">
        <v>46237.427083333336</v>
      </c>
      <c r="C253" s="9">
        <v>46237.541666666664</v>
      </c>
      <c r="D253" s="10">
        <v>46237</v>
      </c>
      <c r="E253" s="7">
        <v>0.25</v>
      </c>
      <c r="F253" s="7" t="s">
        <v>770</v>
      </c>
      <c r="G253" s="9">
        <v>46237.416666666664</v>
      </c>
      <c r="H253" s="7">
        <v>52.12</v>
      </c>
      <c r="I253" s="7" t="s">
        <v>1216</v>
      </c>
      <c r="J253" s="7">
        <v>15</v>
      </c>
      <c r="K253" s="7" t="s">
        <v>1130</v>
      </c>
      <c r="L253" s="10">
        <v>46234</v>
      </c>
      <c r="M253" s="7">
        <v>5.2473000000000001</v>
      </c>
      <c r="N253" s="7" t="s">
        <v>773</v>
      </c>
      <c r="O253" s="7">
        <v>91.903999999999996</v>
      </c>
      <c r="P253" s="7" t="s">
        <v>1217</v>
      </c>
      <c r="Q253" s="7" t="s">
        <v>775</v>
      </c>
      <c r="R253" s="7">
        <v>66.224534522516336</v>
      </c>
      <c r="S253" s="7" t="s">
        <v>776</v>
      </c>
      <c r="T253" s="7">
        <v>175</v>
      </c>
      <c r="U253" s="7" t="s">
        <v>1218</v>
      </c>
      <c r="V253" s="7" t="s">
        <v>775</v>
      </c>
      <c r="W253" s="7">
        <v>5.1626550797553028</v>
      </c>
      <c r="X253" s="7" t="s">
        <v>776</v>
      </c>
      <c r="Y253" s="7">
        <v>175</v>
      </c>
      <c r="Z253" s="7" t="s">
        <v>1219</v>
      </c>
      <c r="AA253" s="7" t="s">
        <v>775</v>
      </c>
      <c r="AB253" s="7">
        <v>6.8606712023326279</v>
      </c>
      <c r="AC253" s="7" t="s">
        <v>776</v>
      </c>
      <c r="AD253" s="7"/>
      <c r="AE253" s="7" t="s">
        <v>779</v>
      </c>
      <c r="AF253" s="7"/>
      <c r="AG253" s="7">
        <v>0</v>
      </c>
      <c r="AH253" s="7" t="s">
        <v>776</v>
      </c>
      <c r="AI253" s="7">
        <v>0</v>
      </c>
      <c r="AJ253" s="7">
        <v>11.289806186038534</v>
      </c>
      <c r="AK253" s="7" t="s">
        <v>776</v>
      </c>
      <c r="AL253" s="7">
        <v>22.978000000000002</v>
      </c>
      <c r="AM253" s="7" t="s">
        <v>780</v>
      </c>
      <c r="AN253" s="7" t="s">
        <v>781</v>
      </c>
      <c r="AO253" s="7" t="s">
        <v>782</v>
      </c>
      <c r="AP253" s="7">
        <v>0</v>
      </c>
      <c r="AQ253" s="7">
        <v>0.52521142857142855</v>
      </c>
      <c r="AR253" s="7">
        <v>0.52521142857142855</v>
      </c>
      <c r="AS253" s="8" t="b">
        <v>1</v>
      </c>
      <c r="AT253" s="8" t="b">
        <v>1</v>
      </c>
      <c r="AU253" s="8" t="b">
        <v>1</v>
      </c>
      <c r="AV253" s="8" t="b">
        <v>1</v>
      </c>
      <c r="AW253" s="8" t="b">
        <v>1</v>
      </c>
      <c r="AX253" s="8" t="b">
        <v>1</v>
      </c>
      <c r="AY253" s="8" t="b">
        <v>1</v>
      </c>
      <c r="AZ253" s="8" t="b">
        <v>1</v>
      </c>
      <c r="BA253" s="7" t="s">
        <v>783</v>
      </c>
      <c r="BB253" s="7" t="s">
        <v>783</v>
      </c>
      <c r="BC253" s="7" t="s">
        <v>784</v>
      </c>
      <c r="BD253" s="7">
        <v>0</v>
      </c>
      <c r="BE253" s="7">
        <v>0</v>
      </c>
      <c r="BF253" s="7">
        <v>0</v>
      </c>
      <c r="BG253" s="7">
        <v>0.13714285714285715</v>
      </c>
      <c r="BH253" s="7" t="s">
        <v>154</v>
      </c>
      <c r="BI253" s="7">
        <v>175</v>
      </c>
      <c r="BJ253" s="7">
        <v>0</v>
      </c>
      <c r="BK253" s="7">
        <v>24</v>
      </c>
      <c r="BL253" s="7">
        <v>24</v>
      </c>
      <c r="BM253" s="8" t="b">
        <v>1</v>
      </c>
      <c r="BN253" s="7">
        <v>0</v>
      </c>
      <c r="BO253" s="7">
        <v>0</v>
      </c>
      <c r="BP253" s="7">
        <v>30.975930478531815</v>
      </c>
      <c r="BQ253" s="7">
        <v>0.13714285714285715</v>
      </c>
      <c r="BR253" s="7" t="s">
        <v>154</v>
      </c>
      <c r="BS253" s="7">
        <v>175</v>
      </c>
      <c r="BT253" s="7">
        <v>24</v>
      </c>
      <c r="BU253" s="7">
        <v>24</v>
      </c>
      <c r="BV253" s="7">
        <v>24</v>
      </c>
      <c r="BW253" s="7" t="s">
        <v>1216</v>
      </c>
      <c r="BX253" s="8" t="b">
        <v>1</v>
      </c>
      <c r="BY253" s="7">
        <v>-781.8</v>
      </c>
      <c r="BZ253" s="7">
        <v>-60</v>
      </c>
      <c r="CA253" s="7">
        <v>46237.427083333336</v>
      </c>
      <c r="CB253" s="7">
        <v>46237.416666666664</v>
      </c>
      <c r="CC253" s="7">
        <v>3.833333333333333E-2</v>
      </c>
      <c r="CD253" s="7">
        <v>86.65923259627327</v>
      </c>
      <c r="CE253" s="7">
        <v>100.45923259627328</v>
      </c>
      <c r="CF253" s="7">
        <v>662.24534522516342</v>
      </c>
      <c r="CG253" s="7">
        <v>0.3125</v>
      </c>
      <c r="CH253" s="7" t="s">
        <v>150</v>
      </c>
      <c r="CI253" s="7">
        <v>128</v>
      </c>
      <c r="CJ253" s="8" t="b">
        <v>1</v>
      </c>
      <c r="CK253" s="7">
        <v>40</v>
      </c>
      <c r="CL253" s="7">
        <v>40</v>
      </c>
      <c r="CM253" s="7">
        <v>40</v>
      </c>
      <c r="CN253" s="8" t="b">
        <v>0</v>
      </c>
      <c r="CO253" s="7" t="s">
        <v>1125</v>
      </c>
      <c r="CP253" s="7">
        <v>-88.578724296304728</v>
      </c>
    </row>
    <row r="254" spans="1:94" ht="21" customHeight="1" x14ac:dyDescent="0.45">
      <c r="A254" s="9">
        <v>46237.427083333336</v>
      </c>
      <c r="B254" s="9">
        <v>46237.4375</v>
      </c>
      <c r="C254" s="9">
        <v>46237.552083333336</v>
      </c>
      <c r="D254" s="10">
        <v>46237</v>
      </c>
      <c r="E254" s="7">
        <v>0.25</v>
      </c>
      <c r="F254" s="7" t="s">
        <v>770</v>
      </c>
      <c r="G254" s="9">
        <v>46237.416666666664</v>
      </c>
      <c r="H254" s="7">
        <v>52.48</v>
      </c>
      <c r="I254" s="7" t="s">
        <v>1220</v>
      </c>
      <c r="J254" s="7">
        <v>15</v>
      </c>
      <c r="K254" s="7" t="s">
        <v>1130</v>
      </c>
      <c r="L254" s="10">
        <v>46234</v>
      </c>
      <c r="M254" s="7">
        <v>5.2473000000000001</v>
      </c>
      <c r="N254" s="7" t="s">
        <v>773</v>
      </c>
      <c r="O254" s="7">
        <v>91.903999999999996</v>
      </c>
      <c r="P254" s="7" t="s">
        <v>1217</v>
      </c>
      <c r="Q254" s="7" t="s">
        <v>775</v>
      </c>
      <c r="R254" s="7">
        <v>66.224534522516336</v>
      </c>
      <c r="S254" s="7" t="s">
        <v>776</v>
      </c>
      <c r="T254" s="7">
        <v>175</v>
      </c>
      <c r="U254" s="7" t="s">
        <v>1218</v>
      </c>
      <c r="V254" s="7" t="s">
        <v>775</v>
      </c>
      <c r="W254" s="7">
        <v>5.1626550797553028</v>
      </c>
      <c r="X254" s="7" t="s">
        <v>776</v>
      </c>
      <c r="Y254" s="7">
        <v>175</v>
      </c>
      <c r="Z254" s="7" t="s">
        <v>1219</v>
      </c>
      <c r="AA254" s="7" t="s">
        <v>775</v>
      </c>
      <c r="AB254" s="7">
        <v>6.8606712023326279</v>
      </c>
      <c r="AC254" s="7" t="s">
        <v>776</v>
      </c>
      <c r="AD254" s="7"/>
      <c r="AE254" s="7" t="s">
        <v>779</v>
      </c>
      <c r="AF254" s="7"/>
      <c r="AG254" s="7">
        <v>128.00545042212184</v>
      </c>
      <c r="AH254" s="7" t="s">
        <v>776</v>
      </c>
      <c r="AI254" s="7">
        <v>0.16400000000000001</v>
      </c>
      <c r="AJ254" s="7">
        <v>45.225735139976749</v>
      </c>
      <c r="AK254" s="7" t="s">
        <v>776</v>
      </c>
      <c r="AL254" s="7">
        <v>4.718</v>
      </c>
      <c r="AM254" s="7" t="s">
        <v>780</v>
      </c>
      <c r="AN254" s="7" t="s">
        <v>781</v>
      </c>
      <c r="AO254" s="7" t="s">
        <v>782</v>
      </c>
      <c r="AP254" s="7">
        <v>3.7485714285714002E-3</v>
      </c>
      <c r="AQ254" s="7">
        <v>0.10784000000000001</v>
      </c>
      <c r="AR254" s="7">
        <v>0.1115885714285714</v>
      </c>
      <c r="AS254" s="8" t="b">
        <v>1</v>
      </c>
      <c r="AT254" s="8" t="b">
        <v>1</v>
      </c>
      <c r="AU254" s="8" t="b">
        <v>1</v>
      </c>
      <c r="AV254" s="8" t="b">
        <v>1</v>
      </c>
      <c r="AW254" s="8" t="b">
        <v>1</v>
      </c>
      <c r="AX254" s="8" t="b">
        <v>1</v>
      </c>
      <c r="AY254" s="8" t="b">
        <v>1</v>
      </c>
      <c r="AZ254" s="8" t="b">
        <v>1</v>
      </c>
      <c r="BA254" s="7" t="s">
        <v>783</v>
      </c>
      <c r="BB254" s="7" t="s">
        <v>783</v>
      </c>
      <c r="BC254" s="7" t="s">
        <v>784</v>
      </c>
      <c r="BD254" s="7">
        <v>0</v>
      </c>
      <c r="BE254" s="7">
        <v>0</v>
      </c>
      <c r="BF254" s="7">
        <v>0</v>
      </c>
      <c r="BG254" s="7">
        <v>0.13714285714285715</v>
      </c>
      <c r="BH254" s="7" t="s">
        <v>154</v>
      </c>
      <c r="BI254" s="7">
        <v>175</v>
      </c>
      <c r="BJ254" s="7">
        <v>0</v>
      </c>
      <c r="BK254" s="7">
        <v>24</v>
      </c>
      <c r="BL254" s="7">
        <v>24</v>
      </c>
      <c r="BM254" s="8" t="b">
        <v>1</v>
      </c>
      <c r="BN254" s="7">
        <v>2.8790254449226946</v>
      </c>
      <c r="BO254" s="7">
        <v>2.2491428571428572E-2</v>
      </c>
      <c r="BP254" s="7">
        <v>30.975930478531815</v>
      </c>
      <c r="BQ254" s="7">
        <v>0.13714285714285715</v>
      </c>
      <c r="BR254" s="7" t="s">
        <v>154</v>
      </c>
      <c r="BS254" s="7">
        <v>175</v>
      </c>
      <c r="BT254" s="7">
        <v>24</v>
      </c>
      <c r="BU254" s="7">
        <v>24</v>
      </c>
      <c r="BV254" s="7">
        <v>24</v>
      </c>
      <c r="BW254" s="7" t="s">
        <v>1220</v>
      </c>
      <c r="BX254" s="8" t="b">
        <v>1</v>
      </c>
      <c r="BY254" s="7">
        <v>-787.19999999999993</v>
      </c>
      <c r="BZ254" s="7">
        <v>-60</v>
      </c>
      <c r="CA254" s="7">
        <v>46237.4375</v>
      </c>
      <c r="CB254" s="7">
        <v>46237.427083333336</v>
      </c>
      <c r="CC254" s="7">
        <v>3.8275855238095235E-2</v>
      </c>
      <c r="CD254" s="7">
        <v>100.45923259627328</v>
      </c>
      <c r="CE254" s="7">
        <v>114.23854048198757</v>
      </c>
      <c r="CF254" s="7">
        <v>662.24534522516342</v>
      </c>
      <c r="CG254" s="7">
        <v>0.3125</v>
      </c>
      <c r="CH254" s="7" t="s">
        <v>150</v>
      </c>
      <c r="CI254" s="7">
        <v>128</v>
      </c>
      <c r="CJ254" s="8" t="b">
        <v>1</v>
      </c>
      <c r="CK254" s="7">
        <v>40</v>
      </c>
      <c r="CL254" s="7">
        <v>40</v>
      </c>
      <c r="CM254" s="7">
        <v>40</v>
      </c>
      <c r="CN254" s="8" t="b">
        <v>0</v>
      </c>
      <c r="CO254" s="7" t="s">
        <v>1125</v>
      </c>
      <c r="CP254" s="7">
        <v>-91.099698851382001</v>
      </c>
    </row>
    <row r="255" spans="1:94" ht="21" customHeight="1" x14ac:dyDescent="0.45">
      <c r="A255" s="9">
        <v>46237.4375</v>
      </c>
      <c r="B255" s="9">
        <v>46237.447916666664</v>
      </c>
      <c r="C255" s="9">
        <v>46237.5625</v>
      </c>
      <c r="D255" s="10">
        <v>46237</v>
      </c>
      <c r="E255" s="7">
        <v>0.25</v>
      </c>
      <c r="F255" s="7" t="s">
        <v>770</v>
      </c>
      <c r="G255" s="9">
        <v>46237.416666666664</v>
      </c>
      <c r="H255" s="7">
        <v>60.5</v>
      </c>
      <c r="I255" s="7" t="s">
        <v>1221</v>
      </c>
      <c r="J255" s="7">
        <v>15</v>
      </c>
      <c r="K255" s="7" t="s">
        <v>1130</v>
      </c>
      <c r="L255" s="10">
        <v>46234</v>
      </c>
      <c r="M255" s="7">
        <v>5.2473000000000001</v>
      </c>
      <c r="N255" s="7" t="s">
        <v>773</v>
      </c>
      <c r="O255" s="7">
        <v>91.903999999999996</v>
      </c>
      <c r="P255" s="7" t="s">
        <v>1217</v>
      </c>
      <c r="Q255" s="7" t="s">
        <v>775</v>
      </c>
      <c r="R255" s="7">
        <v>66.224534522516336</v>
      </c>
      <c r="S255" s="7" t="s">
        <v>776</v>
      </c>
      <c r="T255" s="7">
        <v>175</v>
      </c>
      <c r="U255" s="7" t="s">
        <v>1218</v>
      </c>
      <c r="V255" s="7" t="s">
        <v>775</v>
      </c>
      <c r="W255" s="7">
        <v>5.1626550797553028</v>
      </c>
      <c r="X255" s="7" t="s">
        <v>776</v>
      </c>
      <c r="Y255" s="7">
        <v>175</v>
      </c>
      <c r="Z255" s="7" t="s">
        <v>1219</v>
      </c>
      <c r="AA255" s="7" t="s">
        <v>775</v>
      </c>
      <c r="AB255" s="7">
        <v>6.8606712023326279</v>
      </c>
      <c r="AC255" s="7" t="s">
        <v>776</v>
      </c>
      <c r="AD255" s="7"/>
      <c r="AE255" s="7" t="s">
        <v>779</v>
      </c>
      <c r="AF255" s="7"/>
      <c r="AG255" s="7">
        <v>129.77817163112459</v>
      </c>
      <c r="AH255" s="7" t="s">
        <v>776</v>
      </c>
      <c r="AI255" s="7">
        <v>0.27</v>
      </c>
      <c r="AJ255" s="7">
        <v>60.710460617841548</v>
      </c>
      <c r="AK255" s="7" t="s">
        <v>776</v>
      </c>
      <c r="AL255" s="7">
        <v>0.316</v>
      </c>
      <c r="AM255" s="7" t="s">
        <v>780</v>
      </c>
      <c r="AN255" s="7" t="s">
        <v>781</v>
      </c>
      <c r="AO255" s="7" t="s">
        <v>782</v>
      </c>
      <c r="AP255" s="7">
        <v>6.1714285714284996E-3</v>
      </c>
      <c r="AQ255" s="7">
        <v>7.2228571428571003E-3</v>
      </c>
      <c r="AR255" s="7">
        <v>1.3394285714285701E-2</v>
      </c>
      <c r="AS255" s="8" t="b">
        <v>1</v>
      </c>
      <c r="AT255" s="8" t="b">
        <v>1</v>
      </c>
      <c r="AU255" s="8" t="b">
        <v>1</v>
      </c>
      <c r="AV255" s="8" t="b">
        <v>1</v>
      </c>
      <c r="AW255" s="8" t="b">
        <v>1</v>
      </c>
      <c r="AX255" s="8" t="b">
        <v>1</v>
      </c>
      <c r="AY255" s="8" t="b">
        <v>1</v>
      </c>
      <c r="AZ255" s="8" t="b">
        <v>1</v>
      </c>
      <c r="BA255" s="7" t="s">
        <v>783</v>
      </c>
      <c r="BB255" s="7" t="s">
        <v>783</v>
      </c>
      <c r="BC255" s="7" t="s">
        <v>784</v>
      </c>
      <c r="BD255" s="7">
        <v>0</v>
      </c>
      <c r="BE255" s="7">
        <v>0</v>
      </c>
      <c r="BF255" s="7">
        <v>0</v>
      </c>
      <c r="BG255" s="7">
        <v>0.13714285714285715</v>
      </c>
      <c r="BH255" s="7" t="s">
        <v>154</v>
      </c>
      <c r="BI255" s="7">
        <v>175</v>
      </c>
      <c r="BJ255" s="7">
        <v>0</v>
      </c>
      <c r="BK255" s="7">
        <v>24</v>
      </c>
      <c r="BL255" s="7">
        <v>24</v>
      </c>
      <c r="BM255" s="8" t="b">
        <v>1</v>
      </c>
      <c r="BN255" s="7">
        <v>4.8055002981124995</v>
      </c>
      <c r="BO255" s="7">
        <v>3.7028571428571432E-2</v>
      </c>
      <c r="BP255" s="7">
        <v>30.975930478531815</v>
      </c>
      <c r="BQ255" s="7">
        <v>0.13714285714285715</v>
      </c>
      <c r="BR255" s="7" t="s">
        <v>154</v>
      </c>
      <c r="BS255" s="7">
        <v>175</v>
      </c>
      <c r="BT255" s="7">
        <v>24</v>
      </c>
      <c r="BU255" s="7">
        <v>24</v>
      </c>
      <c r="BV255" s="7">
        <v>24</v>
      </c>
      <c r="BW255" s="7" t="s">
        <v>1221</v>
      </c>
      <c r="BX255" s="8" t="b">
        <v>1</v>
      </c>
      <c r="BY255" s="7">
        <v>-907.5</v>
      </c>
      <c r="BZ255" s="7">
        <v>-60</v>
      </c>
      <c r="CA255" s="7">
        <v>46237.447916666664</v>
      </c>
      <c r="CB255" s="7">
        <v>46237.4375</v>
      </c>
      <c r="CC255" s="7">
        <v>3.823870476190476E-2</v>
      </c>
      <c r="CD255" s="7">
        <v>114.23854048198757</v>
      </c>
      <c r="CE255" s="7">
        <v>128.00447419627329</v>
      </c>
      <c r="CF255" s="7">
        <v>662.24534522516342</v>
      </c>
      <c r="CG255" s="7">
        <v>0.3125</v>
      </c>
      <c r="CH255" s="7" t="s">
        <v>150</v>
      </c>
      <c r="CI255" s="7">
        <v>128</v>
      </c>
      <c r="CJ255" s="8" t="b">
        <v>1</v>
      </c>
      <c r="CK255" s="7">
        <v>40</v>
      </c>
      <c r="CL255" s="7">
        <v>40</v>
      </c>
      <c r="CM255" s="7">
        <v>40</v>
      </c>
      <c r="CN255" s="8" t="b">
        <v>0</v>
      </c>
      <c r="CO255" s="7" t="s">
        <v>1125</v>
      </c>
      <c r="CP255" s="7">
        <v>-209.47322399819225</v>
      </c>
    </row>
    <row r="256" spans="1:94" ht="21" customHeight="1" x14ac:dyDescent="0.45">
      <c r="A256" s="9">
        <v>46237.447916666664</v>
      </c>
      <c r="B256" s="9">
        <v>46237.458333333336</v>
      </c>
      <c r="C256" s="9">
        <v>46237.572916666664</v>
      </c>
      <c r="D256" s="10">
        <v>46237</v>
      </c>
      <c r="E256" s="7">
        <v>0.25</v>
      </c>
      <c r="F256" s="7" t="s">
        <v>770</v>
      </c>
      <c r="G256" s="9">
        <v>46237.416666666664</v>
      </c>
      <c r="H256" s="7">
        <v>39.909999999999997</v>
      </c>
      <c r="I256" s="7" t="s">
        <v>1222</v>
      </c>
      <c r="J256" s="7">
        <v>15</v>
      </c>
      <c r="K256" s="7" t="s">
        <v>1130</v>
      </c>
      <c r="L256" s="10">
        <v>46234</v>
      </c>
      <c r="M256" s="7">
        <v>5.2473000000000001</v>
      </c>
      <c r="N256" s="7" t="s">
        <v>773</v>
      </c>
      <c r="O256" s="7">
        <v>91.903999999999996</v>
      </c>
      <c r="P256" s="7" t="s">
        <v>1217</v>
      </c>
      <c r="Q256" s="7" t="s">
        <v>775</v>
      </c>
      <c r="R256" s="7">
        <v>66.224534522516336</v>
      </c>
      <c r="S256" s="7" t="s">
        <v>776</v>
      </c>
      <c r="T256" s="7">
        <v>175</v>
      </c>
      <c r="U256" s="7" t="s">
        <v>1218</v>
      </c>
      <c r="V256" s="7" t="s">
        <v>775</v>
      </c>
      <c r="W256" s="7">
        <v>5.1626550797553028</v>
      </c>
      <c r="X256" s="7" t="s">
        <v>776</v>
      </c>
      <c r="Y256" s="7">
        <v>175</v>
      </c>
      <c r="Z256" s="7" t="s">
        <v>1219</v>
      </c>
      <c r="AA256" s="7" t="s">
        <v>775</v>
      </c>
      <c r="AB256" s="7">
        <v>6.8606712023326279</v>
      </c>
      <c r="AC256" s="7" t="s">
        <v>776</v>
      </c>
      <c r="AD256" s="7"/>
      <c r="AE256" s="7" t="s">
        <v>779</v>
      </c>
      <c r="AF256" s="7"/>
      <c r="AG256" s="7">
        <v>127.11299144321842</v>
      </c>
      <c r="AH256" s="7" t="s">
        <v>776</v>
      </c>
      <c r="AI256" s="7">
        <v>0.28100000000000003</v>
      </c>
      <c r="AJ256" s="7">
        <v>71.258933165628036</v>
      </c>
      <c r="AK256" s="7" t="s">
        <v>776</v>
      </c>
      <c r="AL256" s="7">
        <v>9.6000000000000002E-2</v>
      </c>
      <c r="AM256" s="7" t="s">
        <v>780</v>
      </c>
      <c r="AN256" s="7" t="s">
        <v>781</v>
      </c>
      <c r="AO256" s="7" t="s">
        <v>782</v>
      </c>
      <c r="AP256" s="7">
        <v>6.4228571428571E-3</v>
      </c>
      <c r="AQ256" s="7">
        <v>2.1942857142856998E-3</v>
      </c>
      <c r="AR256" s="7">
        <v>8.6171428571428007E-3</v>
      </c>
      <c r="AS256" s="8" t="b">
        <v>1</v>
      </c>
      <c r="AT256" s="8" t="b">
        <v>1</v>
      </c>
      <c r="AU256" s="8" t="b">
        <v>1</v>
      </c>
      <c r="AV256" s="8" t="b">
        <v>1</v>
      </c>
      <c r="AW256" s="8" t="b">
        <v>1</v>
      </c>
      <c r="AX256" s="8" t="b">
        <v>1</v>
      </c>
      <c r="AY256" s="8" t="b">
        <v>1</v>
      </c>
      <c r="AZ256" s="8" t="b">
        <v>1</v>
      </c>
      <c r="BA256" s="7" t="s">
        <v>783</v>
      </c>
      <c r="BB256" s="7" t="s">
        <v>783</v>
      </c>
      <c r="BC256" s="7" t="s">
        <v>784</v>
      </c>
      <c r="BD256" s="7">
        <v>0</v>
      </c>
      <c r="BE256" s="7">
        <v>0</v>
      </c>
      <c r="BF256" s="7">
        <v>0</v>
      </c>
      <c r="BG256" s="7">
        <v>0.13714285714285715</v>
      </c>
      <c r="BH256" s="7" t="s">
        <v>154</v>
      </c>
      <c r="BI256" s="7">
        <v>175</v>
      </c>
      <c r="BJ256" s="7">
        <v>0</v>
      </c>
      <c r="BK256" s="7">
        <v>24</v>
      </c>
      <c r="BL256" s="7">
        <v>24</v>
      </c>
      <c r="BM256" s="8" t="b">
        <v>1</v>
      </c>
      <c r="BN256" s="7">
        <v>4.8985715102460858</v>
      </c>
      <c r="BO256" s="7">
        <v>3.853714285714286E-2</v>
      </c>
      <c r="BP256" s="7">
        <v>30.975930478531815</v>
      </c>
      <c r="BQ256" s="7">
        <v>0.13714285714285715</v>
      </c>
      <c r="BR256" s="7" t="s">
        <v>154</v>
      </c>
      <c r="BS256" s="7">
        <v>175</v>
      </c>
      <c r="BT256" s="7">
        <v>24</v>
      </c>
      <c r="BU256" s="7">
        <v>24</v>
      </c>
      <c r="BV256" s="7">
        <v>24</v>
      </c>
      <c r="BW256" s="7" t="s">
        <v>1222</v>
      </c>
      <c r="BX256" s="8" t="b">
        <v>1</v>
      </c>
      <c r="BY256" s="7">
        <v>-598.65</v>
      </c>
      <c r="BZ256" s="7">
        <v>-60</v>
      </c>
      <c r="CA256" s="7">
        <v>46237.458333333336</v>
      </c>
      <c r="CB256" s="7">
        <v>46237.447916666664</v>
      </c>
      <c r="CC256" s="7">
        <v>3.8234849523809518E-2</v>
      </c>
      <c r="CD256" s="7">
        <v>128.00447419627329</v>
      </c>
      <c r="CE256" s="7">
        <v>141.76902002484474</v>
      </c>
      <c r="CF256" s="7">
        <v>662.24534522516342</v>
      </c>
      <c r="CG256" s="7">
        <v>0.3125</v>
      </c>
      <c r="CH256" s="7" t="s">
        <v>150</v>
      </c>
      <c r="CI256" s="7">
        <v>128</v>
      </c>
      <c r="CJ256" s="8" t="b">
        <v>1</v>
      </c>
      <c r="CK256" s="7">
        <v>40</v>
      </c>
      <c r="CL256" s="7">
        <v>40</v>
      </c>
      <c r="CM256" s="7">
        <v>40</v>
      </c>
      <c r="CN256" s="8" t="b">
        <v>0</v>
      </c>
      <c r="CO256" s="7" t="s">
        <v>1125</v>
      </c>
      <c r="CP256" s="7">
        <v>99.469847213941335</v>
      </c>
    </row>
    <row r="257" spans="1:94" ht="21" customHeight="1" x14ac:dyDescent="0.45">
      <c r="A257" s="9">
        <v>46237.458333333336</v>
      </c>
      <c r="B257" s="9">
        <v>46237.46875</v>
      </c>
      <c r="C257" s="9">
        <v>46237.583333333336</v>
      </c>
      <c r="D257" s="10">
        <v>46237</v>
      </c>
      <c r="E257" s="7">
        <v>0.25</v>
      </c>
      <c r="F257" s="7" t="s">
        <v>770</v>
      </c>
      <c r="G257" s="9">
        <v>46237.458333333336</v>
      </c>
      <c r="H257" s="7">
        <v>71.89</v>
      </c>
      <c r="I257" s="7" t="s">
        <v>1223</v>
      </c>
      <c r="J257" s="7">
        <v>15</v>
      </c>
      <c r="K257" s="7" t="s">
        <v>1130</v>
      </c>
      <c r="L257" s="10">
        <v>46234</v>
      </c>
      <c r="M257" s="7">
        <v>5.2473000000000001</v>
      </c>
      <c r="N257" s="7" t="s">
        <v>773</v>
      </c>
      <c r="O257" s="7">
        <v>91.903999999999996</v>
      </c>
      <c r="P257" s="7" t="s">
        <v>1224</v>
      </c>
      <c r="Q257" s="7" t="s">
        <v>775</v>
      </c>
      <c r="R257" s="7">
        <v>66.224534522516336</v>
      </c>
      <c r="S257" s="7" t="s">
        <v>776</v>
      </c>
      <c r="T257" s="7">
        <v>175</v>
      </c>
      <c r="U257" s="7" t="s">
        <v>1225</v>
      </c>
      <c r="V257" s="7" t="s">
        <v>775</v>
      </c>
      <c r="W257" s="7">
        <v>5.1626550797553028</v>
      </c>
      <c r="X257" s="7" t="s">
        <v>776</v>
      </c>
      <c r="Y257" s="7">
        <v>175</v>
      </c>
      <c r="Z257" s="7" t="s">
        <v>1226</v>
      </c>
      <c r="AA257" s="7" t="s">
        <v>775</v>
      </c>
      <c r="AB257" s="7">
        <v>6.8606712023326279</v>
      </c>
      <c r="AC257" s="7" t="s">
        <v>776</v>
      </c>
      <c r="AD257" s="7"/>
      <c r="AE257" s="7" t="s">
        <v>779</v>
      </c>
      <c r="AF257" s="7"/>
      <c r="AG257" s="7">
        <v>127.11299144321842</v>
      </c>
      <c r="AH257" s="7" t="s">
        <v>776</v>
      </c>
      <c r="AI257" s="7">
        <v>0.127</v>
      </c>
      <c r="AJ257" s="7">
        <v>34.135460141406057</v>
      </c>
      <c r="AK257" s="7" t="s">
        <v>776</v>
      </c>
      <c r="AL257" s="7">
        <v>6.5060000000000002</v>
      </c>
      <c r="AM257" s="7" t="s">
        <v>780</v>
      </c>
      <c r="AN257" s="7" t="s">
        <v>781</v>
      </c>
      <c r="AO257" s="7" t="s">
        <v>782</v>
      </c>
      <c r="AP257" s="7">
        <v>2.9028571428570999E-3</v>
      </c>
      <c r="AQ257" s="7">
        <v>0.14870857142857141</v>
      </c>
      <c r="AR257" s="7">
        <v>0.15161142857142859</v>
      </c>
      <c r="AS257" s="8" t="b">
        <v>1</v>
      </c>
      <c r="AT257" s="8" t="b">
        <v>1</v>
      </c>
      <c r="AU257" s="8" t="b">
        <v>1</v>
      </c>
      <c r="AV257" s="8" t="b">
        <v>1</v>
      </c>
      <c r="AW257" s="8" t="b">
        <v>1</v>
      </c>
      <c r="AX257" s="8" t="b">
        <v>1</v>
      </c>
      <c r="AY257" s="8" t="b">
        <v>1</v>
      </c>
      <c r="AZ257" s="8" t="b">
        <v>1</v>
      </c>
      <c r="BA257" s="7" t="s">
        <v>783</v>
      </c>
      <c r="BB257" s="7" t="s">
        <v>783</v>
      </c>
      <c r="BC257" s="7" t="s">
        <v>784</v>
      </c>
      <c r="BD257" s="7">
        <v>-30.457413076112619</v>
      </c>
      <c r="BE257" s="7">
        <v>0.8922514285714287</v>
      </c>
      <c r="BF257" s="7">
        <v>41.164027213995766</v>
      </c>
      <c r="BG257" s="7">
        <v>0.13714285714285715</v>
      </c>
      <c r="BH257" s="7" t="s">
        <v>154</v>
      </c>
      <c r="BI257" s="7">
        <v>175</v>
      </c>
      <c r="BJ257" s="7">
        <v>24</v>
      </c>
      <c r="BK257" s="7">
        <v>24</v>
      </c>
      <c r="BL257" s="7">
        <v>24</v>
      </c>
      <c r="BM257" s="8" t="b">
        <v>1</v>
      </c>
      <c r="BN257" s="7">
        <v>2.2139451309653126</v>
      </c>
      <c r="BO257" s="7">
        <v>1.7417142857142857E-2</v>
      </c>
      <c r="BP257" s="7">
        <v>30.975930478531815</v>
      </c>
      <c r="BQ257" s="7">
        <v>0.13714285714285715</v>
      </c>
      <c r="BR257" s="7" t="s">
        <v>154</v>
      </c>
      <c r="BS257" s="7">
        <v>175</v>
      </c>
      <c r="BT257" s="7">
        <v>24</v>
      </c>
      <c r="BU257" s="7">
        <v>24</v>
      </c>
      <c r="BV257" s="7">
        <v>24</v>
      </c>
      <c r="BW257" s="7" t="s">
        <v>1223</v>
      </c>
      <c r="BX257" s="8" t="b">
        <v>1</v>
      </c>
      <c r="BY257" s="7">
        <v>-647.01</v>
      </c>
      <c r="BZ257" s="7">
        <v>-36</v>
      </c>
      <c r="CA257" s="7">
        <v>46237.46875</v>
      </c>
      <c r="CB257" s="7">
        <v>46237.458333333336</v>
      </c>
      <c r="CC257" s="7">
        <v>2.5235687619047625E-2</v>
      </c>
      <c r="CD257" s="7">
        <v>141.76902002484474</v>
      </c>
      <c r="CE257" s="7">
        <v>150.85386756770188</v>
      </c>
      <c r="CF257" s="7">
        <v>662.24534522516342</v>
      </c>
      <c r="CG257" s="7">
        <v>0.3125</v>
      </c>
      <c r="CH257" s="7" t="s">
        <v>150</v>
      </c>
      <c r="CI257" s="7">
        <v>128</v>
      </c>
      <c r="CJ257" s="8" t="b">
        <v>1</v>
      </c>
      <c r="CK257" s="7">
        <v>40</v>
      </c>
      <c r="CL257" s="7">
        <v>40</v>
      </c>
      <c r="CM257" s="7">
        <v>40</v>
      </c>
      <c r="CN257" s="8" t="b">
        <v>0</v>
      </c>
      <c r="CO257" s="7" t="s">
        <v>1125</v>
      </c>
      <c r="CP257" s="7">
        <v>59.1318349725437</v>
      </c>
    </row>
    <row r="258" spans="1:94" ht="21" customHeight="1" x14ac:dyDescent="0.45">
      <c r="A258" s="9">
        <v>46237.46875</v>
      </c>
      <c r="B258" s="9">
        <v>46237.479166666664</v>
      </c>
      <c r="C258" s="9">
        <v>46237.59375</v>
      </c>
      <c r="D258" s="10">
        <v>46237</v>
      </c>
      <c r="E258" s="7">
        <v>0.25</v>
      </c>
      <c r="F258" s="7" t="s">
        <v>770</v>
      </c>
      <c r="G258" s="9">
        <v>46237.458333333336</v>
      </c>
      <c r="H258" s="7">
        <v>79.790000000000006</v>
      </c>
      <c r="I258" s="7" t="s">
        <v>1227</v>
      </c>
      <c r="J258" s="7">
        <v>15</v>
      </c>
      <c r="K258" s="7" t="s">
        <v>1130</v>
      </c>
      <c r="L258" s="10">
        <v>46234</v>
      </c>
      <c r="M258" s="7">
        <v>5.2473000000000001</v>
      </c>
      <c r="N258" s="7" t="s">
        <v>773</v>
      </c>
      <c r="O258" s="7">
        <v>91.903999999999996</v>
      </c>
      <c r="P258" s="7" t="s">
        <v>1224</v>
      </c>
      <c r="Q258" s="7" t="s">
        <v>775</v>
      </c>
      <c r="R258" s="7">
        <v>66.224534522516336</v>
      </c>
      <c r="S258" s="7" t="s">
        <v>776</v>
      </c>
      <c r="T258" s="7">
        <v>175</v>
      </c>
      <c r="U258" s="7" t="s">
        <v>1225</v>
      </c>
      <c r="V258" s="7" t="s">
        <v>775</v>
      </c>
      <c r="W258" s="7">
        <v>5.1626550797553028</v>
      </c>
      <c r="X258" s="7" t="s">
        <v>776</v>
      </c>
      <c r="Y258" s="7">
        <v>175</v>
      </c>
      <c r="Z258" s="7" t="s">
        <v>1226</v>
      </c>
      <c r="AA258" s="7" t="s">
        <v>775</v>
      </c>
      <c r="AB258" s="7">
        <v>6.8606712023326279</v>
      </c>
      <c r="AC258" s="7" t="s">
        <v>776</v>
      </c>
      <c r="AD258" s="7"/>
      <c r="AE258" s="7" t="s">
        <v>779</v>
      </c>
      <c r="AF258" s="7"/>
      <c r="AG258" s="7">
        <v>0</v>
      </c>
      <c r="AH258" s="7" t="s">
        <v>776</v>
      </c>
      <c r="AI258" s="7">
        <v>0</v>
      </c>
      <c r="AJ258" s="7">
        <v>32.81535265755722</v>
      </c>
      <c r="AK258" s="7" t="s">
        <v>776</v>
      </c>
      <c r="AL258" s="7">
        <v>10.724</v>
      </c>
      <c r="AM258" s="7" t="s">
        <v>780</v>
      </c>
      <c r="AN258" s="7" t="s">
        <v>781</v>
      </c>
      <c r="AO258" s="7" t="s">
        <v>782</v>
      </c>
      <c r="AP258" s="7">
        <v>0</v>
      </c>
      <c r="AQ258" s="7">
        <v>0.24512</v>
      </c>
      <c r="AR258" s="7">
        <v>0.24512</v>
      </c>
      <c r="AS258" s="8" t="b">
        <v>1</v>
      </c>
      <c r="AT258" s="8" t="b">
        <v>1</v>
      </c>
      <c r="AU258" s="8" t="b">
        <v>1</v>
      </c>
      <c r="AV258" s="8" t="b">
        <v>1</v>
      </c>
      <c r="AW258" s="8" t="b">
        <v>1</v>
      </c>
      <c r="AX258" s="8" t="b">
        <v>1</v>
      </c>
      <c r="AY258" s="8" t="b">
        <v>1</v>
      </c>
      <c r="AZ258" s="8" t="b">
        <v>1</v>
      </c>
      <c r="BA258" s="7" t="s">
        <v>783</v>
      </c>
      <c r="BB258" s="7" t="s">
        <v>783</v>
      </c>
      <c r="BC258" s="7" t="s">
        <v>784</v>
      </c>
      <c r="BD258" s="7">
        <v>-48.262195460522555</v>
      </c>
      <c r="BE258" s="7">
        <v>1.47072</v>
      </c>
      <c r="BF258" s="7">
        <v>41.164027213995766</v>
      </c>
      <c r="BG258" s="7">
        <v>0.13714285714285715</v>
      </c>
      <c r="BH258" s="7" t="s">
        <v>154</v>
      </c>
      <c r="BI258" s="7">
        <v>175</v>
      </c>
      <c r="BJ258" s="7">
        <v>24</v>
      </c>
      <c r="BK258" s="7">
        <v>24</v>
      </c>
      <c r="BL258" s="7">
        <v>24</v>
      </c>
      <c r="BM258" s="8" t="b">
        <v>1</v>
      </c>
      <c r="BN258" s="7">
        <v>0</v>
      </c>
      <c r="BO258" s="7">
        <v>0</v>
      </c>
      <c r="BP258" s="7">
        <v>30.975930478531815</v>
      </c>
      <c r="BQ258" s="7">
        <v>0.13714285714285715</v>
      </c>
      <c r="BR258" s="7" t="s">
        <v>154</v>
      </c>
      <c r="BS258" s="7">
        <v>175</v>
      </c>
      <c r="BT258" s="7">
        <v>24</v>
      </c>
      <c r="BU258" s="7">
        <v>24</v>
      </c>
      <c r="BV258" s="7">
        <v>24</v>
      </c>
      <c r="BW258" s="7" t="s">
        <v>1227</v>
      </c>
      <c r="BX258" s="8" t="b">
        <v>1</v>
      </c>
      <c r="BY258" s="7">
        <v>0</v>
      </c>
      <c r="BZ258" s="7">
        <v>0</v>
      </c>
      <c r="CA258" s="7">
        <v>46237.479166666664</v>
      </c>
      <c r="CB258" s="7">
        <v>46237.46875</v>
      </c>
      <c r="CC258" s="7">
        <v>3.7585066666666667E-3</v>
      </c>
      <c r="CD258" s="7">
        <v>150.85386756770188</v>
      </c>
      <c r="CE258" s="7">
        <v>152.20692996770188</v>
      </c>
      <c r="CF258" s="7">
        <v>662.24534522516342</v>
      </c>
      <c r="CG258" s="7">
        <v>0.3125</v>
      </c>
      <c r="CH258" s="7" t="s">
        <v>150</v>
      </c>
      <c r="CI258" s="7">
        <v>128</v>
      </c>
      <c r="CJ258" s="8" t="b">
        <v>1</v>
      </c>
      <c r="CK258" s="7">
        <v>40</v>
      </c>
      <c r="CL258" s="7">
        <v>40</v>
      </c>
      <c r="CM258" s="7">
        <v>40</v>
      </c>
      <c r="CN258" s="8" t="b">
        <v>0</v>
      </c>
      <c r="CO258" s="7" t="s">
        <v>1125</v>
      </c>
      <c r="CP258" s="7">
        <v>686.12310745716843</v>
      </c>
    </row>
    <row r="259" spans="1:94" ht="21" customHeight="1" x14ac:dyDescent="0.45">
      <c r="A259" s="9">
        <v>46237.479166666664</v>
      </c>
      <c r="B259" s="9">
        <v>46237.489583333336</v>
      </c>
      <c r="C259" s="9">
        <v>46237.604166666664</v>
      </c>
      <c r="D259" s="10">
        <v>46237</v>
      </c>
      <c r="E259" s="7">
        <v>0.25</v>
      </c>
      <c r="F259" s="7" t="s">
        <v>770</v>
      </c>
      <c r="G259" s="9">
        <v>46237.458333333336</v>
      </c>
      <c r="H259" s="7">
        <v>72.19</v>
      </c>
      <c r="I259" s="7" t="s">
        <v>1228</v>
      </c>
      <c r="J259" s="7">
        <v>15</v>
      </c>
      <c r="K259" s="7" t="s">
        <v>1130</v>
      </c>
      <c r="L259" s="10">
        <v>46234</v>
      </c>
      <c r="M259" s="7">
        <v>5.2473000000000001</v>
      </c>
      <c r="N259" s="7" t="s">
        <v>773</v>
      </c>
      <c r="O259" s="7">
        <v>91.903999999999996</v>
      </c>
      <c r="P259" s="7" t="s">
        <v>1224</v>
      </c>
      <c r="Q259" s="7" t="s">
        <v>775</v>
      </c>
      <c r="R259" s="7">
        <v>66.224534522516336</v>
      </c>
      <c r="S259" s="7" t="s">
        <v>776</v>
      </c>
      <c r="T259" s="7">
        <v>175</v>
      </c>
      <c r="U259" s="7" t="s">
        <v>1225</v>
      </c>
      <c r="V259" s="7" t="s">
        <v>775</v>
      </c>
      <c r="W259" s="7">
        <v>5.1626550797553028</v>
      </c>
      <c r="X259" s="7" t="s">
        <v>776</v>
      </c>
      <c r="Y259" s="7">
        <v>175</v>
      </c>
      <c r="Z259" s="7" t="s">
        <v>1226</v>
      </c>
      <c r="AA259" s="7" t="s">
        <v>775</v>
      </c>
      <c r="AB259" s="7">
        <v>6.8606712023326279</v>
      </c>
      <c r="AC259" s="7" t="s">
        <v>776</v>
      </c>
      <c r="AD259" s="7"/>
      <c r="AE259" s="7" t="s">
        <v>779</v>
      </c>
      <c r="AF259" s="7"/>
      <c r="AG259" s="7">
        <v>127.11299144321842</v>
      </c>
      <c r="AH259" s="7" t="s">
        <v>776</v>
      </c>
      <c r="AI259" s="7">
        <v>3.0000000000000001E-3</v>
      </c>
      <c r="AJ259" s="7">
        <v>48.170868827778094</v>
      </c>
      <c r="AK259" s="7" t="s">
        <v>776</v>
      </c>
      <c r="AL259" s="7">
        <v>5.7249999999999996</v>
      </c>
      <c r="AM259" s="7" t="s">
        <v>780</v>
      </c>
      <c r="AN259" s="7" t="s">
        <v>781</v>
      </c>
      <c r="AO259" s="7" t="s">
        <v>782</v>
      </c>
      <c r="AP259" s="7">
        <v>6.8571428571428567E-5</v>
      </c>
      <c r="AQ259" s="7">
        <v>0.13085714285714281</v>
      </c>
      <c r="AR259" s="7">
        <v>0.1309257142857142</v>
      </c>
      <c r="AS259" s="8" t="b">
        <v>1</v>
      </c>
      <c r="AT259" s="8" t="b">
        <v>1</v>
      </c>
      <c r="AU259" s="8" t="b">
        <v>1</v>
      </c>
      <c r="AV259" s="8" t="b">
        <v>1</v>
      </c>
      <c r="AW259" s="8" t="b">
        <v>1</v>
      </c>
      <c r="AX259" s="8" t="b">
        <v>1</v>
      </c>
      <c r="AY259" s="8" t="b">
        <v>1</v>
      </c>
      <c r="AZ259" s="8" t="b">
        <v>1</v>
      </c>
      <c r="BA259" s="7" t="s">
        <v>783</v>
      </c>
      <c r="BB259" s="7" t="s">
        <v>783</v>
      </c>
      <c r="BC259" s="7" t="s">
        <v>784</v>
      </c>
      <c r="BD259" s="7">
        <v>-37.821013582495482</v>
      </c>
      <c r="BE259" s="7">
        <v>0.78514285714285703</v>
      </c>
      <c r="BF259" s="7">
        <v>41.164027213995766</v>
      </c>
      <c r="BG259" s="7">
        <v>0.13714285714285715</v>
      </c>
      <c r="BH259" s="7" t="s">
        <v>154</v>
      </c>
      <c r="BI259" s="7">
        <v>175</v>
      </c>
      <c r="BJ259" s="7">
        <v>24</v>
      </c>
      <c r="BK259" s="7">
        <v>24</v>
      </c>
      <c r="BL259" s="7">
        <v>24</v>
      </c>
      <c r="BM259" s="8" t="b">
        <v>1</v>
      </c>
      <c r="BN259" s="7">
        <v>5.2297916479495575E-2</v>
      </c>
      <c r="BO259" s="7">
        <v>4.1142857142857138E-4</v>
      </c>
      <c r="BP259" s="7">
        <v>30.975930478531815</v>
      </c>
      <c r="BQ259" s="7">
        <v>0.13714285714285715</v>
      </c>
      <c r="BR259" s="7" t="s">
        <v>154</v>
      </c>
      <c r="BS259" s="7">
        <v>175</v>
      </c>
      <c r="BT259" s="7">
        <v>24</v>
      </c>
      <c r="BU259" s="7">
        <v>24</v>
      </c>
      <c r="BV259" s="7">
        <v>24</v>
      </c>
      <c r="BW259" s="7" t="s">
        <v>1228</v>
      </c>
      <c r="BX259" s="8" t="b">
        <v>1</v>
      </c>
      <c r="BY259" s="7">
        <v>-649.71</v>
      </c>
      <c r="BZ259" s="7">
        <v>-36</v>
      </c>
      <c r="CA259" s="7">
        <v>46237.489583333336</v>
      </c>
      <c r="CB259" s="7">
        <v>46237.479166666664</v>
      </c>
      <c r="CC259" s="7">
        <v>2.5005424761904763E-2</v>
      </c>
      <c r="CD259" s="7">
        <v>152.20692996770188</v>
      </c>
      <c r="CE259" s="7">
        <v>161.20888288198762</v>
      </c>
      <c r="CF259" s="7">
        <v>662.24534522516342</v>
      </c>
      <c r="CG259" s="7">
        <v>0.3125</v>
      </c>
      <c r="CH259" s="7" t="s">
        <v>150</v>
      </c>
      <c r="CI259" s="7">
        <v>128</v>
      </c>
      <c r="CJ259" s="8" t="b">
        <v>1</v>
      </c>
      <c r="CK259" s="7">
        <v>40</v>
      </c>
      <c r="CL259" s="7">
        <v>40</v>
      </c>
      <c r="CM259" s="7">
        <v>40</v>
      </c>
      <c r="CN259" s="8" t="b">
        <v>0</v>
      </c>
      <c r="CO259" s="7" t="s">
        <v>1125</v>
      </c>
      <c r="CP259" s="7">
        <v>46.906587251674978</v>
      </c>
    </row>
    <row r="260" spans="1:94" ht="21" customHeight="1" x14ac:dyDescent="0.45">
      <c r="A260" s="9">
        <v>46237.489583333336</v>
      </c>
      <c r="B260" s="9">
        <v>46237.5</v>
      </c>
      <c r="C260" s="9">
        <v>46237.614583333336</v>
      </c>
      <c r="D260" s="10">
        <v>46237</v>
      </c>
      <c r="E260" s="7">
        <v>0.25</v>
      </c>
      <c r="F260" s="7" t="s">
        <v>770</v>
      </c>
      <c r="G260" s="9">
        <v>46237.458333333336</v>
      </c>
      <c r="H260" s="7">
        <v>75.13</v>
      </c>
      <c r="I260" s="7" t="s">
        <v>1229</v>
      </c>
      <c r="J260" s="7">
        <v>15</v>
      </c>
      <c r="K260" s="7" t="s">
        <v>1130</v>
      </c>
      <c r="L260" s="10">
        <v>46234</v>
      </c>
      <c r="M260" s="7">
        <v>5.2473000000000001</v>
      </c>
      <c r="N260" s="7" t="s">
        <v>773</v>
      </c>
      <c r="O260" s="7">
        <v>91.903999999999996</v>
      </c>
      <c r="P260" s="7" t="s">
        <v>1224</v>
      </c>
      <c r="Q260" s="7" t="s">
        <v>775</v>
      </c>
      <c r="R260" s="7">
        <v>66.224534522516336</v>
      </c>
      <c r="S260" s="7" t="s">
        <v>776</v>
      </c>
      <c r="T260" s="7">
        <v>175</v>
      </c>
      <c r="U260" s="7" t="s">
        <v>1225</v>
      </c>
      <c r="V260" s="7" t="s">
        <v>775</v>
      </c>
      <c r="W260" s="7">
        <v>5.1626550797553028</v>
      </c>
      <c r="X260" s="7" t="s">
        <v>776</v>
      </c>
      <c r="Y260" s="7">
        <v>175</v>
      </c>
      <c r="Z260" s="7" t="s">
        <v>1226</v>
      </c>
      <c r="AA260" s="7" t="s">
        <v>775</v>
      </c>
      <c r="AB260" s="7">
        <v>6.8606712023326279</v>
      </c>
      <c r="AC260" s="7" t="s">
        <v>776</v>
      </c>
      <c r="AD260" s="7"/>
      <c r="AE260" s="7" t="s">
        <v>779</v>
      </c>
      <c r="AF260" s="7"/>
      <c r="AG260" s="7">
        <v>128.81119813999578</v>
      </c>
      <c r="AH260" s="7" t="s">
        <v>776</v>
      </c>
      <c r="AI260" s="7">
        <v>0.23699999999999999</v>
      </c>
      <c r="AJ260" s="7">
        <v>62.848512568368498</v>
      </c>
      <c r="AK260" s="7" t="s">
        <v>776</v>
      </c>
      <c r="AL260" s="7">
        <v>0.29699999999999999</v>
      </c>
      <c r="AM260" s="7" t="s">
        <v>780</v>
      </c>
      <c r="AN260" s="7" t="s">
        <v>781</v>
      </c>
      <c r="AO260" s="7" t="s">
        <v>782</v>
      </c>
      <c r="AP260" s="7">
        <v>5.4171428571428001E-3</v>
      </c>
      <c r="AQ260" s="7">
        <v>6.7885714285713999E-3</v>
      </c>
      <c r="AR260" s="7">
        <v>1.22057142857142E-2</v>
      </c>
      <c r="AS260" s="8" t="b">
        <v>1</v>
      </c>
      <c r="AT260" s="8" t="b">
        <v>1</v>
      </c>
      <c r="AU260" s="8" t="b">
        <v>1</v>
      </c>
      <c r="AV260" s="8" t="b">
        <v>1</v>
      </c>
      <c r="AW260" s="8" t="b">
        <v>1</v>
      </c>
      <c r="AX260" s="8" t="b">
        <v>1</v>
      </c>
      <c r="AY260" s="8" t="b">
        <v>1</v>
      </c>
      <c r="AZ260" s="8" t="b">
        <v>1</v>
      </c>
      <c r="BA260" s="7" t="s">
        <v>783</v>
      </c>
      <c r="BB260" s="7" t="s">
        <v>783</v>
      </c>
      <c r="BC260" s="7" t="s">
        <v>784</v>
      </c>
      <c r="BD260" s="7">
        <v>-2.5599097004990323</v>
      </c>
      <c r="BE260" s="7">
        <v>4.0731428571428571E-2</v>
      </c>
      <c r="BF260" s="7">
        <v>41.164027213995766</v>
      </c>
      <c r="BG260" s="7">
        <v>0.13714285714285715</v>
      </c>
      <c r="BH260" s="7" t="s">
        <v>154</v>
      </c>
      <c r="BI260" s="7">
        <v>175</v>
      </c>
      <c r="BJ260" s="7">
        <v>24</v>
      </c>
      <c r="BK260" s="7">
        <v>24</v>
      </c>
      <c r="BL260" s="7">
        <v>24</v>
      </c>
      <c r="BM260" s="8" t="b">
        <v>1</v>
      </c>
      <c r="BN260" s="7">
        <v>4.1867319715445479</v>
      </c>
      <c r="BO260" s="7">
        <v>3.2502857142857139E-2</v>
      </c>
      <c r="BP260" s="7">
        <v>30.975930478531815</v>
      </c>
      <c r="BQ260" s="7">
        <v>0.13714285714285715</v>
      </c>
      <c r="BR260" s="7" t="s">
        <v>154</v>
      </c>
      <c r="BS260" s="7">
        <v>175</v>
      </c>
      <c r="BT260" s="7">
        <v>24</v>
      </c>
      <c r="BU260" s="7">
        <v>24</v>
      </c>
      <c r="BV260" s="7">
        <v>24</v>
      </c>
      <c r="BW260" s="7" t="s">
        <v>1229</v>
      </c>
      <c r="BX260" s="8" t="b">
        <v>1</v>
      </c>
      <c r="BY260" s="7">
        <v>-676.17</v>
      </c>
      <c r="BZ260" s="7">
        <v>-36</v>
      </c>
      <c r="CA260" s="7">
        <v>46237.5</v>
      </c>
      <c r="CB260" s="7">
        <v>46237.489583333336</v>
      </c>
      <c r="CC260" s="7">
        <v>2.3021028571428574E-2</v>
      </c>
      <c r="CD260" s="7">
        <v>161.20888288198762</v>
      </c>
      <c r="CE260" s="7">
        <v>169.49645316770193</v>
      </c>
      <c r="CF260" s="7">
        <v>662.24534522516342</v>
      </c>
      <c r="CG260" s="7">
        <v>0.3125</v>
      </c>
      <c r="CH260" s="7" t="s">
        <v>150</v>
      </c>
      <c r="CI260" s="7">
        <v>128</v>
      </c>
      <c r="CJ260" s="8" t="b">
        <v>1</v>
      </c>
      <c r="CK260" s="7">
        <v>40</v>
      </c>
      <c r="CL260" s="7">
        <v>40</v>
      </c>
      <c r="CM260" s="7">
        <v>40</v>
      </c>
      <c r="CN260" s="8" t="b">
        <v>0</v>
      </c>
      <c r="CO260" s="7" t="s">
        <v>1125</v>
      </c>
      <c r="CP260" s="7">
        <v>59.84212518873656</v>
      </c>
    </row>
    <row r="261" spans="1:94" ht="21" customHeight="1" x14ac:dyDescent="0.45">
      <c r="A261" s="9">
        <v>46237.5</v>
      </c>
      <c r="B261" s="9">
        <v>46237.510416666664</v>
      </c>
      <c r="C261" s="9">
        <v>46237.625</v>
      </c>
      <c r="D261" s="10">
        <v>46237</v>
      </c>
      <c r="E261" s="7">
        <v>0.25</v>
      </c>
      <c r="F261" s="7" t="s">
        <v>770</v>
      </c>
      <c r="G261" s="9">
        <v>46237.5</v>
      </c>
      <c r="H261" s="7">
        <v>77.17</v>
      </c>
      <c r="I261" s="7" t="s">
        <v>1230</v>
      </c>
      <c r="J261" s="7">
        <v>15</v>
      </c>
      <c r="K261" s="7" t="s">
        <v>1130</v>
      </c>
      <c r="L261" s="10">
        <v>46234</v>
      </c>
      <c r="M261" s="7">
        <v>5.2473000000000001</v>
      </c>
      <c r="N261" s="7" t="s">
        <v>773</v>
      </c>
      <c r="O261" s="7">
        <v>91.903999999999996</v>
      </c>
      <c r="P261" s="7" t="s">
        <v>1231</v>
      </c>
      <c r="Q261" s="7" t="s">
        <v>775</v>
      </c>
      <c r="R261" s="7">
        <v>66.224534522516336</v>
      </c>
      <c r="S261" s="7" t="s">
        <v>776</v>
      </c>
      <c r="T261" s="7">
        <v>175</v>
      </c>
      <c r="U261" s="7" t="s">
        <v>1232</v>
      </c>
      <c r="V261" s="7" t="s">
        <v>775</v>
      </c>
      <c r="W261" s="7">
        <v>5.0654622377222571</v>
      </c>
      <c r="X261" s="7" t="s">
        <v>776</v>
      </c>
      <c r="Y261" s="7">
        <v>175</v>
      </c>
      <c r="Z261" s="7" t="s">
        <v>1233</v>
      </c>
      <c r="AA261" s="7" t="s">
        <v>775</v>
      </c>
      <c r="AB261" s="7">
        <v>6.8606712023326279</v>
      </c>
      <c r="AC261" s="7" t="s">
        <v>776</v>
      </c>
      <c r="AD261" s="7"/>
      <c r="AE261" s="7" t="s">
        <v>779</v>
      </c>
      <c r="AF261" s="7"/>
      <c r="AG261" s="7">
        <v>133.18906866388429</v>
      </c>
      <c r="AH261" s="7" t="s">
        <v>776</v>
      </c>
      <c r="AI261" s="7">
        <v>0.27300000000000002</v>
      </c>
      <c r="AJ261" s="7">
        <v>72.963809959407698</v>
      </c>
      <c r="AK261" s="7" t="s">
        <v>776</v>
      </c>
      <c r="AL261" s="7">
        <v>0.10199999999999999</v>
      </c>
      <c r="AM261" s="7" t="s">
        <v>780</v>
      </c>
      <c r="AN261" s="7" t="s">
        <v>781</v>
      </c>
      <c r="AO261" s="7" t="s">
        <v>782</v>
      </c>
      <c r="AP261" s="7">
        <v>6.2399999999999999E-3</v>
      </c>
      <c r="AQ261" s="7">
        <v>2.3314285714285E-3</v>
      </c>
      <c r="AR261" s="7">
        <v>8.5714285714285007E-3</v>
      </c>
      <c r="AS261" s="8" t="b">
        <v>1</v>
      </c>
      <c r="AT261" s="8" t="b">
        <v>1</v>
      </c>
      <c r="AU261" s="8" t="b">
        <v>1</v>
      </c>
      <c r="AV261" s="8" t="b">
        <v>1</v>
      </c>
      <c r="AW261" s="8" t="b">
        <v>1</v>
      </c>
      <c r="AX261" s="8" t="b">
        <v>1</v>
      </c>
      <c r="AY261" s="8" t="b">
        <v>1</v>
      </c>
      <c r="AZ261" s="8" t="b">
        <v>1</v>
      </c>
      <c r="BA261" s="7" t="s">
        <v>783</v>
      </c>
      <c r="BB261" s="7" t="s">
        <v>783</v>
      </c>
      <c r="BC261" s="7" t="s">
        <v>784</v>
      </c>
      <c r="BD261" s="7">
        <v>-1.0206594673178859</v>
      </c>
      <c r="BE261" s="7">
        <v>1.3988571428571427E-2</v>
      </c>
      <c r="BF261" s="7">
        <v>41.164027213995766</v>
      </c>
      <c r="BG261" s="7">
        <v>0.13714285714285715</v>
      </c>
      <c r="BH261" s="7" t="s">
        <v>154</v>
      </c>
      <c r="BI261" s="7">
        <v>175</v>
      </c>
      <c r="BJ261" s="7">
        <v>24</v>
      </c>
      <c r="BK261" s="7">
        <v>24</v>
      </c>
      <c r="BL261" s="7">
        <v>24</v>
      </c>
      <c r="BM261" s="8" t="b">
        <v>1</v>
      </c>
      <c r="BN261" s="7">
        <v>4.9865987307758282</v>
      </c>
      <c r="BO261" s="7">
        <v>3.7440000000000001E-2</v>
      </c>
      <c r="BP261" s="7">
        <v>30.392773426333541</v>
      </c>
      <c r="BQ261" s="7">
        <v>0.13714285714285715</v>
      </c>
      <c r="BR261" s="7" t="s">
        <v>154</v>
      </c>
      <c r="BS261" s="7">
        <v>175</v>
      </c>
      <c r="BT261" s="7">
        <v>24</v>
      </c>
      <c r="BU261" s="7">
        <v>24</v>
      </c>
      <c r="BV261" s="7">
        <v>24</v>
      </c>
      <c r="BW261" s="7" t="s">
        <v>1230</v>
      </c>
      <c r="BX261" s="8" t="b">
        <v>1</v>
      </c>
      <c r="BY261" s="7">
        <v>-144.45850859488525</v>
      </c>
      <c r="BZ261" s="7">
        <v>-7.4878065877872357</v>
      </c>
      <c r="CA261" s="7">
        <v>46237.510416666664</v>
      </c>
      <c r="CB261" s="7">
        <v>46237.5</v>
      </c>
      <c r="CC261" s="7">
        <v>4.8675484376279141E-3</v>
      </c>
      <c r="CD261" s="7">
        <v>169.49645316770193</v>
      </c>
      <c r="CE261" s="7">
        <v>171.19277273193703</v>
      </c>
      <c r="CF261" s="7">
        <v>662.24534522516342</v>
      </c>
      <c r="CG261" s="7">
        <v>0.3125</v>
      </c>
      <c r="CH261" s="7" t="s">
        <v>150</v>
      </c>
      <c r="CI261" s="7">
        <v>128</v>
      </c>
      <c r="CJ261" s="8" t="b">
        <v>1</v>
      </c>
      <c r="CK261" s="7">
        <v>40</v>
      </c>
      <c r="CL261" s="7">
        <v>40</v>
      </c>
      <c r="CM261" s="7">
        <v>40</v>
      </c>
      <c r="CN261" s="8" t="b">
        <v>0</v>
      </c>
      <c r="CO261" s="7" t="s">
        <v>1125</v>
      </c>
      <c r="CP261" s="7">
        <v>593.3095765340654</v>
      </c>
    </row>
    <row r="262" spans="1:94" ht="21" customHeight="1" x14ac:dyDescent="0.45">
      <c r="A262" s="9">
        <v>46237.510416666664</v>
      </c>
      <c r="B262" s="9">
        <v>46237.520833333336</v>
      </c>
      <c r="C262" s="9">
        <v>46237.635416666664</v>
      </c>
      <c r="D262" s="10">
        <v>46237</v>
      </c>
      <c r="E262" s="7">
        <v>0.25</v>
      </c>
      <c r="F262" s="7" t="s">
        <v>770</v>
      </c>
      <c r="G262" s="9">
        <v>46237.5</v>
      </c>
      <c r="H262" s="7">
        <v>99.63</v>
      </c>
      <c r="I262" s="7" t="s">
        <v>1234</v>
      </c>
      <c r="J262" s="7">
        <v>15</v>
      </c>
      <c r="K262" s="7" t="s">
        <v>1130</v>
      </c>
      <c r="L262" s="10">
        <v>46234</v>
      </c>
      <c r="M262" s="7">
        <v>5.2473000000000001</v>
      </c>
      <c r="N262" s="7" t="s">
        <v>773</v>
      </c>
      <c r="O262" s="7">
        <v>91.903999999999996</v>
      </c>
      <c r="P262" s="7" t="s">
        <v>1231</v>
      </c>
      <c r="Q262" s="7" t="s">
        <v>775</v>
      </c>
      <c r="R262" s="7">
        <v>66.224534522516336</v>
      </c>
      <c r="S262" s="7" t="s">
        <v>776</v>
      </c>
      <c r="T262" s="7">
        <v>175</v>
      </c>
      <c r="U262" s="7" t="s">
        <v>1232</v>
      </c>
      <c r="V262" s="7" t="s">
        <v>775</v>
      </c>
      <c r="W262" s="7">
        <v>5.0654622377222571</v>
      </c>
      <c r="X262" s="7" t="s">
        <v>776</v>
      </c>
      <c r="Y262" s="7">
        <v>175</v>
      </c>
      <c r="Z262" s="7" t="s">
        <v>1233</v>
      </c>
      <c r="AA262" s="7" t="s">
        <v>775</v>
      </c>
      <c r="AB262" s="7">
        <v>6.8606712023326279</v>
      </c>
      <c r="AC262" s="7" t="s">
        <v>776</v>
      </c>
      <c r="AD262" s="7"/>
      <c r="AE262" s="7" t="s">
        <v>779</v>
      </c>
      <c r="AF262" s="7"/>
      <c r="AG262" s="7">
        <v>133.21136584529185</v>
      </c>
      <c r="AH262" s="7" t="s">
        <v>776</v>
      </c>
      <c r="AI262" s="7">
        <v>4.0000000000000001E-3</v>
      </c>
      <c r="AJ262" s="7">
        <v>48.703523716959197</v>
      </c>
      <c r="AK262" s="7" t="s">
        <v>776</v>
      </c>
      <c r="AL262" s="7">
        <v>3.2570000000000001</v>
      </c>
      <c r="AM262" s="7" t="s">
        <v>780</v>
      </c>
      <c r="AN262" s="7" t="s">
        <v>781</v>
      </c>
      <c r="AO262" s="7" t="s">
        <v>782</v>
      </c>
      <c r="AP262" s="7">
        <v>9.1428571428571446E-5</v>
      </c>
      <c r="AQ262" s="7">
        <v>7.4445714285714198E-2</v>
      </c>
      <c r="AR262" s="7">
        <v>7.4537142857142802E-2</v>
      </c>
      <c r="AS262" s="8" t="b">
        <v>1</v>
      </c>
      <c r="AT262" s="8" t="b">
        <v>1</v>
      </c>
      <c r="AU262" s="8" t="b">
        <v>1</v>
      </c>
      <c r="AV262" s="8" t="b">
        <v>1</v>
      </c>
      <c r="AW262" s="8" t="b">
        <v>1</v>
      </c>
      <c r="AX262" s="8" t="b">
        <v>1</v>
      </c>
      <c r="AY262" s="8" t="b">
        <v>1</v>
      </c>
      <c r="AZ262" s="8" t="b">
        <v>1</v>
      </c>
      <c r="BA262" s="7" t="s">
        <v>783</v>
      </c>
      <c r="BB262" s="7" t="s">
        <v>783</v>
      </c>
      <c r="BC262" s="7" t="s">
        <v>784</v>
      </c>
      <c r="BD262" s="7">
        <v>-21.754611668041523</v>
      </c>
      <c r="BE262" s="7">
        <v>0.44667428571428569</v>
      </c>
      <c r="BF262" s="7">
        <v>41.164027213995766</v>
      </c>
      <c r="BG262" s="7">
        <v>0.13714285714285715</v>
      </c>
      <c r="BH262" s="7" t="s">
        <v>154</v>
      </c>
      <c r="BI262" s="7">
        <v>175</v>
      </c>
      <c r="BJ262" s="7">
        <v>24</v>
      </c>
      <c r="BK262" s="7">
        <v>24</v>
      </c>
      <c r="BL262" s="7">
        <v>24</v>
      </c>
      <c r="BM262" s="8" t="b">
        <v>1</v>
      </c>
      <c r="BN262" s="7">
        <v>7.3075949263702963E-2</v>
      </c>
      <c r="BO262" s="7">
        <v>5.4857142857142865E-4</v>
      </c>
      <c r="BP262" s="7">
        <v>30.392773426333541</v>
      </c>
      <c r="BQ262" s="7">
        <v>0.13714285714285715</v>
      </c>
      <c r="BR262" s="7" t="s">
        <v>154</v>
      </c>
      <c r="BS262" s="7">
        <v>175</v>
      </c>
      <c r="BT262" s="7">
        <v>24</v>
      </c>
      <c r="BU262" s="7">
        <v>24</v>
      </c>
      <c r="BV262" s="7">
        <v>24</v>
      </c>
      <c r="BW262" s="7" t="s">
        <v>1234</v>
      </c>
      <c r="BX262" s="8" t="b">
        <v>1</v>
      </c>
      <c r="BY262" s="7">
        <v>5.4012751217289727</v>
      </c>
      <c r="BZ262" s="7">
        <v>0.21685336230970481</v>
      </c>
      <c r="CA262" s="7">
        <v>46237.520833333336</v>
      </c>
      <c r="CB262" s="7">
        <v>46237.510416666664</v>
      </c>
      <c r="CC262" s="7">
        <v>1.2843449509690186E-3</v>
      </c>
      <c r="CD262" s="7">
        <v>171.19277273193703</v>
      </c>
      <c r="CE262" s="7">
        <v>171.54486308571435</v>
      </c>
      <c r="CF262" s="7">
        <v>662.24534522516342</v>
      </c>
      <c r="CG262" s="7">
        <v>0.3125</v>
      </c>
      <c r="CH262" s="7" t="s">
        <v>150</v>
      </c>
      <c r="CI262" s="7">
        <v>128</v>
      </c>
      <c r="CJ262" s="8" t="b">
        <v>1</v>
      </c>
      <c r="CK262" s="7">
        <v>40</v>
      </c>
      <c r="CL262" s="7">
        <v>40</v>
      </c>
      <c r="CM262" s="7">
        <v>40</v>
      </c>
      <c r="CN262" s="8" t="b">
        <v>0</v>
      </c>
      <c r="CO262" s="7" t="s">
        <v>1125</v>
      </c>
      <c r="CP262" s="7">
        <v>717.52188526844384</v>
      </c>
    </row>
    <row r="263" spans="1:94" ht="21" customHeight="1" x14ac:dyDescent="0.45">
      <c r="A263" s="9">
        <v>46237.520833333336</v>
      </c>
      <c r="B263" s="9">
        <v>46237.53125</v>
      </c>
      <c r="C263" s="9">
        <v>46237.645833333336</v>
      </c>
      <c r="D263" s="10">
        <v>46237</v>
      </c>
      <c r="E263" s="7">
        <v>0.25</v>
      </c>
      <c r="F263" s="7" t="s">
        <v>770</v>
      </c>
      <c r="G263" s="9">
        <v>46237.5</v>
      </c>
      <c r="H263" s="7">
        <v>93.12</v>
      </c>
      <c r="I263" s="7" t="s">
        <v>1235</v>
      </c>
      <c r="J263" s="7">
        <v>15</v>
      </c>
      <c r="K263" s="7" t="s">
        <v>1130</v>
      </c>
      <c r="L263" s="10">
        <v>46234</v>
      </c>
      <c r="M263" s="7">
        <v>5.2473000000000001</v>
      </c>
      <c r="N263" s="7" t="s">
        <v>773</v>
      </c>
      <c r="O263" s="7">
        <v>91.903999999999996</v>
      </c>
      <c r="P263" s="7" t="s">
        <v>1231</v>
      </c>
      <c r="Q263" s="7" t="s">
        <v>775</v>
      </c>
      <c r="R263" s="7">
        <v>66.224534522516336</v>
      </c>
      <c r="S263" s="7" t="s">
        <v>776</v>
      </c>
      <c r="T263" s="7">
        <v>175</v>
      </c>
      <c r="U263" s="7" t="s">
        <v>1232</v>
      </c>
      <c r="V263" s="7" t="s">
        <v>775</v>
      </c>
      <c r="W263" s="7">
        <v>5.0654622377222571</v>
      </c>
      <c r="X263" s="7" t="s">
        <v>776</v>
      </c>
      <c r="Y263" s="7">
        <v>175</v>
      </c>
      <c r="Z263" s="7" t="s">
        <v>1233</v>
      </c>
      <c r="AA263" s="7" t="s">
        <v>775</v>
      </c>
      <c r="AB263" s="7">
        <v>6.8606712023326279</v>
      </c>
      <c r="AC263" s="7" t="s">
        <v>776</v>
      </c>
      <c r="AD263" s="7"/>
      <c r="AE263" s="7" t="s">
        <v>779</v>
      </c>
      <c r="AF263" s="7"/>
      <c r="AG263" s="7">
        <v>139.06542412288223</v>
      </c>
      <c r="AH263" s="7" t="s">
        <v>776</v>
      </c>
      <c r="AI263" s="7">
        <v>4.6769999999999996</v>
      </c>
      <c r="AJ263" s="7">
        <v>52.972195224210544</v>
      </c>
      <c r="AK263" s="7" t="s">
        <v>776</v>
      </c>
      <c r="AL263" s="7">
        <v>0.437</v>
      </c>
      <c r="AM263" s="7" t="s">
        <v>780</v>
      </c>
      <c r="AN263" s="7" t="s">
        <v>781</v>
      </c>
      <c r="AO263" s="7" t="s">
        <v>782</v>
      </c>
      <c r="AP263" s="7">
        <v>0.10690285714285711</v>
      </c>
      <c r="AQ263" s="7">
        <v>9.9885714285714005E-3</v>
      </c>
      <c r="AR263" s="7">
        <v>0.11689142857142849</v>
      </c>
      <c r="AS263" s="8" t="b">
        <v>1</v>
      </c>
      <c r="AT263" s="8" t="b">
        <v>1</v>
      </c>
      <c r="AU263" s="8" t="b">
        <v>1</v>
      </c>
      <c r="AV263" s="8" t="b">
        <v>1</v>
      </c>
      <c r="AW263" s="8" t="b">
        <v>1</v>
      </c>
      <c r="AX263" s="8" t="b">
        <v>1</v>
      </c>
      <c r="AY263" s="8" t="b">
        <v>1</v>
      </c>
      <c r="AZ263" s="8" t="b">
        <v>1</v>
      </c>
      <c r="BA263" s="7" t="s">
        <v>783</v>
      </c>
      <c r="BB263" s="7" t="s">
        <v>783</v>
      </c>
      <c r="BC263" s="7" t="s">
        <v>784</v>
      </c>
      <c r="BD263" s="7">
        <v>-3.1746993343515437</v>
      </c>
      <c r="BE263" s="7">
        <v>5.9931428571428566E-2</v>
      </c>
      <c r="BF263" s="7">
        <v>41.164027213995766</v>
      </c>
      <c r="BG263" s="7">
        <v>0.13714285714285715</v>
      </c>
      <c r="BH263" s="7" t="s">
        <v>154</v>
      </c>
      <c r="BI263" s="7">
        <v>175</v>
      </c>
      <c r="BJ263" s="7">
        <v>24</v>
      </c>
      <c r="BK263" s="7">
        <v>24</v>
      </c>
      <c r="BL263" s="7">
        <v>24</v>
      </c>
      <c r="BM263" s="8" t="b">
        <v>1</v>
      </c>
      <c r="BN263" s="7">
        <v>89.198947011115905</v>
      </c>
      <c r="BO263" s="7">
        <v>0.6414171428571428</v>
      </c>
      <c r="BP263" s="7">
        <v>30.392773426333541</v>
      </c>
      <c r="BQ263" s="7">
        <v>0.13714285714285715</v>
      </c>
      <c r="BR263" s="7" t="s">
        <v>154</v>
      </c>
      <c r="BS263" s="7">
        <v>175</v>
      </c>
      <c r="BT263" s="7">
        <v>24</v>
      </c>
      <c r="BU263" s="7">
        <v>24</v>
      </c>
      <c r="BV263" s="7">
        <v>24</v>
      </c>
      <c r="BW263" s="7" t="s">
        <v>1235</v>
      </c>
      <c r="BX263" s="8" t="b">
        <v>1</v>
      </c>
      <c r="BY263" s="7">
        <v>0</v>
      </c>
      <c r="BZ263" s="7">
        <v>0</v>
      </c>
      <c r="CA263" s="7">
        <v>46237.53125</v>
      </c>
      <c r="CB263" s="7">
        <v>46237.520833333336</v>
      </c>
      <c r="CC263" s="7">
        <v>2.0898040579710141E-3</v>
      </c>
      <c r="CD263" s="7">
        <v>171.54486308571435</v>
      </c>
      <c r="CE263" s="7">
        <v>170.90280745341622</v>
      </c>
      <c r="CF263" s="7">
        <v>662.24534522516342</v>
      </c>
      <c r="CG263" s="7">
        <v>0.3125</v>
      </c>
      <c r="CH263" s="7" t="s">
        <v>150</v>
      </c>
      <c r="CI263" s="7">
        <v>128</v>
      </c>
      <c r="CJ263" s="8" t="b">
        <v>1</v>
      </c>
      <c r="CK263" s="7">
        <v>40</v>
      </c>
      <c r="CL263" s="7">
        <v>40</v>
      </c>
      <c r="CM263" s="7">
        <v>40</v>
      </c>
      <c r="CN263" s="8" t="b">
        <v>0</v>
      </c>
      <c r="CO263" s="7" t="s">
        <v>1125</v>
      </c>
      <c r="CP263" s="7">
        <v>819.82639354225705</v>
      </c>
    </row>
    <row r="264" spans="1:94" ht="21" customHeight="1" x14ac:dyDescent="0.45">
      <c r="A264" s="9">
        <v>46237.53125</v>
      </c>
      <c r="B264" s="9">
        <v>46237.541666666664</v>
      </c>
      <c r="C264" s="9">
        <v>46237.65625</v>
      </c>
      <c r="D264" s="10">
        <v>46237</v>
      </c>
      <c r="E264" s="7">
        <v>0.25</v>
      </c>
      <c r="F264" s="7" t="s">
        <v>770</v>
      </c>
      <c r="G264" s="9">
        <v>46237.5</v>
      </c>
      <c r="H264" s="7">
        <v>93.31</v>
      </c>
      <c r="I264" s="7" t="s">
        <v>1236</v>
      </c>
      <c r="J264" s="7">
        <v>15</v>
      </c>
      <c r="K264" s="7" t="s">
        <v>1130</v>
      </c>
      <c r="L264" s="10">
        <v>46234</v>
      </c>
      <c r="M264" s="7">
        <v>5.2473000000000001</v>
      </c>
      <c r="N264" s="7" t="s">
        <v>773</v>
      </c>
      <c r="O264" s="7">
        <v>91.903999999999996</v>
      </c>
      <c r="P264" s="7" t="s">
        <v>1231</v>
      </c>
      <c r="Q264" s="7" t="s">
        <v>775</v>
      </c>
      <c r="R264" s="7">
        <v>66.224534522516336</v>
      </c>
      <c r="S264" s="7" t="s">
        <v>776</v>
      </c>
      <c r="T264" s="7">
        <v>175</v>
      </c>
      <c r="U264" s="7" t="s">
        <v>1232</v>
      </c>
      <c r="V264" s="7" t="s">
        <v>775</v>
      </c>
      <c r="W264" s="7">
        <v>5.0654622377222571</v>
      </c>
      <c r="X264" s="7" t="s">
        <v>776</v>
      </c>
      <c r="Y264" s="7">
        <v>175</v>
      </c>
      <c r="Z264" s="7" t="s">
        <v>1233</v>
      </c>
      <c r="AA264" s="7" t="s">
        <v>775</v>
      </c>
      <c r="AB264" s="7">
        <v>6.8606712023326279</v>
      </c>
      <c r="AC264" s="7" t="s">
        <v>776</v>
      </c>
      <c r="AD264" s="7"/>
      <c r="AE264" s="7" t="s">
        <v>779</v>
      </c>
      <c r="AF264" s="7"/>
      <c r="AG264" s="7">
        <v>134.75901892401805</v>
      </c>
      <c r="AH264" s="7" t="s">
        <v>776</v>
      </c>
      <c r="AI264" s="7">
        <v>2.9860000000000002</v>
      </c>
      <c r="AJ264" s="7">
        <v>0</v>
      </c>
      <c r="AK264" s="7" t="s">
        <v>776</v>
      </c>
      <c r="AL264" s="7">
        <v>0</v>
      </c>
      <c r="AM264" s="7" t="s">
        <v>780</v>
      </c>
      <c r="AN264" s="7" t="s">
        <v>781</v>
      </c>
      <c r="AO264" s="7" t="s">
        <v>782</v>
      </c>
      <c r="AP264" s="7">
        <v>6.8251428571428505E-2</v>
      </c>
      <c r="AQ264" s="7">
        <v>0</v>
      </c>
      <c r="AR264" s="7">
        <v>6.8251428571428505E-2</v>
      </c>
      <c r="AS264" s="8" t="b">
        <v>1</v>
      </c>
      <c r="AT264" s="8" t="b">
        <v>1</v>
      </c>
      <c r="AU264" s="8" t="b">
        <v>1</v>
      </c>
      <c r="AV264" s="8" t="b">
        <v>1</v>
      </c>
      <c r="AW264" s="8" t="b">
        <v>1</v>
      </c>
      <c r="AX264" s="8" t="b">
        <v>1</v>
      </c>
      <c r="AY264" s="8" t="b">
        <v>1</v>
      </c>
      <c r="AZ264" s="8" t="b">
        <v>1</v>
      </c>
      <c r="BA264" s="7" t="s">
        <v>783</v>
      </c>
      <c r="BB264" s="7" t="s">
        <v>783</v>
      </c>
      <c r="BC264" s="7" t="s">
        <v>784</v>
      </c>
      <c r="BD264" s="7">
        <v>0</v>
      </c>
      <c r="BE264" s="7">
        <v>0</v>
      </c>
      <c r="BF264" s="7">
        <v>41.164027213995766</v>
      </c>
      <c r="BG264" s="7">
        <v>0.13714285714285715</v>
      </c>
      <c r="BH264" s="7" t="s">
        <v>154</v>
      </c>
      <c r="BI264" s="7">
        <v>175</v>
      </c>
      <c r="BJ264" s="7">
        <v>24</v>
      </c>
      <c r="BK264" s="7">
        <v>24</v>
      </c>
      <c r="BL264" s="7">
        <v>24</v>
      </c>
      <c r="BM264" s="8" t="b">
        <v>1</v>
      </c>
      <c r="BN264" s="7">
        <v>55.184973326690454</v>
      </c>
      <c r="BO264" s="7">
        <v>0.40950857142857144</v>
      </c>
      <c r="BP264" s="7">
        <v>30.392773426333541</v>
      </c>
      <c r="BQ264" s="7">
        <v>0.13714285714285715</v>
      </c>
      <c r="BR264" s="7" t="s">
        <v>154</v>
      </c>
      <c r="BS264" s="7">
        <v>175</v>
      </c>
      <c r="BT264" s="7">
        <v>24</v>
      </c>
      <c r="BU264" s="7">
        <v>24</v>
      </c>
      <c r="BV264" s="7">
        <v>24</v>
      </c>
      <c r="BW264" s="7" t="s">
        <v>1236</v>
      </c>
      <c r="BX264" s="8" t="b">
        <v>1</v>
      </c>
      <c r="BY264" s="7">
        <v>0</v>
      </c>
      <c r="BZ264" s="7">
        <v>0</v>
      </c>
      <c r="CA264" s="7">
        <v>46237.541666666664</v>
      </c>
      <c r="CB264" s="7">
        <v>46237.53125</v>
      </c>
      <c r="CC264" s="7">
        <v>1.2364389233954453E-3</v>
      </c>
      <c r="CD264" s="7">
        <v>170.90280745341622</v>
      </c>
      <c r="CE264" s="7">
        <v>170.45768944099385</v>
      </c>
      <c r="CF264" s="7">
        <v>662.24534522516342</v>
      </c>
      <c r="CG264" s="7">
        <v>0.3125</v>
      </c>
      <c r="CH264" s="7" t="s">
        <v>150</v>
      </c>
      <c r="CI264" s="7">
        <v>128</v>
      </c>
      <c r="CJ264" s="8" t="b">
        <v>1</v>
      </c>
      <c r="CK264" s="7">
        <v>40</v>
      </c>
      <c r="CL264" s="7">
        <v>40</v>
      </c>
      <c r="CM264" s="7">
        <v>40</v>
      </c>
      <c r="CN264" s="8" t="b">
        <v>0</v>
      </c>
      <c r="CO264" s="7" t="s">
        <v>1125</v>
      </c>
      <c r="CP264" s="7">
        <v>788.98711919218317</v>
      </c>
    </row>
    <row r="265" spans="1:94" ht="21" customHeight="1" x14ac:dyDescent="0.45">
      <c r="A265" s="9">
        <v>46237.541666666664</v>
      </c>
      <c r="B265" s="9">
        <v>46237.552083333336</v>
      </c>
      <c r="C265" s="9">
        <v>46237.666666666664</v>
      </c>
      <c r="D265" s="10">
        <v>46237</v>
      </c>
      <c r="E265" s="7">
        <v>0.25</v>
      </c>
      <c r="F265" s="7" t="s">
        <v>770</v>
      </c>
      <c r="G265" s="9">
        <v>46237.541666666664</v>
      </c>
      <c r="H265" s="7">
        <v>87.48</v>
      </c>
      <c r="I265" s="7" t="s">
        <v>1237</v>
      </c>
      <c r="J265" s="7">
        <v>15</v>
      </c>
      <c r="K265" s="7" t="s">
        <v>1130</v>
      </c>
      <c r="L265" s="10">
        <v>46234</v>
      </c>
      <c r="M265" s="7">
        <v>5.2473000000000001</v>
      </c>
      <c r="N265" s="7" t="s">
        <v>773</v>
      </c>
      <c r="O265" s="7">
        <v>91.903999999999996</v>
      </c>
      <c r="P265" s="7" t="s">
        <v>1238</v>
      </c>
      <c r="Q265" s="7" t="s">
        <v>775</v>
      </c>
      <c r="R265" s="7">
        <v>66.224534522516336</v>
      </c>
      <c r="S265" s="7" t="s">
        <v>776</v>
      </c>
      <c r="T265" s="7">
        <v>175</v>
      </c>
      <c r="U265" s="7" t="s">
        <v>1239</v>
      </c>
      <c r="V265" s="7" t="s">
        <v>775</v>
      </c>
      <c r="W265" s="7">
        <v>5.5800125778972047</v>
      </c>
      <c r="X265" s="7" t="s">
        <v>776</v>
      </c>
      <c r="Y265" s="7">
        <v>175</v>
      </c>
      <c r="Z265" s="7" t="s">
        <v>1240</v>
      </c>
      <c r="AA265" s="7" t="s">
        <v>775</v>
      </c>
      <c r="AB265" s="7">
        <v>2.9310311969965506</v>
      </c>
      <c r="AC265" s="7" t="s">
        <v>776</v>
      </c>
      <c r="AD265" s="7"/>
      <c r="AE265" s="7" t="s">
        <v>779</v>
      </c>
      <c r="AF265" s="7"/>
      <c r="AG265" s="7">
        <v>133.21136584529185</v>
      </c>
      <c r="AH265" s="7" t="s">
        <v>776</v>
      </c>
      <c r="AI265" s="7">
        <v>7.2999999999999995E-2</v>
      </c>
      <c r="AJ265" s="7">
        <v>76.378899624568831</v>
      </c>
      <c r="AK265" s="7" t="s">
        <v>776</v>
      </c>
      <c r="AL265" s="7">
        <v>1.8049999999999999</v>
      </c>
      <c r="AM265" s="7" t="s">
        <v>780</v>
      </c>
      <c r="AN265" s="7" t="s">
        <v>781</v>
      </c>
      <c r="AO265" s="7" t="s">
        <v>782</v>
      </c>
      <c r="AP265" s="7">
        <v>1.6685714285713999E-3</v>
      </c>
      <c r="AQ265" s="7">
        <v>4.1257142857142798E-2</v>
      </c>
      <c r="AR265" s="7">
        <v>4.2925714285714199E-2</v>
      </c>
      <c r="AS265" s="8" t="b">
        <v>1</v>
      </c>
      <c r="AT265" s="8" t="b">
        <v>1</v>
      </c>
      <c r="AU265" s="8" t="b">
        <v>1</v>
      </c>
      <c r="AV265" s="8" t="b">
        <v>1</v>
      </c>
      <c r="AW265" s="8" t="b">
        <v>1</v>
      </c>
      <c r="AX265" s="8" t="b">
        <v>1</v>
      </c>
      <c r="AY265" s="8" t="b">
        <v>1</v>
      </c>
      <c r="AZ265" s="8" t="b">
        <v>1</v>
      </c>
      <c r="BA265" s="7" t="s">
        <v>783</v>
      </c>
      <c r="BB265" s="7" t="s">
        <v>783</v>
      </c>
      <c r="BC265" s="7" t="s">
        <v>784</v>
      </c>
      <c r="BD265" s="7">
        <v>-18.907051038493265</v>
      </c>
      <c r="BE265" s="7">
        <v>0.24754285714285712</v>
      </c>
      <c r="BF265" s="7">
        <v>17.586187181979305</v>
      </c>
      <c r="BG265" s="7">
        <v>0.13714285714285715</v>
      </c>
      <c r="BH265" s="7" t="s">
        <v>154</v>
      </c>
      <c r="BI265" s="7">
        <v>175</v>
      </c>
      <c r="BJ265" s="7">
        <v>24</v>
      </c>
      <c r="BK265" s="7">
        <v>24</v>
      </c>
      <c r="BL265" s="7">
        <v>24</v>
      </c>
      <c r="BM265" s="8" t="b">
        <v>1</v>
      </c>
      <c r="BN265" s="7">
        <v>0</v>
      </c>
      <c r="BO265" s="7">
        <v>0</v>
      </c>
      <c r="BP265" s="7">
        <v>0</v>
      </c>
      <c r="BQ265" s="7">
        <v>0.13714285714285715</v>
      </c>
      <c r="BR265" s="7" t="s">
        <v>154</v>
      </c>
      <c r="BS265" s="7">
        <v>175</v>
      </c>
      <c r="BT265" s="7">
        <v>0</v>
      </c>
      <c r="BU265" s="7">
        <v>24</v>
      </c>
      <c r="BV265" s="7">
        <v>24</v>
      </c>
      <c r="BW265" s="7" t="s">
        <v>1237</v>
      </c>
      <c r="BX265" s="8" t="b">
        <v>1</v>
      </c>
      <c r="BY265" s="7">
        <v>-15.190179345871236</v>
      </c>
      <c r="BZ265" s="7">
        <v>-0.6945669568299605</v>
      </c>
      <c r="CA265" s="7">
        <v>46237.552083333336</v>
      </c>
      <c r="CB265" s="7">
        <v>46237.541666666664</v>
      </c>
      <c r="CC265" s="7">
        <v>1.0763606351175542E-3</v>
      </c>
      <c r="CD265" s="7">
        <v>170.45768944099385</v>
      </c>
      <c r="CE265" s="7">
        <v>170.84517926963619</v>
      </c>
      <c r="CF265" s="7">
        <v>662.24534522516342</v>
      </c>
      <c r="CG265" s="7">
        <v>0.3125</v>
      </c>
      <c r="CH265" s="7" t="s">
        <v>150</v>
      </c>
      <c r="CI265" s="7">
        <v>128</v>
      </c>
      <c r="CJ265" s="8" t="b">
        <v>1</v>
      </c>
      <c r="CK265" s="7">
        <v>40</v>
      </c>
      <c r="CL265" s="7">
        <v>40</v>
      </c>
      <c r="CM265" s="7">
        <v>40</v>
      </c>
      <c r="CN265" s="8" t="b">
        <v>0</v>
      </c>
      <c r="CO265" s="7" t="s">
        <v>1125</v>
      </c>
      <c r="CP265" s="7">
        <v>645.73430202277825</v>
      </c>
    </row>
    <row r="266" spans="1:94" ht="21" customHeight="1" x14ac:dyDescent="0.45">
      <c r="A266" s="9">
        <v>46237.552083333336</v>
      </c>
      <c r="B266" s="9">
        <v>46237.5625</v>
      </c>
      <c r="C266" s="9">
        <v>46237.677083333336</v>
      </c>
      <c r="D266" s="10">
        <v>46237</v>
      </c>
      <c r="E266" s="7">
        <v>0.25</v>
      </c>
      <c r="F266" s="7" t="s">
        <v>770</v>
      </c>
      <c r="G266" s="9">
        <v>46237.541666666664</v>
      </c>
      <c r="H266" s="7">
        <v>104.15</v>
      </c>
      <c r="I266" s="7" t="s">
        <v>1241</v>
      </c>
      <c r="J266" s="7">
        <v>15</v>
      </c>
      <c r="K266" s="7" t="s">
        <v>1130</v>
      </c>
      <c r="L266" s="10">
        <v>46234</v>
      </c>
      <c r="M266" s="7">
        <v>5.2473000000000001</v>
      </c>
      <c r="N266" s="7" t="s">
        <v>773</v>
      </c>
      <c r="O266" s="7">
        <v>91.903999999999996</v>
      </c>
      <c r="P266" s="7" t="s">
        <v>1238</v>
      </c>
      <c r="Q266" s="7" t="s">
        <v>775</v>
      </c>
      <c r="R266" s="7">
        <v>66.224534522516336</v>
      </c>
      <c r="S266" s="7" t="s">
        <v>776</v>
      </c>
      <c r="T266" s="7">
        <v>175</v>
      </c>
      <c r="U266" s="7" t="s">
        <v>1239</v>
      </c>
      <c r="V266" s="7" t="s">
        <v>775</v>
      </c>
      <c r="W266" s="7">
        <v>5.5800125778972047</v>
      </c>
      <c r="X266" s="7" t="s">
        <v>776</v>
      </c>
      <c r="Y266" s="7">
        <v>175</v>
      </c>
      <c r="Z266" s="7" t="s">
        <v>1240</v>
      </c>
      <c r="AA266" s="7" t="s">
        <v>775</v>
      </c>
      <c r="AB266" s="7">
        <v>2.9310311969965506</v>
      </c>
      <c r="AC266" s="7" t="s">
        <v>776</v>
      </c>
      <c r="AD266" s="7"/>
      <c r="AE266" s="7" t="s">
        <v>779</v>
      </c>
      <c r="AF266" s="7"/>
      <c r="AG266" s="7">
        <v>0</v>
      </c>
      <c r="AH266" s="7" t="s">
        <v>776</v>
      </c>
      <c r="AI266" s="7">
        <v>0</v>
      </c>
      <c r="AJ266" s="7">
        <v>50.963162007127472</v>
      </c>
      <c r="AK266" s="7" t="s">
        <v>776</v>
      </c>
      <c r="AL266" s="7">
        <v>7.2039999999999997</v>
      </c>
      <c r="AM266" s="7" t="s">
        <v>780</v>
      </c>
      <c r="AN266" s="7" t="s">
        <v>781</v>
      </c>
      <c r="AO266" s="7" t="s">
        <v>782</v>
      </c>
      <c r="AP266" s="7">
        <v>0</v>
      </c>
      <c r="AQ266" s="7">
        <v>0.16466285714285711</v>
      </c>
      <c r="AR266" s="7">
        <v>0.16466285714285711</v>
      </c>
      <c r="AS266" s="8" t="b">
        <v>1</v>
      </c>
      <c r="AT266" s="8" t="b">
        <v>1</v>
      </c>
      <c r="AU266" s="8" t="b">
        <v>1</v>
      </c>
      <c r="AV266" s="8" t="b">
        <v>1</v>
      </c>
      <c r="AW266" s="8" t="b">
        <v>1</v>
      </c>
      <c r="AX266" s="8" t="b">
        <v>1</v>
      </c>
      <c r="AY266" s="8" t="b">
        <v>1</v>
      </c>
      <c r="AZ266" s="8" t="b">
        <v>1</v>
      </c>
      <c r="BA266" s="7" t="s">
        <v>783</v>
      </c>
      <c r="BB266" s="7" t="s">
        <v>783</v>
      </c>
      <c r="BC266" s="7" t="s">
        <v>784</v>
      </c>
      <c r="BD266" s="7">
        <v>-50.350439190767496</v>
      </c>
      <c r="BE266" s="7">
        <v>0.98797714285714289</v>
      </c>
      <c r="BF266" s="7">
        <v>17.586187181979305</v>
      </c>
      <c r="BG266" s="7">
        <v>0.13714285714285715</v>
      </c>
      <c r="BH266" s="7" t="s">
        <v>154</v>
      </c>
      <c r="BI266" s="7">
        <v>175</v>
      </c>
      <c r="BJ266" s="7">
        <v>24</v>
      </c>
      <c r="BK266" s="7">
        <v>24</v>
      </c>
      <c r="BL266" s="7">
        <v>24</v>
      </c>
      <c r="BM266" s="8" t="b">
        <v>1</v>
      </c>
      <c r="BN266" s="7">
        <v>0</v>
      </c>
      <c r="BO266" s="7">
        <v>0</v>
      </c>
      <c r="BP266" s="7">
        <v>0</v>
      </c>
      <c r="BQ266" s="7">
        <v>0.13714285714285715</v>
      </c>
      <c r="BR266" s="7" t="s">
        <v>154</v>
      </c>
      <c r="BS266" s="7">
        <v>175</v>
      </c>
      <c r="BT266" s="7">
        <v>0</v>
      </c>
      <c r="BU266" s="7">
        <v>24</v>
      </c>
      <c r="BV266" s="7">
        <v>24</v>
      </c>
      <c r="BW266" s="7" t="s">
        <v>1241</v>
      </c>
      <c r="BX266" s="8" t="b">
        <v>1</v>
      </c>
      <c r="BY266" s="7">
        <v>105.95704647798208</v>
      </c>
      <c r="BZ266" s="7">
        <v>4.0694016890247555</v>
      </c>
      <c r="CA266" s="7">
        <v>46237.5625</v>
      </c>
      <c r="CB266" s="7">
        <v>46237.552083333336</v>
      </c>
      <c r="CC266" s="7">
        <v>4.6626378832934504E-3</v>
      </c>
      <c r="CD266" s="7">
        <v>170.84517926963619</v>
      </c>
      <c r="CE266" s="7">
        <v>170.67627109237839</v>
      </c>
      <c r="CF266" s="7">
        <v>662.24534522516342</v>
      </c>
      <c r="CG266" s="7">
        <v>0.3125</v>
      </c>
      <c r="CH266" s="7" t="s">
        <v>150</v>
      </c>
      <c r="CI266" s="7">
        <v>128</v>
      </c>
      <c r="CJ266" s="8" t="b">
        <v>1</v>
      </c>
      <c r="CK266" s="7">
        <v>40</v>
      </c>
      <c r="CL266" s="7">
        <v>40</v>
      </c>
      <c r="CM266" s="7">
        <v>40</v>
      </c>
      <c r="CN266" s="8" t="b">
        <v>0</v>
      </c>
      <c r="CO266" s="7" t="s">
        <v>1125</v>
      </c>
      <c r="CP266" s="7">
        <v>735.43813969435735</v>
      </c>
    </row>
    <row r="267" spans="1:94" ht="21" customHeight="1" x14ac:dyDescent="0.45">
      <c r="A267" s="9">
        <v>46237.5625</v>
      </c>
      <c r="B267" s="9">
        <v>46237.572916666664</v>
      </c>
      <c r="C267" s="9">
        <v>46237.6875</v>
      </c>
      <c r="D267" s="10">
        <v>46237</v>
      </c>
      <c r="E267" s="7">
        <v>0.25</v>
      </c>
      <c r="F267" s="7" t="s">
        <v>770</v>
      </c>
      <c r="G267" s="9">
        <v>46237.541666666664</v>
      </c>
      <c r="H267" s="7">
        <v>110.76</v>
      </c>
      <c r="I267" s="7" t="s">
        <v>1242</v>
      </c>
      <c r="J267" s="7">
        <v>15</v>
      </c>
      <c r="K267" s="7" t="s">
        <v>1130</v>
      </c>
      <c r="L267" s="10">
        <v>46234</v>
      </c>
      <c r="M267" s="7">
        <v>5.2473000000000001</v>
      </c>
      <c r="N267" s="7" t="s">
        <v>773</v>
      </c>
      <c r="O267" s="7">
        <v>91.903999999999996</v>
      </c>
      <c r="P267" s="7" t="s">
        <v>1238</v>
      </c>
      <c r="Q267" s="7" t="s">
        <v>775</v>
      </c>
      <c r="R267" s="7">
        <v>66.224534522516336</v>
      </c>
      <c r="S267" s="7" t="s">
        <v>776</v>
      </c>
      <c r="T267" s="7">
        <v>175</v>
      </c>
      <c r="U267" s="7" t="s">
        <v>1239</v>
      </c>
      <c r="V267" s="7" t="s">
        <v>775</v>
      </c>
      <c r="W267" s="7">
        <v>5.5800125778972047</v>
      </c>
      <c r="X267" s="7" t="s">
        <v>776</v>
      </c>
      <c r="Y267" s="7">
        <v>175</v>
      </c>
      <c r="Z267" s="7" t="s">
        <v>1240</v>
      </c>
      <c r="AA267" s="7" t="s">
        <v>775</v>
      </c>
      <c r="AB267" s="7">
        <v>2.9310311969965506</v>
      </c>
      <c r="AC267" s="7" t="s">
        <v>776</v>
      </c>
      <c r="AD267" s="7"/>
      <c r="AE267" s="7" t="s">
        <v>779</v>
      </c>
      <c r="AF267" s="7"/>
      <c r="AG267" s="7">
        <v>0</v>
      </c>
      <c r="AH267" s="7" t="s">
        <v>776</v>
      </c>
      <c r="AI267" s="7">
        <v>0</v>
      </c>
      <c r="AJ267" s="7">
        <v>3.3070340937243921</v>
      </c>
      <c r="AK267" s="7" t="s">
        <v>776</v>
      </c>
      <c r="AL267" s="7">
        <v>11.577</v>
      </c>
      <c r="AM267" s="7" t="s">
        <v>780</v>
      </c>
      <c r="AN267" s="7" t="s">
        <v>781</v>
      </c>
      <c r="AO267" s="7" t="s">
        <v>782</v>
      </c>
      <c r="AP267" s="7">
        <v>0</v>
      </c>
      <c r="AQ267" s="7">
        <v>0.26461714285714277</v>
      </c>
      <c r="AR267" s="7">
        <v>0.26461714285714277</v>
      </c>
      <c r="AS267" s="8" t="b">
        <v>1</v>
      </c>
      <c r="AT267" s="8" t="b">
        <v>1</v>
      </c>
      <c r="AU267" s="8" t="b">
        <v>1</v>
      </c>
      <c r="AV267" s="8" t="b">
        <v>1</v>
      </c>
      <c r="AW267" s="8" t="b">
        <v>1</v>
      </c>
      <c r="AX267" s="8" t="b">
        <v>1</v>
      </c>
      <c r="AY267" s="8" t="b">
        <v>1</v>
      </c>
      <c r="AZ267" s="8" t="b">
        <v>1</v>
      </c>
      <c r="BA267" s="7" t="s">
        <v>783</v>
      </c>
      <c r="BB267" s="7" t="s">
        <v>783</v>
      </c>
      <c r="BC267" s="7" t="s">
        <v>784</v>
      </c>
      <c r="BD267" s="7">
        <v>-5.2505874792750555</v>
      </c>
      <c r="BE267" s="7">
        <v>1.5877028571428569</v>
      </c>
      <c r="BF267" s="7">
        <v>17.586187181979305</v>
      </c>
      <c r="BG267" s="7">
        <v>0.13714285714285715</v>
      </c>
      <c r="BH267" s="7" t="s">
        <v>154</v>
      </c>
      <c r="BI267" s="7">
        <v>175</v>
      </c>
      <c r="BJ267" s="7">
        <v>24</v>
      </c>
      <c r="BK267" s="7">
        <v>24</v>
      </c>
      <c r="BL267" s="7">
        <v>24</v>
      </c>
      <c r="BM267" s="8" t="b">
        <v>1</v>
      </c>
      <c r="BN267" s="7">
        <v>0</v>
      </c>
      <c r="BO267" s="7">
        <v>0</v>
      </c>
      <c r="BP267" s="7">
        <v>0</v>
      </c>
      <c r="BQ267" s="7">
        <v>0.13714285714285715</v>
      </c>
      <c r="BR267" s="7" t="s">
        <v>154</v>
      </c>
      <c r="BS267" s="7">
        <v>175</v>
      </c>
      <c r="BT267" s="7">
        <v>0</v>
      </c>
      <c r="BU267" s="7">
        <v>24</v>
      </c>
      <c r="BV267" s="7">
        <v>24</v>
      </c>
      <c r="BW267" s="7" t="s">
        <v>1242</v>
      </c>
      <c r="BX267" s="8" t="b">
        <v>1</v>
      </c>
      <c r="BY267" s="7">
        <v>244.29649457619723</v>
      </c>
      <c r="BZ267" s="7">
        <v>8.8225530724520489</v>
      </c>
      <c r="CA267" s="7">
        <v>46237.572916666664</v>
      </c>
      <c r="CB267" s="7">
        <v>46237.5625</v>
      </c>
      <c r="CC267" s="7">
        <v>7.4632221208954484E-3</v>
      </c>
      <c r="CD267" s="7">
        <v>170.67627109237839</v>
      </c>
      <c r="CE267" s="7">
        <v>169.83696894409951</v>
      </c>
      <c r="CF267" s="7">
        <v>662.24534522516342</v>
      </c>
      <c r="CG267" s="7">
        <v>0.3125</v>
      </c>
      <c r="CH267" s="7" t="s">
        <v>150</v>
      </c>
      <c r="CI267" s="7">
        <v>128</v>
      </c>
      <c r="CJ267" s="8" t="b">
        <v>1</v>
      </c>
      <c r="CK267" s="7">
        <v>40</v>
      </c>
      <c r="CL267" s="7">
        <v>40</v>
      </c>
      <c r="CM267" s="7">
        <v>40</v>
      </c>
      <c r="CN267" s="8" t="b">
        <v>0</v>
      </c>
      <c r="CO267" s="7" t="s">
        <v>1125</v>
      </c>
      <c r="CP267" s="7">
        <v>918.87743950406491</v>
      </c>
    </row>
    <row r="268" spans="1:94" ht="21" customHeight="1" x14ac:dyDescent="0.45">
      <c r="A268" s="9">
        <v>46237.572916666664</v>
      </c>
      <c r="B268" s="9">
        <v>46237.583333333336</v>
      </c>
      <c r="C268" s="9">
        <v>46237.697916666664</v>
      </c>
      <c r="D268" s="10">
        <v>46237</v>
      </c>
      <c r="E268" s="7">
        <v>0.25</v>
      </c>
      <c r="F268" s="7" t="s">
        <v>770</v>
      </c>
      <c r="G268" s="9">
        <v>46237.541666666664</v>
      </c>
      <c r="H268" s="7">
        <v>152.9</v>
      </c>
      <c r="I268" s="7" t="s">
        <v>1243</v>
      </c>
      <c r="J268" s="7">
        <v>15</v>
      </c>
      <c r="K268" s="7" t="s">
        <v>1130</v>
      </c>
      <c r="L268" s="10">
        <v>46234</v>
      </c>
      <c r="M268" s="7">
        <v>5.2473000000000001</v>
      </c>
      <c r="N268" s="7" t="s">
        <v>773</v>
      </c>
      <c r="O268" s="7">
        <v>91.903999999999996</v>
      </c>
      <c r="P268" s="7" t="s">
        <v>1238</v>
      </c>
      <c r="Q268" s="7" t="s">
        <v>775</v>
      </c>
      <c r="R268" s="7">
        <v>66.224534522516336</v>
      </c>
      <c r="S268" s="7" t="s">
        <v>776</v>
      </c>
      <c r="T268" s="7">
        <v>175</v>
      </c>
      <c r="U268" s="7" t="s">
        <v>1239</v>
      </c>
      <c r="V268" s="7" t="s">
        <v>775</v>
      </c>
      <c r="W268" s="7">
        <v>5.5800125778972047</v>
      </c>
      <c r="X268" s="7" t="s">
        <v>776</v>
      </c>
      <c r="Y268" s="7">
        <v>175</v>
      </c>
      <c r="Z268" s="7" t="s">
        <v>1240</v>
      </c>
      <c r="AA268" s="7" t="s">
        <v>775</v>
      </c>
      <c r="AB268" s="7">
        <v>2.9310311969965506</v>
      </c>
      <c r="AC268" s="7" t="s">
        <v>776</v>
      </c>
      <c r="AD268" s="7"/>
      <c r="AE268" s="7" t="s">
        <v>779</v>
      </c>
      <c r="AF268" s="7"/>
      <c r="AG268" s="7">
        <v>0</v>
      </c>
      <c r="AH268" s="7" t="s">
        <v>776</v>
      </c>
      <c r="AI268" s="7">
        <v>0</v>
      </c>
      <c r="AJ268" s="7">
        <v>-29.79741962533112</v>
      </c>
      <c r="AK268" s="7" t="s">
        <v>776</v>
      </c>
      <c r="AL268" s="7">
        <v>28.626999999999999</v>
      </c>
      <c r="AM268" s="7" t="s">
        <v>780</v>
      </c>
      <c r="AN268" s="7" t="s">
        <v>781</v>
      </c>
      <c r="AO268" s="7" t="s">
        <v>782</v>
      </c>
      <c r="AP268" s="7">
        <v>0</v>
      </c>
      <c r="AQ268" s="7">
        <v>0.65433142857142856</v>
      </c>
      <c r="AR268" s="7">
        <v>0.65433142857142856</v>
      </c>
      <c r="AS268" s="8" t="b">
        <v>1</v>
      </c>
      <c r="AT268" s="8" t="b">
        <v>1</v>
      </c>
      <c r="AU268" s="8" t="b">
        <v>1</v>
      </c>
      <c r="AV268" s="8" t="b">
        <v>1</v>
      </c>
      <c r="AW268" s="8" t="b">
        <v>1</v>
      </c>
      <c r="AX268" s="8" t="b">
        <v>1</v>
      </c>
      <c r="AY268" s="8" t="b">
        <v>1</v>
      </c>
      <c r="AZ268" s="8" t="b">
        <v>1</v>
      </c>
      <c r="BA268" s="7" t="s">
        <v>783</v>
      </c>
      <c r="BB268" s="7" t="s">
        <v>783</v>
      </c>
      <c r="BC268" s="7" t="s">
        <v>784</v>
      </c>
      <c r="BD268" s="7">
        <v>116.9843289071114</v>
      </c>
      <c r="BE268" s="7">
        <v>3.9259885714285714</v>
      </c>
      <c r="BF268" s="7">
        <v>17.586187181979305</v>
      </c>
      <c r="BG268" s="7">
        <v>0.13714285714285715</v>
      </c>
      <c r="BH268" s="7" t="s">
        <v>154</v>
      </c>
      <c r="BI268" s="7">
        <v>175</v>
      </c>
      <c r="BJ268" s="7">
        <v>24</v>
      </c>
      <c r="BK268" s="7">
        <v>24</v>
      </c>
      <c r="BL268" s="7">
        <v>24</v>
      </c>
      <c r="BM268" s="8" t="b">
        <v>1</v>
      </c>
      <c r="BN268" s="7">
        <v>0</v>
      </c>
      <c r="BO268" s="7">
        <v>0</v>
      </c>
      <c r="BP268" s="7">
        <v>0</v>
      </c>
      <c r="BQ268" s="7">
        <v>0.13714285714285715</v>
      </c>
      <c r="BR268" s="7" t="s">
        <v>154</v>
      </c>
      <c r="BS268" s="7">
        <v>175</v>
      </c>
      <c r="BT268" s="7">
        <v>0</v>
      </c>
      <c r="BU268" s="7">
        <v>24</v>
      </c>
      <c r="BV268" s="7">
        <v>24</v>
      </c>
      <c r="BW268" s="7" t="s">
        <v>1243</v>
      </c>
      <c r="BX268" s="8" t="b">
        <v>1</v>
      </c>
      <c r="BY268" s="7">
        <v>2293.5</v>
      </c>
      <c r="BZ268" s="7">
        <v>60</v>
      </c>
      <c r="CA268" s="7">
        <v>46237.583333333336</v>
      </c>
      <c r="CB268" s="7">
        <v>46237.572916666664</v>
      </c>
      <c r="CC268" s="7">
        <v>3.343602484472049E-2</v>
      </c>
      <c r="CD268" s="7">
        <v>169.83696894409951</v>
      </c>
      <c r="CE268" s="7">
        <v>157.80000000000013</v>
      </c>
      <c r="CF268" s="7">
        <v>662.24534522516342</v>
      </c>
      <c r="CG268" s="7">
        <v>0.3125</v>
      </c>
      <c r="CH268" s="7" t="s">
        <v>150</v>
      </c>
      <c r="CI268" s="7">
        <v>128</v>
      </c>
      <c r="CJ268" s="8" t="b">
        <v>1</v>
      </c>
      <c r="CK268" s="7">
        <v>40</v>
      </c>
      <c r="CL268" s="7">
        <v>40</v>
      </c>
      <c r="CM268" s="7">
        <v>40</v>
      </c>
      <c r="CN268" s="8" t="b">
        <v>0</v>
      </c>
      <c r="CO268" s="7" t="s">
        <v>1125</v>
      </c>
      <c r="CP268" s="7">
        <v>3090.3158613142541</v>
      </c>
    </row>
    <row r="269" spans="1:94" ht="21" customHeight="1" x14ac:dyDescent="0.45">
      <c r="A269" s="9">
        <v>46237.583333333336</v>
      </c>
      <c r="B269" s="9">
        <v>46237.59375</v>
      </c>
      <c r="C269" s="9">
        <v>46237.708333333336</v>
      </c>
      <c r="D269" s="10">
        <v>46237</v>
      </c>
      <c r="E269" s="7">
        <v>0.25</v>
      </c>
      <c r="F269" s="7" t="s">
        <v>770</v>
      </c>
      <c r="G269" s="9">
        <v>46237.583333333336</v>
      </c>
      <c r="H269" s="7">
        <v>88.22</v>
      </c>
      <c r="I269" s="7" t="s">
        <v>1244</v>
      </c>
      <c r="J269" s="7">
        <v>15</v>
      </c>
      <c r="K269" s="7" t="s">
        <v>1130</v>
      </c>
      <c r="L269" s="10">
        <v>46234</v>
      </c>
      <c r="M269" s="7">
        <v>5.2473000000000001</v>
      </c>
      <c r="N269" s="7" t="s">
        <v>773</v>
      </c>
      <c r="O269" s="7">
        <v>128</v>
      </c>
      <c r="P269" s="7" t="s">
        <v>1245</v>
      </c>
      <c r="Q269" s="7" t="s">
        <v>775</v>
      </c>
      <c r="R269" s="7">
        <v>66.224534522516336</v>
      </c>
      <c r="S269" s="7" t="s">
        <v>776</v>
      </c>
      <c r="T269" s="7">
        <v>175</v>
      </c>
      <c r="U269" s="7" t="s">
        <v>1246</v>
      </c>
      <c r="V269" s="7" t="s">
        <v>775</v>
      </c>
      <c r="W269" s="7">
        <v>5.8353820059840302</v>
      </c>
      <c r="X269" s="7" t="s">
        <v>776</v>
      </c>
      <c r="Y269" s="7">
        <v>175</v>
      </c>
      <c r="Z269" s="7" t="s">
        <v>1247</v>
      </c>
      <c r="AA269" s="7" t="s">
        <v>775</v>
      </c>
      <c r="AB269" s="7">
        <v>2.9310311969965506</v>
      </c>
      <c r="AC269" s="7" t="s">
        <v>776</v>
      </c>
      <c r="AD269" s="7"/>
      <c r="AE269" s="7" t="s">
        <v>779</v>
      </c>
      <c r="AF269" s="7"/>
      <c r="AG269" s="7">
        <v>0</v>
      </c>
      <c r="AH269" s="7" t="s">
        <v>776</v>
      </c>
      <c r="AI269" s="7">
        <v>0</v>
      </c>
      <c r="AJ269" s="7">
        <v>-610.432222285747</v>
      </c>
      <c r="AK269" s="7" t="s">
        <v>776</v>
      </c>
      <c r="AL269" s="7">
        <v>50.802</v>
      </c>
      <c r="AM269" s="7" t="s">
        <v>780</v>
      </c>
      <c r="AN269" s="7" t="s">
        <v>781</v>
      </c>
      <c r="AO269" s="7" t="s">
        <v>782</v>
      </c>
      <c r="AP269" s="7">
        <v>0</v>
      </c>
      <c r="AQ269" s="7">
        <v>1.1611885714285717</v>
      </c>
      <c r="AR269" s="7">
        <v>1.1611885714285717</v>
      </c>
      <c r="AS269" s="8" t="b">
        <v>1</v>
      </c>
      <c r="AT269" s="8" t="b">
        <v>0</v>
      </c>
      <c r="AU269" s="8" t="b">
        <v>1</v>
      </c>
      <c r="AV269" s="8" t="b">
        <v>0</v>
      </c>
      <c r="AW269" s="8" t="b">
        <v>0</v>
      </c>
      <c r="AX269" s="8" t="b">
        <v>1</v>
      </c>
      <c r="AY269" s="8" t="b">
        <v>1</v>
      </c>
      <c r="AZ269" s="8" t="b">
        <v>1</v>
      </c>
      <c r="BA269" s="7" t="s">
        <v>1176</v>
      </c>
      <c r="BB269" s="7" t="s">
        <v>1176</v>
      </c>
      <c r="BC269" s="7" t="s">
        <v>784</v>
      </c>
      <c r="BD269" s="7">
        <v>0</v>
      </c>
      <c r="BE269" s="7">
        <v>0</v>
      </c>
      <c r="BF269" s="7">
        <v>0</v>
      </c>
      <c r="BG269" s="7">
        <v>0.13714285714285715</v>
      </c>
      <c r="BH269" s="7" t="s">
        <v>154</v>
      </c>
      <c r="BI269" s="7">
        <v>175</v>
      </c>
      <c r="BJ269" s="7">
        <v>0</v>
      </c>
      <c r="BK269" s="7">
        <v>24</v>
      </c>
      <c r="BL269" s="7">
        <v>0</v>
      </c>
      <c r="BM269" s="8" t="b">
        <v>0</v>
      </c>
      <c r="BN269" s="7">
        <v>0</v>
      </c>
      <c r="BO269" s="7">
        <v>0</v>
      </c>
      <c r="BP269" s="7">
        <v>0</v>
      </c>
      <c r="BQ269" s="7">
        <v>0.13714285714285715</v>
      </c>
      <c r="BR269" s="7" t="s">
        <v>154</v>
      </c>
      <c r="BS269" s="7">
        <v>175</v>
      </c>
      <c r="BT269" s="7">
        <v>0</v>
      </c>
      <c r="BU269" s="7">
        <v>24</v>
      </c>
      <c r="BV269" s="7">
        <v>0</v>
      </c>
      <c r="BW269" s="7" t="s">
        <v>1244</v>
      </c>
      <c r="BX269" s="8" t="b">
        <v>1</v>
      </c>
      <c r="BY269" s="7">
        <v>-1323.3</v>
      </c>
      <c r="BZ269" s="7">
        <v>-60</v>
      </c>
      <c r="CA269" s="7">
        <v>46237.59375</v>
      </c>
      <c r="CB269" s="7">
        <v>46237.583333333336</v>
      </c>
      <c r="CC269" s="7">
        <v>3.8333333333333337E-2</v>
      </c>
      <c r="CD269" s="7">
        <v>157.80000000000013</v>
      </c>
      <c r="CE269" s="7">
        <v>171.60000000000014</v>
      </c>
      <c r="CF269" s="7">
        <v>662.24534522516342</v>
      </c>
      <c r="CG269" s="7">
        <v>0.3125</v>
      </c>
      <c r="CH269" s="7" t="s">
        <v>150</v>
      </c>
      <c r="CI269" s="7">
        <v>128</v>
      </c>
      <c r="CJ269" s="8" t="b">
        <v>1</v>
      </c>
      <c r="CK269" s="7">
        <v>40</v>
      </c>
      <c r="CL269" s="7">
        <v>40</v>
      </c>
      <c r="CM269" s="7">
        <v>40</v>
      </c>
      <c r="CN269" s="8" t="b">
        <v>0</v>
      </c>
      <c r="CO269" s="7" t="s">
        <v>1125</v>
      </c>
      <c r="CP269" s="7">
        <v>-661.05465477483654</v>
      </c>
    </row>
    <row r="270" spans="1:94" ht="21" customHeight="1" x14ac:dyDescent="0.45">
      <c r="A270" s="9">
        <v>46237.59375</v>
      </c>
      <c r="B270" s="9">
        <v>46237.604166666664</v>
      </c>
      <c r="C270" s="9">
        <v>46237.71875</v>
      </c>
      <c r="D270" s="10">
        <v>46237</v>
      </c>
      <c r="E270" s="7">
        <v>0.25</v>
      </c>
      <c r="F270" s="7" t="s">
        <v>770</v>
      </c>
      <c r="G270" s="9">
        <v>46237.583333333336</v>
      </c>
      <c r="H270" s="7">
        <v>107.47</v>
      </c>
      <c r="I270" s="7" t="s">
        <v>1248</v>
      </c>
      <c r="J270" s="7">
        <v>15</v>
      </c>
      <c r="K270" s="7" t="s">
        <v>1130</v>
      </c>
      <c r="L270" s="10">
        <v>46234</v>
      </c>
      <c r="M270" s="7">
        <v>5.2473000000000001</v>
      </c>
      <c r="N270" s="7" t="s">
        <v>773</v>
      </c>
      <c r="O270" s="7">
        <v>128</v>
      </c>
      <c r="P270" s="7" t="s">
        <v>1245</v>
      </c>
      <c r="Q270" s="7" t="s">
        <v>775</v>
      </c>
      <c r="R270" s="7">
        <v>66.224534522516336</v>
      </c>
      <c r="S270" s="7" t="s">
        <v>776</v>
      </c>
      <c r="T270" s="7">
        <v>175</v>
      </c>
      <c r="U270" s="7" t="s">
        <v>1246</v>
      </c>
      <c r="V270" s="7" t="s">
        <v>775</v>
      </c>
      <c r="W270" s="7">
        <v>5.8353820059840302</v>
      </c>
      <c r="X270" s="7" t="s">
        <v>776</v>
      </c>
      <c r="Y270" s="7">
        <v>175</v>
      </c>
      <c r="Z270" s="7" t="s">
        <v>1247</v>
      </c>
      <c r="AA270" s="7" t="s">
        <v>775</v>
      </c>
      <c r="AB270" s="7">
        <v>2.9310311969965506</v>
      </c>
      <c r="AC270" s="7" t="s">
        <v>776</v>
      </c>
      <c r="AD270" s="7"/>
      <c r="AE270" s="7" t="s">
        <v>779</v>
      </c>
      <c r="AF270" s="7"/>
      <c r="AG270" s="7">
        <v>0</v>
      </c>
      <c r="AH270" s="7" t="s">
        <v>776</v>
      </c>
      <c r="AI270" s="7">
        <v>0</v>
      </c>
      <c r="AJ270" s="7">
        <v>-725.89617517580461</v>
      </c>
      <c r="AK270" s="7" t="s">
        <v>776</v>
      </c>
      <c r="AL270" s="7">
        <v>64.891999999999996</v>
      </c>
      <c r="AM270" s="7" t="s">
        <v>780</v>
      </c>
      <c r="AN270" s="7" t="s">
        <v>781</v>
      </c>
      <c r="AO270" s="7" t="s">
        <v>782</v>
      </c>
      <c r="AP270" s="7">
        <v>0</v>
      </c>
      <c r="AQ270" s="7">
        <v>1.4832457142857145</v>
      </c>
      <c r="AR270" s="7">
        <v>1.4832457142857145</v>
      </c>
      <c r="AS270" s="8" t="b">
        <v>1</v>
      </c>
      <c r="AT270" s="8" t="b">
        <v>0</v>
      </c>
      <c r="AU270" s="8" t="b">
        <v>1</v>
      </c>
      <c r="AV270" s="8" t="b">
        <v>0</v>
      </c>
      <c r="AW270" s="8" t="b">
        <v>0</v>
      </c>
      <c r="AX270" s="8" t="b">
        <v>1</v>
      </c>
      <c r="AY270" s="8" t="b">
        <v>1</v>
      </c>
      <c r="AZ270" s="8" t="b">
        <v>1</v>
      </c>
      <c r="BA270" s="7" t="s">
        <v>1176</v>
      </c>
      <c r="BB270" s="7" t="s">
        <v>1176</v>
      </c>
      <c r="BC270" s="7" t="s">
        <v>784</v>
      </c>
      <c r="BD270" s="7">
        <v>0</v>
      </c>
      <c r="BE270" s="7">
        <v>0</v>
      </c>
      <c r="BF270" s="7">
        <v>0</v>
      </c>
      <c r="BG270" s="7">
        <v>0.13714285714285715</v>
      </c>
      <c r="BH270" s="7" t="s">
        <v>154</v>
      </c>
      <c r="BI270" s="7">
        <v>175</v>
      </c>
      <c r="BJ270" s="7">
        <v>0</v>
      </c>
      <c r="BK270" s="7">
        <v>24</v>
      </c>
      <c r="BL270" s="7">
        <v>0</v>
      </c>
      <c r="BM270" s="8" t="b">
        <v>0</v>
      </c>
      <c r="BN270" s="7">
        <v>0</v>
      </c>
      <c r="BO270" s="7">
        <v>0</v>
      </c>
      <c r="BP270" s="7">
        <v>0</v>
      </c>
      <c r="BQ270" s="7">
        <v>0.13714285714285715</v>
      </c>
      <c r="BR270" s="7" t="s">
        <v>154</v>
      </c>
      <c r="BS270" s="7">
        <v>175</v>
      </c>
      <c r="BT270" s="7">
        <v>0</v>
      </c>
      <c r="BU270" s="7">
        <v>24</v>
      </c>
      <c r="BV270" s="7">
        <v>0</v>
      </c>
      <c r="BW270" s="7" t="s">
        <v>1248</v>
      </c>
      <c r="BX270" s="8" t="b">
        <v>1</v>
      </c>
      <c r="BY270" s="7">
        <v>0</v>
      </c>
      <c r="BZ270" s="7">
        <v>0</v>
      </c>
      <c r="CA270" s="7">
        <v>46237.604166666664</v>
      </c>
      <c r="CB270" s="7">
        <v>46237.59375</v>
      </c>
      <c r="CC270" s="7">
        <v>0</v>
      </c>
      <c r="CD270" s="7">
        <v>171.60000000000014</v>
      </c>
      <c r="CE270" s="7">
        <v>171.60000000000014</v>
      </c>
      <c r="CF270" s="7">
        <v>662.24534522516342</v>
      </c>
      <c r="CG270" s="7">
        <v>0.3125</v>
      </c>
      <c r="CH270" s="7" t="s">
        <v>150</v>
      </c>
      <c r="CI270" s="7">
        <v>128</v>
      </c>
      <c r="CJ270" s="8" t="b">
        <v>1</v>
      </c>
      <c r="CK270" s="7">
        <v>40</v>
      </c>
      <c r="CL270" s="7">
        <v>40</v>
      </c>
      <c r="CM270" s="7">
        <v>40</v>
      </c>
      <c r="CN270" s="8" t="b">
        <v>0</v>
      </c>
      <c r="CO270" s="7" t="s">
        <v>1125</v>
      </c>
      <c r="CP270" s="7">
        <v>662.24534522516342</v>
      </c>
    </row>
    <row r="271" spans="1:94" ht="21" customHeight="1" x14ac:dyDescent="0.45">
      <c r="A271" s="9">
        <v>46237.604166666664</v>
      </c>
      <c r="B271" s="9">
        <v>46237.614583333336</v>
      </c>
      <c r="C271" s="9">
        <v>46237.729166666664</v>
      </c>
      <c r="D271" s="10">
        <v>46237</v>
      </c>
      <c r="E271" s="7">
        <v>0.25</v>
      </c>
      <c r="F271" s="7" t="s">
        <v>770</v>
      </c>
      <c r="G271" s="9">
        <v>46237.583333333336</v>
      </c>
      <c r="H271" s="7">
        <v>172.61</v>
      </c>
      <c r="I271" s="7" t="s">
        <v>1249</v>
      </c>
      <c r="J271" s="7">
        <v>15</v>
      </c>
      <c r="K271" s="7" t="s">
        <v>1130</v>
      </c>
      <c r="L271" s="10">
        <v>46234</v>
      </c>
      <c r="M271" s="7">
        <v>5.2473000000000001</v>
      </c>
      <c r="N271" s="7" t="s">
        <v>773</v>
      </c>
      <c r="O271" s="7">
        <v>128</v>
      </c>
      <c r="P271" s="7" t="s">
        <v>1245</v>
      </c>
      <c r="Q271" s="7" t="s">
        <v>775</v>
      </c>
      <c r="R271" s="7">
        <v>66.224534522516336</v>
      </c>
      <c r="S271" s="7" t="s">
        <v>776</v>
      </c>
      <c r="T271" s="7">
        <v>175</v>
      </c>
      <c r="U271" s="7" t="s">
        <v>1246</v>
      </c>
      <c r="V271" s="7" t="s">
        <v>775</v>
      </c>
      <c r="W271" s="7">
        <v>5.8353820059840302</v>
      </c>
      <c r="X271" s="7" t="s">
        <v>776</v>
      </c>
      <c r="Y271" s="7">
        <v>175</v>
      </c>
      <c r="Z271" s="7" t="s">
        <v>1247</v>
      </c>
      <c r="AA271" s="7" t="s">
        <v>775</v>
      </c>
      <c r="AB271" s="7">
        <v>2.9310311969965506</v>
      </c>
      <c r="AC271" s="7" t="s">
        <v>776</v>
      </c>
      <c r="AD271" s="7"/>
      <c r="AE271" s="7" t="s">
        <v>779</v>
      </c>
      <c r="AF271" s="7"/>
      <c r="AG271" s="7">
        <v>0</v>
      </c>
      <c r="AH271" s="7" t="s">
        <v>776</v>
      </c>
      <c r="AI271" s="7">
        <v>0</v>
      </c>
      <c r="AJ271" s="7">
        <v>5.135212394945972</v>
      </c>
      <c r="AK271" s="7" t="s">
        <v>776</v>
      </c>
      <c r="AL271" s="7">
        <v>14.622999999999999</v>
      </c>
      <c r="AM271" s="7" t="s">
        <v>780</v>
      </c>
      <c r="AN271" s="7" t="s">
        <v>781</v>
      </c>
      <c r="AO271" s="7" t="s">
        <v>782</v>
      </c>
      <c r="AP271" s="7">
        <v>0</v>
      </c>
      <c r="AQ271" s="7">
        <v>0.33423999999999998</v>
      </c>
      <c r="AR271" s="7">
        <v>0.33423999999999998</v>
      </c>
      <c r="AS271" s="8" t="b">
        <v>1</v>
      </c>
      <c r="AT271" s="8" t="b">
        <v>1</v>
      </c>
      <c r="AU271" s="8" t="b">
        <v>1</v>
      </c>
      <c r="AV271" s="8" t="b">
        <v>1</v>
      </c>
      <c r="AW271" s="8" t="b">
        <v>0</v>
      </c>
      <c r="AX271" s="8" t="b">
        <v>1</v>
      </c>
      <c r="AY271" s="8" t="b">
        <v>1</v>
      </c>
      <c r="AZ271" s="8" t="b">
        <v>1</v>
      </c>
      <c r="BA271" s="7" t="s">
        <v>783</v>
      </c>
      <c r="BB271" s="7" t="s">
        <v>1179</v>
      </c>
      <c r="BC271" s="7" t="s">
        <v>784</v>
      </c>
      <c r="BD271" s="7">
        <v>0</v>
      </c>
      <c r="BE271" s="7">
        <v>0</v>
      </c>
      <c r="BF271" s="7">
        <v>0</v>
      </c>
      <c r="BG271" s="7">
        <v>0.13714285714285715</v>
      </c>
      <c r="BH271" s="7" t="s">
        <v>154</v>
      </c>
      <c r="BI271" s="7">
        <v>175</v>
      </c>
      <c r="BJ271" s="7">
        <v>0</v>
      </c>
      <c r="BK271" s="7">
        <v>24</v>
      </c>
      <c r="BL271" s="7">
        <v>0</v>
      </c>
      <c r="BM271" s="8" t="b">
        <v>0</v>
      </c>
      <c r="BN271" s="7">
        <v>0</v>
      </c>
      <c r="BO271" s="7">
        <v>0</v>
      </c>
      <c r="BP271" s="7">
        <v>0</v>
      </c>
      <c r="BQ271" s="7">
        <v>0.13714285714285715</v>
      </c>
      <c r="BR271" s="7" t="s">
        <v>154</v>
      </c>
      <c r="BS271" s="7">
        <v>175</v>
      </c>
      <c r="BT271" s="7">
        <v>0</v>
      </c>
      <c r="BU271" s="7">
        <v>24</v>
      </c>
      <c r="BV271" s="7">
        <v>0</v>
      </c>
      <c r="BW271" s="7" t="s">
        <v>1249</v>
      </c>
      <c r="BX271" s="8" t="b">
        <v>1</v>
      </c>
      <c r="BY271" s="7">
        <v>0</v>
      </c>
      <c r="BZ271" s="7">
        <v>0</v>
      </c>
      <c r="CA271" s="7">
        <v>46237.614583333336</v>
      </c>
      <c r="CB271" s="7">
        <v>46237.604166666664</v>
      </c>
      <c r="CC271" s="7">
        <v>0</v>
      </c>
      <c r="CD271" s="7">
        <v>171.60000000000014</v>
      </c>
      <c r="CE271" s="7">
        <v>171.60000000000014</v>
      </c>
      <c r="CF271" s="7">
        <v>662.24534522516342</v>
      </c>
      <c r="CG271" s="7">
        <v>0.3125</v>
      </c>
      <c r="CH271" s="7" t="s">
        <v>150</v>
      </c>
      <c r="CI271" s="7">
        <v>128</v>
      </c>
      <c r="CJ271" s="8" t="b">
        <v>1</v>
      </c>
      <c r="CK271" s="7">
        <v>40</v>
      </c>
      <c r="CL271" s="7">
        <v>40</v>
      </c>
      <c r="CM271" s="7">
        <v>40</v>
      </c>
      <c r="CN271" s="8" t="b">
        <v>0</v>
      </c>
      <c r="CO271" s="7" t="s">
        <v>1125</v>
      </c>
      <c r="CP271" s="7">
        <v>662.24534522516342</v>
      </c>
    </row>
    <row r="272" spans="1:94" ht="21" customHeight="1" x14ac:dyDescent="0.45">
      <c r="A272" s="9">
        <v>46237.614583333336</v>
      </c>
      <c r="B272" s="9">
        <v>46237.625</v>
      </c>
      <c r="C272" s="9">
        <v>46237.739583333336</v>
      </c>
      <c r="D272" s="10">
        <v>46237</v>
      </c>
      <c r="E272" s="7">
        <v>0.25</v>
      </c>
      <c r="F272" s="7" t="s">
        <v>770</v>
      </c>
      <c r="G272" s="9">
        <v>46237.583333333336</v>
      </c>
      <c r="H272" s="7">
        <v>200.34</v>
      </c>
      <c r="I272" s="7" t="s">
        <v>1250</v>
      </c>
      <c r="J272" s="7">
        <v>15</v>
      </c>
      <c r="K272" s="7" t="s">
        <v>1130</v>
      </c>
      <c r="L272" s="10">
        <v>46234</v>
      </c>
      <c r="M272" s="7">
        <v>5.2473000000000001</v>
      </c>
      <c r="N272" s="7" t="s">
        <v>773</v>
      </c>
      <c r="O272" s="7">
        <v>128</v>
      </c>
      <c r="P272" s="7" t="s">
        <v>1245</v>
      </c>
      <c r="Q272" s="7" t="s">
        <v>775</v>
      </c>
      <c r="R272" s="7">
        <v>66.224534522516336</v>
      </c>
      <c r="S272" s="7" t="s">
        <v>776</v>
      </c>
      <c r="T272" s="7">
        <v>175</v>
      </c>
      <c r="U272" s="7" t="s">
        <v>1246</v>
      </c>
      <c r="V272" s="7" t="s">
        <v>775</v>
      </c>
      <c r="W272" s="7">
        <v>5.8353820059840302</v>
      </c>
      <c r="X272" s="7" t="s">
        <v>776</v>
      </c>
      <c r="Y272" s="7">
        <v>175</v>
      </c>
      <c r="Z272" s="7" t="s">
        <v>1247</v>
      </c>
      <c r="AA272" s="7" t="s">
        <v>775</v>
      </c>
      <c r="AB272" s="7">
        <v>2.9310311969965506</v>
      </c>
      <c r="AC272" s="7" t="s">
        <v>776</v>
      </c>
      <c r="AD272" s="7"/>
      <c r="AE272" s="7" t="s">
        <v>779</v>
      </c>
      <c r="AF272" s="7"/>
      <c r="AG272" s="7">
        <v>152.45936005183617</v>
      </c>
      <c r="AH272" s="7" t="s">
        <v>776</v>
      </c>
      <c r="AI272" s="7">
        <v>1.2999999999999999E-2</v>
      </c>
      <c r="AJ272" s="7">
        <v>36.112476892878242</v>
      </c>
      <c r="AK272" s="7" t="s">
        <v>776</v>
      </c>
      <c r="AL272" s="7">
        <v>2.706</v>
      </c>
      <c r="AM272" s="7" t="s">
        <v>780</v>
      </c>
      <c r="AN272" s="7" t="s">
        <v>781</v>
      </c>
      <c r="AO272" s="7" t="s">
        <v>782</v>
      </c>
      <c r="AP272" s="7">
        <v>2.9714285714280001E-4</v>
      </c>
      <c r="AQ272" s="7">
        <v>6.1851428571428502E-2</v>
      </c>
      <c r="AR272" s="7">
        <v>6.21485714285714E-2</v>
      </c>
      <c r="AS272" s="8" t="b">
        <v>1</v>
      </c>
      <c r="AT272" s="8" t="b">
        <v>1</v>
      </c>
      <c r="AU272" s="8" t="b">
        <v>1</v>
      </c>
      <c r="AV272" s="8" t="b">
        <v>1</v>
      </c>
      <c r="AW272" s="8" t="b">
        <v>0</v>
      </c>
      <c r="AX272" s="8" t="b">
        <v>1</v>
      </c>
      <c r="AY272" s="8" t="b">
        <v>1</v>
      </c>
      <c r="AZ272" s="8" t="b">
        <v>1</v>
      </c>
      <c r="BA272" s="7" t="s">
        <v>783</v>
      </c>
      <c r="BB272" s="7" t="s">
        <v>1179</v>
      </c>
      <c r="BC272" s="7" t="s">
        <v>784</v>
      </c>
      <c r="BD272" s="7">
        <v>0</v>
      </c>
      <c r="BE272" s="7">
        <v>0</v>
      </c>
      <c r="BF272" s="7">
        <v>0</v>
      </c>
      <c r="BG272" s="7">
        <v>0.13714285714285715</v>
      </c>
      <c r="BH272" s="7" t="s">
        <v>154</v>
      </c>
      <c r="BI272" s="7">
        <v>175</v>
      </c>
      <c r="BJ272" s="7">
        <v>0</v>
      </c>
      <c r="BK272" s="7">
        <v>24</v>
      </c>
      <c r="BL272" s="7">
        <v>0</v>
      </c>
      <c r="BM272" s="8" t="b">
        <v>0</v>
      </c>
      <c r="BN272" s="7">
        <v>0</v>
      </c>
      <c r="BO272" s="7">
        <v>0</v>
      </c>
      <c r="BP272" s="7">
        <v>0</v>
      </c>
      <c r="BQ272" s="7">
        <v>0.13714285714285715</v>
      </c>
      <c r="BR272" s="7" t="s">
        <v>154</v>
      </c>
      <c r="BS272" s="7">
        <v>175</v>
      </c>
      <c r="BT272" s="7">
        <v>0</v>
      </c>
      <c r="BU272" s="7">
        <v>24</v>
      </c>
      <c r="BV272" s="7">
        <v>0</v>
      </c>
      <c r="BW272" s="7" t="s">
        <v>1250</v>
      </c>
      <c r="BX272" s="8" t="b">
        <v>1</v>
      </c>
      <c r="BY272" s="7">
        <v>1920.7553829615917</v>
      </c>
      <c r="BZ272" s="7">
        <v>38.349912807459155</v>
      </c>
      <c r="CA272" s="7">
        <v>46237.625</v>
      </c>
      <c r="CB272" s="7">
        <v>46237.614583333336</v>
      </c>
      <c r="CC272" s="7">
        <v>2.8947699884857455E-2</v>
      </c>
      <c r="CD272" s="7">
        <v>171.60000000000014</v>
      </c>
      <c r="CE272" s="7">
        <v>161.17882804145145</v>
      </c>
      <c r="CF272" s="7">
        <v>662.24534522516342</v>
      </c>
      <c r="CG272" s="7">
        <v>0.3125</v>
      </c>
      <c r="CH272" s="7" t="s">
        <v>150</v>
      </c>
      <c r="CI272" s="7">
        <v>128</v>
      </c>
      <c r="CJ272" s="8" t="b">
        <v>1</v>
      </c>
      <c r="CK272" s="7">
        <v>40</v>
      </c>
      <c r="CL272" s="7">
        <v>40</v>
      </c>
      <c r="CM272" s="7">
        <v>40</v>
      </c>
      <c r="CN272" s="8" t="b">
        <v>0</v>
      </c>
      <c r="CO272" s="7" t="s">
        <v>1125</v>
      </c>
      <c r="CP272" s="7">
        <v>2583.0007281867552</v>
      </c>
    </row>
    <row r="273" spans="1:94" ht="21" customHeight="1" x14ac:dyDescent="0.45">
      <c r="A273" s="9">
        <v>46237.625</v>
      </c>
      <c r="B273" s="9">
        <v>46237.635416666664</v>
      </c>
      <c r="C273" s="9">
        <v>46237.75</v>
      </c>
      <c r="D273" s="10">
        <v>46237</v>
      </c>
      <c r="E273" s="7">
        <v>0.25</v>
      </c>
      <c r="F273" s="7" t="s">
        <v>770</v>
      </c>
      <c r="G273" s="9">
        <v>46237.625</v>
      </c>
      <c r="H273" s="7">
        <v>166.96</v>
      </c>
      <c r="I273" s="7" t="s">
        <v>1251</v>
      </c>
      <c r="J273" s="7">
        <v>15</v>
      </c>
      <c r="K273" s="7" t="s">
        <v>1130</v>
      </c>
      <c r="L273" s="10">
        <v>46234</v>
      </c>
      <c r="M273" s="7">
        <v>5.2473000000000001</v>
      </c>
      <c r="N273" s="7" t="s">
        <v>773</v>
      </c>
      <c r="O273" s="7">
        <v>131.96799999999999</v>
      </c>
      <c r="P273" s="7" t="s">
        <v>1252</v>
      </c>
      <c r="Q273" s="7" t="s">
        <v>775</v>
      </c>
      <c r="R273" s="7">
        <v>66.224534522516336</v>
      </c>
      <c r="S273" s="7" t="s">
        <v>776</v>
      </c>
      <c r="T273" s="7">
        <v>175</v>
      </c>
      <c r="U273" s="7" t="s">
        <v>1253</v>
      </c>
      <c r="V273" s="7" t="s">
        <v>775</v>
      </c>
      <c r="W273" s="7">
        <v>7.0664913384026065</v>
      </c>
      <c r="X273" s="7" t="s">
        <v>776</v>
      </c>
      <c r="Y273" s="7">
        <v>175</v>
      </c>
      <c r="Z273" s="7" t="s">
        <v>1254</v>
      </c>
      <c r="AA273" s="7" t="s">
        <v>775</v>
      </c>
      <c r="AB273" s="7">
        <v>2.5937148628818627</v>
      </c>
      <c r="AC273" s="7" t="s">
        <v>776</v>
      </c>
      <c r="AD273" s="7"/>
      <c r="AE273" s="7" t="s">
        <v>779</v>
      </c>
      <c r="AF273" s="7"/>
      <c r="AG273" s="7">
        <v>0</v>
      </c>
      <c r="AH273" s="7" t="s">
        <v>776</v>
      </c>
      <c r="AI273" s="7">
        <v>0</v>
      </c>
      <c r="AJ273" s="7">
        <v>24.810283383835497</v>
      </c>
      <c r="AK273" s="7" t="s">
        <v>776</v>
      </c>
      <c r="AL273" s="7">
        <v>11.742000000000001</v>
      </c>
      <c r="AM273" s="7" t="s">
        <v>780</v>
      </c>
      <c r="AN273" s="7" t="s">
        <v>781</v>
      </c>
      <c r="AO273" s="7" t="s">
        <v>782</v>
      </c>
      <c r="AP273" s="7">
        <v>0</v>
      </c>
      <c r="AQ273" s="7">
        <v>0.26838857142857148</v>
      </c>
      <c r="AR273" s="7">
        <v>0.26838857142857148</v>
      </c>
      <c r="AS273" s="8" t="b">
        <v>1</v>
      </c>
      <c r="AT273" s="8" t="b">
        <v>1</v>
      </c>
      <c r="AU273" s="8" t="b">
        <v>1</v>
      </c>
      <c r="AV273" s="8" t="b">
        <v>1</v>
      </c>
      <c r="AW273" s="8" t="b">
        <v>1</v>
      </c>
      <c r="AX273" s="8" t="b">
        <v>1</v>
      </c>
      <c r="AY273" s="8" t="b">
        <v>1</v>
      </c>
      <c r="AZ273" s="8" t="b">
        <v>1</v>
      </c>
      <c r="BA273" s="7" t="s">
        <v>783</v>
      </c>
      <c r="BB273" s="7" t="s">
        <v>783</v>
      </c>
      <c r="BC273" s="7" t="s">
        <v>784</v>
      </c>
      <c r="BD273" s="7">
        <v>-39.9527790847538</v>
      </c>
      <c r="BE273" s="7">
        <v>1.610331428571429</v>
      </c>
      <c r="BF273" s="7">
        <v>15.562289177291177</v>
      </c>
      <c r="BG273" s="7">
        <v>0.13714285714285715</v>
      </c>
      <c r="BH273" s="7" t="s">
        <v>154</v>
      </c>
      <c r="BI273" s="7">
        <v>175</v>
      </c>
      <c r="BJ273" s="7">
        <v>24</v>
      </c>
      <c r="BK273" s="7">
        <v>24</v>
      </c>
      <c r="BL273" s="7">
        <v>24</v>
      </c>
      <c r="BM273" s="8" t="b">
        <v>1</v>
      </c>
      <c r="BN273" s="7">
        <v>0</v>
      </c>
      <c r="BO273" s="7">
        <v>0</v>
      </c>
      <c r="BP273" s="7">
        <v>42.398948030415639</v>
      </c>
      <c r="BQ273" s="7">
        <v>0.13714285714285715</v>
      </c>
      <c r="BR273" s="7" t="s">
        <v>154</v>
      </c>
      <c r="BS273" s="7">
        <v>175</v>
      </c>
      <c r="BT273" s="7">
        <v>24</v>
      </c>
      <c r="BU273" s="7">
        <v>24</v>
      </c>
      <c r="BV273" s="7">
        <v>24</v>
      </c>
      <c r="BW273" s="7" t="s">
        <v>1251</v>
      </c>
      <c r="BX273" s="8" t="b">
        <v>1</v>
      </c>
      <c r="BY273" s="7">
        <v>-1502.64</v>
      </c>
      <c r="BZ273" s="7">
        <v>-36</v>
      </c>
      <c r="CA273" s="7">
        <v>46237.635416666664</v>
      </c>
      <c r="CB273" s="7">
        <v>46237.625</v>
      </c>
      <c r="CC273" s="7">
        <v>2.7115291428571428E-2</v>
      </c>
      <c r="CD273" s="7">
        <v>161.17882804145145</v>
      </c>
      <c r="CE273" s="7">
        <v>170.94033295573715</v>
      </c>
      <c r="CF273" s="7">
        <v>662.24534522516342</v>
      </c>
      <c r="CG273" s="7">
        <v>0.3125</v>
      </c>
      <c r="CH273" s="7" t="s">
        <v>150</v>
      </c>
      <c r="CI273" s="7">
        <v>128</v>
      </c>
      <c r="CJ273" s="8" t="b">
        <v>1</v>
      </c>
      <c r="CK273" s="7">
        <v>40</v>
      </c>
      <c r="CL273" s="7">
        <v>40</v>
      </c>
      <c r="CM273" s="7">
        <v>40</v>
      </c>
      <c r="CN273" s="8" t="b">
        <v>0</v>
      </c>
      <c r="CO273" s="7" t="s">
        <v>1125</v>
      </c>
      <c r="CP273" s="7">
        <v>-822.38619665188367</v>
      </c>
    </row>
    <row r="274" spans="1:94" ht="21" customHeight="1" x14ac:dyDescent="0.45">
      <c r="A274" s="9">
        <v>46237.635416666664</v>
      </c>
      <c r="B274" s="9">
        <v>46237.645833333336</v>
      </c>
      <c r="C274" s="9">
        <v>46237.760416666664</v>
      </c>
      <c r="D274" s="10">
        <v>46237</v>
      </c>
      <c r="E274" s="7">
        <v>0.25</v>
      </c>
      <c r="F274" s="7" t="s">
        <v>770</v>
      </c>
      <c r="G274" s="9">
        <v>46237.625</v>
      </c>
      <c r="H274" s="7">
        <v>189.53</v>
      </c>
      <c r="I274" s="7" t="s">
        <v>1255</v>
      </c>
      <c r="J274" s="7">
        <v>15</v>
      </c>
      <c r="K274" s="7" t="s">
        <v>1130</v>
      </c>
      <c r="L274" s="10">
        <v>46234</v>
      </c>
      <c r="M274" s="7">
        <v>5.2473000000000001</v>
      </c>
      <c r="N274" s="7" t="s">
        <v>773</v>
      </c>
      <c r="O274" s="7">
        <v>131.96799999999999</v>
      </c>
      <c r="P274" s="7" t="s">
        <v>1252</v>
      </c>
      <c r="Q274" s="7" t="s">
        <v>775</v>
      </c>
      <c r="R274" s="7">
        <v>66.224534522516336</v>
      </c>
      <c r="S274" s="7" t="s">
        <v>776</v>
      </c>
      <c r="T274" s="7">
        <v>175</v>
      </c>
      <c r="U274" s="7" t="s">
        <v>1253</v>
      </c>
      <c r="V274" s="7" t="s">
        <v>775</v>
      </c>
      <c r="W274" s="7">
        <v>7.0664913384026065</v>
      </c>
      <c r="X274" s="7" t="s">
        <v>776</v>
      </c>
      <c r="Y274" s="7">
        <v>175</v>
      </c>
      <c r="Z274" s="7" t="s">
        <v>1254</v>
      </c>
      <c r="AA274" s="7" t="s">
        <v>775</v>
      </c>
      <c r="AB274" s="7">
        <v>2.5937148628818627</v>
      </c>
      <c r="AC274" s="7" t="s">
        <v>776</v>
      </c>
      <c r="AD274" s="7"/>
      <c r="AE274" s="7" t="s">
        <v>779</v>
      </c>
      <c r="AF274" s="7"/>
      <c r="AG274" s="7">
        <v>219.30554761496387</v>
      </c>
      <c r="AH274" s="7" t="s">
        <v>776</v>
      </c>
      <c r="AI274" s="7">
        <v>1.58</v>
      </c>
      <c r="AJ274" s="7">
        <v>47.888056714881934</v>
      </c>
      <c r="AK274" s="7" t="s">
        <v>776</v>
      </c>
      <c r="AL274" s="7">
        <v>4.9909999999999997</v>
      </c>
      <c r="AM274" s="7" t="s">
        <v>780</v>
      </c>
      <c r="AN274" s="7" t="s">
        <v>781</v>
      </c>
      <c r="AO274" s="7" t="s">
        <v>782</v>
      </c>
      <c r="AP274" s="7">
        <v>3.6114285714285703E-2</v>
      </c>
      <c r="AQ274" s="7">
        <v>0.1140799999999999</v>
      </c>
      <c r="AR274" s="7">
        <v>0.1501942857142857</v>
      </c>
      <c r="AS274" s="8" t="b">
        <v>1</v>
      </c>
      <c r="AT274" s="8" t="b">
        <v>1</v>
      </c>
      <c r="AU274" s="8" t="b">
        <v>1</v>
      </c>
      <c r="AV274" s="8" t="b">
        <v>1</v>
      </c>
      <c r="AW274" s="8" t="b">
        <v>1</v>
      </c>
      <c r="AX274" s="8" t="b">
        <v>1</v>
      </c>
      <c r="AY274" s="8" t="b">
        <v>1</v>
      </c>
      <c r="AZ274" s="8" t="b">
        <v>1</v>
      </c>
      <c r="BA274" s="7" t="s">
        <v>783</v>
      </c>
      <c r="BB274" s="7" t="s">
        <v>783</v>
      </c>
      <c r="BC274" s="7" t="s">
        <v>784</v>
      </c>
      <c r="BD274" s="7">
        <v>-32.778417060202386</v>
      </c>
      <c r="BE274" s="7">
        <v>0.68447999999999998</v>
      </c>
      <c r="BF274" s="7">
        <v>15.562289177291177</v>
      </c>
      <c r="BG274" s="7">
        <v>0.13714285714285715</v>
      </c>
      <c r="BH274" s="7" t="s">
        <v>154</v>
      </c>
      <c r="BI274" s="7">
        <v>175</v>
      </c>
      <c r="BJ274" s="7">
        <v>24</v>
      </c>
      <c r="BK274" s="7">
        <v>24</v>
      </c>
      <c r="BL274" s="7">
        <v>24</v>
      </c>
      <c r="BM274" s="8" t="b">
        <v>1</v>
      </c>
      <c r="BN274" s="7">
        <v>47.520379231768175</v>
      </c>
      <c r="BO274" s="7">
        <v>0.21668571428571431</v>
      </c>
      <c r="BP274" s="7">
        <v>42.398948030415639</v>
      </c>
      <c r="BQ274" s="7">
        <v>0.13714285714285715</v>
      </c>
      <c r="BR274" s="7" t="s">
        <v>154</v>
      </c>
      <c r="BS274" s="7">
        <v>175</v>
      </c>
      <c r="BT274" s="7">
        <v>24</v>
      </c>
      <c r="BU274" s="7">
        <v>24</v>
      </c>
      <c r="BV274" s="7">
        <v>24</v>
      </c>
      <c r="BW274" s="7" t="s">
        <v>1255</v>
      </c>
      <c r="BX274" s="8" t="b">
        <v>1</v>
      </c>
      <c r="BY274" s="7">
        <v>-54.076849685545298</v>
      </c>
      <c r="BZ274" s="7">
        <v>-1.1412831675311623</v>
      </c>
      <c r="CA274" s="7">
        <v>46237.645833333336</v>
      </c>
      <c r="CB274" s="7">
        <v>46237.635416666664</v>
      </c>
      <c r="CC274" s="7">
        <v>3.0751796793244009E-3</v>
      </c>
      <c r="CD274" s="7">
        <v>170.94033295573715</v>
      </c>
      <c r="CE274" s="7">
        <v>171.59874208010388</v>
      </c>
      <c r="CF274" s="7">
        <v>662.24534522516342</v>
      </c>
      <c r="CG274" s="7">
        <v>0.3125</v>
      </c>
      <c r="CH274" s="7" t="s">
        <v>150</v>
      </c>
      <c r="CI274" s="7">
        <v>128</v>
      </c>
      <c r="CJ274" s="8" t="b">
        <v>1</v>
      </c>
      <c r="CK274" s="7">
        <v>40</v>
      </c>
      <c r="CL274" s="7">
        <v>40</v>
      </c>
      <c r="CM274" s="7">
        <v>40</v>
      </c>
      <c r="CN274" s="8" t="b">
        <v>0</v>
      </c>
      <c r="CO274" s="7" t="s">
        <v>1125</v>
      </c>
      <c r="CP274" s="7">
        <v>680.87169491889074</v>
      </c>
    </row>
    <row r="275" spans="1:94" ht="21" customHeight="1" x14ac:dyDescent="0.45">
      <c r="A275" s="9">
        <v>46237.645833333336</v>
      </c>
      <c r="B275" s="9">
        <v>46237.65625</v>
      </c>
      <c r="C275" s="9">
        <v>46237.770833333336</v>
      </c>
      <c r="D275" s="10">
        <v>46237</v>
      </c>
      <c r="E275" s="7">
        <v>0.25</v>
      </c>
      <c r="F275" s="7" t="s">
        <v>770</v>
      </c>
      <c r="G275" s="9">
        <v>46237.625</v>
      </c>
      <c r="H275" s="7">
        <v>227</v>
      </c>
      <c r="I275" s="7" t="s">
        <v>1256</v>
      </c>
      <c r="J275" s="7">
        <v>15</v>
      </c>
      <c r="K275" s="7" t="s">
        <v>1130</v>
      </c>
      <c r="L275" s="10">
        <v>46234</v>
      </c>
      <c r="M275" s="7">
        <v>5.2473000000000001</v>
      </c>
      <c r="N275" s="7" t="s">
        <v>773</v>
      </c>
      <c r="O275" s="7">
        <v>131.96799999999999</v>
      </c>
      <c r="P275" s="7" t="s">
        <v>1252</v>
      </c>
      <c r="Q275" s="7" t="s">
        <v>775</v>
      </c>
      <c r="R275" s="7">
        <v>66.224534522516336</v>
      </c>
      <c r="S275" s="7" t="s">
        <v>776</v>
      </c>
      <c r="T275" s="7">
        <v>175</v>
      </c>
      <c r="U275" s="7" t="s">
        <v>1253</v>
      </c>
      <c r="V275" s="7" t="s">
        <v>775</v>
      </c>
      <c r="W275" s="7">
        <v>7.0664913384026065</v>
      </c>
      <c r="X275" s="7" t="s">
        <v>776</v>
      </c>
      <c r="Y275" s="7">
        <v>175</v>
      </c>
      <c r="Z275" s="7" t="s">
        <v>1254</v>
      </c>
      <c r="AA275" s="7" t="s">
        <v>775</v>
      </c>
      <c r="AB275" s="7">
        <v>2.5937148628818627</v>
      </c>
      <c r="AC275" s="7" t="s">
        <v>776</v>
      </c>
      <c r="AD275" s="7"/>
      <c r="AE275" s="7" t="s">
        <v>779</v>
      </c>
      <c r="AF275" s="7"/>
      <c r="AG275" s="7">
        <v>330.64185390581827</v>
      </c>
      <c r="AH275" s="7" t="s">
        <v>776</v>
      </c>
      <c r="AI275" s="7">
        <v>9.4749999999999996</v>
      </c>
      <c r="AJ275" s="7">
        <v>76.253501800926188</v>
      </c>
      <c r="AK275" s="7" t="s">
        <v>776</v>
      </c>
      <c r="AL275" s="7">
        <v>8.0000000000000002E-3</v>
      </c>
      <c r="AM275" s="7" t="s">
        <v>780</v>
      </c>
      <c r="AN275" s="7" t="s">
        <v>781</v>
      </c>
      <c r="AO275" s="7" t="s">
        <v>782</v>
      </c>
      <c r="AP275" s="7">
        <v>0.2165714285714285</v>
      </c>
      <c r="AQ275" s="7">
        <v>1.8285714285710001E-4</v>
      </c>
      <c r="AR275" s="7">
        <v>0.2167542857142857</v>
      </c>
      <c r="AS275" s="8" t="b">
        <v>1</v>
      </c>
      <c r="AT275" s="8" t="b">
        <v>1</v>
      </c>
      <c r="AU275" s="8" t="b">
        <v>1</v>
      </c>
      <c r="AV275" s="8" t="b">
        <v>1</v>
      </c>
      <c r="AW275" s="8" t="b">
        <v>1</v>
      </c>
      <c r="AX275" s="8" t="b">
        <v>1</v>
      </c>
      <c r="AY275" s="8" t="b">
        <v>1</v>
      </c>
      <c r="AZ275" s="8" t="b">
        <v>1</v>
      </c>
      <c r="BA275" s="7" t="s">
        <v>783</v>
      </c>
      <c r="BB275" s="7" t="s">
        <v>783</v>
      </c>
      <c r="BC275" s="7" t="s">
        <v>784</v>
      </c>
      <c r="BD275" s="7">
        <v>-8.3660984833016178E-2</v>
      </c>
      <c r="BE275" s="7">
        <v>1.0971428571428573E-3</v>
      </c>
      <c r="BF275" s="7">
        <v>15.562289177291177</v>
      </c>
      <c r="BG275" s="7">
        <v>0.13714285714285715</v>
      </c>
      <c r="BH275" s="7" t="s">
        <v>154</v>
      </c>
      <c r="BI275" s="7">
        <v>175</v>
      </c>
      <c r="BJ275" s="7">
        <v>24</v>
      </c>
      <c r="BK275" s="7">
        <v>24</v>
      </c>
      <c r="BL275" s="7">
        <v>24</v>
      </c>
      <c r="BM275" s="8" t="b">
        <v>1</v>
      </c>
      <c r="BN275" s="7">
        <v>429.64547187533185</v>
      </c>
      <c r="BO275" s="7">
        <v>1.2994285714285714</v>
      </c>
      <c r="BP275" s="7">
        <v>42.398948030415639</v>
      </c>
      <c r="BQ275" s="7">
        <v>0.13714285714285715</v>
      </c>
      <c r="BR275" s="7" t="s">
        <v>154</v>
      </c>
      <c r="BS275" s="7">
        <v>175</v>
      </c>
      <c r="BT275" s="7">
        <v>24</v>
      </c>
      <c r="BU275" s="7">
        <v>24</v>
      </c>
      <c r="BV275" s="7">
        <v>24</v>
      </c>
      <c r="BW275" s="7" t="s">
        <v>1256</v>
      </c>
      <c r="BX275" s="8" t="b">
        <v>1</v>
      </c>
      <c r="BY275" s="7">
        <v>-335.38002308442549</v>
      </c>
      <c r="BZ275" s="7">
        <v>-5.909780142456837</v>
      </c>
      <c r="CA275" s="7">
        <v>46237.65625</v>
      </c>
      <c r="CB275" s="7">
        <v>46237.645833333336</v>
      </c>
      <c r="CC275" s="7">
        <v>5.9180847378147959E-3</v>
      </c>
      <c r="CD275" s="7">
        <v>171.59874208010388</v>
      </c>
      <c r="CE275" s="7">
        <v>171.60000000000016</v>
      </c>
      <c r="CF275" s="7">
        <v>662.24534522516342</v>
      </c>
      <c r="CG275" s="7">
        <v>0.3125</v>
      </c>
      <c r="CH275" s="7" t="s">
        <v>150</v>
      </c>
      <c r="CI275" s="7">
        <v>128</v>
      </c>
      <c r="CJ275" s="8" t="b">
        <v>1</v>
      </c>
      <c r="CK275" s="7">
        <v>40</v>
      </c>
      <c r="CL275" s="7">
        <v>40</v>
      </c>
      <c r="CM275" s="7">
        <v>40</v>
      </c>
      <c r="CN275" s="8" t="b">
        <v>0</v>
      </c>
      <c r="CO275" s="7" t="s">
        <v>1125</v>
      </c>
      <c r="CP275" s="7">
        <v>814.38837023894359</v>
      </c>
    </row>
    <row r="276" spans="1:94" ht="21" customHeight="1" x14ac:dyDescent="0.45">
      <c r="A276" s="9">
        <v>46237.65625</v>
      </c>
      <c r="B276" s="9">
        <v>46237.666666666664</v>
      </c>
      <c r="C276" s="9">
        <v>46237.78125</v>
      </c>
      <c r="D276" s="10">
        <v>46237</v>
      </c>
      <c r="E276" s="7">
        <v>0.25</v>
      </c>
      <c r="F276" s="7" t="s">
        <v>770</v>
      </c>
      <c r="G276" s="9">
        <v>46237.625</v>
      </c>
      <c r="H276" s="7">
        <v>262.27</v>
      </c>
      <c r="I276" s="7" t="s">
        <v>1257</v>
      </c>
      <c r="J276" s="7">
        <v>15</v>
      </c>
      <c r="K276" s="7" t="s">
        <v>1130</v>
      </c>
      <c r="L276" s="10">
        <v>46234</v>
      </c>
      <c r="M276" s="7">
        <v>5.2473000000000001</v>
      </c>
      <c r="N276" s="7" t="s">
        <v>773</v>
      </c>
      <c r="O276" s="7">
        <v>131.96799999999999</v>
      </c>
      <c r="P276" s="7" t="s">
        <v>1252</v>
      </c>
      <c r="Q276" s="7" t="s">
        <v>775</v>
      </c>
      <c r="R276" s="7">
        <v>66.224534522516336</v>
      </c>
      <c r="S276" s="7" t="s">
        <v>776</v>
      </c>
      <c r="T276" s="7">
        <v>175</v>
      </c>
      <c r="U276" s="7" t="s">
        <v>1253</v>
      </c>
      <c r="V276" s="7" t="s">
        <v>775</v>
      </c>
      <c r="W276" s="7">
        <v>7.0664913384026065</v>
      </c>
      <c r="X276" s="7" t="s">
        <v>776</v>
      </c>
      <c r="Y276" s="7">
        <v>175</v>
      </c>
      <c r="Z276" s="7" t="s">
        <v>1254</v>
      </c>
      <c r="AA276" s="7" t="s">
        <v>775</v>
      </c>
      <c r="AB276" s="7">
        <v>2.5937148628818627</v>
      </c>
      <c r="AC276" s="7" t="s">
        <v>776</v>
      </c>
      <c r="AD276" s="7"/>
      <c r="AE276" s="7" t="s">
        <v>779</v>
      </c>
      <c r="AF276" s="7"/>
      <c r="AG276" s="7">
        <v>355.77840032016462</v>
      </c>
      <c r="AH276" s="7" t="s">
        <v>776</v>
      </c>
      <c r="AI276" s="7">
        <v>27.350999999999999</v>
      </c>
      <c r="AJ276" s="7">
        <v>0</v>
      </c>
      <c r="AK276" s="7" t="s">
        <v>776</v>
      </c>
      <c r="AL276" s="7">
        <v>0</v>
      </c>
      <c r="AM276" s="7" t="s">
        <v>780</v>
      </c>
      <c r="AN276" s="7" t="s">
        <v>781</v>
      </c>
      <c r="AO276" s="7" t="s">
        <v>782</v>
      </c>
      <c r="AP276" s="7">
        <v>0.62516571428571421</v>
      </c>
      <c r="AQ276" s="7">
        <v>0</v>
      </c>
      <c r="AR276" s="7">
        <v>0.62516571428571421</v>
      </c>
      <c r="AS276" s="8" t="b">
        <v>1</v>
      </c>
      <c r="AT276" s="8" t="b">
        <v>1</v>
      </c>
      <c r="AU276" s="8" t="b">
        <v>1</v>
      </c>
      <c r="AV276" s="8" t="b">
        <v>1</v>
      </c>
      <c r="AW276" s="8" t="b">
        <v>1</v>
      </c>
      <c r="AX276" s="8" t="b">
        <v>1</v>
      </c>
      <c r="AY276" s="8" t="b">
        <v>1</v>
      </c>
      <c r="AZ276" s="8" t="b">
        <v>1</v>
      </c>
      <c r="BA276" s="7" t="s">
        <v>783</v>
      </c>
      <c r="BB276" s="7" t="s">
        <v>783</v>
      </c>
      <c r="BC276" s="7" t="s">
        <v>784</v>
      </c>
      <c r="BD276" s="7">
        <v>0</v>
      </c>
      <c r="BE276" s="7">
        <v>0</v>
      </c>
      <c r="BF276" s="7">
        <v>15.562289177291177</v>
      </c>
      <c r="BG276" s="7">
        <v>0.13714285714285715</v>
      </c>
      <c r="BH276" s="7" t="s">
        <v>154</v>
      </c>
      <c r="BI276" s="7">
        <v>175</v>
      </c>
      <c r="BJ276" s="7">
        <v>24</v>
      </c>
      <c r="BK276" s="7">
        <v>24</v>
      </c>
      <c r="BL276" s="7">
        <v>24</v>
      </c>
      <c r="BM276" s="8" t="b">
        <v>1</v>
      </c>
      <c r="BN276" s="7">
        <v>1334.5227465815069</v>
      </c>
      <c r="BO276" s="7">
        <v>3.7509942857142855</v>
      </c>
      <c r="BP276" s="7">
        <v>42.398948030415639</v>
      </c>
      <c r="BQ276" s="7">
        <v>0.13714285714285715</v>
      </c>
      <c r="BR276" s="7" t="s">
        <v>154</v>
      </c>
      <c r="BS276" s="7">
        <v>175</v>
      </c>
      <c r="BT276" s="7">
        <v>24</v>
      </c>
      <c r="BU276" s="7">
        <v>24</v>
      </c>
      <c r="BV276" s="7">
        <v>24</v>
      </c>
      <c r="BW276" s="7" t="s">
        <v>1257</v>
      </c>
      <c r="BX276" s="8" t="b">
        <v>1</v>
      </c>
      <c r="BY276" s="7">
        <v>-647.93868287273028</v>
      </c>
      <c r="BZ276" s="7">
        <v>-9.8820098810040093</v>
      </c>
      <c r="CA276" s="7">
        <v>46238</v>
      </c>
      <c r="CB276" s="7">
        <v>46237.65625</v>
      </c>
      <c r="CC276" s="7">
        <v>9.0287192458474372E-3</v>
      </c>
      <c r="CD276" s="7">
        <v>171.60000000000016</v>
      </c>
      <c r="CE276" s="7">
        <v>170.05355448447219</v>
      </c>
      <c r="CF276" s="7">
        <v>662.24534522516342</v>
      </c>
      <c r="CG276" s="7">
        <v>0.3125</v>
      </c>
      <c r="CH276" s="7" t="s">
        <v>150</v>
      </c>
      <c r="CI276" s="7">
        <v>128</v>
      </c>
      <c r="CJ276" s="8" t="b">
        <v>1</v>
      </c>
      <c r="CK276" s="7">
        <v>40</v>
      </c>
      <c r="CL276" s="7">
        <v>40</v>
      </c>
      <c r="CM276" s="7">
        <v>40</v>
      </c>
      <c r="CN276" s="8" t="b">
        <v>0</v>
      </c>
      <c r="CO276" s="7" t="s">
        <v>1125</v>
      </c>
      <c r="CP276" s="7">
        <v>1406.7906461416469</v>
      </c>
    </row>
    <row r="277" spans="1:94" ht="21" customHeight="1" x14ac:dyDescent="0.45">
      <c r="A277" s="9">
        <v>46237.666666666664</v>
      </c>
      <c r="B277" s="9">
        <v>46237.677083333336</v>
      </c>
      <c r="C277" s="9">
        <v>46237.791666666664</v>
      </c>
      <c r="D277" s="10">
        <v>46237</v>
      </c>
      <c r="E277" s="7">
        <v>0.25</v>
      </c>
      <c r="F277" s="7" t="s">
        <v>770</v>
      </c>
      <c r="G277" s="9">
        <v>46237.666666666664</v>
      </c>
      <c r="H277" s="7">
        <v>244.44</v>
      </c>
      <c r="I277" s="7" t="s">
        <v>1258</v>
      </c>
      <c r="J277" s="7">
        <v>15</v>
      </c>
      <c r="K277" s="7" t="s">
        <v>1130</v>
      </c>
      <c r="L277" s="10">
        <v>46234</v>
      </c>
      <c r="M277" s="7">
        <v>5.2473000000000001</v>
      </c>
      <c r="N277" s="7" t="s">
        <v>773</v>
      </c>
      <c r="O277" s="7">
        <v>131.96799999999999</v>
      </c>
      <c r="P277" s="7" t="s">
        <v>1259</v>
      </c>
      <c r="Q277" s="7" t="s">
        <v>775</v>
      </c>
      <c r="R277" s="7">
        <v>66.224534522516336</v>
      </c>
      <c r="S277" s="7" t="s">
        <v>776</v>
      </c>
      <c r="T277" s="7">
        <v>175</v>
      </c>
      <c r="U277" s="7" t="s">
        <v>1260</v>
      </c>
      <c r="V277" s="7" t="s">
        <v>775</v>
      </c>
      <c r="W277" s="7">
        <v>7.0379052083928872</v>
      </c>
      <c r="X277" s="7" t="s">
        <v>776</v>
      </c>
      <c r="Y277" s="7">
        <v>175</v>
      </c>
      <c r="Z277" s="7" t="s">
        <v>1261</v>
      </c>
      <c r="AA277" s="7" t="s">
        <v>775</v>
      </c>
      <c r="AB277" s="7">
        <v>2.5937148628818627</v>
      </c>
      <c r="AC277" s="7" t="s">
        <v>776</v>
      </c>
      <c r="AD277" s="7"/>
      <c r="AE277" s="7" t="s">
        <v>779</v>
      </c>
      <c r="AF277" s="7"/>
      <c r="AG277" s="7">
        <v>351.13315419358526</v>
      </c>
      <c r="AH277" s="7" t="s">
        <v>776</v>
      </c>
      <c r="AI277" s="7">
        <v>5.0129999999999999</v>
      </c>
      <c r="AJ277" s="7">
        <v>47.91473710289101</v>
      </c>
      <c r="AK277" s="7" t="s">
        <v>776</v>
      </c>
      <c r="AL277" s="7">
        <v>1.42</v>
      </c>
      <c r="AM277" s="7" t="s">
        <v>780</v>
      </c>
      <c r="AN277" s="7" t="s">
        <v>781</v>
      </c>
      <c r="AO277" s="7" t="s">
        <v>782</v>
      </c>
      <c r="AP277" s="7">
        <v>0.1145828571428571</v>
      </c>
      <c r="AQ277" s="7">
        <v>3.2457142857142803E-2</v>
      </c>
      <c r="AR277" s="7">
        <v>0.14704</v>
      </c>
      <c r="AS277" s="8" t="b">
        <v>1</v>
      </c>
      <c r="AT277" s="8" t="b">
        <v>1</v>
      </c>
      <c r="AU277" s="8" t="b">
        <v>1</v>
      </c>
      <c r="AV277" s="8" t="b">
        <v>1</v>
      </c>
      <c r="AW277" s="8" t="b">
        <v>1</v>
      </c>
      <c r="AX277" s="8" t="b">
        <v>1</v>
      </c>
      <c r="AY277" s="8" t="b">
        <v>1</v>
      </c>
      <c r="AZ277" s="8" t="b">
        <v>1</v>
      </c>
      <c r="BA277" s="7" t="s">
        <v>783</v>
      </c>
      <c r="BB277" s="7" t="s">
        <v>783</v>
      </c>
      <c r="BC277" s="7" t="s">
        <v>784</v>
      </c>
      <c r="BD277" s="7">
        <v>-9.3310528026658623</v>
      </c>
      <c r="BE277" s="7">
        <v>0.19474285714285716</v>
      </c>
      <c r="BF277" s="7">
        <v>15.562289177291177</v>
      </c>
      <c r="BG277" s="7">
        <v>0.13714285714285715</v>
      </c>
      <c r="BH277" s="7" t="s">
        <v>154</v>
      </c>
      <c r="BI277" s="7">
        <v>175</v>
      </c>
      <c r="BJ277" s="7">
        <v>24</v>
      </c>
      <c r="BK277" s="7">
        <v>24</v>
      </c>
      <c r="BL277" s="7">
        <v>24</v>
      </c>
      <c r="BM277" s="8" t="b">
        <v>1</v>
      </c>
      <c r="BN277" s="7">
        <v>241.40304027050644</v>
      </c>
      <c r="BO277" s="7">
        <v>0.68749714285714281</v>
      </c>
      <c r="BP277" s="7">
        <v>42.227431250357327</v>
      </c>
      <c r="BQ277" s="7">
        <v>0.13714285714285715</v>
      </c>
      <c r="BR277" s="7" t="s">
        <v>154</v>
      </c>
      <c r="BS277" s="7">
        <v>175</v>
      </c>
      <c r="BT277" s="7">
        <v>24</v>
      </c>
      <c r="BU277" s="7">
        <v>24</v>
      </c>
      <c r="BV277" s="7">
        <v>24</v>
      </c>
      <c r="BW277" s="7" t="s">
        <v>1258</v>
      </c>
      <c r="BX277" s="8" t="b">
        <v>1</v>
      </c>
      <c r="BY277" s="7">
        <v>0</v>
      </c>
      <c r="BZ277" s="7">
        <v>0</v>
      </c>
      <c r="CA277" s="7">
        <v>46237.677083333336</v>
      </c>
      <c r="CB277" s="7">
        <v>46238</v>
      </c>
      <c r="CC277" s="7">
        <v>2.5734525879917186E-3</v>
      </c>
      <c r="CD277" s="7">
        <v>170.05355448447219</v>
      </c>
      <c r="CE277" s="7">
        <v>169.48543840993801</v>
      </c>
      <c r="CF277" s="7">
        <v>662.24534522516342</v>
      </c>
      <c r="CG277" s="7">
        <v>0.3125</v>
      </c>
      <c r="CH277" s="7" t="s">
        <v>150</v>
      </c>
      <c r="CI277" s="7">
        <v>128</v>
      </c>
      <c r="CJ277" s="8" t="b">
        <v>1</v>
      </c>
      <c r="CK277" s="7">
        <v>40</v>
      </c>
      <c r="CL277" s="7">
        <v>40</v>
      </c>
      <c r="CM277" s="7">
        <v>40</v>
      </c>
      <c r="CN277" s="8" t="b">
        <v>0</v>
      </c>
      <c r="CO277" s="7" t="s">
        <v>1125</v>
      </c>
      <c r="CP277" s="7">
        <v>952.10705312065249</v>
      </c>
    </row>
    <row r="278" spans="1:94" ht="21" customHeight="1" x14ac:dyDescent="0.45">
      <c r="A278" s="9">
        <v>46237.677083333336</v>
      </c>
      <c r="B278" s="9">
        <v>46237.6875</v>
      </c>
      <c r="C278" s="9">
        <v>46237.802083333336</v>
      </c>
      <c r="D278" s="10">
        <v>46237</v>
      </c>
      <c r="E278" s="7">
        <v>0.25</v>
      </c>
      <c r="F278" s="7" t="s">
        <v>770</v>
      </c>
      <c r="G278" s="9">
        <v>46237.666666666664</v>
      </c>
      <c r="H278" s="7">
        <v>265.37</v>
      </c>
      <c r="I278" s="7" t="s">
        <v>1262</v>
      </c>
      <c r="J278" s="7">
        <v>15</v>
      </c>
      <c r="K278" s="7" t="s">
        <v>1130</v>
      </c>
      <c r="L278" s="10">
        <v>46234</v>
      </c>
      <c r="M278" s="7">
        <v>5.2473000000000001</v>
      </c>
      <c r="N278" s="7" t="s">
        <v>773</v>
      </c>
      <c r="O278" s="7">
        <v>131.96799999999999</v>
      </c>
      <c r="P278" s="7" t="s">
        <v>1259</v>
      </c>
      <c r="Q278" s="7" t="s">
        <v>775</v>
      </c>
      <c r="R278" s="7">
        <v>66.224534522516336</v>
      </c>
      <c r="S278" s="7" t="s">
        <v>776</v>
      </c>
      <c r="T278" s="7">
        <v>175</v>
      </c>
      <c r="U278" s="7" t="s">
        <v>1260</v>
      </c>
      <c r="V278" s="7" t="s">
        <v>775</v>
      </c>
      <c r="W278" s="7">
        <v>7.0379052083928872</v>
      </c>
      <c r="X278" s="7" t="s">
        <v>776</v>
      </c>
      <c r="Y278" s="7">
        <v>175</v>
      </c>
      <c r="Z278" s="7" t="s">
        <v>1261</v>
      </c>
      <c r="AA278" s="7" t="s">
        <v>775</v>
      </c>
      <c r="AB278" s="7">
        <v>2.5937148628818627</v>
      </c>
      <c r="AC278" s="7" t="s">
        <v>776</v>
      </c>
      <c r="AD278" s="7"/>
      <c r="AE278" s="7" t="s">
        <v>779</v>
      </c>
      <c r="AF278" s="7"/>
      <c r="AG278" s="7">
        <v>428.12284412936179</v>
      </c>
      <c r="AH278" s="7" t="s">
        <v>776</v>
      </c>
      <c r="AI278" s="7">
        <v>11.045999999999999</v>
      </c>
      <c r="AJ278" s="7">
        <v>0</v>
      </c>
      <c r="AK278" s="7" t="s">
        <v>776</v>
      </c>
      <c r="AL278" s="7">
        <v>0</v>
      </c>
      <c r="AM278" s="7" t="s">
        <v>780</v>
      </c>
      <c r="AN278" s="7" t="s">
        <v>781</v>
      </c>
      <c r="AO278" s="7" t="s">
        <v>782</v>
      </c>
      <c r="AP278" s="7">
        <v>0.25247999999999998</v>
      </c>
      <c r="AQ278" s="7">
        <v>0</v>
      </c>
      <c r="AR278" s="7">
        <v>0.25247999999999998</v>
      </c>
      <c r="AS278" s="8" t="b">
        <v>1</v>
      </c>
      <c r="AT278" s="8" t="b">
        <v>1</v>
      </c>
      <c r="AU278" s="8" t="b">
        <v>1</v>
      </c>
      <c r="AV278" s="8" t="b">
        <v>1</v>
      </c>
      <c r="AW278" s="8" t="b">
        <v>1</v>
      </c>
      <c r="AX278" s="8" t="b">
        <v>1</v>
      </c>
      <c r="AY278" s="8" t="b">
        <v>1</v>
      </c>
      <c r="AZ278" s="8" t="b">
        <v>1</v>
      </c>
      <c r="BA278" s="7" t="s">
        <v>783</v>
      </c>
      <c r="BB278" s="7" t="s">
        <v>783</v>
      </c>
      <c r="BC278" s="7" t="s">
        <v>784</v>
      </c>
      <c r="BD278" s="7">
        <v>0</v>
      </c>
      <c r="BE278" s="7">
        <v>0</v>
      </c>
      <c r="BF278" s="7">
        <v>15.562289177291177</v>
      </c>
      <c r="BG278" s="7">
        <v>0.13714285714285715</v>
      </c>
      <c r="BH278" s="7" t="s">
        <v>154</v>
      </c>
      <c r="BI278" s="7">
        <v>175</v>
      </c>
      <c r="BJ278" s="7">
        <v>24</v>
      </c>
      <c r="BK278" s="7">
        <v>24</v>
      </c>
      <c r="BL278" s="7">
        <v>24</v>
      </c>
      <c r="BM278" s="8" t="b">
        <v>1</v>
      </c>
      <c r="BN278" s="7">
        <v>648.55473411468745</v>
      </c>
      <c r="BO278" s="7">
        <v>1.5148799999999998</v>
      </c>
      <c r="BP278" s="7">
        <v>42.227431250357327</v>
      </c>
      <c r="BQ278" s="7">
        <v>0.13714285714285715</v>
      </c>
      <c r="BR278" s="7" t="s">
        <v>154</v>
      </c>
      <c r="BS278" s="7">
        <v>175</v>
      </c>
      <c r="BT278" s="7">
        <v>24</v>
      </c>
      <c r="BU278" s="7">
        <v>24</v>
      </c>
      <c r="BV278" s="7">
        <v>24</v>
      </c>
      <c r="BW278" s="7" t="s">
        <v>1262</v>
      </c>
      <c r="BX278" s="8" t="b">
        <v>1</v>
      </c>
      <c r="BY278" s="7">
        <v>0</v>
      </c>
      <c r="BZ278" s="7">
        <v>0</v>
      </c>
      <c r="CA278" s="7">
        <v>46237.6875</v>
      </c>
      <c r="CB278" s="7">
        <v>46237.677083333336</v>
      </c>
      <c r="CC278" s="7">
        <v>4.5739130434782607E-3</v>
      </c>
      <c r="CD278" s="7">
        <v>169.48543840993801</v>
      </c>
      <c r="CE278" s="7">
        <v>167.83882971428585</v>
      </c>
      <c r="CF278" s="7">
        <v>662.24534522516342</v>
      </c>
      <c r="CG278" s="7">
        <v>0.3125</v>
      </c>
      <c r="CH278" s="7" t="s">
        <v>150</v>
      </c>
      <c r="CI278" s="7">
        <v>128</v>
      </c>
      <c r="CJ278" s="8" t="b">
        <v>1</v>
      </c>
      <c r="CK278" s="7">
        <v>40</v>
      </c>
      <c r="CL278" s="7">
        <v>40</v>
      </c>
      <c r="CM278" s="7">
        <v>40</v>
      </c>
      <c r="CN278" s="8" t="b">
        <v>0</v>
      </c>
      <c r="CO278" s="7" t="s">
        <v>1125</v>
      </c>
      <c r="CP278" s="7">
        <v>1368.5897997674995</v>
      </c>
    </row>
    <row r="279" spans="1:94" ht="21" customHeight="1" x14ac:dyDescent="0.45">
      <c r="A279" s="9">
        <v>46237.6875</v>
      </c>
      <c r="B279" s="9">
        <v>46237.697916666664</v>
      </c>
      <c r="C279" s="9">
        <v>46237.8125</v>
      </c>
      <c r="D279" s="10">
        <v>46237</v>
      </c>
      <c r="E279" s="7">
        <v>0.25</v>
      </c>
      <c r="F279" s="7" t="s">
        <v>770</v>
      </c>
      <c r="G279" s="9">
        <v>46237.666666666664</v>
      </c>
      <c r="H279" s="7">
        <v>243.16</v>
      </c>
      <c r="I279" s="7" t="s">
        <v>1263</v>
      </c>
      <c r="J279" s="7">
        <v>15</v>
      </c>
      <c r="K279" s="7" t="s">
        <v>1130</v>
      </c>
      <c r="L279" s="10">
        <v>46234</v>
      </c>
      <c r="M279" s="7">
        <v>5.2473000000000001</v>
      </c>
      <c r="N279" s="7" t="s">
        <v>773</v>
      </c>
      <c r="O279" s="7">
        <v>131.96799999999999</v>
      </c>
      <c r="P279" s="7" t="s">
        <v>1259</v>
      </c>
      <c r="Q279" s="7" t="s">
        <v>775</v>
      </c>
      <c r="R279" s="7">
        <v>66.224534522516336</v>
      </c>
      <c r="S279" s="7" t="s">
        <v>776</v>
      </c>
      <c r="T279" s="7">
        <v>175</v>
      </c>
      <c r="U279" s="7" t="s">
        <v>1260</v>
      </c>
      <c r="V279" s="7" t="s">
        <v>775</v>
      </c>
      <c r="W279" s="7">
        <v>7.0379052083928872</v>
      </c>
      <c r="X279" s="7" t="s">
        <v>776</v>
      </c>
      <c r="Y279" s="7">
        <v>175</v>
      </c>
      <c r="Z279" s="7" t="s">
        <v>1261</v>
      </c>
      <c r="AA279" s="7" t="s">
        <v>775</v>
      </c>
      <c r="AB279" s="7">
        <v>2.5937148628818627</v>
      </c>
      <c r="AC279" s="7" t="s">
        <v>776</v>
      </c>
      <c r="AD279" s="7"/>
      <c r="AE279" s="7" t="s">
        <v>779</v>
      </c>
      <c r="AF279" s="7"/>
      <c r="AG279" s="7">
        <v>432.72730737712732</v>
      </c>
      <c r="AH279" s="7" t="s">
        <v>776</v>
      </c>
      <c r="AI279" s="7">
        <v>13.94</v>
      </c>
      <c r="AJ279" s="7">
        <v>0</v>
      </c>
      <c r="AK279" s="7" t="s">
        <v>776</v>
      </c>
      <c r="AL279" s="7">
        <v>0</v>
      </c>
      <c r="AM279" s="7" t="s">
        <v>780</v>
      </c>
      <c r="AN279" s="7" t="s">
        <v>781</v>
      </c>
      <c r="AO279" s="7" t="s">
        <v>782</v>
      </c>
      <c r="AP279" s="7">
        <v>0.31862857142857143</v>
      </c>
      <c r="AQ279" s="7">
        <v>0</v>
      </c>
      <c r="AR279" s="7">
        <v>0.31862857142857143</v>
      </c>
      <c r="AS279" s="8" t="b">
        <v>1</v>
      </c>
      <c r="AT279" s="8" t="b">
        <v>1</v>
      </c>
      <c r="AU279" s="8" t="b">
        <v>1</v>
      </c>
      <c r="AV279" s="8" t="b">
        <v>1</v>
      </c>
      <c r="AW279" s="8" t="b">
        <v>1</v>
      </c>
      <c r="AX279" s="8" t="b">
        <v>1</v>
      </c>
      <c r="AY279" s="8" t="b">
        <v>1</v>
      </c>
      <c r="AZ279" s="8" t="b">
        <v>1</v>
      </c>
      <c r="BA279" s="7" t="s">
        <v>783</v>
      </c>
      <c r="BB279" s="7" t="s">
        <v>783</v>
      </c>
      <c r="BC279" s="7" t="s">
        <v>784</v>
      </c>
      <c r="BD279" s="7">
        <v>0</v>
      </c>
      <c r="BE279" s="7">
        <v>0</v>
      </c>
      <c r="BF279" s="7">
        <v>15.562289177291177</v>
      </c>
      <c r="BG279" s="7">
        <v>0.13714285714285715</v>
      </c>
      <c r="BH279" s="7" t="s">
        <v>154</v>
      </c>
      <c r="BI279" s="7">
        <v>175</v>
      </c>
      <c r="BJ279" s="7">
        <v>24</v>
      </c>
      <c r="BK279" s="7">
        <v>24</v>
      </c>
      <c r="BL279" s="7">
        <v>24</v>
      </c>
      <c r="BM279" s="8" t="b">
        <v>1</v>
      </c>
      <c r="BN279" s="7">
        <v>827.27570260623827</v>
      </c>
      <c r="BO279" s="7">
        <v>1.9117714285714285</v>
      </c>
      <c r="BP279" s="7">
        <v>42.227431250357327</v>
      </c>
      <c r="BQ279" s="7">
        <v>0.13714285714285715</v>
      </c>
      <c r="BR279" s="7" t="s">
        <v>154</v>
      </c>
      <c r="BS279" s="7">
        <v>175</v>
      </c>
      <c r="BT279" s="7">
        <v>24</v>
      </c>
      <c r="BU279" s="7">
        <v>24</v>
      </c>
      <c r="BV279" s="7">
        <v>24</v>
      </c>
      <c r="BW279" s="7" t="s">
        <v>1263</v>
      </c>
      <c r="BX279" s="8" t="b">
        <v>1</v>
      </c>
      <c r="BY279" s="7">
        <v>-1458.96</v>
      </c>
      <c r="BZ279" s="7">
        <v>-24</v>
      </c>
      <c r="CA279" s="7">
        <v>46237.697916666664</v>
      </c>
      <c r="CB279" s="7">
        <v>46237.6875</v>
      </c>
      <c r="CC279" s="7">
        <v>1.0447695238095238E-2</v>
      </c>
      <c r="CD279" s="7">
        <v>167.83882971428585</v>
      </c>
      <c r="CE279" s="7">
        <v>171.60000000000014</v>
      </c>
      <c r="CF279" s="7">
        <v>662.24534522516342</v>
      </c>
      <c r="CG279" s="7">
        <v>0.3125</v>
      </c>
      <c r="CH279" s="7" t="s">
        <v>150</v>
      </c>
      <c r="CI279" s="7">
        <v>128</v>
      </c>
      <c r="CJ279" s="8" t="b">
        <v>1</v>
      </c>
      <c r="CK279" s="7">
        <v>40</v>
      </c>
      <c r="CL279" s="7">
        <v>40</v>
      </c>
      <c r="CM279" s="7">
        <v>40</v>
      </c>
      <c r="CN279" s="8" t="b">
        <v>0</v>
      </c>
      <c r="CO279" s="7" t="s">
        <v>1125</v>
      </c>
      <c r="CP279" s="7">
        <v>88.350768259050156</v>
      </c>
    </row>
    <row r="280" spans="1:94" ht="21" customHeight="1" x14ac:dyDescent="0.45">
      <c r="A280" s="9">
        <v>46237.697916666664</v>
      </c>
      <c r="B280" s="9">
        <v>46237.708333333336</v>
      </c>
      <c r="C280" s="9">
        <v>46237.822916666664</v>
      </c>
      <c r="D280" s="10">
        <v>46237</v>
      </c>
      <c r="E280" s="7">
        <v>0.25</v>
      </c>
      <c r="F280" s="7" t="s">
        <v>770</v>
      </c>
      <c r="G280" s="9">
        <v>46237.666666666664</v>
      </c>
      <c r="H280" s="7">
        <v>377.84</v>
      </c>
      <c r="I280" s="7" t="s">
        <v>1264</v>
      </c>
      <c r="J280" s="7">
        <v>15</v>
      </c>
      <c r="K280" s="7" t="s">
        <v>1130</v>
      </c>
      <c r="L280" s="10">
        <v>46234</v>
      </c>
      <c r="M280" s="7">
        <v>5.2473000000000001</v>
      </c>
      <c r="N280" s="7" t="s">
        <v>773</v>
      </c>
      <c r="O280" s="7">
        <v>131.96799999999999</v>
      </c>
      <c r="P280" s="7" t="s">
        <v>1259</v>
      </c>
      <c r="Q280" s="7" t="s">
        <v>775</v>
      </c>
      <c r="R280" s="7">
        <v>66.224534522516336</v>
      </c>
      <c r="S280" s="7" t="s">
        <v>776</v>
      </c>
      <c r="T280" s="7">
        <v>175</v>
      </c>
      <c r="U280" s="7" t="s">
        <v>1260</v>
      </c>
      <c r="V280" s="7" t="s">
        <v>775</v>
      </c>
      <c r="W280" s="7">
        <v>7.0379052083928872</v>
      </c>
      <c r="X280" s="7" t="s">
        <v>776</v>
      </c>
      <c r="Y280" s="7">
        <v>175</v>
      </c>
      <c r="Z280" s="7" t="s">
        <v>1261</v>
      </c>
      <c r="AA280" s="7" t="s">
        <v>775</v>
      </c>
      <c r="AB280" s="7">
        <v>2.5937148628818627</v>
      </c>
      <c r="AC280" s="7" t="s">
        <v>776</v>
      </c>
      <c r="AD280" s="7"/>
      <c r="AE280" s="7" t="s">
        <v>779</v>
      </c>
      <c r="AF280" s="7"/>
      <c r="AG280" s="7">
        <v>388.38469308025077</v>
      </c>
      <c r="AH280" s="7" t="s">
        <v>776</v>
      </c>
      <c r="AI280" s="7">
        <v>9.5259999999999998</v>
      </c>
      <c r="AJ280" s="7">
        <v>0</v>
      </c>
      <c r="AK280" s="7" t="s">
        <v>776</v>
      </c>
      <c r="AL280" s="7">
        <v>0</v>
      </c>
      <c r="AM280" s="7" t="s">
        <v>780</v>
      </c>
      <c r="AN280" s="7" t="s">
        <v>781</v>
      </c>
      <c r="AO280" s="7" t="s">
        <v>782</v>
      </c>
      <c r="AP280" s="7">
        <v>0.2177371428571428</v>
      </c>
      <c r="AQ280" s="7">
        <v>0</v>
      </c>
      <c r="AR280" s="7">
        <v>0.2177371428571428</v>
      </c>
      <c r="AS280" s="8" t="b">
        <v>1</v>
      </c>
      <c r="AT280" s="8" t="b">
        <v>1</v>
      </c>
      <c r="AU280" s="8" t="b">
        <v>1</v>
      </c>
      <c r="AV280" s="8" t="b">
        <v>1</v>
      </c>
      <c r="AW280" s="8" t="b">
        <v>1</v>
      </c>
      <c r="AX280" s="8" t="b">
        <v>1</v>
      </c>
      <c r="AY280" s="8" t="b">
        <v>1</v>
      </c>
      <c r="AZ280" s="8" t="b">
        <v>1</v>
      </c>
      <c r="BA280" s="7" t="s">
        <v>783</v>
      </c>
      <c r="BB280" s="7" t="s">
        <v>783</v>
      </c>
      <c r="BC280" s="7" t="s">
        <v>784</v>
      </c>
      <c r="BD280" s="7">
        <v>0</v>
      </c>
      <c r="BE280" s="7">
        <v>0</v>
      </c>
      <c r="BF280" s="7">
        <v>15.562289177291177</v>
      </c>
      <c r="BG280" s="7">
        <v>0.13714285714285715</v>
      </c>
      <c r="BH280" s="7" t="s">
        <v>154</v>
      </c>
      <c r="BI280" s="7">
        <v>175</v>
      </c>
      <c r="BJ280" s="7">
        <v>24</v>
      </c>
      <c r="BK280" s="7">
        <v>24</v>
      </c>
      <c r="BL280" s="7">
        <v>24</v>
      </c>
      <c r="BM280" s="8" t="b">
        <v>1</v>
      </c>
      <c r="BN280" s="7">
        <v>507.39464040445284</v>
      </c>
      <c r="BO280" s="7">
        <v>1.3064228571428571</v>
      </c>
      <c r="BP280" s="7">
        <v>42.227431250357327</v>
      </c>
      <c r="BQ280" s="7">
        <v>0.13714285714285715</v>
      </c>
      <c r="BR280" s="7" t="s">
        <v>154</v>
      </c>
      <c r="BS280" s="7">
        <v>175</v>
      </c>
      <c r="BT280" s="7">
        <v>24</v>
      </c>
      <c r="BU280" s="7">
        <v>24</v>
      </c>
      <c r="BV280" s="7">
        <v>24</v>
      </c>
      <c r="BW280" s="7" t="s">
        <v>1264</v>
      </c>
      <c r="BX280" s="8" t="b">
        <v>1</v>
      </c>
      <c r="BY280" s="7">
        <v>3400.56</v>
      </c>
      <c r="BZ280" s="7">
        <v>36</v>
      </c>
      <c r="CA280" s="7">
        <v>46237.708333333336</v>
      </c>
      <c r="CB280" s="7">
        <v>46237.697916666664</v>
      </c>
      <c r="CC280" s="7">
        <v>3.1118426501035197E-2</v>
      </c>
      <c r="CD280" s="7">
        <v>171.60000000000014</v>
      </c>
      <c r="CE280" s="7">
        <v>160.39736645962745</v>
      </c>
      <c r="CF280" s="7">
        <v>662.24534522516342</v>
      </c>
      <c r="CG280" s="7">
        <v>0.3125</v>
      </c>
      <c r="CH280" s="7" t="s">
        <v>150</v>
      </c>
      <c r="CI280" s="7">
        <v>128</v>
      </c>
      <c r="CJ280" s="8" t="b">
        <v>1</v>
      </c>
      <c r="CK280" s="7">
        <v>40</v>
      </c>
      <c r="CL280" s="7">
        <v>40</v>
      </c>
      <c r="CM280" s="7">
        <v>40</v>
      </c>
      <c r="CN280" s="8" t="b">
        <v>0</v>
      </c>
      <c r="CO280" s="7" t="s">
        <v>1125</v>
      </c>
      <c r="CP280" s="7">
        <v>4627.9897060572648</v>
      </c>
    </row>
    <row r="281" spans="1:94" ht="21" customHeight="1" x14ac:dyDescent="0.45">
      <c r="A281" s="9">
        <v>46237.708333333336</v>
      </c>
      <c r="B281" s="9">
        <v>46237.71875</v>
      </c>
      <c r="C281" s="9">
        <v>46237.833333333336</v>
      </c>
      <c r="D281" s="10">
        <v>46237</v>
      </c>
      <c r="E281" s="7">
        <v>0.25</v>
      </c>
      <c r="F281" s="7" t="s">
        <v>770</v>
      </c>
      <c r="G281" s="9">
        <v>46237.708333333336</v>
      </c>
      <c r="H281" s="7">
        <v>274.55</v>
      </c>
      <c r="I281" s="7" t="s">
        <v>1265</v>
      </c>
      <c r="J281" s="7">
        <v>15</v>
      </c>
      <c r="K281" s="7" t="s">
        <v>1130</v>
      </c>
      <c r="L281" s="10">
        <v>46234</v>
      </c>
      <c r="M281" s="7">
        <v>5.2473000000000001</v>
      </c>
      <c r="N281" s="7" t="s">
        <v>773</v>
      </c>
      <c r="O281" s="7">
        <v>131.96799999999999</v>
      </c>
      <c r="P281" s="7" t="s">
        <v>1266</v>
      </c>
      <c r="Q281" s="7" t="s">
        <v>775</v>
      </c>
      <c r="R281" s="7">
        <v>66.224534522516336</v>
      </c>
      <c r="S281" s="7" t="s">
        <v>776</v>
      </c>
      <c r="T281" s="7">
        <v>175</v>
      </c>
      <c r="U281" s="7" t="s">
        <v>1267</v>
      </c>
      <c r="V281" s="7" t="s">
        <v>775</v>
      </c>
      <c r="W281" s="7">
        <v>4.0325500733710671</v>
      </c>
      <c r="X281" s="7" t="s">
        <v>776</v>
      </c>
      <c r="Y281" s="7">
        <v>175</v>
      </c>
      <c r="Z281" s="7" t="s">
        <v>1268</v>
      </c>
      <c r="AA281" s="7" t="s">
        <v>775</v>
      </c>
      <c r="AB281" s="7">
        <v>2.5937148628818627</v>
      </c>
      <c r="AC281" s="7" t="s">
        <v>776</v>
      </c>
      <c r="AD281" s="7"/>
      <c r="AE281" s="7" t="s">
        <v>779</v>
      </c>
      <c r="AF281" s="7"/>
      <c r="AG281" s="7">
        <v>409.30326072456313</v>
      </c>
      <c r="AH281" s="7" t="s">
        <v>776</v>
      </c>
      <c r="AI281" s="7">
        <v>8.4350000000000005</v>
      </c>
      <c r="AJ281" s="7">
        <v>0</v>
      </c>
      <c r="AK281" s="7" t="s">
        <v>776</v>
      </c>
      <c r="AL281" s="7">
        <v>0</v>
      </c>
      <c r="AM281" s="7" t="s">
        <v>780</v>
      </c>
      <c r="AN281" s="7" t="s">
        <v>781</v>
      </c>
      <c r="AO281" s="7" t="s">
        <v>782</v>
      </c>
      <c r="AP281" s="7">
        <v>0.1928</v>
      </c>
      <c r="AQ281" s="7">
        <v>0</v>
      </c>
      <c r="AR281" s="7">
        <v>0.1928</v>
      </c>
      <c r="AS281" s="8" t="b">
        <v>1</v>
      </c>
      <c r="AT281" s="8" t="b">
        <v>1</v>
      </c>
      <c r="AU281" s="8" t="b">
        <v>1</v>
      </c>
      <c r="AV281" s="8" t="b">
        <v>1</v>
      </c>
      <c r="AW281" s="8" t="b">
        <v>1</v>
      </c>
      <c r="AX281" s="8" t="b">
        <v>1</v>
      </c>
      <c r="AY281" s="8" t="b">
        <v>1</v>
      </c>
      <c r="AZ281" s="8" t="b">
        <v>1</v>
      </c>
      <c r="BA281" s="7" t="s">
        <v>783</v>
      </c>
      <c r="BB281" s="7" t="s">
        <v>783</v>
      </c>
      <c r="BC281" s="7" t="s">
        <v>784</v>
      </c>
      <c r="BD281" s="7">
        <v>0</v>
      </c>
      <c r="BE281" s="7">
        <v>0</v>
      </c>
      <c r="BF281" s="7">
        <v>15.562289177291177</v>
      </c>
      <c r="BG281" s="7">
        <v>0.13714285714285715</v>
      </c>
      <c r="BH281" s="7" t="s">
        <v>154</v>
      </c>
      <c r="BI281" s="7">
        <v>175</v>
      </c>
      <c r="BJ281" s="7">
        <v>24</v>
      </c>
      <c r="BK281" s="7">
        <v>24</v>
      </c>
      <c r="BL281" s="7">
        <v>24</v>
      </c>
      <c r="BM281" s="8" t="b">
        <v>1</v>
      </c>
      <c r="BN281" s="7">
        <v>0</v>
      </c>
      <c r="BO281" s="7">
        <v>0</v>
      </c>
      <c r="BP281" s="7">
        <v>0</v>
      </c>
      <c r="BQ281" s="7">
        <v>0.13714285714285715</v>
      </c>
      <c r="BR281" s="7" t="s">
        <v>154</v>
      </c>
      <c r="BS281" s="7">
        <v>175</v>
      </c>
      <c r="BT281" s="7">
        <v>0</v>
      </c>
      <c r="BU281" s="7">
        <v>24</v>
      </c>
      <c r="BV281" s="7">
        <v>24</v>
      </c>
      <c r="BW281" s="7" t="s">
        <v>1265</v>
      </c>
      <c r="BX281" s="8" t="b">
        <v>1</v>
      </c>
      <c r="BY281" s="7">
        <v>-5216.45</v>
      </c>
      <c r="BZ281" s="7">
        <v>-76</v>
      </c>
      <c r="CA281" s="7">
        <v>46237.71875</v>
      </c>
      <c r="CB281" s="7">
        <v>46237.708333333336</v>
      </c>
      <c r="CC281" s="7">
        <v>4.8555555555555553E-2</v>
      </c>
      <c r="CD281" s="7">
        <v>160.39736645962745</v>
      </c>
      <c r="CE281" s="7">
        <v>177.87736645962747</v>
      </c>
      <c r="CF281" s="7">
        <v>0</v>
      </c>
      <c r="CG281" s="7">
        <v>0.3125</v>
      </c>
      <c r="CH281" s="7" t="s">
        <v>150</v>
      </c>
      <c r="CI281" s="7">
        <v>128</v>
      </c>
      <c r="CJ281" s="8" t="b">
        <v>1</v>
      </c>
      <c r="CK281" s="7">
        <v>0</v>
      </c>
      <c r="CL281" s="7">
        <v>40</v>
      </c>
      <c r="CM281" s="7">
        <v>40</v>
      </c>
      <c r="CN281" s="8" t="b">
        <v>0</v>
      </c>
      <c r="CO281" s="7" t="s">
        <v>1125</v>
      </c>
      <c r="CP281" s="7">
        <v>-5200.8877108227089</v>
      </c>
    </row>
    <row r="282" spans="1:94" ht="21" customHeight="1" x14ac:dyDescent="0.45">
      <c r="A282" s="9">
        <v>46237.71875</v>
      </c>
      <c r="B282" s="9">
        <v>46237.729166666664</v>
      </c>
      <c r="C282" s="9">
        <v>46237.84375</v>
      </c>
      <c r="D282" s="10">
        <v>46237</v>
      </c>
      <c r="E282" s="7">
        <v>0.25</v>
      </c>
      <c r="F282" s="7" t="s">
        <v>770</v>
      </c>
      <c r="G282" s="9">
        <v>46237.708333333336</v>
      </c>
      <c r="H282" s="7">
        <v>331.56</v>
      </c>
      <c r="I282" s="7" t="s">
        <v>1269</v>
      </c>
      <c r="J282" s="7">
        <v>15</v>
      </c>
      <c r="K282" s="7" t="s">
        <v>1130</v>
      </c>
      <c r="L282" s="10">
        <v>46234</v>
      </c>
      <c r="M282" s="7">
        <v>5.2473000000000001</v>
      </c>
      <c r="N282" s="7" t="s">
        <v>773</v>
      </c>
      <c r="O282" s="7">
        <v>131.96799999999999</v>
      </c>
      <c r="P282" s="7" t="s">
        <v>1266</v>
      </c>
      <c r="Q282" s="7" t="s">
        <v>775</v>
      </c>
      <c r="R282" s="7">
        <v>66.224534522516336</v>
      </c>
      <c r="S282" s="7" t="s">
        <v>776</v>
      </c>
      <c r="T282" s="7">
        <v>175</v>
      </c>
      <c r="U282" s="7" t="s">
        <v>1267</v>
      </c>
      <c r="V282" s="7" t="s">
        <v>775</v>
      </c>
      <c r="W282" s="7">
        <v>4.0325500733710671</v>
      </c>
      <c r="X282" s="7" t="s">
        <v>776</v>
      </c>
      <c r="Y282" s="7">
        <v>175</v>
      </c>
      <c r="Z282" s="7" t="s">
        <v>1268</v>
      </c>
      <c r="AA282" s="7" t="s">
        <v>775</v>
      </c>
      <c r="AB282" s="7">
        <v>2.5937148628818627</v>
      </c>
      <c r="AC282" s="7" t="s">
        <v>776</v>
      </c>
      <c r="AD282" s="7"/>
      <c r="AE282" s="7" t="s">
        <v>779</v>
      </c>
      <c r="AF282" s="7"/>
      <c r="AG282" s="7">
        <v>311.91126865244985</v>
      </c>
      <c r="AH282" s="7" t="s">
        <v>776</v>
      </c>
      <c r="AI282" s="7">
        <v>5.78</v>
      </c>
      <c r="AJ282" s="7">
        <v>0</v>
      </c>
      <c r="AK282" s="7" t="s">
        <v>776</v>
      </c>
      <c r="AL282" s="7">
        <v>0</v>
      </c>
      <c r="AM282" s="7" t="s">
        <v>780</v>
      </c>
      <c r="AN282" s="7" t="s">
        <v>781</v>
      </c>
      <c r="AO282" s="7" t="s">
        <v>782</v>
      </c>
      <c r="AP282" s="7">
        <v>0.13211428571428571</v>
      </c>
      <c r="AQ282" s="7">
        <v>0</v>
      </c>
      <c r="AR282" s="7">
        <v>0.13211428571428571</v>
      </c>
      <c r="AS282" s="8" t="b">
        <v>1</v>
      </c>
      <c r="AT282" s="8" t="b">
        <v>1</v>
      </c>
      <c r="AU282" s="8" t="b">
        <v>1</v>
      </c>
      <c r="AV282" s="8" t="b">
        <v>1</v>
      </c>
      <c r="AW282" s="8" t="b">
        <v>1</v>
      </c>
      <c r="AX282" s="8" t="b">
        <v>1</v>
      </c>
      <c r="AY282" s="8" t="b">
        <v>1</v>
      </c>
      <c r="AZ282" s="8" t="b">
        <v>1</v>
      </c>
      <c r="BA282" s="7" t="s">
        <v>783</v>
      </c>
      <c r="BB282" s="7" t="s">
        <v>783</v>
      </c>
      <c r="BC282" s="7" t="s">
        <v>784</v>
      </c>
      <c r="BD282" s="7">
        <v>0</v>
      </c>
      <c r="BE282" s="7">
        <v>0</v>
      </c>
      <c r="BF282" s="7">
        <v>15.562289177291177</v>
      </c>
      <c r="BG282" s="7">
        <v>0.13714285714285715</v>
      </c>
      <c r="BH282" s="7" t="s">
        <v>154</v>
      </c>
      <c r="BI282" s="7">
        <v>175</v>
      </c>
      <c r="BJ282" s="7">
        <v>24</v>
      </c>
      <c r="BK282" s="7">
        <v>24</v>
      </c>
      <c r="BL282" s="7">
        <v>24</v>
      </c>
      <c r="BM282" s="8" t="b">
        <v>1</v>
      </c>
      <c r="BN282" s="7">
        <v>0</v>
      </c>
      <c r="BO282" s="7">
        <v>0</v>
      </c>
      <c r="BP282" s="7">
        <v>0</v>
      </c>
      <c r="BQ282" s="7">
        <v>0.13714285714285715</v>
      </c>
      <c r="BR282" s="7" t="s">
        <v>154</v>
      </c>
      <c r="BS282" s="7">
        <v>175</v>
      </c>
      <c r="BT282" s="7">
        <v>0</v>
      </c>
      <c r="BU282" s="7">
        <v>24</v>
      </c>
      <c r="BV282" s="7">
        <v>24</v>
      </c>
      <c r="BW282" s="7" t="s">
        <v>1269</v>
      </c>
      <c r="BX282" s="8" t="b">
        <v>1</v>
      </c>
      <c r="BY282" s="7">
        <v>3133.579243885722</v>
      </c>
      <c r="BZ282" s="7">
        <v>37.804068571428665</v>
      </c>
      <c r="CA282" s="7">
        <v>46237.729166666664</v>
      </c>
      <c r="CB282" s="7">
        <v>46237.71875</v>
      </c>
      <c r="CC282" s="7">
        <v>2.8535679779158107E-2</v>
      </c>
      <c r="CD282" s="7">
        <v>177.87736645962747</v>
      </c>
      <c r="CE282" s="7">
        <v>167.60452173913055</v>
      </c>
      <c r="CF282" s="7">
        <v>0</v>
      </c>
      <c r="CG282" s="7">
        <v>0.3125</v>
      </c>
      <c r="CH282" s="7" t="s">
        <v>150</v>
      </c>
      <c r="CI282" s="7">
        <v>128</v>
      </c>
      <c r="CJ282" s="8" t="b">
        <v>1</v>
      </c>
      <c r="CK282" s="7">
        <v>0</v>
      </c>
      <c r="CL282" s="7">
        <v>40</v>
      </c>
      <c r="CM282" s="7">
        <v>40</v>
      </c>
      <c r="CN282" s="8" t="b">
        <v>0</v>
      </c>
      <c r="CO282" s="7" t="s">
        <v>1125</v>
      </c>
      <c r="CP282" s="7">
        <v>3149.1415330630134</v>
      </c>
    </row>
    <row r="283" spans="1:94" ht="21" customHeight="1" x14ac:dyDescent="0.45">
      <c r="A283" s="9">
        <v>46237.729166666664</v>
      </c>
      <c r="B283" s="9">
        <v>46237.739583333336</v>
      </c>
      <c r="C283" s="9">
        <v>46237.854166666664</v>
      </c>
      <c r="D283" s="10">
        <v>46237</v>
      </c>
      <c r="E283" s="7">
        <v>0.25</v>
      </c>
      <c r="F283" s="7" t="s">
        <v>770</v>
      </c>
      <c r="G283" s="9">
        <v>46237.708333333336</v>
      </c>
      <c r="H283" s="7">
        <v>516.79999999999995</v>
      </c>
      <c r="I283" s="7" t="s">
        <v>1270</v>
      </c>
      <c r="J283" s="7">
        <v>15</v>
      </c>
      <c r="K283" s="7" t="s">
        <v>1130</v>
      </c>
      <c r="L283" s="10">
        <v>46234</v>
      </c>
      <c r="M283" s="7">
        <v>5.2473000000000001</v>
      </c>
      <c r="N283" s="7" t="s">
        <v>773</v>
      </c>
      <c r="O283" s="7">
        <v>131.96799999999999</v>
      </c>
      <c r="P283" s="7" t="s">
        <v>1266</v>
      </c>
      <c r="Q283" s="7" t="s">
        <v>775</v>
      </c>
      <c r="R283" s="7">
        <v>66.224534522516336</v>
      </c>
      <c r="S283" s="7" t="s">
        <v>776</v>
      </c>
      <c r="T283" s="7">
        <v>175</v>
      </c>
      <c r="U283" s="7" t="s">
        <v>1267</v>
      </c>
      <c r="V283" s="7" t="s">
        <v>775</v>
      </c>
      <c r="W283" s="7">
        <v>4.0325500733710671</v>
      </c>
      <c r="X283" s="7" t="s">
        <v>776</v>
      </c>
      <c r="Y283" s="7">
        <v>175</v>
      </c>
      <c r="Z283" s="7" t="s">
        <v>1268</v>
      </c>
      <c r="AA283" s="7" t="s">
        <v>775</v>
      </c>
      <c r="AB283" s="7">
        <v>2.5937148628818627</v>
      </c>
      <c r="AC283" s="7" t="s">
        <v>776</v>
      </c>
      <c r="AD283" s="7"/>
      <c r="AE283" s="7" t="s">
        <v>779</v>
      </c>
      <c r="AF283" s="7"/>
      <c r="AG283" s="7">
        <v>285.50969069807331</v>
      </c>
      <c r="AH283" s="7" t="s">
        <v>776</v>
      </c>
      <c r="AI283" s="7">
        <v>7.0730000000000004</v>
      </c>
      <c r="AJ283" s="7">
        <v>0</v>
      </c>
      <c r="AK283" s="7" t="s">
        <v>776</v>
      </c>
      <c r="AL283" s="7">
        <v>0</v>
      </c>
      <c r="AM283" s="7" t="s">
        <v>780</v>
      </c>
      <c r="AN283" s="7" t="s">
        <v>781</v>
      </c>
      <c r="AO283" s="7" t="s">
        <v>782</v>
      </c>
      <c r="AP283" s="7">
        <v>0.16166857142857141</v>
      </c>
      <c r="AQ283" s="7">
        <v>0</v>
      </c>
      <c r="AR283" s="7">
        <v>0.16166857142857141</v>
      </c>
      <c r="AS283" s="8" t="b">
        <v>1</v>
      </c>
      <c r="AT283" s="8" t="b">
        <v>1</v>
      </c>
      <c r="AU283" s="8" t="b">
        <v>1</v>
      </c>
      <c r="AV283" s="8" t="b">
        <v>1</v>
      </c>
      <c r="AW283" s="8" t="b">
        <v>1</v>
      </c>
      <c r="AX283" s="8" t="b">
        <v>1</v>
      </c>
      <c r="AY283" s="8" t="b">
        <v>1</v>
      </c>
      <c r="AZ283" s="8" t="b">
        <v>1</v>
      </c>
      <c r="BA283" s="7" t="s">
        <v>783</v>
      </c>
      <c r="BB283" s="7" t="s">
        <v>783</v>
      </c>
      <c r="BC283" s="7" t="s">
        <v>784</v>
      </c>
      <c r="BD283" s="7">
        <v>0</v>
      </c>
      <c r="BE283" s="7">
        <v>0</v>
      </c>
      <c r="BF283" s="7">
        <v>15.562289177291177</v>
      </c>
      <c r="BG283" s="7">
        <v>0.13714285714285715</v>
      </c>
      <c r="BH283" s="7" t="s">
        <v>154</v>
      </c>
      <c r="BI283" s="7">
        <v>175</v>
      </c>
      <c r="BJ283" s="7">
        <v>24</v>
      </c>
      <c r="BK283" s="7">
        <v>24</v>
      </c>
      <c r="BL283" s="7">
        <v>24</v>
      </c>
      <c r="BM283" s="8" t="b">
        <v>1</v>
      </c>
      <c r="BN283" s="7">
        <v>0</v>
      </c>
      <c r="BO283" s="7">
        <v>0</v>
      </c>
      <c r="BP283" s="7">
        <v>0</v>
      </c>
      <c r="BQ283" s="7">
        <v>0.13714285714285715</v>
      </c>
      <c r="BR283" s="7" t="s">
        <v>154</v>
      </c>
      <c r="BS283" s="7">
        <v>175</v>
      </c>
      <c r="BT283" s="7">
        <v>0</v>
      </c>
      <c r="BU283" s="7">
        <v>24</v>
      </c>
      <c r="BV283" s="7">
        <v>24</v>
      </c>
      <c r="BW283" s="7" t="s">
        <v>1270</v>
      </c>
      <c r="BX283" s="8" t="b">
        <v>1</v>
      </c>
      <c r="BY283" s="7">
        <v>12919.999999999998</v>
      </c>
      <c r="BZ283" s="7">
        <v>100</v>
      </c>
      <c r="CA283" s="7">
        <v>46237.739583333336</v>
      </c>
      <c r="CB283" s="7">
        <v>46237.729166666664</v>
      </c>
      <c r="CC283" s="7">
        <v>7.5483091787439602E-2</v>
      </c>
      <c r="CD283" s="7">
        <v>167.60452173913055</v>
      </c>
      <c r="CE283" s="7">
        <v>140.4306086956523</v>
      </c>
      <c r="CF283" s="7">
        <v>0</v>
      </c>
      <c r="CG283" s="7">
        <v>0.3125</v>
      </c>
      <c r="CH283" s="7" t="s">
        <v>150</v>
      </c>
      <c r="CI283" s="7">
        <v>128</v>
      </c>
      <c r="CJ283" s="8" t="b">
        <v>1</v>
      </c>
      <c r="CK283" s="7">
        <v>0</v>
      </c>
      <c r="CL283" s="7">
        <v>40</v>
      </c>
      <c r="CM283" s="7">
        <v>40</v>
      </c>
      <c r="CN283" s="8" t="b">
        <v>0</v>
      </c>
      <c r="CO283" s="7" t="s">
        <v>1125</v>
      </c>
      <c r="CP283" s="7">
        <v>12935.562289177289</v>
      </c>
    </row>
    <row r="284" spans="1:94" ht="21" customHeight="1" x14ac:dyDescent="0.45">
      <c r="A284" s="9">
        <v>46237.739583333336</v>
      </c>
      <c r="B284" s="9">
        <v>46237.75</v>
      </c>
      <c r="C284" s="9">
        <v>46237.864583333336</v>
      </c>
      <c r="D284" s="10">
        <v>46237</v>
      </c>
      <c r="E284" s="7">
        <v>0.25</v>
      </c>
      <c r="F284" s="7" t="s">
        <v>770</v>
      </c>
      <c r="G284" s="9">
        <v>46237.708333333336</v>
      </c>
      <c r="H284" s="7">
        <v>559.05999999999995</v>
      </c>
      <c r="I284" s="7" t="s">
        <v>1271</v>
      </c>
      <c r="J284" s="7">
        <v>15</v>
      </c>
      <c r="K284" s="7" t="s">
        <v>1130</v>
      </c>
      <c r="L284" s="10">
        <v>46234</v>
      </c>
      <c r="M284" s="7">
        <v>5.2473000000000001</v>
      </c>
      <c r="N284" s="7" t="s">
        <v>773</v>
      </c>
      <c r="O284" s="7">
        <v>131.96799999999999</v>
      </c>
      <c r="P284" s="7" t="s">
        <v>1266</v>
      </c>
      <c r="Q284" s="7" t="s">
        <v>775</v>
      </c>
      <c r="R284" s="7">
        <v>66.224534522516336</v>
      </c>
      <c r="S284" s="7" t="s">
        <v>776</v>
      </c>
      <c r="T284" s="7">
        <v>175</v>
      </c>
      <c r="U284" s="7" t="s">
        <v>1267</v>
      </c>
      <c r="V284" s="7" t="s">
        <v>775</v>
      </c>
      <c r="W284" s="7">
        <v>4.0325500733710671</v>
      </c>
      <c r="X284" s="7" t="s">
        <v>776</v>
      </c>
      <c r="Y284" s="7">
        <v>175</v>
      </c>
      <c r="Z284" s="7" t="s">
        <v>1268</v>
      </c>
      <c r="AA284" s="7" t="s">
        <v>775</v>
      </c>
      <c r="AB284" s="7">
        <v>2.5937148628818627</v>
      </c>
      <c r="AC284" s="7" t="s">
        <v>776</v>
      </c>
      <c r="AD284" s="7"/>
      <c r="AE284" s="7" t="s">
        <v>779</v>
      </c>
      <c r="AF284" s="7"/>
      <c r="AG284" s="7">
        <v>251.0393916871534</v>
      </c>
      <c r="AH284" s="7" t="s">
        <v>776</v>
      </c>
      <c r="AI284" s="7">
        <v>3.125</v>
      </c>
      <c r="AJ284" s="7">
        <v>95.287100032397618</v>
      </c>
      <c r="AK284" s="7" t="s">
        <v>776</v>
      </c>
      <c r="AL284" s="7">
        <v>1.0999999999999999E-2</v>
      </c>
      <c r="AM284" s="7" t="s">
        <v>780</v>
      </c>
      <c r="AN284" s="7" t="s">
        <v>781</v>
      </c>
      <c r="AO284" s="7" t="s">
        <v>782</v>
      </c>
      <c r="AP284" s="7">
        <v>7.1428571428571397E-2</v>
      </c>
      <c r="AQ284" s="7">
        <v>2.514285714285E-4</v>
      </c>
      <c r="AR284" s="7">
        <v>7.1679999999999994E-2</v>
      </c>
      <c r="AS284" s="8" t="b">
        <v>1</v>
      </c>
      <c r="AT284" s="8" t="b">
        <v>1</v>
      </c>
      <c r="AU284" s="8" t="b">
        <v>1</v>
      </c>
      <c r="AV284" s="8" t="b">
        <v>1</v>
      </c>
      <c r="AW284" s="8" t="b">
        <v>1</v>
      </c>
      <c r="AX284" s="8" t="b">
        <v>1</v>
      </c>
      <c r="AY284" s="8" t="b">
        <v>1</v>
      </c>
      <c r="AZ284" s="8" t="b">
        <v>1</v>
      </c>
      <c r="BA284" s="7" t="s">
        <v>783</v>
      </c>
      <c r="BB284" s="7" t="s">
        <v>783</v>
      </c>
      <c r="BC284" s="7" t="s">
        <v>784</v>
      </c>
      <c r="BD284" s="7">
        <v>-0.14374739662030267</v>
      </c>
      <c r="BE284" s="7">
        <v>1.5085714285714283E-3</v>
      </c>
      <c r="BF284" s="7">
        <v>15.562289177291177</v>
      </c>
      <c r="BG284" s="7">
        <v>0.13714285714285715</v>
      </c>
      <c r="BH284" s="7" t="s">
        <v>154</v>
      </c>
      <c r="BI284" s="7">
        <v>175</v>
      </c>
      <c r="BJ284" s="7">
        <v>24</v>
      </c>
      <c r="BK284" s="7">
        <v>24</v>
      </c>
      <c r="BL284" s="7">
        <v>24</v>
      </c>
      <c r="BM284" s="8" t="b">
        <v>1</v>
      </c>
      <c r="BN284" s="7">
        <v>0</v>
      </c>
      <c r="BO284" s="7">
        <v>0</v>
      </c>
      <c r="BP284" s="7">
        <v>0</v>
      </c>
      <c r="BQ284" s="7">
        <v>0.13714285714285715</v>
      </c>
      <c r="BR284" s="7" t="s">
        <v>154</v>
      </c>
      <c r="BS284" s="7">
        <v>175</v>
      </c>
      <c r="BT284" s="7">
        <v>0</v>
      </c>
      <c r="BU284" s="7">
        <v>24</v>
      </c>
      <c r="BV284" s="7">
        <v>24</v>
      </c>
      <c r="BW284" s="7" t="s">
        <v>1271</v>
      </c>
      <c r="BX284" s="8" t="b">
        <v>1</v>
      </c>
      <c r="BY284" s="7">
        <v>13976.499999999998</v>
      </c>
      <c r="BZ284" s="7">
        <v>100</v>
      </c>
      <c r="CA284" s="7">
        <v>46237.75</v>
      </c>
      <c r="CB284" s="7">
        <v>46237.739583333336</v>
      </c>
      <c r="CC284" s="7">
        <v>7.5478536922015185E-2</v>
      </c>
      <c r="CD284" s="7">
        <v>140.4306086956523</v>
      </c>
      <c r="CE284" s="7">
        <v>113.25833540372683</v>
      </c>
      <c r="CF284" s="7">
        <v>0</v>
      </c>
      <c r="CG284" s="7">
        <v>0.3125</v>
      </c>
      <c r="CH284" s="7" t="s">
        <v>150</v>
      </c>
      <c r="CI284" s="7">
        <v>128</v>
      </c>
      <c r="CJ284" s="8" t="b">
        <v>1</v>
      </c>
      <c r="CK284" s="7">
        <v>0</v>
      </c>
      <c r="CL284" s="7">
        <v>40</v>
      </c>
      <c r="CM284" s="7">
        <v>40</v>
      </c>
      <c r="CN284" s="8" t="b">
        <v>0</v>
      </c>
      <c r="CO284" s="7" t="s">
        <v>1125</v>
      </c>
      <c r="CP284" s="7">
        <v>13991.918541780669</v>
      </c>
    </row>
    <row r="285" spans="1:94" ht="21" customHeight="1" x14ac:dyDescent="0.45">
      <c r="A285" s="9">
        <v>46237.75</v>
      </c>
      <c r="B285" s="9">
        <v>46237.760416666664</v>
      </c>
      <c r="C285" s="9">
        <v>46237.875</v>
      </c>
      <c r="D285" s="10">
        <v>46237</v>
      </c>
      <c r="E285" s="7">
        <v>0.25</v>
      </c>
      <c r="F285" s="7" t="s">
        <v>770</v>
      </c>
      <c r="G285" s="9">
        <v>46237.75</v>
      </c>
      <c r="H285" s="7">
        <v>535.71</v>
      </c>
      <c r="I285" s="7" t="s">
        <v>1272</v>
      </c>
      <c r="J285" s="7">
        <v>15</v>
      </c>
      <c r="K285" s="7" t="s">
        <v>1130</v>
      </c>
      <c r="L285" s="10">
        <v>46234</v>
      </c>
      <c r="M285" s="7">
        <v>5.2473000000000001</v>
      </c>
      <c r="N285" s="7" t="s">
        <v>773</v>
      </c>
      <c r="O285" s="7">
        <v>131.96799999999999</v>
      </c>
      <c r="P285" s="7" t="s">
        <v>1273</v>
      </c>
      <c r="Q285" s="7" t="s">
        <v>775</v>
      </c>
      <c r="R285" s="7">
        <v>66.224534522516336</v>
      </c>
      <c r="S285" s="7" t="s">
        <v>776</v>
      </c>
      <c r="T285" s="7">
        <v>175</v>
      </c>
      <c r="U285" s="7" t="s">
        <v>1274</v>
      </c>
      <c r="V285" s="7" t="s">
        <v>775</v>
      </c>
      <c r="W285" s="7">
        <v>7.0836430164084385</v>
      </c>
      <c r="X285" s="7" t="s">
        <v>776</v>
      </c>
      <c r="Y285" s="7">
        <v>175</v>
      </c>
      <c r="Z285" s="7" t="s">
        <v>1275</v>
      </c>
      <c r="AA285" s="7" t="s">
        <v>775</v>
      </c>
      <c r="AB285" s="7">
        <v>2.5937148628818627</v>
      </c>
      <c r="AC285" s="7" t="s">
        <v>776</v>
      </c>
      <c r="AD285" s="7"/>
      <c r="AE285" s="7" t="s">
        <v>779</v>
      </c>
      <c r="AF285" s="7"/>
      <c r="AG285" s="7">
        <v>262.38141520400967</v>
      </c>
      <c r="AH285" s="7" t="s">
        <v>776</v>
      </c>
      <c r="AI285" s="7">
        <v>1.778</v>
      </c>
      <c r="AJ285" s="7">
        <v>95.287100032397618</v>
      </c>
      <c r="AK285" s="7" t="s">
        <v>776</v>
      </c>
      <c r="AL285" s="7">
        <v>1.7000000000000001E-2</v>
      </c>
      <c r="AM285" s="7" t="s">
        <v>780</v>
      </c>
      <c r="AN285" s="7" t="s">
        <v>781</v>
      </c>
      <c r="AO285" s="7" t="s">
        <v>782</v>
      </c>
      <c r="AP285" s="7">
        <v>4.0640000000000003E-2</v>
      </c>
      <c r="AQ285" s="7">
        <v>3.8857142857139998E-4</v>
      </c>
      <c r="AR285" s="7">
        <v>4.10285714285714E-2</v>
      </c>
      <c r="AS285" s="8" t="b">
        <v>1</v>
      </c>
      <c r="AT285" s="8" t="b">
        <v>1</v>
      </c>
      <c r="AU285" s="8" t="b">
        <v>1</v>
      </c>
      <c r="AV285" s="8" t="b">
        <v>1</v>
      </c>
      <c r="AW285" s="8" t="b">
        <v>1</v>
      </c>
      <c r="AX285" s="8" t="b">
        <v>1</v>
      </c>
      <c r="AY285" s="8" t="b">
        <v>1</v>
      </c>
      <c r="AZ285" s="8" t="b">
        <v>1</v>
      </c>
      <c r="BA285" s="7" t="s">
        <v>783</v>
      </c>
      <c r="BB285" s="7" t="s">
        <v>783</v>
      </c>
      <c r="BC285" s="7" t="s">
        <v>784</v>
      </c>
      <c r="BD285" s="7">
        <v>-0.22215506750410416</v>
      </c>
      <c r="BE285" s="7">
        <v>2.3314285714285715E-3</v>
      </c>
      <c r="BF285" s="7">
        <v>15.562289177291177</v>
      </c>
      <c r="BG285" s="7">
        <v>0.13714285714285715</v>
      </c>
      <c r="BH285" s="7" t="s">
        <v>154</v>
      </c>
      <c r="BI285" s="7">
        <v>175</v>
      </c>
      <c r="BJ285" s="7">
        <v>24</v>
      </c>
      <c r="BK285" s="7">
        <v>24</v>
      </c>
      <c r="BL285" s="7">
        <v>24</v>
      </c>
      <c r="BM285" s="8" t="b">
        <v>1</v>
      </c>
      <c r="BN285" s="7">
        <v>0</v>
      </c>
      <c r="BO285" s="7">
        <v>0</v>
      </c>
      <c r="BP285" s="7">
        <v>0</v>
      </c>
      <c r="BQ285" s="7">
        <v>0.13714285714285715</v>
      </c>
      <c r="BR285" s="7" t="s">
        <v>154</v>
      </c>
      <c r="BS285" s="7">
        <v>175</v>
      </c>
      <c r="BT285" s="7">
        <v>0</v>
      </c>
      <c r="BU285" s="7">
        <v>24</v>
      </c>
      <c r="BV285" s="7">
        <v>24</v>
      </c>
      <c r="BW285" s="7" t="s">
        <v>1272</v>
      </c>
      <c r="BX285" s="8" t="b">
        <v>1</v>
      </c>
      <c r="BY285" s="7">
        <v>13392.75</v>
      </c>
      <c r="BZ285" s="7">
        <v>100</v>
      </c>
      <c r="CA285" s="7">
        <v>46237.760416666664</v>
      </c>
      <c r="CB285" s="7">
        <v>46237.75</v>
      </c>
      <c r="CC285" s="7">
        <v>7.5476052449965497E-2</v>
      </c>
      <c r="CD285" s="7">
        <v>113.25833540372683</v>
      </c>
      <c r="CE285" s="7">
        <v>86.086956521739268</v>
      </c>
      <c r="CF285" s="7">
        <v>0</v>
      </c>
      <c r="CG285" s="7">
        <v>0.3125</v>
      </c>
      <c r="CH285" s="7" t="s">
        <v>150</v>
      </c>
      <c r="CI285" s="7">
        <v>128</v>
      </c>
      <c r="CJ285" s="8" t="b">
        <v>1</v>
      </c>
      <c r="CK285" s="7">
        <v>0</v>
      </c>
      <c r="CL285" s="7">
        <v>40</v>
      </c>
      <c r="CM285" s="7">
        <v>40</v>
      </c>
      <c r="CN285" s="8" t="b">
        <v>0</v>
      </c>
      <c r="CO285" s="7" t="s">
        <v>1125</v>
      </c>
      <c r="CP285" s="7">
        <v>13408.090134109787</v>
      </c>
    </row>
    <row r="286" spans="1:94" ht="21" customHeight="1" x14ac:dyDescent="0.45">
      <c r="A286" s="9">
        <v>46237.760416666664</v>
      </c>
      <c r="B286" s="9">
        <v>46237.770833333336</v>
      </c>
      <c r="C286" s="9">
        <v>46237.885416666664</v>
      </c>
      <c r="D286" s="10">
        <v>46237</v>
      </c>
      <c r="E286" s="7">
        <v>0.25</v>
      </c>
      <c r="F286" s="7" t="s">
        <v>770</v>
      </c>
      <c r="G286" s="9">
        <v>46237.75</v>
      </c>
      <c r="H286" s="7">
        <v>469.04</v>
      </c>
      <c r="I286" s="7" t="s">
        <v>1276</v>
      </c>
      <c r="J286" s="7">
        <v>15</v>
      </c>
      <c r="K286" s="7" t="s">
        <v>1130</v>
      </c>
      <c r="L286" s="10">
        <v>46234</v>
      </c>
      <c r="M286" s="7">
        <v>5.2473000000000001</v>
      </c>
      <c r="N286" s="7" t="s">
        <v>773</v>
      </c>
      <c r="O286" s="7">
        <v>131.96799999999999</v>
      </c>
      <c r="P286" s="7" t="s">
        <v>1273</v>
      </c>
      <c r="Q286" s="7" t="s">
        <v>775</v>
      </c>
      <c r="R286" s="7">
        <v>66.224534522516336</v>
      </c>
      <c r="S286" s="7" t="s">
        <v>776</v>
      </c>
      <c r="T286" s="7">
        <v>175</v>
      </c>
      <c r="U286" s="7" t="s">
        <v>1274</v>
      </c>
      <c r="V286" s="7" t="s">
        <v>775</v>
      </c>
      <c r="W286" s="7">
        <v>7.0836430164084385</v>
      </c>
      <c r="X286" s="7" t="s">
        <v>776</v>
      </c>
      <c r="Y286" s="7">
        <v>175</v>
      </c>
      <c r="Z286" s="7" t="s">
        <v>1275</v>
      </c>
      <c r="AA286" s="7" t="s">
        <v>775</v>
      </c>
      <c r="AB286" s="7">
        <v>2.5937148628818627</v>
      </c>
      <c r="AC286" s="7" t="s">
        <v>776</v>
      </c>
      <c r="AD286" s="7"/>
      <c r="AE286" s="7" t="s">
        <v>779</v>
      </c>
      <c r="AF286" s="7"/>
      <c r="AG286" s="7">
        <v>369.7741695729232</v>
      </c>
      <c r="AH286" s="7" t="s">
        <v>776</v>
      </c>
      <c r="AI286" s="7">
        <v>17.87</v>
      </c>
      <c r="AJ286" s="7">
        <v>0</v>
      </c>
      <c r="AK286" s="7" t="s">
        <v>776</v>
      </c>
      <c r="AL286" s="7">
        <v>0</v>
      </c>
      <c r="AM286" s="7" t="s">
        <v>780</v>
      </c>
      <c r="AN286" s="7" t="s">
        <v>781</v>
      </c>
      <c r="AO286" s="7" t="s">
        <v>782</v>
      </c>
      <c r="AP286" s="7">
        <v>0.40845714285714291</v>
      </c>
      <c r="AQ286" s="7">
        <v>0</v>
      </c>
      <c r="AR286" s="7">
        <v>0.40845714285714291</v>
      </c>
      <c r="AS286" s="8" t="b">
        <v>1</v>
      </c>
      <c r="AT286" s="8" t="b">
        <v>1</v>
      </c>
      <c r="AU286" s="8" t="b">
        <v>1</v>
      </c>
      <c r="AV286" s="8" t="b">
        <v>1</v>
      </c>
      <c r="AW286" s="8" t="b">
        <v>1</v>
      </c>
      <c r="AX286" s="8" t="b">
        <v>1</v>
      </c>
      <c r="AY286" s="8" t="b">
        <v>1</v>
      </c>
      <c r="AZ286" s="8" t="b">
        <v>1</v>
      </c>
      <c r="BA286" s="7" t="s">
        <v>783</v>
      </c>
      <c r="BB286" s="7" t="s">
        <v>783</v>
      </c>
      <c r="BC286" s="7" t="s">
        <v>784</v>
      </c>
      <c r="BD286" s="7">
        <v>0</v>
      </c>
      <c r="BE286" s="7">
        <v>0</v>
      </c>
      <c r="BF286" s="7">
        <v>15.562289177291177</v>
      </c>
      <c r="BG286" s="7">
        <v>0.13714285714285715</v>
      </c>
      <c r="BH286" s="7" t="s">
        <v>154</v>
      </c>
      <c r="BI286" s="7">
        <v>175</v>
      </c>
      <c r="BJ286" s="7">
        <v>24</v>
      </c>
      <c r="BK286" s="7">
        <v>24</v>
      </c>
      <c r="BL286" s="7">
        <v>24</v>
      </c>
      <c r="BM286" s="8" t="b">
        <v>1</v>
      </c>
      <c r="BN286" s="7">
        <v>0</v>
      </c>
      <c r="BO286" s="7">
        <v>0</v>
      </c>
      <c r="BP286" s="7">
        <v>0</v>
      </c>
      <c r="BQ286" s="7">
        <v>0.13714285714285715</v>
      </c>
      <c r="BR286" s="7" t="s">
        <v>154</v>
      </c>
      <c r="BS286" s="7">
        <v>175</v>
      </c>
      <c r="BT286" s="7">
        <v>0</v>
      </c>
      <c r="BU286" s="7">
        <v>24</v>
      </c>
      <c r="BV286" s="7">
        <v>24</v>
      </c>
      <c r="BW286" s="7" t="s">
        <v>1276</v>
      </c>
      <c r="BX286" s="8" t="b">
        <v>1</v>
      </c>
      <c r="BY286" s="7">
        <v>11726</v>
      </c>
      <c r="BZ286" s="7">
        <v>100</v>
      </c>
      <c r="CA286" s="7">
        <v>46237.770833333336</v>
      </c>
      <c r="CB286" s="7">
        <v>46237.760416666664</v>
      </c>
      <c r="CC286" s="7">
        <v>7.5483091787439616E-2</v>
      </c>
      <c r="CD286" s="7">
        <v>86.086956521739268</v>
      </c>
      <c r="CE286" s="7">
        <v>58.91304347826101</v>
      </c>
      <c r="CF286" s="7">
        <v>0</v>
      </c>
      <c r="CG286" s="7">
        <v>0.3125</v>
      </c>
      <c r="CH286" s="7" t="s">
        <v>150</v>
      </c>
      <c r="CI286" s="7">
        <v>128</v>
      </c>
      <c r="CJ286" s="8" t="b">
        <v>1</v>
      </c>
      <c r="CK286" s="7">
        <v>0</v>
      </c>
      <c r="CL286" s="7">
        <v>40</v>
      </c>
      <c r="CM286" s="7">
        <v>40</v>
      </c>
      <c r="CN286" s="8" t="b">
        <v>0</v>
      </c>
      <c r="CO286" s="7" t="s">
        <v>1125</v>
      </c>
      <c r="CP286" s="7">
        <v>11741.562289177291</v>
      </c>
    </row>
    <row r="287" spans="1:94" ht="21" customHeight="1" x14ac:dyDescent="0.45">
      <c r="A287" s="9">
        <v>46237.770833333336</v>
      </c>
      <c r="B287" s="9">
        <v>46237.78125</v>
      </c>
      <c r="C287" s="9">
        <v>46237.895833333336</v>
      </c>
      <c r="D287" s="10">
        <v>46237</v>
      </c>
      <c r="E287" s="7">
        <v>0.25</v>
      </c>
      <c r="F287" s="7" t="s">
        <v>770</v>
      </c>
      <c r="G287" s="9">
        <v>46237.75</v>
      </c>
      <c r="H287" s="7">
        <v>336.01</v>
      </c>
      <c r="I287" s="7" t="s">
        <v>1277</v>
      </c>
      <c r="J287" s="7">
        <v>15</v>
      </c>
      <c r="K287" s="7" t="s">
        <v>1130</v>
      </c>
      <c r="L287" s="10">
        <v>46234</v>
      </c>
      <c r="M287" s="7">
        <v>5.2473000000000001</v>
      </c>
      <c r="N287" s="7" t="s">
        <v>773</v>
      </c>
      <c r="O287" s="7">
        <v>131.96799999999999</v>
      </c>
      <c r="P287" s="7" t="s">
        <v>1273</v>
      </c>
      <c r="Q287" s="7" t="s">
        <v>775</v>
      </c>
      <c r="R287" s="7">
        <v>66.224534522516336</v>
      </c>
      <c r="S287" s="7" t="s">
        <v>776</v>
      </c>
      <c r="T287" s="7">
        <v>175</v>
      </c>
      <c r="U287" s="7" t="s">
        <v>1274</v>
      </c>
      <c r="V287" s="7" t="s">
        <v>775</v>
      </c>
      <c r="W287" s="7">
        <v>7.0836430164084385</v>
      </c>
      <c r="X287" s="7" t="s">
        <v>776</v>
      </c>
      <c r="Y287" s="7">
        <v>175</v>
      </c>
      <c r="Z287" s="7" t="s">
        <v>1275</v>
      </c>
      <c r="AA287" s="7" t="s">
        <v>775</v>
      </c>
      <c r="AB287" s="7">
        <v>2.5937148628818627</v>
      </c>
      <c r="AC287" s="7" t="s">
        <v>776</v>
      </c>
      <c r="AD287" s="7"/>
      <c r="AE287" s="7" t="s">
        <v>779</v>
      </c>
      <c r="AF287" s="7"/>
      <c r="AG287" s="7">
        <v>289.38139614658968</v>
      </c>
      <c r="AH287" s="7" t="s">
        <v>776</v>
      </c>
      <c r="AI287" s="7">
        <v>12.845000000000001</v>
      </c>
      <c r="AJ287" s="7">
        <v>0</v>
      </c>
      <c r="AK287" s="7" t="s">
        <v>776</v>
      </c>
      <c r="AL287" s="7">
        <v>0</v>
      </c>
      <c r="AM287" s="7" t="s">
        <v>780</v>
      </c>
      <c r="AN287" s="7" t="s">
        <v>781</v>
      </c>
      <c r="AO287" s="7" t="s">
        <v>782</v>
      </c>
      <c r="AP287" s="7">
        <v>0.29360000000000003</v>
      </c>
      <c r="AQ287" s="7">
        <v>0</v>
      </c>
      <c r="AR287" s="7">
        <v>0.29360000000000003</v>
      </c>
      <c r="AS287" s="8" t="b">
        <v>1</v>
      </c>
      <c r="AT287" s="8" t="b">
        <v>1</v>
      </c>
      <c r="AU287" s="8" t="b">
        <v>1</v>
      </c>
      <c r="AV287" s="8" t="b">
        <v>1</v>
      </c>
      <c r="AW287" s="8" t="b">
        <v>1</v>
      </c>
      <c r="AX287" s="8" t="b">
        <v>1</v>
      </c>
      <c r="AY287" s="8" t="b">
        <v>1</v>
      </c>
      <c r="AZ287" s="8" t="b">
        <v>1</v>
      </c>
      <c r="BA287" s="7" t="s">
        <v>783</v>
      </c>
      <c r="BB287" s="7" t="s">
        <v>783</v>
      </c>
      <c r="BC287" s="7" t="s">
        <v>784</v>
      </c>
      <c r="BD287" s="7">
        <v>0</v>
      </c>
      <c r="BE287" s="7">
        <v>0</v>
      </c>
      <c r="BF287" s="7">
        <v>15.562289177291177</v>
      </c>
      <c r="BG287" s="7">
        <v>0.13714285714285715</v>
      </c>
      <c r="BH287" s="7" t="s">
        <v>154</v>
      </c>
      <c r="BI287" s="7">
        <v>175</v>
      </c>
      <c r="BJ287" s="7">
        <v>24</v>
      </c>
      <c r="BK287" s="7">
        <v>24</v>
      </c>
      <c r="BL287" s="7">
        <v>24</v>
      </c>
      <c r="BM287" s="8" t="b">
        <v>1</v>
      </c>
      <c r="BN287" s="7">
        <v>0</v>
      </c>
      <c r="BO287" s="7">
        <v>0</v>
      </c>
      <c r="BP287" s="7">
        <v>0</v>
      </c>
      <c r="BQ287" s="7">
        <v>0.13714285714285715</v>
      </c>
      <c r="BR287" s="7" t="s">
        <v>154</v>
      </c>
      <c r="BS287" s="7">
        <v>175</v>
      </c>
      <c r="BT287" s="7">
        <v>0</v>
      </c>
      <c r="BU287" s="7">
        <v>24</v>
      </c>
      <c r="BV287" s="7">
        <v>24</v>
      </c>
      <c r="BW287" s="7" t="s">
        <v>1277</v>
      </c>
      <c r="BX287" s="8" t="b">
        <v>1</v>
      </c>
      <c r="BY287" s="7">
        <v>8400.25</v>
      </c>
      <c r="BZ287" s="7">
        <v>100</v>
      </c>
      <c r="CA287" s="7">
        <v>46237.78125</v>
      </c>
      <c r="CB287" s="7">
        <v>46237.770833333336</v>
      </c>
      <c r="CC287" s="7">
        <v>7.5483091787439602E-2</v>
      </c>
      <c r="CD287" s="7">
        <v>58.91304347826101</v>
      </c>
      <c r="CE287" s="7">
        <v>31.739130434782751</v>
      </c>
      <c r="CF287" s="7">
        <v>0</v>
      </c>
      <c r="CG287" s="7">
        <v>0.3125</v>
      </c>
      <c r="CH287" s="7" t="s">
        <v>150</v>
      </c>
      <c r="CI287" s="7">
        <v>128</v>
      </c>
      <c r="CJ287" s="8" t="b">
        <v>1</v>
      </c>
      <c r="CK287" s="7">
        <v>0</v>
      </c>
      <c r="CL287" s="7">
        <v>40</v>
      </c>
      <c r="CM287" s="7">
        <v>40</v>
      </c>
      <c r="CN287" s="8" t="b">
        <v>0</v>
      </c>
      <c r="CO287" s="7" t="s">
        <v>1125</v>
      </c>
      <c r="CP287" s="7">
        <v>8415.8122891772909</v>
      </c>
    </row>
    <row r="288" spans="1:94" ht="21" customHeight="1" x14ac:dyDescent="0.45">
      <c r="A288" s="9">
        <v>46237.78125</v>
      </c>
      <c r="B288" s="9">
        <v>46237.791666666664</v>
      </c>
      <c r="C288" s="9">
        <v>46237.90625</v>
      </c>
      <c r="D288" s="10">
        <v>46237</v>
      </c>
      <c r="E288" s="7">
        <v>0.25</v>
      </c>
      <c r="F288" s="7" t="s">
        <v>770</v>
      </c>
      <c r="G288" s="9">
        <v>46237.75</v>
      </c>
      <c r="H288" s="7">
        <v>280.92</v>
      </c>
      <c r="I288" s="7" t="s">
        <v>1278</v>
      </c>
      <c r="J288" s="7">
        <v>15</v>
      </c>
      <c r="K288" s="7" t="s">
        <v>1130</v>
      </c>
      <c r="L288" s="10">
        <v>46234</v>
      </c>
      <c r="M288" s="7">
        <v>5.2473000000000001</v>
      </c>
      <c r="N288" s="7" t="s">
        <v>773</v>
      </c>
      <c r="O288" s="7">
        <v>131.96799999999999</v>
      </c>
      <c r="P288" s="7" t="s">
        <v>1273</v>
      </c>
      <c r="Q288" s="7" t="s">
        <v>775</v>
      </c>
      <c r="R288" s="7">
        <v>66.224534522516336</v>
      </c>
      <c r="S288" s="7" t="s">
        <v>776</v>
      </c>
      <c r="T288" s="7">
        <v>175</v>
      </c>
      <c r="U288" s="7" t="s">
        <v>1274</v>
      </c>
      <c r="V288" s="7" t="s">
        <v>775</v>
      </c>
      <c r="W288" s="7">
        <v>7.0836430164084385</v>
      </c>
      <c r="X288" s="7" t="s">
        <v>776</v>
      </c>
      <c r="Y288" s="7">
        <v>175</v>
      </c>
      <c r="Z288" s="7" t="s">
        <v>1275</v>
      </c>
      <c r="AA288" s="7" t="s">
        <v>775</v>
      </c>
      <c r="AB288" s="7">
        <v>2.5937148628818627</v>
      </c>
      <c r="AC288" s="7" t="s">
        <v>776</v>
      </c>
      <c r="AD288" s="7"/>
      <c r="AE288" s="7" t="s">
        <v>779</v>
      </c>
      <c r="AF288" s="7"/>
      <c r="AG288" s="7">
        <v>275.3781945000286</v>
      </c>
      <c r="AH288" s="7" t="s">
        <v>776</v>
      </c>
      <c r="AI288" s="7">
        <v>16.335999999999999</v>
      </c>
      <c r="AJ288" s="7">
        <v>0</v>
      </c>
      <c r="AK288" s="7" t="s">
        <v>776</v>
      </c>
      <c r="AL288" s="7">
        <v>0</v>
      </c>
      <c r="AM288" s="7" t="s">
        <v>780</v>
      </c>
      <c r="AN288" s="7" t="s">
        <v>781</v>
      </c>
      <c r="AO288" s="7" t="s">
        <v>782</v>
      </c>
      <c r="AP288" s="7">
        <v>0.37339428571428568</v>
      </c>
      <c r="AQ288" s="7">
        <v>0</v>
      </c>
      <c r="AR288" s="7">
        <v>0.37339428571428568</v>
      </c>
      <c r="AS288" s="8" t="b">
        <v>1</v>
      </c>
      <c r="AT288" s="8" t="b">
        <v>1</v>
      </c>
      <c r="AU288" s="8" t="b">
        <v>1</v>
      </c>
      <c r="AV288" s="8" t="b">
        <v>1</v>
      </c>
      <c r="AW288" s="8" t="b">
        <v>1</v>
      </c>
      <c r="AX288" s="8" t="b">
        <v>1</v>
      </c>
      <c r="AY288" s="8" t="b">
        <v>1</v>
      </c>
      <c r="AZ288" s="8" t="b">
        <v>1</v>
      </c>
      <c r="BA288" s="7" t="s">
        <v>783</v>
      </c>
      <c r="BB288" s="7" t="s">
        <v>783</v>
      </c>
      <c r="BC288" s="7" t="s">
        <v>784</v>
      </c>
      <c r="BD288" s="7">
        <v>0</v>
      </c>
      <c r="BE288" s="7">
        <v>0</v>
      </c>
      <c r="BF288" s="7">
        <v>15.562289177291177</v>
      </c>
      <c r="BG288" s="7">
        <v>0.13714285714285715</v>
      </c>
      <c r="BH288" s="7" t="s">
        <v>154</v>
      </c>
      <c r="BI288" s="7">
        <v>175</v>
      </c>
      <c r="BJ288" s="7">
        <v>24</v>
      </c>
      <c r="BK288" s="7">
        <v>24</v>
      </c>
      <c r="BL288" s="7">
        <v>24</v>
      </c>
      <c r="BM288" s="8" t="b">
        <v>1</v>
      </c>
      <c r="BN288" s="7">
        <v>0</v>
      </c>
      <c r="BO288" s="7">
        <v>0</v>
      </c>
      <c r="BP288" s="7">
        <v>0</v>
      </c>
      <c r="BQ288" s="7">
        <v>0.13714285714285715</v>
      </c>
      <c r="BR288" s="7" t="s">
        <v>154</v>
      </c>
      <c r="BS288" s="7">
        <v>175</v>
      </c>
      <c r="BT288" s="7">
        <v>0</v>
      </c>
      <c r="BU288" s="7">
        <v>24</v>
      </c>
      <c r="BV288" s="7">
        <v>24</v>
      </c>
      <c r="BW288" s="7" t="s">
        <v>1278</v>
      </c>
      <c r="BX288" s="8" t="b">
        <v>1</v>
      </c>
      <c r="BY288" s="7">
        <v>0</v>
      </c>
      <c r="BZ288" s="7">
        <v>0</v>
      </c>
      <c r="CA288" s="7">
        <v>46237.791666666664</v>
      </c>
      <c r="CB288" s="7">
        <v>46237.78125</v>
      </c>
      <c r="CC288" s="7">
        <v>0</v>
      </c>
      <c r="CD288" s="7">
        <v>31.739130434782751</v>
      </c>
      <c r="CE288" s="7">
        <v>31.739130434782751</v>
      </c>
      <c r="CF288" s="7">
        <v>0</v>
      </c>
      <c r="CG288" s="7">
        <v>0.3125</v>
      </c>
      <c r="CH288" s="7" t="s">
        <v>150</v>
      </c>
      <c r="CI288" s="7">
        <v>128</v>
      </c>
      <c r="CJ288" s="8" t="b">
        <v>1</v>
      </c>
      <c r="CK288" s="7">
        <v>0</v>
      </c>
      <c r="CL288" s="7">
        <v>40</v>
      </c>
      <c r="CM288" s="7">
        <v>40</v>
      </c>
      <c r="CN288" s="8" t="b">
        <v>0</v>
      </c>
      <c r="CO288" s="7" t="s">
        <v>1125</v>
      </c>
      <c r="CP288" s="7">
        <v>15.562289177291177</v>
      </c>
    </row>
    <row r="289" spans="1:94" ht="21" customHeight="1" x14ac:dyDescent="0.45">
      <c r="A289" s="9">
        <v>46237.791666666664</v>
      </c>
      <c r="B289" s="9">
        <v>46237.802083333336</v>
      </c>
      <c r="C289" s="9">
        <v>46237.916666666664</v>
      </c>
      <c r="D289" s="10">
        <v>46237</v>
      </c>
      <c r="E289" s="7">
        <v>0.25</v>
      </c>
      <c r="F289" s="7" t="s">
        <v>770</v>
      </c>
      <c r="G289" s="9">
        <v>46237.791666666664</v>
      </c>
      <c r="H289" s="7">
        <v>284.93</v>
      </c>
      <c r="I289" s="7" t="s">
        <v>1279</v>
      </c>
      <c r="J289" s="7">
        <v>15</v>
      </c>
      <c r="K289" s="7" t="s">
        <v>1130</v>
      </c>
      <c r="L289" s="10">
        <v>46234</v>
      </c>
      <c r="M289" s="7">
        <v>5.2473000000000001</v>
      </c>
      <c r="N289" s="7" t="s">
        <v>773</v>
      </c>
      <c r="O289" s="7">
        <v>131.96799999999999</v>
      </c>
      <c r="P289" s="7" t="s">
        <v>1280</v>
      </c>
      <c r="Q289" s="7" t="s">
        <v>775</v>
      </c>
      <c r="R289" s="7">
        <v>66.224534522516336</v>
      </c>
      <c r="S289" s="7" t="s">
        <v>776</v>
      </c>
      <c r="T289" s="7">
        <v>175</v>
      </c>
      <c r="U289" s="7" t="s">
        <v>1281</v>
      </c>
      <c r="V289" s="7" t="s">
        <v>775</v>
      </c>
      <c r="W289" s="7">
        <v>3.4512987631734413</v>
      </c>
      <c r="X289" s="7" t="s">
        <v>776</v>
      </c>
      <c r="Y289" s="7">
        <v>175</v>
      </c>
      <c r="Z289" s="7" t="s">
        <v>1282</v>
      </c>
      <c r="AA289" s="7" t="s">
        <v>775</v>
      </c>
      <c r="AB289" s="7">
        <v>2.5937148628818627</v>
      </c>
      <c r="AC289" s="7" t="s">
        <v>776</v>
      </c>
      <c r="AD289" s="7"/>
      <c r="AE289" s="7" t="s">
        <v>779</v>
      </c>
      <c r="AF289" s="7"/>
      <c r="AG289" s="7">
        <v>315.43860652144912</v>
      </c>
      <c r="AH289" s="7" t="s">
        <v>776</v>
      </c>
      <c r="AI289" s="7">
        <v>16.673999999999999</v>
      </c>
      <c r="AJ289" s="7">
        <v>0</v>
      </c>
      <c r="AK289" s="7" t="s">
        <v>776</v>
      </c>
      <c r="AL289" s="7">
        <v>0</v>
      </c>
      <c r="AM289" s="7" t="s">
        <v>780</v>
      </c>
      <c r="AN289" s="7" t="s">
        <v>781</v>
      </c>
      <c r="AO289" s="7" t="s">
        <v>782</v>
      </c>
      <c r="AP289" s="7">
        <v>0.38112000000000001</v>
      </c>
      <c r="AQ289" s="7">
        <v>0</v>
      </c>
      <c r="AR289" s="7">
        <v>0.38112000000000001</v>
      </c>
      <c r="AS289" s="8" t="b">
        <v>1</v>
      </c>
      <c r="AT289" s="8" t="b">
        <v>1</v>
      </c>
      <c r="AU289" s="8" t="b">
        <v>1</v>
      </c>
      <c r="AV289" s="8" t="b">
        <v>1</v>
      </c>
      <c r="AW289" s="8" t="b">
        <v>1</v>
      </c>
      <c r="AX289" s="8" t="b">
        <v>1</v>
      </c>
      <c r="AY289" s="8" t="b">
        <v>1</v>
      </c>
      <c r="AZ289" s="8" t="b">
        <v>1</v>
      </c>
      <c r="BA289" s="7" t="s">
        <v>783</v>
      </c>
      <c r="BB289" s="7" t="s">
        <v>783</v>
      </c>
      <c r="BC289" s="7" t="s">
        <v>784</v>
      </c>
      <c r="BD289" s="7">
        <v>0</v>
      </c>
      <c r="BE289" s="7">
        <v>0</v>
      </c>
      <c r="BF289" s="7">
        <v>15.562289177291177</v>
      </c>
      <c r="BG289" s="7">
        <v>0.13714285714285715</v>
      </c>
      <c r="BH289" s="7" t="s">
        <v>154</v>
      </c>
      <c r="BI289" s="7">
        <v>175</v>
      </c>
      <c r="BJ289" s="7">
        <v>24</v>
      </c>
      <c r="BK289" s="7">
        <v>24</v>
      </c>
      <c r="BL289" s="7">
        <v>24</v>
      </c>
      <c r="BM289" s="8" t="b">
        <v>1</v>
      </c>
      <c r="BN289" s="7">
        <v>0</v>
      </c>
      <c r="BO289" s="7">
        <v>0</v>
      </c>
      <c r="BP289" s="7">
        <v>0</v>
      </c>
      <c r="BQ289" s="7">
        <v>0.13714285714285715</v>
      </c>
      <c r="BR289" s="7" t="s">
        <v>154</v>
      </c>
      <c r="BS289" s="7">
        <v>175</v>
      </c>
      <c r="BT289" s="7">
        <v>0</v>
      </c>
      <c r="BU289" s="7">
        <v>24</v>
      </c>
      <c r="BV289" s="7">
        <v>24</v>
      </c>
      <c r="BW289" s="7" t="s">
        <v>1279</v>
      </c>
      <c r="BX289" s="8" t="b">
        <v>1</v>
      </c>
      <c r="BY289" s="7">
        <v>0</v>
      </c>
      <c r="BZ289" s="7">
        <v>0</v>
      </c>
      <c r="CA289" s="7">
        <v>46237.802083333336</v>
      </c>
      <c r="CB289" s="7">
        <v>46237.791666666664</v>
      </c>
      <c r="CC289" s="7">
        <v>0</v>
      </c>
      <c r="CD289" s="7">
        <v>31.739130434782751</v>
      </c>
      <c r="CE289" s="7">
        <v>31.739130434782751</v>
      </c>
      <c r="CF289" s="7">
        <v>662.24534522516342</v>
      </c>
      <c r="CG289" s="7">
        <v>0.3125</v>
      </c>
      <c r="CH289" s="7" t="s">
        <v>150</v>
      </c>
      <c r="CI289" s="7">
        <v>128</v>
      </c>
      <c r="CJ289" s="8" t="b">
        <v>1</v>
      </c>
      <c r="CK289" s="7">
        <v>40</v>
      </c>
      <c r="CL289" s="7">
        <v>40</v>
      </c>
      <c r="CM289" s="7">
        <v>40</v>
      </c>
      <c r="CN289" s="8" t="b">
        <v>0</v>
      </c>
      <c r="CO289" s="7" t="s">
        <v>1125</v>
      </c>
      <c r="CP289" s="7">
        <v>677.8076344024546</v>
      </c>
    </row>
    <row r="290" spans="1:94" ht="21" customHeight="1" x14ac:dyDescent="0.45">
      <c r="A290" s="9">
        <v>46237.802083333336</v>
      </c>
      <c r="B290" s="9">
        <v>46237.8125</v>
      </c>
      <c r="C290" s="9">
        <v>46237.927083333336</v>
      </c>
      <c r="D290" s="10">
        <v>46237</v>
      </c>
      <c r="E290" s="7">
        <v>0.25</v>
      </c>
      <c r="F290" s="7" t="s">
        <v>770</v>
      </c>
      <c r="G290" s="9">
        <v>46237.791666666664</v>
      </c>
      <c r="H290" s="7">
        <v>273.52</v>
      </c>
      <c r="I290" s="7" t="s">
        <v>1283</v>
      </c>
      <c r="J290" s="7">
        <v>15</v>
      </c>
      <c r="K290" s="7" t="s">
        <v>1130</v>
      </c>
      <c r="L290" s="10">
        <v>46234</v>
      </c>
      <c r="M290" s="7">
        <v>5.2473000000000001</v>
      </c>
      <c r="N290" s="7" t="s">
        <v>773</v>
      </c>
      <c r="O290" s="7">
        <v>131.96799999999999</v>
      </c>
      <c r="P290" s="7" t="s">
        <v>1280</v>
      </c>
      <c r="Q290" s="7" t="s">
        <v>775</v>
      </c>
      <c r="R290" s="7">
        <v>66.224534522516336</v>
      </c>
      <c r="S290" s="7" t="s">
        <v>776</v>
      </c>
      <c r="T290" s="7">
        <v>175</v>
      </c>
      <c r="U290" s="7" t="s">
        <v>1281</v>
      </c>
      <c r="V290" s="7" t="s">
        <v>775</v>
      </c>
      <c r="W290" s="7">
        <v>3.4512987631734413</v>
      </c>
      <c r="X290" s="7" t="s">
        <v>776</v>
      </c>
      <c r="Y290" s="7">
        <v>175</v>
      </c>
      <c r="Z290" s="7" t="s">
        <v>1282</v>
      </c>
      <c r="AA290" s="7" t="s">
        <v>775</v>
      </c>
      <c r="AB290" s="7">
        <v>2.5937148628818627</v>
      </c>
      <c r="AC290" s="7" t="s">
        <v>776</v>
      </c>
      <c r="AD290" s="7"/>
      <c r="AE290" s="7" t="s">
        <v>779</v>
      </c>
      <c r="AF290" s="7"/>
      <c r="AG290" s="7">
        <v>304.5253749547386</v>
      </c>
      <c r="AH290" s="7" t="s">
        <v>776</v>
      </c>
      <c r="AI290" s="7">
        <v>17.556999999999999</v>
      </c>
      <c r="AJ290" s="7">
        <v>0</v>
      </c>
      <c r="AK290" s="7" t="s">
        <v>776</v>
      </c>
      <c r="AL290" s="7">
        <v>0</v>
      </c>
      <c r="AM290" s="7" t="s">
        <v>780</v>
      </c>
      <c r="AN290" s="7" t="s">
        <v>781</v>
      </c>
      <c r="AO290" s="7" t="s">
        <v>782</v>
      </c>
      <c r="AP290" s="7">
        <v>0.40130285714285707</v>
      </c>
      <c r="AQ290" s="7">
        <v>0</v>
      </c>
      <c r="AR290" s="7">
        <v>0.40130285714285707</v>
      </c>
      <c r="AS290" s="8" t="b">
        <v>1</v>
      </c>
      <c r="AT290" s="8" t="b">
        <v>1</v>
      </c>
      <c r="AU290" s="8" t="b">
        <v>1</v>
      </c>
      <c r="AV290" s="8" t="b">
        <v>1</v>
      </c>
      <c r="AW290" s="8" t="b">
        <v>1</v>
      </c>
      <c r="AX290" s="8" t="b">
        <v>1</v>
      </c>
      <c r="AY290" s="8" t="b">
        <v>1</v>
      </c>
      <c r="AZ290" s="8" t="b">
        <v>1</v>
      </c>
      <c r="BA290" s="7" t="s">
        <v>783</v>
      </c>
      <c r="BB290" s="7" t="s">
        <v>783</v>
      </c>
      <c r="BC290" s="7" t="s">
        <v>784</v>
      </c>
      <c r="BD290" s="7">
        <v>0</v>
      </c>
      <c r="BE290" s="7">
        <v>0</v>
      </c>
      <c r="BF290" s="7">
        <v>15.562289177291177</v>
      </c>
      <c r="BG290" s="7">
        <v>0.13714285714285715</v>
      </c>
      <c r="BH290" s="7" t="s">
        <v>154</v>
      </c>
      <c r="BI290" s="7">
        <v>175</v>
      </c>
      <c r="BJ290" s="7">
        <v>24</v>
      </c>
      <c r="BK290" s="7">
        <v>24</v>
      </c>
      <c r="BL290" s="7">
        <v>24</v>
      </c>
      <c r="BM290" s="8" t="b">
        <v>1</v>
      </c>
      <c r="BN290" s="7">
        <v>0</v>
      </c>
      <c r="BO290" s="7">
        <v>0</v>
      </c>
      <c r="BP290" s="7">
        <v>0</v>
      </c>
      <c r="BQ290" s="7">
        <v>0.13714285714285715</v>
      </c>
      <c r="BR290" s="7" t="s">
        <v>154</v>
      </c>
      <c r="BS290" s="7">
        <v>175</v>
      </c>
      <c r="BT290" s="7">
        <v>0</v>
      </c>
      <c r="BU290" s="7">
        <v>24</v>
      </c>
      <c r="BV290" s="7">
        <v>24</v>
      </c>
      <c r="BW290" s="7" t="s">
        <v>1283</v>
      </c>
      <c r="BX290" s="8" t="b">
        <v>1</v>
      </c>
      <c r="BY290" s="7">
        <v>0</v>
      </c>
      <c r="BZ290" s="7">
        <v>0</v>
      </c>
      <c r="CA290" s="7">
        <v>46237.8125</v>
      </c>
      <c r="CB290" s="7">
        <v>46237.802083333336</v>
      </c>
      <c r="CC290" s="7">
        <v>0</v>
      </c>
      <c r="CD290" s="7">
        <v>31.739130434782751</v>
      </c>
      <c r="CE290" s="7">
        <v>31.739130434782751</v>
      </c>
      <c r="CF290" s="7">
        <v>662.24534522516342</v>
      </c>
      <c r="CG290" s="7">
        <v>0.3125</v>
      </c>
      <c r="CH290" s="7" t="s">
        <v>150</v>
      </c>
      <c r="CI290" s="7">
        <v>128</v>
      </c>
      <c r="CJ290" s="8" t="b">
        <v>1</v>
      </c>
      <c r="CK290" s="7">
        <v>40</v>
      </c>
      <c r="CL290" s="7">
        <v>40</v>
      </c>
      <c r="CM290" s="7">
        <v>40</v>
      </c>
      <c r="CN290" s="8" t="b">
        <v>0</v>
      </c>
      <c r="CO290" s="7" t="s">
        <v>1125</v>
      </c>
      <c r="CP290" s="7">
        <v>677.8076344024546</v>
      </c>
    </row>
    <row r="291" spans="1:94" ht="21" customHeight="1" x14ac:dyDescent="0.45">
      <c r="A291" s="9">
        <v>46237.8125</v>
      </c>
      <c r="B291" s="9">
        <v>46237.822916666664</v>
      </c>
      <c r="C291" s="9">
        <v>46237.9375</v>
      </c>
      <c r="D291" s="10">
        <v>46237</v>
      </c>
      <c r="E291" s="7">
        <v>0.25</v>
      </c>
      <c r="F291" s="7" t="s">
        <v>770</v>
      </c>
      <c r="G291" s="9">
        <v>46237.791666666664</v>
      </c>
      <c r="H291" s="7">
        <v>264.77999999999997</v>
      </c>
      <c r="I291" s="7" t="s">
        <v>1284</v>
      </c>
      <c r="J291" s="7">
        <v>15</v>
      </c>
      <c r="K291" s="7" t="s">
        <v>1130</v>
      </c>
      <c r="L291" s="10">
        <v>46234</v>
      </c>
      <c r="M291" s="7">
        <v>5.2473000000000001</v>
      </c>
      <c r="N291" s="7" t="s">
        <v>773</v>
      </c>
      <c r="O291" s="7">
        <v>131.96799999999999</v>
      </c>
      <c r="P291" s="7" t="s">
        <v>1280</v>
      </c>
      <c r="Q291" s="7" t="s">
        <v>775</v>
      </c>
      <c r="R291" s="7">
        <v>66.224534522516336</v>
      </c>
      <c r="S291" s="7" t="s">
        <v>776</v>
      </c>
      <c r="T291" s="7">
        <v>175</v>
      </c>
      <c r="U291" s="7" t="s">
        <v>1281</v>
      </c>
      <c r="V291" s="7" t="s">
        <v>775</v>
      </c>
      <c r="W291" s="7">
        <v>3.4512987631734413</v>
      </c>
      <c r="X291" s="7" t="s">
        <v>776</v>
      </c>
      <c r="Y291" s="7">
        <v>175</v>
      </c>
      <c r="Z291" s="7" t="s">
        <v>1282</v>
      </c>
      <c r="AA291" s="7" t="s">
        <v>775</v>
      </c>
      <c r="AB291" s="7">
        <v>2.5937148628818627</v>
      </c>
      <c r="AC291" s="7" t="s">
        <v>776</v>
      </c>
      <c r="AD291" s="7"/>
      <c r="AE291" s="7" t="s">
        <v>779</v>
      </c>
      <c r="AF291" s="7"/>
      <c r="AG291" s="7">
        <v>281.18422807920263</v>
      </c>
      <c r="AH291" s="7" t="s">
        <v>776</v>
      </c>
      <c r="AI291" s="7">
        <v>10.92</v>
      </c>
      <c r="AJ291" s="7">
        <v>0</v>
      </c>
      <c r="AK291" s="7" t="s">
        <v>776</v>
      </c>
      <c r="AL291" s="7">
        <v>0</v>
      </c>
      <c r="AM291" s="7" t="s">
        <v>780</v>
      </c>
      <c r="AN291" s="7" t="s">
        <v>781</v>
      </c>
      <c r="AO291" s="7" t="s">
        <v>782</v>
      </c>
      <c r="AP291" s="7">
        <v>0.24959999999999999</v>
      </c>
      <c r="AQ291" s="7">
        <v>0</v>
      </c>
      <c r="AR291" s="7">
        <v>0.24959999999999999</v>
      </c>
      <c r="AS291" s="8" t="b">
        <v>1</v>
      </c>
      <c r="AT291" s="8" t="b">
        <v>1</v>
      </c>
      <c r="AU291" s="8" t="b">
        <v>1</v>
      </c>
      <c r="AV291" s="8" t="b">
        <v>1</v>
      </c>
      <c r="AW291" s="8" t="b">
        <v>1</v>
      </c>
      <c r="AX291" s="8" t="b">
        <v>1</v>
      </c>
      <c r="AY291" s="8" t="b">
        <v>1</v>
      </c>
      <c r="AZ291" s="8" t="b">
        <v>1</v>
      </c>
      <c r="BA291" s="7" t="s">
        <v>783</v>
      </c>
      <c r="BB291" s="7" t="s">
        <v>783</v>
      </c>
      <c r="BC291" s="7" t="s">
        <v>784</v>
      </c>
      <c r="BD291" s="7">
        <v>0</v>
      </c>
      <c r="BE291" s="7">
        <v>0</v>
      </c>
      <c r="BF291" s="7">
        <v>15.562289177291177</v>
      </c>
      <c r="BG291" s="7">
        <v>0.13714285714285715</v>
      </c>
      <c r="BH291" s="7" t="s">
        <v>154</v>
      </c>
      <c r="BI291" s="7">
        <v>175</v>
      </c>
      <c r="BJ291" s="7">
        <v>24</v>
      </c>
      <c r="BK291" s="7">
        <v>24</v>
      </c>
      <c r="BL291" s="7">
        <v>24</v>
      </c>
      <c r="BM291" s="8" t="b">
        <v>1</v>
      </c>
      <c r="BN291" s="7">
        <v>0</v>
      </c>
      <c r="BO291" s="7">
        <v>0</v>
      </c>
      <c r="BP291" s="7">
        <v>0</v>
      </c>
      <c r="BQ291" s="7">
        <v>0.13714285714285715</v>
      </c>
      <c r="BR291" s="7" t="s">
        <v>154</v>
      </c>
      <c r="BS291" s="7">
        <v>175</v>
      </c>
      <c r="BT291" s="7">
        <v>0</v>
      </c>
      <c r="BU291" s="7">
        <v>24</v>
      </c>
      <c r="BV291" s="7">
        <v>24</v>
      </c>
      <c r="BW291" s="7" t="s">
        <v>1284</v>
      </c>
      <c r="BX291" s="8" t="b">
        <v>1</v>
      </c>
      <c r="BY291" s="7">
        <v>0</v>
      </c>
      <c r="BZ291" s="7">
        <v>0</v>
      </c>
      <c r="CA291" s="7">
        <v>46237.822916666664</v>
      </c>
      <c r="CB291" s="7">
        <v>46237.8125</v>
      </c>
      <c r="CC291" s="7">
        <v>0</v>
      </c>
      <c r="CD291" s="7">
        <v>31.739130434782751</v>
      </c>
      <c r="CE291" s="7">
        <v>31.739130434782751</v>
      </c>
      <c r="CF291" s="7">
        <v>662.24534522516342</v>
      </c>
      <c r="CG291" s="7">
        <v>0.3125</v>
      </c>
      <c r="CH291" s="7" t="s">
        <v>150</v>
      </c>
      <c r="CI291" s="7">
        <v>128</v>
      </c>
      <c r="CJ291" s="8" t="b">
        <v>1</v>
      </c>
      <c r="CK291" s="7">
        <v>40</v>
      </c>
      <c r="CL291" s="7">
        <v>40</v>
      </c>
      <c r="CM291" s="7">
        <v>40</v>
      </c>
      <c r="CN291" s="8" t="b">
        <v>0</v>
      </c>
      <c r="CO291" s="7" t="s">
        <v>1125</v>
      </c>
      <c r="CP291" s="7">
        <v>677.8076344024546</v>
      </c>
    </row>
    <row r="292" spans="1:94" ht="21" customHeight="1" x14ac:dyDescent="0.45">
      <c r="A292" s="9">
        <v>46237.822916666664</v>
      </c>
      <c r="B292" s="9">
        <v>46237.833333333336</v>
      </c>
      <c r="C292" s="9">
        <v>46237.947916666664</v>
      </c>
      <c r="D292" s="10">
        <v>46237</v>
      </c>
      <c r="E292" s="7">
        <v>0.25</v>
      </c>
      <c r="F292" s="7" t="s">
        <v>770</v>
      </c>
      <c r="G292" s="9">
        <v>46237.791666666664</v>
      </c>
      <c r="H292" s="7">
        <v>252.4</v>
      </c>
      <c r="I292" s="7" t="s">
        <v>1285</v>
      </c>
      <c r="J292" s="7">
        <v>15</v>
      </c>
      <c r="K292" s="7" t="s">
        <v>1130</v>
      </c>
      <c r="L292" s="10">
        <v>46234</v>
      </c>
      <c r="M292" s="7">
        <v>5.2473000000000001</v>
      </c>
      <c r="N292" s="7" t="s">
        <v>773</v>
      </c>
      <c r="O292" s="7">
        <v>131.96799999999999</v>
      </c>
      <c r="P292" s="7" t="s">
        <v>1280</v>
      </c>
      <c r="Q292" s="7" t="s">
        <v>775</v>
      </c>
      <c r="R292" s="7">
        <v>66.224534522516336</v>
      </c>
      <c r="S292" s="7" t="s">
        <v>776</v>
      </c>
      <c r="T292" s="7">
        <v>175</v>
      </c>
      <c r="U292" s="7" t="s">
        <v>1281</v>
      </c>
      <c r="V292" s="7" t="s">
        <v>775</v>
      </c>
      <c r="W292" s="7">
        <v>3.4512987631734413</v>
      </c>
      <c r="X292" s="7" t="s">
        <v>776</v>
      </c>
      <c r="Y292" s="7">
        <v>175</v>
      </c>
      <c r="Z292" s="7" t="s">
        <v>1282</v>
      </c>
      <c r="AA292" s="7" t="s">
        <v>775</v>
      </c>
      <c r="AB292" s="7">
        <v>2.5937148628818627</v>
      </c>
      <c r="AC292" s="7" t="s">
        <v>776</v>
      </c>
      <c r="AD292" s="7"/>
      <c r="AE292" s="7" t="s">
        <v>779</v>
      </c>
      <c r="AF292" s="7"/>
      <c r="AG292" s="7">
        <v>272.8608998913727</v>
      </c>
      <c r="AH292" s="7" t="s">
        <v>776</v>
      </c>
      <c r="AI292" s="7">
        <v>8.25</v>
      </c>
      <c r="AJ292" s="7">
        <v>0</v>
      </c>
      <c r="AK292" s="7" t="s">
        <v>776</v>
      </c>
      <c r="AL292" s="7">
        <v>0</v>
      </c>
      <c r="AM292" s="7" t="s">
        <v>780</v>
      </c>
      <c r="AN292" s="7" t="s">
        <v>781</v>
      </c>
      <c r="AO292" s="7" t="s">
        <v>782</v>
      </c>
      <c r="AP292" s="7">
        <v>0.1885714285714285</v>
      </c>
      <c r="AQ292" s="7">
        <v>0</v>
      </c>
      <c r="AR292" s="7">
        <v>0.1885714285714285</v>
      </c>
      <c r="AS292" s="8" t="b">
        <v>1</v>
      </c>
      <c r="AT292" s="8" t="b">
        <v>1</v>
      </c>
      <c r="AU292" s="8" t="b">
        <v>1</v>
      </c>
      <c r="AV292" s="8" t="b">
        <v>1</v>
      </c>
      <c r="AW292" s="8" t="b">
        <v>1</v>
      </c>
      <c r="AX292" s="8" t="b">
        <v>1</v>
      </c>
      <c r="AY292" s="8" t="b">
        <v>1</v>
      </c>
      <c r="AZ292" s="8" t="b">
        <v>1</v>
      </c>
      <c r="BA292" s="7" t="s">
        <v>783</v>
      </c>
      <c r="BB292" s="7" t="s">
        <v>783</v>
      </c>
      <c r="BC292" s="7" t="s">
        <v>784</v>
      </c>
      <c r="BD292" s="7">
        <v>0</v>
      </c>
      <c r="BE292" s="7">
        <v>0</v>
      </c>
      <c r="BF292" s="7">
        <v>15.562289177291177</v>
      </c>
      <c r="BG292" s="7">
        <v>0.13714285714285715</v>
      </c>
      <c r="BH292" s="7" t="s">
        <v>154</v>
      </c>
      <c r="BI292" s="7">
        <v>175</v>
      </c>
      <c r="BJ292" s="7">
        <v>24</v>
      </c>
      <c r="BK292" s="7">
        <v>24</v>
      </c>
      <c r="BL292" s="7">
        <v>24</v>
      </c>
      <c r="BM292" s="8" t="b">
        <v>1</v>
      </c>
      <c r="BN292" s="7">
        <v>0</v>
      </c>
      <c r="BO292" s="7">
        <v>0</v>
      </c>
      <c r="BP292" s="7">
        <v>0</v>
      </c>
      <c r="BQ292" s="7">
        <v>0.13714285714285715</v>
      </c>
      <c r="BR292" s="7" t="s">
        <v>154</v>
      </c>
      <c r="BS292" s="7">
        <v>175</v>
      </c>
      <c r="BT292" s="7">
        <v>0</v>
      </c>
      <c r="BU292" s="7">
        <v>24</v>
      </c>
      <c r="BV292" s="7">
        <v>24</v>
      </c>
      <c r="BW292" s="7" t="s">
        <v>1285</v>
      </c>
      <c r="BX292" s="8" t="b">
        <v>1</v>
      </c>
      <c r="BY292" s="7">
        <v>0</v>
      </c>
      <c r="BZ292" s="7">
        <v>0</v>
      </c>
      <c r="CA292" s="7">
        <v>46237.833333333336</v>
      </c>
      <c r="CB292" s="7">
        <v>46237.822916666664</v>
      </c>
      <c r="CC292" s="7">
        <v>0</v>
      </c>
      <c r="CD292" s="7">
        <v>31.739130434782751</v>
      </c>
      <c r="CE292" s="7">
        <v>31.739130434782751</v>
      </c>
      <c r="CF292" s="7">
        <v>662.24534522516342</v>
      </c>
      <c r="CG292" s="7">
        <v>0.3125</v>
      </c>
      <c r="CH292" s="7" t="s">
        <v>150</v>
      </c>
      <c r="CI292" s="7">
        <v>128</v>
      </c>
      <c r="CJ292" s="8" t="b">
        <v>1</v>
      </c>
      <c r="CK292" s="7">
        <v>40</v>
      </c>
      <c r="CL292" s="7">
        <v>40</v>
      </c>
      <c r="CM292" s="7">
        <v>40</v>
      </c>
      <c r="CN292" s="8" t="b">
        <v>0</v>
      </c>
      <c r="CO292" s="7" t="s">
        <v>1125</v>
      </c>
      <c r="CP292" s="7">
        <v>677.8076344024546</v>
      </c>
    </row>
    <row r="293" spans="1:94" ht="21" customHeight="1" x14ac:dyDescent="0.45">
      <c r="A293" s="9">
        <v>46237.833333333336</v>
      </c>
      <c r="B293" s="9">
        <v>46237.84375</v>
      </c>
      <c r="C293" s="9">
        <v>46237.958333333336</v>
      </c>
      <c r="D293" s="10">
        <v>46237</v>
      </c>
      <c r="E293" s="7">
        <v>0.25</v>
      </c>
      <c r="F293" s="7" t="s">
        <v>770</v>
      </c>
      <c r="G293" s="9">
        <v>46237.833333333336</v>
      </c>
      <c r="H293" s="7">
        <v>252.1</v>
      </c>
      <c r="I293" s="7" t="s">
        <v>1286</v>
      </c>
      <c r="J293" s="7">
        <v>15</v>
      </c>
      <c r="K293" s="7" t="s">
        <v>1130</v>
      </c>
      <c r="L293" s="10">
        <v>46234</v>
      </c>
      <c r="M293" s="7">
        <v>5.2473000000000001</v>
      </c>
      <c r="N293" s="7" t="s">
        <v>773</v>
      </c>
      <c r="O293" s="7">
        <v>131.96799999999999</v>
      </c>
      <c r="P293" s="7" t="s">
        <v>1287</v>
      </c>
      <c r="Q293" s="7" t="s">
        <v>775</v>
      </c>
      <c r="R293" s="7">
        <v>66.224534522516336</v>
      </c>
      <c r="S293" s="7" t="s">
        <v>776</v>
      </c>
      <c r="T293" s="7">
        <v>175</v>
      </c>
      <c r="U293" s="7" t="s">
        <v>1288</v>
      </c>
      <c r="V293" s="7" t="s">
        <v>775</v>
      </c>
      <c r="W293" s="7">
        <v>7.0664913384026065</v>
      </c>
      <c r="X293" s="7" t="s">
        <v>776</v>
      </c>
      <c r="Y293" s="7">
        <v>175</v>
      </c>
      <c r="Z293" s="7" t="s">
        <v>1289</v>
      </c>
      <c r="AA293" s="7" t="s">
        <v>775</v>
      </c>
      <c r="AB293" s="7">
        <v>2.5937148628818627</v>
      </c>
      <c r="AC293" s="7" t="s">
        <v>776</v>
      </c>
      <c r="AD293" s="7"/>
      <c r="AE293" s="7" t="s">
        <v>779</v>
      </c>
      <c r="AF293" s="7"/>
      <c r="AG293" s="7">
        <v>476.50105768681038</v>
      </c>
      <c r="AH293" s="7" t="s">
        <v>776</v>
      </c>
      <c r="AI293" s="7">
        <v>24.282</v>
      </c>
      <c r="AJ293" s="7">
        <v>0</v>
      </c>
      <c r="AK293" s="7" t="s">
        <v>776</v>
      </c>
      <c r="AL293" s="7">
        <v>0</v>
      </c>
      <c r="AM293" s="7" t="s">
        <v>780</v>
      </c>
      <c r="AN293" s="7" t="s">
        <v>781</v>
      </c>
      <c r="AO293" s="7" t="s">
        <v>782</v>
      </c>
      <c r="AP293" s="7">
        <v>0.55501714285714288</v>
      </c>
      <c r="AQ293" s="7">
        <v>0</v>
      </c>
      <c r="AR293" s="7">
        <v>0.55501714285714288</v>
      </c>
      <c r="AS293" s="8" t="b">
        <v>1</v>
      </c>
      <c r="AT293" s="8" t="b">
        <v>1</v>
      </c>
      <c r="AU293" s="8" t="b">
        <v>1</v>
      </c>
      <c r="AV293" s="8" t="b">
        <v>1</v>
      </c>
      <c r="AW293" s="8" t="b">
        <v>1</v>
      </c>
      <c r="AX293" s="8" t="b">
        <v>1</v>
      </c>
      <c r="AY293" s="8" t="b">
        <v>1</v>
      </c>
      <c r="AZ293" s="8" t="b">
        <v>1</v>
      </c>
      <c r="BA293" s="7" t="s">
        <v>783</v>
      </c>
      <c r="BB293" s="7" t="s">
        <v>783</v>
      </c>
      <c r="BC293" s="7" t="s">
        <v>784</v>
      </c>
      <c r="BD293" s="7">
        <v>0</v>
      </c>
      <c r="BE293" s="7">
        <v>0</v>
      </c>
      <c r="BF293" s="7">
        <v>15.562289177291177</v>
      </c>
      <c r="BG293" s="7">
        <v>0.13714285714285715</v>
      </c>
      <c r="BH293" s="7" t="s">
        <v>154</v>
      </c>
      <c r="BI293" s="7">
        <v>175</v>
      </c>
      <c r="BJ293" s="7">
        <v>24</v>
      </c>
      <c r="BK293" s="7">
        <v>24</v>
      </c>
      <c r="BL293" s="7">
        <v>24</v>
      </c>
      <c r="BM293" s="8" t="b">
        <v>1</v>
      </c>
      <c r="BN293" s="7">
        <v>1586.7975336344407</v>
      </c>
      <c r="BO293" s="7">
        <v>3.3301028571428573</v>
      </c>
      <c r="BP293" s="7">
        <v>42.398948030415639</v>
      </c>
      <c r="BQ293" s="7">
        <v>0.13714285714285715</v>
      </c>
      <c r="BR293" s="7" t="s">
        <v>154</v>
      </c>
      <c r="BS293" s="7">
        <v>175</v>
      </c>
      <c r="BT293" s="7">
        <v>24</v>
      </c>
      <c r="BU293" s="7">
        <v>24</v>
      </c>
      <c r="BV293" s="7">
        <v>24</v>
      </c>
      <c r="BW293" s="7" t="s">
        <v>1286</v>
      </c>
      <c r="BX293" s="8" t="b">
        <v>1</v>
      </c>
      <c r="BY293" s="7">
        <v>-1512.6</v>
      </c>
      <c r="BZ293" s="7">
        <v>-24</v>
      </c>
      <c r="CA293" s="7">
        <v>46237.84375</v>
      </c>
      <c r="CB293" s="7">
        <v>46237.833333333336</v>
      </c>
      <c r="CC293" s="7">
        <v>6.8230704761904765E-3</v>
      </c>
      <c r="CD293" s="7">
        <v>31.739130434782751</v>
      </c>
      <c r="CE293" s="7">
        <v>34.195435806211322</v>
      </c>
      <c r="CF293" s="7">
        <v>662.24534522516342</v>
      </c>
      <c r="CG293" s="7">
        <v>0.3125</v>
      </c>
      <c r="CH293" s="7" t="s">
        <v>150</v>
      </c>
      <c r="CI293" s="7">
        <v>128</v>
      </c>
      <c r="CJ293" s="8" t="b">
        <v>1</v>
      </c>
      <c r="CK293" s="7">
        <v>40</v>
      </c>
      <c r="CL293" s="7">
        <v>40</v>
      </c>
      <c r="CM293" s="7">
        <v>40</v>
      </c>
      <c r="CN293" s="8" t="b">
        <v>0</v>
      </c>
      <c r="CO293" s="7" t="s">
        <v>1125</v>
      </c>
      <c r="CP293" s="7">
        <v>794.40411606731107</v>
      </c>
    </row>
    <row r="294" spans="1:94" ht="21" customHeight="1" x14ac:dyDescent="0.45">
      <c r="A294" s="9">
        <v>46237.84375</v>
      </c>
      <c r="B294" s="9">
        <v>46237.854166666664</v>
      </c>
      <c r="C294" s="9">
        <v>46237.96875</v>
      </c>
      <c r="D294" s="10">
        <v>46237</v>
      </c>
      <c r="E294" s="7">
        <v>0.25</v>
      </c>
      <c r="F294" s="7" t="s">
        <v>770</v>
      </c>
      <c r="G294" s="9">
        <v>46237.833333333336</v>
      </c>
      <c r="H294" s="7">
        <v>242.82</v>
      </c>
      <c r="I294" s="7" t="s">
        <v>1290</v>
      </c>
      <c r="J294" s="7">
        <v>15</v>
      </c>
      <c r="K294" s="7" t="s">
        <v>1130</v>
      </c>
      <c r="L294" s="10">
        <v>46234</v>
      </c>
      <c r="M294" s="7">
        <v>5.2473000000000001</v>
      </c>
      <c r="N294" s="7" t="s">
        <v>773</v>
      </c>
      <c r="O294" s="7">
        <v>131.96799999999999</v>
      </c>
      <c r="P294" s="7" t="s">
        <v>1287</v>
      </c>
      <c r="Q294" s="7" t="s">
        <v>775</v>
      </c>
      <c r="R294" s="7">
        <v>66.224534522516336</v>
      </c>
      <c r="S294" s="7" t="s">
        <v>776</v>
      </c>
      <c r="T294" s="7">
        <v>175</v>
      </c>
      <c r="U294" s="7" t="s">
        <v>1288</v>
      </c>
      <c r="V294" s="7" t="s">
        <v>775</v>
      </c>
      <c r="W294" s="7">
        <v>7.0664913384026065</v>
      </c>
      <c r="X294" s="7" t="s">
        <v>776</v>
      </c>
      <c r="Y294" s="7">
        <v>175</v>
      </c>
      <c r="Z294" s="7" t="s">
        <v>1289</v>
      </c>
      <c r="AA294" s="7" t="s">
        <v>775</v>
      </c>
      <c r="AB294" s="7">
        <v>2.5937148628818627</v>
      </c>
      <c r="AC294" s="7" t="s">
        <v>776</v>
      </c>
      <c r="AD294" s="7"/>
      <c r="AE294" s="7" t="s">
        <v>779</v>
      </c>
      <c r="AF294" s="7"/>
      <c r="AG294" s="7">
        <v>273.10083280925426</v>
      </c>
      <c r="AH294" s="7" t="s">
        <v>776</v>
      </c>
      <c r="AI294" s="7">
        <v>11.353999999999999</v>
      </c>
      <c r="AJ294" s="7">
        <v>0</v>
      </c>
      <c r="AK294" s="7" t="s">
        <v>776</v>
      </c>
      <c r="AL294" s="7">
        <v>0</v>
      </c>
      <c r="AM294" s="7" t="s">
        <v>780</v>
      </c>
      <c r="AN294" s="7" t="s">
        <v>781</v>
      </c>
      <c r="AO294" s="7" t="s">
        <v>782</v>
      </c>
      <c r="AP294" s="7">
        <v>0.25951999999999997</v>
      </c>
      <c r="AQ294" s="7">
        <v>0</v>
      </c>
      <c r="AR294" s="7">
        <v>0.25951999999999997</v>
      </c>
      <c r="AS294" s="8" t="b">
        <v>1</v>
      </c>
      <c r="AT294" s="8" t="b">
        <v>1</v>
      </c>
      <c r="AU294" s="8" t="b">
        <v>1</v>
      </c>
      <c r="AV294" s="8" t="b">
        <v>1</v>
      </c>
      <c r="AW294" s="8" t="b">
        <v>1</v>
      </c>
      <c r="AX294" s="8" t="b">
        <v>1</v>
      </c>
      <c r="AY294" s="8" t="b">
        <v>1</v>
      </c>
      <c r="AZ294" s="8" t="b">
        <v>1</v>
      </c>
      <c r="BA294" s="7" t="s">
        <v>783</v>
      </c>
      <c r="BB294" s="7" t="s">
        <v>783</v>
      </c>
      <c r="BC294" s="7" t="s">
        <v>784</v>
      </c>
      <c r="BD294" s="7">
        <v>0</v>
      </c>
      <c r="BE294" s="7">
        <v>0</v>
      </c>
      <c r="BF294" s="7">
        <v>15.562289177291177</v>
      </c>
      <c r="BG294" s="7">
        <v>0.13714285714285715</v>
      </c>
      <c r="BH294" s="7" t="s">
        <v>154</v>
      </c>
      <c r="BI294" s="7">
        <v>175</v>
      </c>
      <c r="BJ294" s="7">
        <v>24</v>
      </c>
      <c r="BK294" s="7">
        <v>24</v>
      </c>
      <c r="BL294" s="7">
        <v>24</v>
      </c>
      <c r="BM294" s="8" t="b">
        <v>1</v>
      </c>
      <c r="BN294" s="7">
        <v>425.25076878394594</v>
      </c>
      <c r="BO294" s="7">
        <v>1.5571199999999998</v>
      </c>
      <c r="BP294" s="7">
        <v>42.398948030415639</v>
      </c>
      <c r="BQ294" s="7">
        <v>0.13714285714285715</v>
      </c>
      <c r="BR294" s="7" t="s">
        <v>154</v>
      </c>
      <c r="BS294" s="7">
        <v>175</v>
      </c>
      <c r="BT294" s="7">
        <v>24</v>
      </c>
      <c r="BU294" s="7">
        <v>24</v>
      </c>
      <c r="BV294" s="7">
        <v>24</v>
      </c>
      <c r="BW294" s="7" t="s">
        <v>1290</v>
      </c>
      <c r="BX294" s="8" t="b">
        <v>1</v>
      </c>
      <c r="BY294" s="7">
        <v>-54.128804150318494</v>
      </c>
      <c r="BZ294" s="7">
        <v>-0.89166961782914911</v>
      </c>
      <c r="CA294" s="7">
        <v>46237.854166666664</v>
      </c>
      <c r="CB294" s="7">
        <v>46237.84375</v>
      </c>
      <c r="CC294" s="7">
        <v>4.9486118228657845E-3</v>
      </c>
      <c r="CD294" s="7">
        <v>34.195435806211322</v>
      </c>
      <c r="CE294" s="7">
        <v>32.717656768540294</v>
      </c>
      <c r="CF294" s="7">
        <v>662.24534522516342</v>
      </c>
      <c r="CG294" s="7">
        <v>0.3125</v>
      </c>
      <c r="CH294" s="7" t="s">
        <v>150</v>
      </c>
      <c r="CI294" s="7">
        <v>128</v>
      </c>
      <c r="CJ294" s="8" t="b">
        <v>1</v>
      </c>
      <c r="CK294" s="7">
        <v>40</v>
      </c>
      <c r="CL294" s="7">
        <v>40</v>
      </c>
      <c r="CM294" s="7">
        <v>40</v>
      </c>
      <c r="CN294" s="8" t="b">
        <v>0</v>
      </c>
      <c r="CO294" s="7" t="s">
        <v>1125</v>
      </c>
      <c r="CP294" s="7">
        <v>1091.3285470664978</v>
      </c>
    </row>
    <row r="295" spans="1:94" ht="21" customHeight="1" x14ac:dyDescent="0.45">
      <c r="A295" s="9">
        <v>46237.854166666664</v>
      </c>
      <c r="B295" s="9">
        <v>46237.864583333336</v>
      </c>
      <c r="C295" s="9">
        <v>46237.979166666664</v>
      </c>
      <c r="D295" s="10">
        <v>46237</v>
      </c>
      <c r="E295" s="7">
        <v>0.25</v>
      </c>
      <c r="F295" s="7" t="s">
        <v>770</v>
      </c>
      <c r="G295" s="9">
        <v>46237.833333333336</v>
      </c>
      <c r="H295" s="7">
        <v>234.76</v>
      </c>
      <c r="I295" s="7" t="s">
        <v>1291</v>
      </c>
      <c r="J295" s="7">
        <v>15</v>
      </c>
      <c r="K295" s="7" t="s">
        <v>1130</v>
      </c>
      <c r="L295" s="10">
        <v>46234</v>
      </c>
      <c r="M295" s="7">
        <v>5.2473000000000001</v>
      </c>
      <c r="N295" s="7" t="s">
        <v>773</v>
      </c>
      <c r="O295" s="7">
        <v>131.96799999999999</v>
      </c>
      <c r="P295" s="7" t="s">
        <v>1287</v>
      </c>
      <c r="Q295" s="7" t="s">
        <v>775</v>
      </c>
      <c r="R295" s="7">
        <v>66.224534522516336</v>
      </c>
      <c r="S295" s="7" t="s">
        <v>776</v>
      </c>
      <c r="T295" s="7">
        <v>175</v>
      </c>
      <c r="U295" s="7" t="s">
        <v>1288</v>
      </c>
      <c r="V295" s="7" t="s">
        <v>775</v>
      </c>
      <c r="W295" s="7">
        <v>7.0664913384026065</v>
      </c>
      <c r="X295" s="7" t="s">
        <v>776</v>
      </c>
      <c r="Y295" s="7">
        <v>175</v>
      </c>
      <c r="Z295" s="7" t="s">
        <v>1289</v>
      </c>
      <c r="AA295" s="7" t="s">
        <v>775</v>
      </c>
      <c r="AB295" s="7">
        <v>2.5937148628818627</v>
      </c>
      <c r="AC295" s="7" t="s">
        <v>776</v>
      </c>
      <c r="AD295" s="7"/>
      <c r="AE295" s="7" t="s">
        <v>779</v>
      </c>
      <c r="AF295" s="7"/>
      <c r="AG295" s="7">
        <v>254.86059497265259</v>
      </c>
      <c r="AH295" s="7" t="s">
        <v>776</v>
      </c>
      <c r="AI295" s="7">
        <v>7.1079999999999997</v>
      </c>
      <c r="AJ295" s="7">
        <v>0</v>
      </c>
      <c r="AK295" s="7" t="s">
        <v>776</v>
      </c>
      <c r="AL295" s="7">
        <v>0</v>
      </c>
      <c r="AM295" s="7" t="s">
        <v>780</v>
      </c>
      <c r="AN295" s="7" t="s">
        <v>781</v>
      </c>
      <c r="AO295" s="7" t="s">
        <v>782</v>
      </c>
      <c r="AP295" s="7">
        <v>0.16246857142857141</v>
      </c>
      <c r="AQ295" s="7">
        <v>0</v>
      </c>
      <c r="AR295" s="7">
        <v>0.16246857142857141</v>
      </c>
      <c r="AS295" s="8" t="b">
        <v>1</v>
      </c>
      <c r="AT295" s="8" t="b">
        <v>1</v>
      </c>
      <c r="AU295" s="8" t="b">
        <v>1</v>
      </c>
      <c r="AV295" s="8" t="b">
        <v>1</v>
      </c>
      <c r="AW295" s="8" t="b">
        <v>1</v>
      </c>
      <c r="AX295" s="8" t="b">
        <v>1</v>
      </c>
      <c r="AY295" s="8" t="b">
        <v>1</v>
      </c>
      <c r="AZ295" s="8" t="b">
        <v>1</v>
      </c>
      <c r="BA295" s="7" t="s">
        <v>783</v>
      </c>
      <c r="BB295" s="7" t="s">
        <v>783</v>
      </c>
      <c r="BC295" s="7" t="s">
        <v>784</v>
      </c>
      <c r="BD295" s="7">
        <v>0</v>
      </c>
      <c r="BE295" s="7">
        <v>0</v>
      </c>
      <c r="BF295" s="7">
        <v>15.562289177291177</v>
      </c>
      <c r="BG295" s="7">
        <v>0.13714285714285715</v>
      </c>
      <c r="BH295" s="7" t="s">
        <v>154</v>
      </c>
      <c r="BI295" s="7">
        <v>175</v>
      </c>
      <c r="BJ295" s="7">
        <v>24</v>
      </c>
      <c r="BK295" s="7">
        <v>24</v>
      </c>
      <c r="BL295" s="7">
        <v>24</v>
      </c>
      <c r="BM295" s="8" t="b">
        <v>1</v>
      </c>
      <c r="BN295" s="7">
        <v>248.44102067185574</v>
      </c>
      <c r="BO295" s="7">
        <v>0.97481142857142866</v>
      </c>
      <c r="BP295" s="7">
        <v>42.398948030415639</v>
      </c>
      <c r="BQ295" s="7">
        <v>0.13714285714285715</v>
      </c>
      <c r="BR295" s="7" t="s">
        <v>154</v>
      </c>
      <c r="BS295" s="7">
        <v>175</v>
      </c>
      <c r="BT295" s="7">
        <v>24</v>
      </c>
      <c r="BU295" s="7">
        <v>24</v>
      </c>
      <c r="BV295" s="7">
        <v>24</v>
      </c>
      <c r="BW295" s="7" t="s">
        <v>1291</v>
      </c>
      <c r="BX295" s="8" t="b">
        <v>1</v>
      </c>
      <c r="BY295" s="7">
        <v>-107.74635410169471</v>
      </c>
      <c r="BZ295" s="7">
        <v>-1.8358554115129444</v>
      </c>
      <c r="CA295" s="7">
        <v>46237.864583333336</v>
      </c>
      <c r="CB295" s="7">
        <v>46237.854166666664</v>
      </c>
      <c r="CC295" s="7">
        <v>3.7004757028116899E-3</v>
      </c>
      <c r="CD295" s="7">
        <v>32.717656768540294</v>
      </c>
      <c r="CE295" s="7">
        <v>32.0927753540374</v>
      </c>
      <c r="CF295" s="7">
        <v>662.24534522516342</v>
      </c>
      <c r="CG295" s="7">
        <v>0.3125</v>
      </c>
      <c r="CH295" s="7" t="s">
        <v>150</v>
      </c>
      <c r="CI295" s="7">
        <v>128</v>
      </c>
      <c r="CJ295" s="8" t="b">
        <v>1</v>
      </c>
      <c r="CK295" s="7">
        <v>40</v>
      </c>
      <c r="CL295" s="7">
        <v>40</v>
      </c>
      <c r="CM295" s="7">
        <v>40</v>
      </c>
      <c r="CN295" s="8" t="b">
        <v>0</v>
      </c>
      <c r="CO295" s="7" t="s">
        <v>1125</v>
      </c>
      <c r="CP295" s="7">
        <v>860.90124900303124</v>
      </c>
    </row>
    <row r="296" spans="1:94" ht="21" customHeight="1" x14ac:dyDescent="0.45">
      <c r="A296" s="9">
        <v>46237.864583333336</v>
      </c>
      <c r="B296" s="9">
        <v>46237.875</v>
      </c>
      <c r="C296" s="9">
        <v>46237.989583333336</v>
      </c>
      <c r="D296" s="10">
        <v>46237</v>
      </c>
      <c r="E296" s="7">
        <v>0.25</v>
      </c>
      <c r="F296" s="7" t="s">
        <v>770</v>
      </c>
      <c r="G296" s="9">
        <v>46237.833333333336</v>
      </c>
      <c r="H296" s="7">
        <v>229.66</v>
      </c>
      <c r="I296" s="7" t="s">
        <v>1292</v>
      </c>
      <c r="J296" s="7">
        <v>15</v>
      </c>
      <c r="K296" s="7" t="s">
        <v>1130</v>
      </c>
      <c r="L296" s="10">
        <v>46234</v>
      </c>
      <c r="M296" s="7">
        <v>5.2473000000000001</v>
      </c>
      <c r="N296" s="7" t="s">
        <v>773</v>
      </c>
      <c r="O296" s="7">
        <v>131.96799999999999</v>
      </c>
      <c r="P296" s="7" t="s">
        <v>1287</v>
      </c>
      <c r="Q296" s="7" t="s">
        <v>775</v>
      </c>
      <c r="R296" s="7">
        <v>66.224534522516336</v>
      </c>
      <c r="S296" s="7" t="s">
        <v>776</v>
      </c>
      <c r="T296" s="7">
        <v>175</v>
      </c>
      <c r="U296" s="7" t="s">
        <v>1288</v>
      </c>
      <c r="V296" s="7" t="s">
        <v>775</v>
      </c>
      <c r="W296" s="7">
        <v>7.0664913384026065</v>
      </c>
      <c r="X296" s="7" t="s">
        <v>776</v>
      </c>
      <c r="Y296" s="7">
        <v>175</v>
      </c>
      <c r="Z296" s="7" t="s">
        <v>1289</v>
      </c>
      <c r="AA296" s="7" t="s">
        <v>775</v>
      </c>
      <c r="AB296" s="7">
        <v>2.5937148628818627</v>
      </c>
      <c r="AC296" s="7" t="s">
        <v>776</v>
      </c>
      <c r="AD296" s="7"/>
      <c r="AE296" s="7" t="s">
        <v>779</v>
      </c>
      <c r="AF296" s="7"/>
      <c r="AG296" s="7">
        <v>221.74165761439218</v>
      </c>
      <c r="AH296" s="7" t="s">
        <v>776</v>
      </c>
      <c r="AI296" s="7">
        <v>3.2229999999999999</v>
      </c>
      <c r="AJ296" s="7">
        <v>76.934804566157837</v>
      </c>
      <c r="AK296" s="7" t="s">
        <v>776</v>
      </c>
      <c r="AL296" s="7">
        <v>1.0049999999999999</v>
      </c>
      <c r="AM296" s="7" t="s">
        <v>780</v>
      </c>
      <c r="AN296" s="7" t="s">
        <v>781</v>
      </c>
      <c r="AO296" s="7" t="s">
        <v>782</v>
      </c>
      <c r="AP296" s="7">
        <v>7.3668571428571403E-2</v>
      </c>
      <c r="AQ296" s="7">
        <v>2.29714285714285E-2</v>
      </c>
      <c r="AR296" s="7">
        <v>9.6640000000000004E-2</v>
      </c>
      <c r="AS296" s="8" t="b">
        <v>1</v>
      </c>
      <c r="AT296" s="8" t="b">
        <v>1</v>
      </c>
      <c r="AU296" s="8" t="b">
        <v>1</v>
      </c>
      <c r="AV296" s="8" t="b">
        <v>1</v>
      </c>
      <c r="AW296" s="8" t="b">
        <v>1</v>
      </c>
      <c r="AX296" s="8" t="b">
        <v>1</v>
      </c>
      <c r="AY296" s="8" t="b">
        <v>1</v>
      </c>
      <c r="AZ296" s="8" t="b">
        <v>1</v>
      </c>
      <c r="BA296" s="7" t="s">
        <v>783</v>
      </c>
      <c r="BB296" s="7" t="s">
        <v>783</v>
      </c>
      <c r="BC296" s="7" t="s">
        <v>784</v>
      </c>
      <c r="BD296" s="7">
        <v>-10.603814206489867</v>
      </c>
      <c r="BE296" s="7">
        <v>0.13782857142857141</v>
      </c>
      <c r="BF296" s="7">
        <v>15.562289177291177</v>
      </c>
      <c r="BG296" s="7">
        <v>0.13714285714285715</v>
      </c>
      <c r="BH296" s="7" t="s">
        <v>154</v>
      </c>
      <c r="BI296" s="7">
        <v>175</v>
      </c>
      <c r="BJ296" s="7">
        <v>24</v>
      </c>
      <c r="BK296" s="7">
        <v>24</v>
      </c>
      <c r="BL296" s="7">
        <v>24</v>
      </c>
      <c r="BM296" s="8" t="b">
        <v>1</v>
      </c>
      <c r="BN296" s="7">
        <v>98.012346855934084</v>
      </c>
      <c r="BO296" s="7">
        <v>0.44201142857142861</v>
      </c>
      <c r="BP296" s="7">
        <v>42.398948030415639</v>
      </c>
      <c r="BQ296" s="7">
        <v>0.13714285714285715</v>
      </c>
      <c r="BR296" s="7" t="s">
        <v>154</v>
      </c>
      <c r="BS296" s="7">
        <v>175</v>
      </c>
      <c r="BT296" s="7">
        <v>24</v>
      </c>
      <c r="BU296" s="7">
        <v>24</v>
      </c>
      <c r="BV296" s="7">
        <v>24</v>
      </c>
      <c r="BW296" s="7" t="s">
        <v>1292</v>
      </c>
      <c r="BX296" s="8" t="b">
        <v>1</v>
      </c>
      <c r="BY296" s="7">
        <v>0</v>
      </c>
      <c r="BZ296" s="7">
        <v>0</v>
      </c>
      <c r="CA296" s="7">
        <v>46237.875</v>
      </c>
      <c r="CB296" s="7">
        <v>46237.864583333336</v>
      </c>
      <c r="CC296" s="7">
        <v>1.6868041407867495E-3</v>
      </c>
      <c r="CD296" s="7">
        <v>32.0927753540374</v>
      </c>
      <c r="CE296" s="7">
        <v>31.739130434782741</v>
      </c>
      <c r="CF296" s="7">
        <v>662.24534522516342</v>
      </c>
      <c r="CG296" s="7">
        <v>0.3125</v>
      </c>
      <c r="CH296" s="7" t="s">
        <v>150</v>
      </c>
      <c r="CI296" s="7">
        <v>128</v>
      </c>
      <c r="CJ296" s="8" t="b">
        <v>1</v>
      </c>
      <c r="CK296" s="7">
        <v>40</v>
      </c>
      <c r="CL296" s="7">
        <v>40</v>
      </c>
      <c r="CM296" s="7">
        <v>40</v>
      </c>
      <c r="CN296" s="8" t="b">
        <v>0</v>
      </c>
      <c r="CO296" s="7" t="s">
        <v>1125</v>
      </c>
      <c r="CP296" s="7">
        <v>807.61511508231445</v>
      </c>
    </row>
    <row r="297" spans="1:94" ht="21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</row>
    <row r="298" spans="1:94" ht="21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</row>
    <row r="299" spans="1:94" ht="21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</row>
    <row r="300" spans="1:94" ht="26" customHeight="1" x14ac:dyDescent="0.45">
      <c r="A300" s="1" t="s">
        <v>1293</v>
      </c>
      <c r="B300" s="1" t="s">
        <v>1294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</row>
    <row r="301" spans="1:94" ht="26" customHeight="1" x14ac:dyDescent="0.45">
      <c r="A301" s="1" t="s">
        <v>1295</v>
      </c>
      <c r="B301" s="1" t="s">
        <v>1296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</row>
    <row r="302" spans="1:94" ht="26" customHeight="1" x14ac:dyDescent="0.45">
      <c r="A302" s="1" t="s">
        <v>1297</v>
      </c>
      <c r="B302" s="1" t="s">
        <v>1298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</row>
    <row r="303" spans="1:94" ht="26" customHeight="1" x14ac:dyDescent="0.45">
      <c r="A303" s="1" t="s">
        <v>1299</v>
      </c>
      <c r="B303" s="1" t="s">
        <v>1300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</row>
    <row r="304" spans="1:94" ht="26" customHeight="1" x14ac:dyDescent="0.45">
      <c r="A304" s="1" t="s">
        <v>1301</v>
      </c>
      <c r="B304" s="1" t="s">
        <v>1302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</row>
    <row r="305" spans="1:94" ht="26" customHeight="1" x14ac:dyDescent="0.45">
      <c r="A305" s="1" t="s">
        <v>1303</v>
      </c>
      <c r="B305" s="1" t="s">
        <v>1304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</row>
    <row r="306" spans="1:94" ht="26" customHeight="1" x14ac:dyDescent="0.45">
      <c r="A306" s="1" t="s">
        <v>1305</v>
      </c>
      <c r="B306" s="1" t="s">
        <v>1306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</row>
    <row r="307" spans="1:94" ht="26" customHeight="1" x14ac:dyDescent="0.45">
      <c r="A307" s="1" t="s">
        <v>1307</v>
      </c>
      <c r="B307" s="1" t="s">
        <v>1308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</row>
    <row r="308" spans="1:94" ht="26" customHeight="1" x14ac:dyDescent="0.45">
      <c r="A308" s="1" t="s">
        <v>1309</v>
      </c>
      <c r="B308" s="1" t="s">
        <v>1310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</row>
    <row r="309" spans="1:94" ht="26" customHeight="1" x14ac:dyDescent="0.45">
      <c r="A309" s="1" t="s">
        <v>1311</v>
      </c>
      <c r="B309" s="1" t="s">
        <v>1312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</row>
    <row r="310" spans="1:94" ht="26" customHeight="1" x14ac:dyDescent="0.45">
      <c r="A310" s="1" t="s">
        <v>1313</v>
      </c>
      <c r="B310" s="1" t="s">
        <v>1314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</row>
    <row r="311" spans="1:94" ht="26" customHeight="1" x14ac:dyDescent="0.45">
      <c r="A311" s="1" t="s">
        <v>1315</v>
      </c>
      <c r="B311" s="1" t="s">
        <v>1316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</row>
    <row r="312" spans="1:94" ht="26" customHeight="1" x14ac:dyDescent="0.45">
      <c r="A312" s="1" t="s">
        <v>1317</v>
      </c>
      <c r="B312" s="1" t="s">
        <v>1318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</row>
    <row r="313" spans="1:94" ht="26" customHeight="1" x14ac:dyDescent="0.45">
      <c r="A313" s="1" t="s">
        <v>1319</v>
      </c>
      <c r="B313" s="1" t="s">
        <v>1320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</row>
    <row r="314" spans="1:94" ht="26" customHeight="1" x14ac:dyDescent="0.45">
      <c r="A314" s="1" t="s">
        <v>1321</v>
      </c>
      <c r="B314" s="1" t="s">
        <v>1322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</row>
    <row r="315" spans="1:94" ht="26" customHeight="1" x14ac:dyDescent="0.45">
      <c r="A315" s="1" t="s">
        <v>1323</v>
      </c>
      <c r="B315" s="1" t="s">
        <v>1324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</row>
    <row r="316" spans="1:94" ht="21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</row>
    <row r="317" spans="1:94" ht="21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</row>
    <row r="318" spans="1:94" ht="21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</row>
    <row r="319" spans="1:94" ht="21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</row>
    <row r="320" spans="1:94" ht="55.05" customHeight="1" x14ac:dyDescent="0.45">
      <c r="A320" s="6" t="s">
        <v>1325</v>
      </c>
      <c r="B320" s="6" t="s">
        <v>1326</v>
      </c>
      <c r="C320" s="6" t="s">
        <v>1327</v>
      </c>
      <c r="D320" s="6" t="s">
        <v>1328</v>
      </c>
      <c r="E320" s="6" t="s">
        <v>1329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</row>
    <row r="321" spans="1:94" ht="95" customHeight="1" x14ac:dyDescent="0.45">
      <c r="A321" s="11" t="s">
        <v>772</v>
      </c>
      <c r="B321" s="11" t="s">
        <v>1330</v>
      </c>
      <c r="C321" s="11" t="s">
        <v>1331</v>
      </c>
      <c r="D321" s="11" t="s">
        <v>1332</v>
      </c>
      <c r="E321" s="11">
        <v>46295.700718611108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</row>
    <row r="322" spans="1:94" ht="95" customHeight="1" x14ac:dyDescent="0.45">
      <c r="A322" s="11" t="s">
        <v>790</v>
      </c>
      <c r="B322" s="11" t="s">
        <v>1330</v>
      </c>
      <c r="C322" s="11" t="s">
        <v>1333</v>
      </c>
      <c r="D322" s="11" t="s">
        <v>1334</v>
      </c>
      <c r="E322" s="11">
        <v>46295.393219571757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</row>
    <row r="323" spans="1:94" ht="95" customHeight="1" x14ac:dyDescent="0.45">
      <c r="A323" s="11" t="s">
        <v>960</v>
      </c>
      <c r="B323" s="11" t="s">
        <v>1330</v>
      </c>
      <c r="C323" s="11" t="s">
        <v>1335</v>
      </c>
      <c r="D323" s="11" t="s">
        <v>1336</v>
      </c>
      <c r="E323" s="11">
        <v>46295.393239884259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</row>
    <row r="324" spans="1:94" ht="95" customHeight="1" x14ac:dyDescent="0.45">
      <c r="A324" s="11" t="s">
        <v>1130</v>
      </c>
      <c r="B324" s="11" t="s">
        <v>1330</v>
      </c>
      <c r="C324" s="11" t="s">
        <v>1337</v>
      </c>
      <c r="D324" s="11" t="s">
        <v>1338</v>
      </c>
      <c r="E324" s="11">
        <v>46295.393268657404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</row>
    <row r="325" spans="1:94" ht="95" customHeight="1" x14ac:dyDescent="0.45">
      <c r="A325" s="11" t="s">
        <v>775</v>
      </c>
      <c r="B325" s="11" t="s">
        <v>1339</v>
      </c>
      <c r="C325" s="11" t="s">
        <v>1340</v>
      </c>
      <c r="D325" s="11" t="s">
        <v>1341</v>
      </c>
      <c r="E325" s="11">
        <v>46295.700312083332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</row>
    <row r="326" spans="1:94" ht="95" customHeight="1" x14ac:dyDescent="0.45">
      <c r="A326" s="11" t="s">
        <v>780</v>
      </c>
      <c r="B326" s="11" t="s">
        <v>1342</v>
      </c>
      <c r="C326" s="11" t="s">
        <v>1343</v>
      </c>
      <c r="D326" s="11" t="s">
        <v>1344</v>
      </c>
      <c r="E326" s="11">
        <v>46297.484217013887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</row>
    <row r="327" spans="1:94" ht="95" customHeight="1" x14ac:dyDescent="0.45">
      <c r="A327" s="11" t="s">
        <v>781</v>
      </c>
      <c r="B327" s="11" t="s">
        <v>1339</v>
      </c>
      <c r="C327" s="11" t="s">
        <v>1345</v>
      </c>
      <c r="D327" s="11" t="s">
        <v>1346</v>
      </c>
      <c r="E327" s="11">
        <v>46295.70021800926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</row>
    <row r="328" spans="1:94" ht="95" customHeight="1" x14ac:dyDescent="0.45">
      <c r="A328" s="11" t="s">
        <v>773</v>
      </c>
      <c r="B328" s="11" t="s">
        <v>1347</v>
      </c>
      <c r="C328" s="11" t="s">
        <v>1348</v>
      </c>
      <c r="D328" s="11" t="s">
        <v>1349</v>
      </c>
      <c r="E328" s="11">
        <v>46295.701641134256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</row>
    <row r="329" spans="1:94" ht="21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</row>
    <row r="330" spans="1:94" ht="21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</row>
    <row r="331" spans="1:94" ht="21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</row>
    <row r="332" spans="1:94" ht="21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</row>
    <row r="333" spans="1:94" ht="21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</row>
    <row r="334" spans="1:94" ht="21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</row>
    <row r="335" spans="1:94" ht="21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</row>
    <row r="336" spans="1:94" ht="21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</row>
    <row r="337" spans="1:94" ht="21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</row>
    <row r="338" spans="1:94" ht="21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</row>
    <row r="339" spans="1:94" ht="21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</row>
    <row r="340" spans="1:94" ht="21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</row>
    <row r="341" spans="1:94" ht="21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</row>
    <row r="342" spans="1:94" ht="21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</row>
    <row r="343" spans="1:94" ht="21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</row>
    <row r="344" spans="1:94" ht="21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</row>
    <row r="345" spans="1:94" ht="21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</row>
    <row r="346" spans="1:94" ht="21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</row>
    <row r="347" spans="1:94" ht="21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</row>
    <row r="348" spans="1:94" ht="21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</row>
    <row r="349" spans="1:94" ht="21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</row>
    <row r="350" spans="1:94" ht="21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</row>
    <row r="351" spans="1:94" ht="21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</row>
    <row r="352" spans="1:94" ht="21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</row>
    <row r="353" spans="1:94" ht="21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8月1日审计</vt:lpstr>
      <vt:lpstr>8月2日审计</vt:lpstr>
      <vt:lpstr>两日求解价格与决策</vt:lpstr>
      <vt:lpstr>相位SOC复算</vt:lpstr>
      <vt:lpstr>订单与窗口</vt:lpstr>
      <vt:lpstr>原始输入与口径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Tianyi Hu</cp:lastModifiedBy>
  <dcterms:modified xsi:type="dcterms:W3CDTF">2026-10-05T05:30:21Z</dcterms:modified>
</cp:coreProperties>
</file>