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incubator\bctc\"/>
    </mc:Choice>
  </mc:AlternateContent>
  <xr:revisionPtr revIDLastSave="0" documentId="13_ncr:1_{75FE5322-4DA1-4C74-A8FC-9CA9FE7ECEAD}" xr6:coauthVersionLast="47" xr6:coauthVersionMax="47" xr10:uidLastSave="{00000000-0000-0000-0000-000000000000}"/>
  <bookViews>
    <workbookView xWindow="-103" yWindow="-103" windowWidth="22149" windowHeight="11829" activeTab="3" xr2:uid="{00000000-000D-0000-FFFF-FFFF00000000}"/>
  </bookViews>
  <sheets>
    <sheet name="BCĐKT" sheetId="1" r:id="rId1"/>
    <sheet name="BCKQHDKD" sheetId="2" r:id="rId2"/>
    <sheet name="PHÂN TÍCH DUPONT" sheetId="4" state="hidden" r:id="rId3"/>
    <sheet name="CHỈ SỐ TÀI CHÍN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" l="1"/>
  <c r="F16" i="3" s="1"/>
  <c r="E15" i="3"/>
  <c r="E16" i="3" s="1"/>
  <c r="D15" i="3"/>
  <c r="D16" i="3" s="1"/>
  <c r="F13" i="3"/>
  <c r="F14" i="3" s="1"/>
  <c r="E13" i="3"/>
  <c r="D13" i="3"/>
  <c r="D14" i="3" s="1"/>
  <c r="E36" i="2"/>
  <c r="D36" i="2"/>
  <c r="C36" i="2"/>
  <c r="E17" i="2"/>
  <c r="D17" i="2"/>
  <c r="C17" i="2"/>
  <c r="B17" i="2"/>
  <c r="E15" i="2"/>
  <c r="D28" i="4" s="1"/>
  <c r="D15" i="2"/>
  <c r="D29" i="4" s="1"/>
  <c r="C15" i="2"/>
  <c r="D30" i="4" s="1"/>
  <c r="B15" i="2"/>
  <c r="E7" i="2"/>
  <c r="D7" i="2"/>
  <c r="C7" i="2"/>
  <c r="D62" i="4"/>
  <c r="D61" i="4"/>
  <c r="D60" i="4"/>
  <c r="D57" i="4"/>
  <c r="D56" i="4"/>
  <c r="D55" i="4"/>
  <c r="D40" i="4"/>
  <c r="D39" i="4"/>
  <c r="E38" i="4" s="1"/>
  <c r="D38" i="4"/>
  <c r="D25" i="4"/>
  <c r="D24" i="4"/>
  <c r="E24" i="4" s="1"/>
  <c r="D23" i="4"/>
  <c r="D20" i="4"/>
  <c r="D19" i="4"/>
  <c r="D18" i="4"/>
  <c r="D15" i="4"/>
  <c r="D14" i="4"/>
  <c r="D13" i="4"/>
  <c r="E13" i="4" s="1"/>
  <c r="D10" i="4"/>
  <c r="E9" i="4" s="1"/>
  <c r="D9" i="4"/>
  <c r="I34" i="4" s="1"/>
  <c r="D8" i="4"/>
  <c r="F7" i="3"/>
  <c r="F18" i="3"/>
  <c r="F17" i="3"/>
  <c r="F11" i="3"/>
  <c r="F12" i="3" s="1"/>
  <c r="F4" i="3"/>
  <c r="F9" i="3" s="1"/>
  <c r="F21" i="3" s="1"/>
  <c r="E4" i="3"/>
  <c r="E9" i="3" s="1"/>
  <c r="E21" i="3" s="1"/>
  <c r="D4" i="3"/>
  <c r="D9" i="3" s="1"/>
  <c r="D21" i="3" s="1"/>
  <c r="C4" i="3"/>
  <c r="C9" i="3" s="1"/>
  <c r="C21" i="3" s="1"/>
  <c r="E29" i="1"/>
  <c r="F25" i="3" s="1"/>
  <c r="E22" i="1"/>
  <c r="E14" i="1"/>
  <c r="D50" i="4" s="1"/>
  <c r="E7" i="1"/>
  <c r="F10" i="3" s="1"/>
  <c r="E22" i="2"/>
  <c r="D33" i="4"/>
  <c r="E9" i="2"/>
  <c r="E10" i="2" s="1"/>
  <c r="E19" i="2" s="1"/>
  <c r="E7" i="3"/>
  <c r="D7" i="3"/>
  <c r="C7" i="3"/>
  <c r="C9" i="2"/>
  <c r="C10" i="2" s="1"/>
  <c r="C19" i="2" s="1"/>
  <c r="A30" i="3"/>
  <c r="A31" i="3"/>
  <c r="A32" i="3" s="1"/>
  <c r="A33" i="3" s="1"/>
  <c r="A23" i="3"/>
  <c r="A24" i="3"/>
  <c r="A25" i="3" s="1"/>
  <c r="A26" i="3" s="1"/>
  <c r="A6" i="3"/>
  <c r="A7" i="3"/>
  <c r="A11" i="3"/>
  <c r="A12" i="3" s="1"/>
  <c r="A13" i="3" s="1"/>
  <c r="A14" i="3" s="1"/>
  <c r="A15" i="3" s="1"/>
  <c r="A16" i="3" s="1"/>
  <c r="A17" i="3" s="1"/>
  <c r="A18" i="3" s="1"/>
  <c r="A19" i="3" s="1"/>
  <c r="D18" i="3"/>
  <c r="E18" i="3"/>
  <c r="D17" i="3"/>
  <c r="E17" i="3"/>
  <c r="E14" i="3"/>
  <c r="D11" i="3"/>
  <c r="D12" i="3" s="1"/>
  <c r="E11" i="3"/>
  <c r="E12" i="3" s="1"/>
  <c r="E14" i="4"/>
  <c r="E19" i="4"/>
  <c r="E8" i="4"/>
  <c r="E18" i="4"/>
  <c r="D22" i="1"/>
  <c r="D21" i="1" s="1"/>
  <c r="C22" i="1"/>
  <c r="B22" i="1"/>
  <c r="I33" i="4"/>
  <c r="D22" i="2"/>
  <c r="D34" i="4" s="1"/>
  <c r="C22" i="2"/>
  <c r="B22" i="2"/>
  <c r="D9" i="2"/>
  <c r="D10" i="2" s="1"/>
  <c r="D19" i="2" s="1"/>
  <c r="B9" i="2"/>
  <c r="B19" i="2" s="1"/>
  <c r="B23" i="2" s="1"/>
  <c r="D29" i="1"/>
  <c r="C29" i="1"/>
  <c r="B29" i="1"/>
  <c r="D14" i="1"/>
  <c r="D51" i="4" s="1"/>
  <c r="C14" i="1"/>
  <c r="D52" i="4" s="1"/>
  <c r="B14" i="1"/>
  <c r="D7" i="1"/>
  <c r="C7" i="1"/>
  <c r="D5" i="3" s="1"/>
  <c r="B7" i="1"/>
  <c r="C10" i="3" s="1"/>
  <c r="G9" i="3"/>
  <c r="G21" i="3" s="1"/>
  <c r="G28" i="3" s="1"/>
  <c r="D35" i="4"/>
  <c r="C25" i="3"/>
  <c r="C23" i="3"/>
  <c r="E25" i="3"/>
  <c r="B21" i="1"/>
  <c r="E23" i="2" l="1"/>
  <c r="E30" i="2" s="1"/>
  <c r="F32" i="3" s="1"/>
  <c r="E23" i="4"/>
  <c r="C23" i="2"/>
  <c r="C30" i="2" s="1"/>
  <c r="D32" i="3" s="1"/>
  <c r="J33" i="4"/>
  <c r="I55" i="4"/>
  <c r="E39" i="4"/>
  <c r="D33" i="3"/>
  <c r="F33" i="3"/>
  <c r="E33" i="4"/>
  <c r="E34" i="4"/>
  <c r="D23" i="2"/>
  <c r="I14" i="4"/>
  <c r="N24" i="4" s="1"/>
  <c r="B25" i="2"/>
  <c r="B24" i="2"/>
  <c r="B30" i="2"/>
  <c r="B33" i="2" s="1"/>
  <c r="C24" i="2"/>
  <c r="C25" i="2"/>
  <c r="E28" i="4"/>
  <c r="I13" i="4"/>
  <c r="D24" i="2"/>
  <c r="D30" i="2"/>
  <c r="D25" i="2"/>
  <c r="E24" i="2"/>
  <c r="E29" i="4"/>
  <c r="I15" i="4"/>
  <c r="N25" i="4" s="1"/>
  <c r="O24" i="4" s="1"/>
  <c r="E33" i="3"/>
  <c r="C33" i="3"/>
  <c r="I35" i="4"/>
  <c r="J34" i="4" s="1"/>
  <c r="B10" i="2"/>
  <c r="C21" i="1"/>
  <c r="E60" i="4"/>
  <c r="I57" i="4"/>
  <c r="E56" i="4"/>
  <c r="E51" i="4"/>
  <c r="D6" i="1"/>
  <c r="E5" i="3"/>
  <c r="E10" i="3"/>
  <c r="C5" i="3"/>
  <c r="C6" i="3"/>
  <c r="D6" i="3"/>
  <c r="E6" i="3"/>
  <c r="D10" i="3"/>
  <c r="B6" i="1"/>
  <c r="D46" i="4"/>
  <c r="I50" i="4"/>
  <c r="N50" i="4" s="1"/>
  <c r="E61" i="4"/>
  <c r="E50" i="4"/>
  <c r="D45" i="4"/>
  <c r="E21" i="1"/>
  <c r="E23" i="3"/>
  <c r="E55" i="4"/>
  <c r="D47" i="4"/>
  <c r="I56" i="4"/>
  <c r="F6" i="3"/>
  <c r="F5" i="3"/>
  <c r="C6" i="1"/>
  <c r="D23" i="3"/>
  <c r="D25" i="3"/>
  <c r="F23" i="3"/>
  <c r="E6" i="1"/>
  <c r="E25" i="2" l="1"/>
  <c r="F29" i="3" s="1"/>
  <c r="F19" i="3"/>
  <c r="E31" i="3"/>
  <c r="C27" i="2"/>
  <c r="D26" i="3" s="1"/>
  <c r="D29" i="3"/>
  <c r="C29" i="3"/>
  <c r="B27" i="2"/>
  <c r="C26" i="3" s="1"/>
  <c r="D27" i="2"/>
  <c r="E26" i="3" s="1"/>
  <c r="E29" i="3"/>
  <c r="J13" i="4"/>
  <c r="N23" i="4"/>
  <c r="O23" i="4" s="1"/>
  <c r="J14" i="4"/>
  <c r="E31" i="2"/>
  <c r="F30" i="3"/>
  <c r="E33" i="2"/>
  <c r="D31" i="2"/>
  <c r="D33" i="2"/>
  <c r="E30" i="3"/>
  <c r="B31" i="2"/>
  <c r="C30" i="3"/>
  <c r="E32" i="3"/>
  <c r="C32" i="3"/>
  <c r="C33" i="2"/>
  <c r="C31" i="2"/>
  <c r="D30" i="3"/>
  <c r="N43" i="4"/>
  <c r="E22" i="3"/>
  <c r="N61" i="4"/>
  <c r="S56" i="4" s="1"/>
  <c r="D19" i="3"/>
  <c r="C31" i="3"/>
  <c r="C22" i="3"/>
  <c r="J56" i="4"/>
  <c r="J55" i="4"/>
  <c r="S34" i="4"/>
  <c r="F22" i="3"/>
  <c r="F31" i="3"/>
  <c r="F24" i="3"/>
  <c r="E46" i="4"/>
  <c r="I51" i="4"/>
  <c r="E19" i="3"/>
  <c r="D22" i="3"/>
  <c r="D24" i="3"/>
  <c r="D31" i="3"/>
  <c r="E45" i="4"/>
  <c r="I49" i="4"/>
  <c r="E24" i="3"/>
  <c r="E27" i="2" l="1"/>
  <c r="F26" i="3" s="1"/>
  <c r="D34" i="2"/>
  <c r="C34" i="2"/>
  <c r="E34" i="2"/>
  <c r="J49" i="4"/>
  <c r="N60" i="4"/>
  <c r="O60" i="4" s="1"/>
  <c r="N42" i="4"/>
  <c r="N49" i="4"/>
  <c r="N51" i="4"/>
  <c r="N44" i="4"/>
  <c r="N62" i="4"/>
  <c r="O61" i="4" s="1"/>
  <c r="J50" i="4"/>
  <c r="X43" i="4"/>
  <c r="O42" i="4" l="1"/>
  <c r="S33" i="4"/>
  <c r="S35" i="4"/>
  <c r="O43" i="4"/>
  <c r="S57" i="4"/>
  <c r="T56" i="4" s="1"/>
  <c r="O50" i="4"/>
  <c r="O49" i="4"/>
  <c r="S55" i="4"/>
  <c r="T55" i="4" s="1"/>
  <c r="X44" i="4" l="1"/>
  <c r="Y43" i="4" s="1"/>
  <c r="T34" i="4"/>
  <c r="X42" i="4"/>
  <c r="Y42" i="4" s="1"/>
  <c r="T33" i="4"/>
</calcChain>
</file>

<file path=xl/sharedStrings.xml><?xml version="1.0" encoding="utf-8"?>
<sst xmlns="http://schemas.openxmlformats.org/spreadsheetml/2006/main" count="179" uniqueCount="156">
  <si>
    <t>31/12/2020</t>
  </si>
  <si>
    <t>TỔNG TÀI SẢN</t>
  </si>
  <si>
    <t>A. TÀI SẢN NGẮN HẠN</t>
  </si>
  <si>
    <t>II. Các khoản đầu tư tài chính ngắn hạn</t>
  </si>
  <si>
    <t>III. Các khoản phải thu ngắn hạn</t>
  </si>
  <si>
    <t>IV. Hàng tồn kho</t>
  </si>
  <si>
    <t xml:space="preserve">V. Tài sản ngắn hạn khác </t>
  </si>
  <si>
    <t>B. TÀI SẢN DÀI HẠN</t>
  </si>
  <si>
    <t>I. Các khoản phải thu dài hạn</t>
  </si>
  <si>
    <t>II. Tài sản cố định</t>
  </si>
  <si>
    <t>III. Bất động sản đầu tư</t>
  </si>
  <si>
    <t>IV. Các khoản đầu tư tài chính dài hạn</t>
  </si>
  <si>
    <t>V. Tài sản dài hạn khác</t>
  </si>
  <si>
    <t>TỔNG NGUỒN VỐN</t>
  </si>
  <si>
    <t>A. NỢ PHẢI TRẢ</t>
  </si>
  <si>
    <t>I. Nợ ngắn hạn</t>
  </si>
  <si>
    <t>B. VỐN CHỦ SỞ HỮU</t>
  </si>
  <si>
    <t>I. Vốn chủ sở hữu</t>
  </si>
  <si>
    <t>Năm 2020</t>
  </si>
  <si>
    <t>1. Doanh thu thuần về bán hàng và cung cấp dịch vụ</t>
  </si>
  <si>
    <t>2. Giá vốn hàng bán</t>
  </si>
  <si>
    <t>3. Lợi nhuận gộp về bán hàng và cung cấp dịch vụ</t>
  </si>
  <si>
    <t>4. Doanh thu hoạt động tài chính</t>
  </si>
  <si>
    <t>5. Chi phí tài chính</t>
  </si>
  <si>
    <t>6. Chi phí bán hàng</t>
  </si>
  <si>
    <t>7. Chi phí quản lý doanh nghiệp</t>
  </si>
  <si>
    <t>8.Lợi nhuận thuần từ HĐKD</t>
  </si>
  <si>
    <t>9. Thu nhập khác</t>
  </si>
  <si>
    <t>10. Chi phí khác</t>
  </si>
  <si>
    <t>11. Lợi nhuận khác</t>
  </si>
  <si>
    <t>12. Tổng lợi nhuận kế toán trước thuế</t>
  </si>
  <si>
    <t>13. Chi phí thuế TN doanh nghiệp hiện hành</t>
  </si>
  <si>
    <t>14. Chi phí thuế TN doanh nghiệp hoãn lại</t>
  </si>
  <si>
    <t>STT</t>
  </si>
  <si>
    <t>Khả năng thanh toán ngắn hạn (lần)</t>
  </si>
  <si>
    <t xml:space="preserve">Công Thức </t>
  </si>
  <si>
    <t>= Tài sản ngắn hạn/Nợ ngắn hạn</t>
  </si>
  <si>
    <t>Hệ số thanh toán nhanh</t>
  </si>
  <si>
    <t>= (Tài sản ngắn hạn - Hàng tồn kho)/Nợ ngắn hạn</t>
  </si>
  <si>
    <t>Hệ số tiền mặt (HS thanh toán tức thời)</t>
  </si>
  <si>
    <t>Chỉ số hoạt động</t>
  </si>
  <si>
    <t>Vòng quay vốn lưu động (vòng)</t>
  </si>
  <si>
    <t>Vòng quay hàng tồn kho (lần)</t>
  </si>
  <si>
    <t>= Giá vốn hàng bán/Hàng tồn kho bình quân</t>
  </si>
  <si>
    <t>Vòng quay khoản phải thu (vòng)</t>
  </si>
  <si>
    <t>= Doanh thu thuần/Khoản phải thu bình quân</t>
  </si>
  <si>
    <t>Vòng quay khoản phải trả (vòng)</t>
  </si>
  <si>
    <t>= Giá vốn hàng bán/Phải trả cho người bán bình quân</t>
  </si>
  <si>
    <t>Tốc độ tăng trưởng doanh thu thuần</t>
  </si>
  <si>
    <t>=(DTT năm n-1 - DTT năm n-2)/DTT năm n-2</t>
  </si>
  <si>
    <t>Hiệu suất sử dụng tài sản cố định</t>
  </si>
  <si>
    <t>=Doanh thu thuần/TSCĐ bình quân</t>
  </si>
  <si>
    <t>=DTT/Tổng tài sản bình quân</t>
  </si>
  <si>
    <t>Đòn cân nợ và cơ cấu tài sản nguồn vốn</t>
  </si>
  <si>
    <t>Hệ số nợ</t>
  </si>
  <si>
    <t>= Nợ phải trả/Tổng tài sản</t>
  </si>
  <si>
    <t>Tài sản cố định/Vốn CSH</t>
  </si>
  <si>
    <t>=Tài sản cố định/Vốn CSH</t>
  </si>
  <si>
    <t>Tốc độ tăng trưởng tài sản</t>
  </si>
  <si>
    <t>=(TS năm n-1 - TS năm n-2)/TS năm n-2</t>
  </si>
  <si>
    <t>Chỉ số sinh lời (%)</t>
  </si>
  <si>
    <t>= Lợi nhuận sau thuế TNDN/Doanh thu thuần</t>
  </si>
  <si>
    <t>Suất sinh lời trên tài sản (ROA)</t>
  </si>
  <si>
    <t>= Lợi nhuận sau thuế TNDN/Tổng tài sản</t>
  </si>
  <si>
    <t>= Lợi nhuận sau thuế TNDN/Vốn chủ sở hữu</t>
  </si>
  <si>
    <t>Tỷ suất lợi nhuận gộp</t>
  </si>
  <si>
    <t>= Lợi nhuận gộp/Doanh thu thuần</t>
  </si>
  <si>
    <t>III. Nợ dài hạn</t>
  </si>
  <si>
    <t>Suất sinh lời trên vốn CSH (ROE)</t>
  </si>
  <si>
    <t>BÁO CÁO KẾT QUẢ HOẠT ĐỘNG KINH DOANH</t>
  </si>
  <si>
    <t>Doanh thu (Sales)</t>
  </si>
  <si>
    <t>(-)</t>
  </si>
  <si>
    <t>Giá vốn (COGS)</t>
  </si>
  <si>
    <t>Lợi nhuận ròng sau thuế (Net Profit After Tax)</t>
  </si>
  <si>
    <t>(+)</t>
  </si>
  <si>
    <t>Doanh thu tài chính (Financial Income)</t>
  </si>
  <si>
    <t>Chi phí tài chính (Financial Expenses)</t>
  </si>
  <si>
    <t>Chia (Divided by)</t>
  </si>
  <si>
    <t>Biên lợi nhuận ròng trên doanh thu (NPAT/Sales) (%)</t>
  </si>
  <si>
    <t>(/)</t>
  </si>
  <si>
    <t>Chi phí hoạt động (Operating Expenses)</t>
  </si>
  <si>
    <t>Lợi nhuận/(Lỗ) khác (Other Income/(Loss)</t>
  </si>
  <si>
    <t>Nhân (Multiplied by)</t>
  </si>
  <si>
    <t>Tỷ lệ sinh lợi trên tổng tài sản (ROA)</t>
  </si>
  <si>
    <t>Chi phí thuế (Tax Expenses)</t>
  </si>
  <si>
    <t>Vòng quay tổng tài sản (Asset Turnover) (Lần)</t>
  </si>
  <si>
    <t>Tỷ lệ sinh lợi trên Vốn chủ (ROE) (%)</t>
  </si>
  <si>
    <t>Tài sản ngắn hạn (Current Assets)</t>
  </si>
  <si>
    <t>Tổng tài sản (Total Assets)</t>
  </si>
  <si>
    <t>Tài sản dài hạn (Non-Current Assets)</t>
  </si>
  <si>
    <t>Nợ ngắn hạn (Current Liabilities)</t>
  </si>
  <si>
    <t>Tổng nợ (Total Liabilities)</t>
  </si>
  <si>
    <t>Đòn bảy tài chính (Tài sản/Vốn chủ) (Lần) (Financial Leverage)</t>
  </si>
  <si>
    <t>Nợ dài hạn (Non-Current Liabilities)</t>
  </si>
  <si>
    <t>Vốn chủ sở hữu (Owner's Equity)</t>
  </si>
  <si>
    <t>1.Biên lợi nhuận ròng trên doanh thu</t>
  </si>
  <si>
    <t>Trong đó: Chi phí lãi vay</t>
  </si>
  <si>
    <t>PHÂN TÍCH DUPONT</t>
  </si>
  <si>
    <t>DUPONT ANALYSIS</t>
  </si>
  <si>
    <t>VI. Tài sản dở dang dài hạn</t>
  </si>
  <si>
    <t>8. Lãi/(Lỗ) từ công ty liên doanh, liên kết</t>
  </si>
  <si>
    <t>15. Lợi nhận sau thuế</t>
  </si>
  <si>
    <t>16. Lợi nhuận sau thuế của cổ đông không kiểm soát</t>
  </si>
  <si>
    <t>15. Lợi nhuận sau thuế của công ty mẹ</t>
  </si>
  <si>
    <t>1. Phải trả người bán ngắn hạn</t>
  </si>
  <si>
    <t>2. Vay và nợ thuê tài chính ngắn hạn</t>
  </si>
  <si>
    <t>1. Phải trả người bán dài hạn</t>
  </si>
  <si>
    <t>2. Vay và nợ thuê tài chính dài hạn</t>
  </si>
  <si>
    <t>Nhận định về HPG trên:</t>
  </si>
  <si>
    <t>2. Vòng quay Tổng tài sản</t>
  </si>
  <si>
    <t>3. Tỷ lệ sinh lợi trên Tổng tài sản</t>
  </si>
  <si>
    <t>4. Đòn bẩy tài chính</t>
  </si>
  <si>
    <t xml:space="preserve">5. Tỷ lệ sinh lợi trên Vốn chủ </t>
  </si>
  <si>
    <t>1. Tiền mặt</t>
  </si>
  <si>
    <t>2. Tương đương tiền</t>
  </si>
  <si>
    <t>= Doanh thu thuần/(TSNH-Nợ ngắn hạn)</t>
  </si>
  <si>
    <t xml:space="preserve">Vòng quay Tài sản </t>
  </si>
  <si>
    <t>Số ngày trả tiền</t>
  </si>
  <si>
    <t>Nợ vay ròng/EBITDA</t>
  </si>
  <si>
    <t>Số ngày thu tiền</t>
  </si>
  <si>
    <t>Khấu hao TSCĐ và BĐSĐT</t>
  </si>
  <si>
    <t>= 365 ngày/Vòng quay hàng tồn kho</t>
  </si>
  <si>
    <t>Số ngày tồn kho (ngày)</t>
  </si>
  <si>
    <t>= 365 ngày/Vòng quay khoảng phải thu</t>
  </si>
  <si>
    <t>=365/Vòng quay khoản phải trả</t>
  </si>
  <si>
    <t>Đơn vị: tỷ VND</t>
  </si>
  <si>
    <t>= (Nợ vay chịu lãi - Tiền &amp; Tương đương tiền)/Vốn chủ sở hữu</t>
  </si>
  <si>
    <t>= (Nợ vay chịu lãi - Tiền &amp; Tương đương tiền)/EBITDA</t>
  </si>
  <si>
    <t>Hệ số thanh toán lãi vay (lần)</t>
  </si>
  <si>
    <t xml:space="preserve">Hệ số nợ vay ròng </t>
  </si>
  <si>
    <t>Biên lợi nhuận trên Doanh thu</t>
  </si>
  <si>
    <t>13. Tổng lợi nhuận kế toán trước thuế và lãi vay (EBIT)</t>
  </si>
  <si>
    <t>15. Tổng lợi nhuận kế toán trước thuế, lãi vay và khấu hao TSCĐ &amp; BĐSĐT (EBITDA)</t>
  </si>
  <si>
    <t>Năm 2021</t>
  </si>
  <si>
    <t>Phân tích</t>
  </si>
  <si>
    <t>Hệ số thanh toán hiện hành</t>
  </si>
  <si>
    <t>= Các khoản tiền/Nợ ngắn hạn</t>
  </si>
  <si>
    <r>
      <rPr>
        <b/>
        <i/>
        <sz val="12"/>
        <color rgb="FFFF0000"/>
        <rFont val="Arial"/>
        <family val="2"/>
      </rPr>
      <t>*Chú thích:</t>
    </r>
    <r>
      <rPr>
        <i/>
        <sz val="12"/>
        <color rgb="FFFF0000"/>
        <rFont val="Arial"/>
        <family val="2"/>
      </rPr>
      <t xml:space="preserve"> Người dùng chỉ nhập công thức link dữ liệu vào các ô màu xám, các thành phần còn lại đã được đặt công thức tính tự động</t>
    </r>
  </si>
  <si>
    <t>=EBIT/Chi phí lãi vay</t>
  </si>
  <si>
    <t>Tốc độ tăng trưởng doanh thu</t>
  </si>
  <si>
    <t>Tỷ lệ Chi phí bán hàng trên doanh thu</t>
  </si>
  <si>
    <t>Tỷ lệ Chi phí quản lý trên doanh thu</t>
  </si>
  <si>
    <t>Biên lợi nhuận trước thuế trên doanh thu</t>
  </si>
  <si>
    <t>Biên lãi gộp trên doanh thu</t>
  </si>
  <si>
    <t>Biên lợi nhuận sau thuế trên doanh thu</t>
  </si>
  <si>
    <t>16. Lãi cơ bản trên cổ phiếu (EPS)</t>
  </si>
  <si>
    <t>Tốc độ tăng trưởng Lợi nhuận sau thuế của công ty mẹ</t>
  </si>
  <si>
    <t>Tốc độ tăng trưởng Lãi cơ bản trên cổ phiếu (EPS)</t>
  </si>
  <si>
    <t>CÔNG TY CỔ PHẦN TẬP ĐOÀN A</t>
  </si>
  <si>
    <t>31/12/2022</t>
  </si>
  <si>
    <t>31/12/2021</t>
  </si>
  <si>
    <t>Năm 2022</t>
  </si>
  <si>
    <t>Năm 2023</t>
  </si>
  <si>
    <t>CÔNG TY A</t>
  </si>
  <si>
    <t>BANG CDKT</t>
  </si>
  <si>
    <t xml:space="preserve"> CÁC CHỈ TIEU TÀI CHÍNH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</si>
</sst>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0.00_);\(0.00\)"/>
    <numFmt numFmtId="166" formatCode="0.0%"/>
    <numFmt numFmtId="167" formatCode="_-* #,##0.00_-;\-* #,##0.00_-;_-* &quot;-&quot;_-;_-@_-"/>
    <numFmt numFmtId="168" formatCode="_(* #,##0_);_(* \(#,##0\);_(* &quot;-&quot;??_);_(@_)"/>
  </numFmts>
  <fonts count="2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rgb="FF000000"/>
      <name val="Arial"/>
      <family val="2"/>
    </font>
    <font>
      <sz val="10"/>
      <name val="Arial"/>
      <family val="2"/>
    </font>
    <font>
      <b/>
      <sz val="12"/>
      <color theme="1" tint="4.9989318521683403E-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i/>
      <sz val="12"/>
      <color rgb="FF0000FF"/>
      <name val="Arial"/>
      <family val="2"/>
    </font>
    <font>
      <sz val="12"/>
      <color rgb="FFFF0000"/>
      <name val="Arial"/>
      <family val="2"/>
    </font>
    <font>
      <i/>
      <sz val="12"/>
      <color rgb="FFFF0000"/>
      <name val="Arial"/>
      <family val="2"/>
    </font>
    <font>
      <b/>
      <sz val="14"/>
      <color theme="4" tint="-0.249977111117893"/>
      <name val="Arial"/>
      <family val="2"/>
    </font>
    <font>
      <b/>
      <sz val="14"/>
      <color rgb="FF000000"/>
      <name val="Arial"/>
      <family val="2"/>
    </font>
    <font>
      <b/>
      <sz val="14"/>
      <color rgb="FF2F75B5"/>
      <name val="Arial"/>
      <family val="2"/>
    </font>
    <font>
      <sz val="10"/>
      <color theme="1"/>
      <name val="Arial"/>
      <family val="2"/>
    </font>
    <font>
      <b/>
      <sz val="16"/>
      <color theme="1" tint="4.9989318521683403E-2"/>
      <name val="Arial"/>
      <family val="2"/>
    </font>
    <font>
      <b/>
      <sz val="16"/>
      <color theme="1"/>
      <name val="Arial"/>
      <family val="2"/>
    </font>
    <font>
      <i/>
      <sz val="14"/>
      <color rgb="FFFF0000"/>
      <name val="Arial"/>
      <family val="2"/>
    </font>
    <font>
      <b/>
      <sz val="10"/>
      <color theme="0"/>
      <name val="Arial"/>
      <family val="2"/>
    </font>
    <font>
      <b/>
      <i/>
      <sz val="12"/>
      <color rgb="FFFF0000"/>
      <name val="Arial"/>
      <family val="2"/>
    </font>
    <font>
      <i/>
      <sz val="12"/>
      <color theme="1"/>
      <name val="Arial"/>
      <family val="2"/>
    </font>
    <font>
      <i/>
      <sz val="12"/>
      <color rgb="FF000000"/>
      <name val="Arial"/>
      <family val="2"/>
    </font>
    <font>
      <b/>
      <sz val="12"/>
      <color rgb="FF7030A0"/>
      <name val="Arial"/>
      <family val="2"/>
    </font>
    <font>
      <b/>
      <sz val="2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3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ashDot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Dot">
        <color indexed="64"/>
      </right>
      <top style="hair">
        <color auto="1"/>
      </top>
      <bottom style="hair">
        <color auto="1"/>
      </bottom>
      <diagonal/>
    </border>
    <border>
      <left style="dashDot">
        <color indexed="64"/>
      </left>
      <right style="hair">
        <color auto="1"/>
      </right>
      <top style="hair">
        <color auto="1"/>
      </top>
      <bottom style="dashDot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Dot">
        <color indexed="64"/>
      </bottom>
      <diagonal/>
    </border>
    <border>
      <left style="hair">
        <color auto="1"/>
      </left>
      <right style="dashDot">
        <color indexed="64"/>
      </right>
      <top style="hair">
        <color auto="1"/>
      </top>
      <bottom style="dashDot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Dot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ashDot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Dot">
        <color indexed="64"/>
      </right>
      <top/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66">
    <xf numFmtId="0" fontId="0" fillId="0" borderId="0" xfId="0"/>
    <xf numFmtId="0" fontId="19" fillId="6" borderId="1" xfId="3" applyFont="1" applyFill="1" applyBorder="1" applyAlignment="1">
      <alignment horizontal="center" vertical="center"/>
    </xf>
    <xf numFmtId="0" fontId="19" fillId="6" borderId="1" xfId="3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 vertical="center" wrapText="1"/>
    </xf>
    <xf numFmtId="49" fontId="19" fillId="6" borderId="1" xfId="0" applyNumberFormat="1" applyFont="1" applyFill="1" applyBorder="1" applyAlignment="1">
      <alignment horizontal="center" vertical="center" wrapText="1"/>
    </xf>
    <xf numFmtId="0" fontId="3" fillId="2" borderId="1" xfId="3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>
      <alignment horizontal="right" vertical="center"/>
    </xf>
    <xf numFmtId="49" fontId="3" fillId="0" borderId="2" xfId="0" applyNumberFormat="1" applyFont="1" applyBorder="1" applyAlignment="1">
      <alignment horizontal="left" vertical="center"/>
    </xf>
    <xf numFmtId="0" fontId="3" fillId="2" borderId="0" xfId="3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5" fontId="3" fillId="2" borderId="0" xfId="0" applyNumberFormat="1" applyFont="1" applyFill="1" applyAlignment="1">
      <alignment horizontal="right" vertical="center"/>
    </xf>
    <xf numFmtId="49" fontId="3" fillId="0" borderId="0" xfId="0" applyNumberFormat="1" applyFont="1" applyAlignment="1">
      <alignment horizontal="left" vertical="center"/>
    </xf>
    <xf numFmtId="0" fontId="19" fillId="6" borderId="1" xfId="0" applyFont="1" applyFill="1" applyBorder="1" applyAlignment="1">
      <alignment horizontal="left" vertical="center"/>
    </xf>
    <xf numFmtId="43" fontId="3" fillId="0" borderId="1" xfId="1" applyFont="1" applyBorder="1" applyAlignment="1" applyProtection="1">
      <alignment horizontal="right" vertical="center"/>
    </xf>
    <xf numFmtId="166" fontId="3" fillId="2" borderId="1" xfId="2" applyNumberFormat="1" applyFont="1" applyFill="1" applyBorder="1" applyAlignment="1" applyProtection="1">
      <alignment horizontal="right" vertical="center"/>
    </xf>
    <xf numFmtId="43" fontId="3" fillId="2" borderId="1" xfId="1" applyFont="1" applyFill="1" applyBorder="1" applyAlignment="1" applyProtection="1">
      <alignment horizontal="right" vertical="center"/>
    </xf>
    <xf numFmtId="0" fontId="3" fillId="0" borderId="0" xfId="0" applyFont="1" applyAlignment="1">
      <alignment vertical="center"/>
    </xf>
    <xf numFmtId="2" fontId="19" fillId="6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166" fontId="3" fillId="0" borderId="18" xfId="2" applyNumberFormat="1" applyFont="1" applyBorder="1" applyAlignment="1" applyProtection="1">
      <alignment horizontal="right" vertical="center"/>
    </xf>
    <xf numFmtId="49" fontId="3" fillId="0" borderId="18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quotePrefix="1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3" fillId="0" borderId="2" xfId="0" quotePrefix="1" applyNumberFormat="1" applyFont="1" applyBorder="1" applyAlignment="1">
      <alignment horizontal="left" vertical="center"/>
    </xf>
    <xf numFmtId="10" fontId="3" fillId="2" borderId="1" xfId="0" applyNumberFormat="1" applyFont="1" applyFill="1" applyBorder="1" applyAlignment="1">
      <alignment horizontal="right" vertical="center"/>
    </xf>
    <xf numFmtId="49" fontId="19" fillId="6" borderId="18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5" fillId="0" borderId="0" xfId="0" applyFont="1"/>
    <xf numFmtId="0" fontId="16" fillId="0" borderId="0" xfId="0" applyFont="1"/>
    <xf numFmtId="0" fontId="7" fillId="0" borderId="0" xfId="0" applyFont="1"/>
    <xf numFmtId="0" fontId="11" fillId="0" borderId="0" xfId="0" applyFont="1"/>
    <xf numFmtId="0" fontId="17" fillId="0" borderId="0" xfId="0" applyFont="1"/>
    <xf numFmtId="0" fontId="6" fillId="0" borderId="0" xfId="4" applyFont="1"/>
    <xf numFmtId="38" fontId="7" fillId="0" borderId="0" xfId="5" applyNumberFormat="1" applyFont="1" applyProtection="1"/>
    <xf numFmtId="0" fontId="7" fillId="0" borderId="0" xfId="4" applyFont="1"/>
    <xf numFmtId="0" fontId="11" fillId="0" borderId="0" xfId="4" applyFont="1"/>
    <xf numFmtId="0" fontId="7" fillId="0" borderId="4" xfId="4" applyFont="1" applyBorder="1"/>
    <xf numFmtId="10" fontId="7" fillId="0" borderId="4" xfId="6" applyNumberFormat="1" applyFont="1" applyBorder="1" applyProtection="1"/>
    <xf numFmtId="0" fontId="7" fillId="0" borderId="5" xfId="4" applyFont="1" applyBorder="1"/>
    <xf numFmtId="0" fontId="7" fillId="0" borderId="6" xfId="4" applyFont="1" applyBorder="1"/>
    <xf numFmtId="164" fontId="7" fillId="0" borderId="4" xfId="5" applyFont="1" applyBorder="1" applyProtection="1"/>
    <xf numFmtId="0" fontId="8" fillId="0" borderId="10" xfId="4" applyFont="1" applyBorder="1" applyAlignment="1">
      <alignment vertical="center"/>
    </xf>
    <xf numFmtId="0" fontId="7" fillId="0" borderId="11" xfId="4" applyFont="1" applyBorder="1"/>
    <xf numFmtId="0" fontId="7" fillId="0" borderId="12" xfId="4" applyFont="1" applyBorder="1"/>
    <xf numFmtId="0" fontId="6" fillId="0" borderId="13" xfId="4" applyFont="1" applyBorder="1"/>
    <xf numFmtId="0" fontId="7" fillId="0" borderId="10" xfId="4" applyFont="1" applyBorder="1"/>
    <xf numFmtId="0" fontId="7" fillId="0" borderId="15" xfId="4" applyFont="1" applyBorder="1"/>
    <xf numFmtId="0" fontId="7" fillId="0" borderId="13" xfId="4" applyFont="1" applyBorder="1"/>
    <xf numFmtId="167" fontId="7" fillId="0" borderId="4" xfId="5" applyNumberFormat="1" applyFont="1" applyBorder="1" applyProtection="1"/>
    <xf numFmtId="0" fontId="7" fillId="0" borderId="14" xfId="4" applyFont="1" applyBorder="1"/>
    <xf numFmtId="164" fontId="7" fillId="0" borderId="4" xfId="5" applyFont="1" applyFill="1" applyBorder="1" applyProtection="1"/>
    <xf numFmtId="164" fontId="10" fillId="0" borderId="14" xfId="4" applyNumberFormat="1" applyFont="1" applyBorder="1"/>
    <xf numFmtId="164" fontId="10" fillId="0" borderId="0" xfId="4" applyNumberFormat="1" applyFont="1"/>
    <xf numFmtId="0" fontId="7" fillId="0" borderId="16" xfId="4" applyFont="1" applyBorder="1"/>
    <xf numFmtId="0" fontId="7" fillId="0" borderId="17" xfId="4" applyFont="1" applyBorder="1"/>
    <xf numFmtId="0" fontId="2" fillId="0" borderId="19" xfId="0" applyFont="1" applyBorder="1" applyAlignment="1">
      <alignment horizontal="left" vertical="center" wrapText="1" readingOrder="1"/>
    </xf>
    <xf numFmtId="0" fontId="14" fillId="0" borderId="19" xfId="0" applyFont="1" applyBorder="1" applyAlignment="1">
      <alignment horizontal="left" vertical="center" wrapText="1" readingOrder="1"/>
    </xf>
    <xf numFmtId="0" fontId="13" fillId="0" borderId="19" xfId="0" applyFont="1" applyBorder="1" applyAlignment="1">
      <alignment horizontal="left" vertical="center" wrapText="1" readingOrder="1"/>
    </xf>
    <xf numFmtId="0" fontId="2" fillId="0" borderId="21" xfId="0" applyFont="1" applyBorder="1" applyAlignment="1">
      <alignment horizontal="left" vertical="center" wrapText="1" readingOrder="1"/>
    </xf>
    <xf numFmtId="38" fontId="7" fillId="0" borderId="0" xfId="4" applyNumberFormat="1" applyFont="1"/>
    <xf numFmtId="0" fontId="3" fillId="2" borderId="24" xfId="0" applyFont="1" applyFill="1" applyBorder="1" applyAlignment="1">
      <alignment horizontal="left" vertical="center"/>
    </xf>
    <xf numFmtId="165" fontId="3" fillId="2" borderId="24" xfId="0" applyNumberFormat="1" applyFont="1" applyFill="1" applyBorder="1" applyAlignment="1">
      <alignment horizontal="right" vertical="center"/>
    </xf>
    <xf numFmtId="43" fontId="3" fillId="0" borderId="24" xfId="1" applyFont="1" applyBorder="1" applyAlignment="1" applyProtection="1">
      <alignment horizontal="right" vertical="center"/>
    </xf>
    <xf numFmtId="49" fontId="3" fillId="0" borderId="25" xfId="0" quotePrefix="1" applyNumberFormat="1" applyFont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43" fontId="3" fillId="0" borderId="26" xfId="1" applyFont="1" applyBorder="1" applyAlignment="1" applyProtection="1">
      <alignment horizontal="right" vertical="center"/>
    </xf>
    <xf numFmtId="49" fontId="3" fillId="0" borderId="27" xfId="0" quotePrefix="1" applyNumberFormat="1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43" fontId="3" fillId="0" borderId="4" xfId="1" applyFont="1" applyBorder="1" applyAlignment="1" applyProtection="1">
      <alignment horizontal="right" vertical="center"/>
    </xf>
    <xf numFmtId="0" fontId="3" fillId="0" borderId="27" xfId="0" applyFont="1" applyBorder="1" applyAlignment="1">
      <alignment horizontal="left" vertical="center"/>
    </xf>
    <xf numFmtId="37" fontId="7" fillId="7" borderId="3" xfId="1" applyNumberFormat="1" applyFont="1" applyFill="1" applyBorder="1"/>
    <xf numFmtId="37" fontId="7" fillId="7" borderId="20" xfId="1" applyNumberFormat="1" applyFont="1" applyFill="1" applyBorder="1"/>
    <xf numFmtId="37" fontId="14" fillId="0" borderId="3" xfId="1" applyNumberFormat="1" applyFont="1" applyFill="1" applyBorder="1" applyAlignment="1" applyProtection="1">
      <alignment horizontal="right" vertical="center" wrapText="1" readingOrder="1"/>
    </xf>
    <xf numFmtId="37" fontId="14" fillId="0" borderId="20" xfId="1" applyNumberFormat="1" applyFont="1" applyFill="1" applyBorder="1" applyAlignment="1" applyProtection="1">
      <alignment horizontal="right" vertical="center" wrapText="1" readingOrder="1"/>
    </xf>
    <xf numFmtId="37" fontId="2" fillId="7" borderId="3" xfId="1" applyNumberFormat="1" applyFont="1" applyFill="1" applyBorder="1" applyAlignment="1" applyProtection="1">
      <alignment horizontal="right" vertical="center" wrapText="1" readingOrder="1"/>
    </xf>
    <xf numFmtId="37" fontId="2" fillId="7" borderId="20" xfId="1" applyNumberFormat="1" applyFont="1" applyFill="1" applyBorder="1" applyAlignment="1" applyProtection="1">
      <alignment horizontal="right" vertical="center" wrapText="1" readingOrder="1"/>
    </xf>
    <xf numFmtId="37" fontId="2" fillId="7" borderId="22" xfId="1" applyNumberFormat="1" applyFont="1" applyFill="1" applyBorder="1" applyAlignment="1" applyProtection="1">
      <alignment horizontal="right" vertical="center" wrapText="1" readingOrder="1"/>
    </xf>
    <xf numFmtId="37" fontId="2" fillId="7" borderId="23" xfId="1" applyNumberFormat="1" applyFont="1" applyFill="1" applyBorder="1" applyAlignment="1" applyProtection="1">
      <alignment horizontal="right" vertical="center" wrapText="1" readingOrder="1"/>
    </xf>
    <xf numFmtId="0" fontId="21" fillId="0" borderId="0" xfId="0" applyFont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27" xfId="0" applyFont="1" applyFill="1" applyBorder="1"/>
    <xf numFmtId="0" fontId="2" fillId="0" borderId="30" xfId="0" applyFont="1" applyBorder="1" applyAlignment="1">
      <alignment horizontal="left" vertical="center" wrapText="1" readingOrder="1"/>
    </xf>
    <xf numFmtId="3" fontId="7" fillId="7" borderId="30" xfId="1" applyNumberFormat="1" applyFont="1" applyFill="1" applyBorder="1"/>
    <xf numFmtId="0" fontId="12" fillId="0" borderId="30" xfId="0" applyFont="1" applyBorder="1" applyAlignment="1">
      <alignment horizontal="left" vertical="center" wrapText="1" readingOrder="1"/>
    </xf>
    <xf numFmtId="3" fontId="12" fillId="0" borderId="30" xfId="1" applyNumberFormat="1" applyFont="1" applyFill="1" applyBorder="1" applyAlignment="1" applyProtection="1">
      <alignment horizontal="right" vertical="center" wrapText="1" readingOrder="1"/>
    </xf>
    <xf numFmtId="0" fontId="22" fillId="0" borderId="30" xfId="0" applyFont="1" applyBorder="1" applyAlignment="1">
      <alignment horizontal="left" vertical="center" wrapText="1" indent="2" readingOrder="1"/>
    </xf>
    <xf numFmtId="3" fontId="7" fillId="0" borderId="30" xfId="0" applyNumberFormat="1" applyFont="1" applyBorder="1"/>
    <xf numFmtId="0" fontId="12" fillId="0" borderId="31" xfId="0" applyFont="1" applyBorder="1" applyAlignment="1">
      <alignment horizontal="left" vertical="center" wrapText="1" readingOrder="1"/>
    </xf>
    <xf numFmtId="3" fontId="12" fillId="0" borderId="31" xfId="1" applyNumberFormat="1" applyFont="1" applyFill="1" applyBorder="1" applyAlignment="1" applyProtection="1">
      <alignment horizontal="right" vertical="center" wrapText="1" readingOrder="1"/>
    </xf>
    <xf numFmtId="38" fontId="7" fillId="9" borderId="4" xfId="5" applyNumberFormat="1" applyFont="1" applyFill="1" applyBorder="1" applyProtection="1"/>
    <xf numFmtId="0" fontId="11" fillId="0" borderId="30" xfId="0" applyFont="1" applyBorder="1" applyAlignment="1">
      <alignment horizontal="left" vertical="center" wrapText="1" readingOrder="1"/>
    </xf>
    <xf numFmtId="3" fontId="11" fillId="7" borderId="30" xfId="1" applyNumberFormat="1" applyFont="1" applyFill="1" applyBorder="1"/>
    <xf numFmtId="166" fontId="11" fillId="7" borderId="30" xfId="2" applyNumberFormat="1" applyFont="1" applyFill="1" applyBorder="1"/>
    <xf numFmtId="10" fontId="11" fillId="7" borderId="30" xfId="2" applyNumberFormat="1" applyFont="1" applyFill="1" applyBorder="1"/>
    <xf numFmtId="0" fontId="23" fillId="0" borderId="30" xfId="0" applyFont="1" applyBorder="1" applyAlignment="1">
      <alignment horizontal="left" vertical="center" wrapText="1" readingOrder="1"/>
    </xf>
    <xf numFmtId="3" fontId="23" fillId="7" borderId="30" xfId="1" applyNumberFormat="1" applyFont="1" applyFill="1" applyBorder="1"/>
    <xf numFmtId="0" fontId="11" fillId="0" borderId="4" xfId="0" applyFont="1" applyBorder="1" applyAlignment="1">
      <alignment horizontal="left" vertical="center" wrapText="1" readingOrder="1"/>
    </xf>
    <xf numFmtId="3" fontId="11" fillId="7" borderId="4" xfId="1" applyNumberFormat="1" applyFont="1" applyFill="1" applyBorder="1"/>
    <xf numFmtId="166" fontId="11" fillId="7" borderId="4" xfId="2" applyNumberFormat="1" applyFont="1" applyFill="1" applyBorder="1"/>
    <xf numFmtId="0" fontId="7" fillId="13" borderId="0" xfId="0" applyFont="1" applyFill="1"/>
    <xf numFmtId="0" fontId="13" fillId="0" borderId="32" xfId="0" applyFont="1" applyBorder="1" applyAlignment="1">
      <alignment horizontal="left" vertical="center" wrapText="1" readingOrder="1"/>
    </xf>
    <xf numFmtId="37" fontId="14" fillId="0" borderId="33" xfId="1" applyNumberFormat="1" applyFont="1" applyFill="1" applyBorder="1" applyAlignment="1" applyProtection="1">
      <alignment horizontal="right" vertical="center" wrapText="1" readingOrder="1"/>
    </xf>
    <xf numFmtId="37" fontId="14" fillId="0" borderId="34" xfId="1" applyNumberFormat="1" applyFont="1" applyFill="1" applyBorder="1" applyAlignment="1" applyProtection="1">
      <alignment horizontal="right" vertical="center" wrapText="1" readingOrder="1"/>
    </xf>
    <xf numFmtId="0" fontId="15" fillId="13" borderId="4" xfId="0" applyFont="1" applyFill="1" applyBorder="1"/>
    <xf numFmtId="0" fontId="4" fillId="13" borderId="4" xfId="0" applyFont="1" applyFill="1" applyBorder="1" applyAlignment="1">
      <alignment horizontal="left" vertical="center" wrapText="1" readingOrder="1"/>
    </xf>
    <xf numFmtId="0" fontId="4" fillId="13" borderId="4" xfId="0" applyFont="1" applyFill="1" applyBorder="1" applyAlignment="1">
      <alignment horizontal="center" vertical="center" wrapText="1" readingOrder="1"/>
    </xf>
    <xf numFmtId="14" fontId="4" fillId="13" borderId="4" xfId="0" applyNumberFormat="1" applyFont="1" applyFill="1" applyBorder="1" applyAlignment="1">
      <alignment horizontal="center" vertical="center" wrapText="1" readingOrder="1"/>
    </xf>
    <xf numFmtId="0" fontId="7" fillId="13" borderId="4" xfId="0" applyFont="1" applyFill="1" applyBorder="1"/>
    <xf numFmtId="0" fontId="6" fillId="13" borderId="29" xfId="0" applyFont="1" applyFill="1" applyBorder="1" applyAlignment="1">
      <alignment horizontal="left" vertical="center" wrapText="1" readingOrder="1"/>
    </xf>
    <xf numFmtId="0" fontId="6" fillId="13" borderId="29" xfId="0" applyFont="1" applyFill="1" applyBorder="1" applyAlignment="1">
      <alignment horizontal="center" vertical="center" wrapText="1" readingOrder="1"/>
    </xf>
    <xf numFmtId="168" fontId="0" fillId="0" borderId="35" xfId="1" applyNumberFormat="1" applyFont="1" applyBorder="1"/>
    <xf numFmtId="168" fontId="0" fillId="0" borderId="36" xfId="1" applyNumberFormat="1" applyFont="1" applyBorder="1"/>
    <xf numFmtId="168" fontId="0" fillId="14" borderId="35" xfId="1" applyNumberFormat="1" applyFont="1" applyFill="1" applyBorder="1"/>
    <xf numFmtId="168" fontId="0" fillId="14" borderId="36" xfId="1" applyNumberFormat="1" applyFont="1" applyFill="1" applyBorder="1"/>
    <xf numFmtId="168" fontId="0" fillId="15" borderId="37" xfId="1" applyNumberFormat="1" applyFont="1" applyFill="1" applyBorder="1" applyAlignment="1">
      <alignment horizontal="center"/>
    </xf>
    <xf numFmtId="168" fontId="0" fillId="0" borderId="37" xfId="1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7" xfId="0" applyFont="1" applyBorder="1" applyAlignment="1">
      <alignment horizontal="center"/>
    </xf>
    <xf numFmtId="0" fontId="24" fillId="13" borderId="28" xfId="0" applyFont="1" applyFill="1" applyBorder="1" applyAlignment="1">
      <alignment horizontal="center" vertical="center" wrapText="1" readingOrder="1"/>
    </xf>
    <xf numFmtId="0" fontId="24" fillId="13" borderId="0" xfId="0" applyFont="1" applyFill="1" applyAlignment="1">
      <alignment horizontal="center" vertical="center" wrapText="1" readingOrder="1"/>
    </xf>
    <xf numFmtId="0" fontId="6" fillId="3" borderId="4" xfId="4" applyFont="1" applyFill="1" applyBorder="1" applyAlignment="1">
      <alignment horizontal="center" wrapText="1"/>
    </xf>
    <xf numFmtId="0" fontId="6" fillId="11" borderId="8" xfId="4" applyFont="1" applyFill="1" applyBorder="1" applyAlignment="1">
      <alignment horizontal="center" vertical="center" wrapText="1"/>
    </xf>
    <xf numFmtId="0" fontId="6" fillId="11" borderId="7" xfId="4" applyFont="1" applyFill="1" applyBorder="1" applyAlignment="1">
      <alignment horizontal="center" vertical="center" wrapText="1"/>
    </xf>
    <xf numFmtId="0" fontId="6" fillId="11" borderId="9" xfId="4" applyFont="1" applyFill="1" applyBorder="1" applyAlignment="1">
      <alignment horizontal="center" vertical="center" wrapText="1"/>
    </xf>
    <xf numFmtId="0" fontId="6" fillId="3" borderId="4" xfId="4" applyFont="1" applyFill="1" applyBorder="1" applyAlignment="1">
      <alignment horizontal="center" vertical="center" wrapText="1"/>
    </xf>
    <xf numFmtId="0" fontId="6" fillId="10" borderId="8" xfId="4" applyFont="1" applyFill="1" applyBorder="1" applyAlignment="1">
      <alignment horizontal="center" vertical="center" wrapText="1"/>
    </xf>
    <xf numFmtId="0" fontId="6" fillId="10" borderId="7" xfId="4" applyFont="1" applyFill="1" applyBorder="1" applyAlignment="1">
      <alignment horizontal="center" vertical="center" wrapText="1"/>
    </xf>
    <xf numFmtId="0" fontId="6" fillId="10" borderId="9" xfId="4" applyFont="1" applyFill="1" applyBorder="1" applyAlignment="1">
      <alignment horizontal="center" vertical="center" wrapText="1"/>
    </xf>
    <xf numFmtId="0" fontId="6" fillId="12" borderId="8" xfId="4" applyFont="1" applyFill="1" applyBorder="1" applyAlignment="1">
      <alignment horizontal="center" wrapText="1"/>
    </xf>
    <xf numFmtId="0" fontId="6" fillId="12" borderId="7" xfId="4" applyFont="1" applyFill="1" applyBorder="1" applyAlignment="1">
      <alignment horizontal="center" wrapText="1"/>
    </xf>
    <xf numFmtId="0" fontId="6" fillId="12" borderId="9" xfId="4" applyFont="1" applyFill="1" applyBorder="1" applyAlignment="1">
      <alignment horizontal="center" wrapText="1"/>
    </xf>
    <xf numFmtId="0" fontId="9" fillId="0" borderId="0" xfId="4" applyFont="1" applyAlignment="1">
      <alignment horizontal="center"/>
    </xf>
    <xf numFmtId="0" fontId="8" fillId="0" borderId="7" xfId="4" applyFont="1" applyBorder="1" applyAlignment="1">
      <alignment horizontal="center"/>
    </xf>
    <xf numFmtId="0" fontId="8" fillId="0" borderId="0" xfId="4" applyFont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6" fillId="7" borderId="8" xfId="4" applyFont="1" applyFill="1" applyBorder="1" applyAlignment="1">
      <alignment horizontal="center" wrapText="1"/>
    </xf>
    <xf numFmtId="0" fontId="6" fillId="7" borderId="7" xfId="4" applyFont="1" applyFill="1" applyBorder="1" applyAlignment="1">
      <alignment horizontal="center" wrapText="1"/>
    </xf>
    <xf numFmtId="0" fontId="6" fillId="7" borderId="9" xfId="4" applyFont="1" applyFill="1" applyBorder="1" applyAlignment="1">
      <alignment horizontal="center" wrapText="1"/>
    </xf>
    <xf numFmtId="0" fontId="6" fillId="5" borderId="8" xfId="4" applyFont="1" applyFill="1" applyBorder="1" applyAlignment="1">
      <alignment horizontal="center" wrapText="1"/>
    </xf>
    <xf numFmtId="0" fontId="6" fillId="5" borderId="7" xfId="4" applyFont="1" applyFill="1" applyBorder="1" applyAlignment="1">
      <alignment horizontal="center" wrapText="1"/>
    </xf>
    <xf numFmtId="0" fontId="6" fillId="5" borderId="9" xfId="4" applyFont="1" applyFill="1" applyBorder="1" applyAlignment="1">
      <alignment horizontal="center" wrapText="1"/>
    </xf>
    <xf numFmtId="0" fontId="6" fillId="4" borderId="4" xfId="4" applyFont="1" applyFill="1" applyBorder="1" applyAlignment="1">
      <alignment horizontal="center" wrapText="1"/>
    </xf>
    <xf numFmtId="0" fontId="6" fillId="3" borderId="4" xfId="4" applyFont="1" applyFill="1" applyBorder="1" applyAlignment="1">
      <alignment horizontal="center" vertical="center"/>
    </xf>
    <xf numFmtId="0" fontId="6" fillId="8" borderId="8" xfId="4" applyFont="1" applyFill="1" applyBorder="1" applyAlignment="1">
      <alignment horizontal="center" wrapText="1"/>
    </xf>
    <xf numFmtId="0" fontId="6" fillId="8" borderId="7" xfId="4" applyFont="1" applyFill="1" applyBorder="1" applyAlignment="1">
      <alignment horizontal="center" wrapText="1"/>
    </xf>
    <xf numFmtId="0" fontId="6" fillId="8" borderId="9" xfId="4" applyFont="1" applyFill="1" applyBorder="1" applyAlignment="1">
      <alignment horizontal="center" wrapText="1"/>
    </xf>
    <xf numFmtId="0" fontId="8" fillId="0" borderId="10" xfId="4" applyFont="1" applyBorder="1" applyAlignment="1">
      <alignment horizontal="center"/>
    </xf>
    <xf numFmtId="0" fontId="6" fillId="4" borderId="4" xfId="4" applyFont="1" applyFill="1" applyBorder="1" applyAlignment="1">
      <alignment horizontal="center" vertical="center" wrapText="1"/>
    </xf>
    <xf numFmtId="0" fontId="6" fillId="4" borderId="8" xfId="4" applyFont="1" applyFill="1" applyBorder="1" applyAlignment="1">
      <alignment horizontal="center" wrapText="1"/>
    </xf>
    <xf numFmtId="0" fontId="6" fillId="4" borderId="7" xfId="4" applyFont="1" applyFill="1" applyBorder="1" applyAlignment="1">
      <alignment horizontal="center" wrapText="1"/>
    </xf>
    <xf numFmtId="0" fontId="6" fillId="4" borderId="9" xfId="4" applyFont="1" applyFill="1" applyBorder="1" applyAlignment="1">
      <alignment horizontal="center" wrapText="1"/>
    </xf>
    <xf numFmtId="0" fontId="6" fillId="4" borderId="4" xfId="4" applyFont="1" applyFill="1" applyBorder="1" applyAlignment="1">
      <alignment horizontal="center" vertical="center"/>
    </xf>
    <xf numFmtId="0" fontId="6" fillId="4" borderId="4" xfId="4" applyFont="1" applyFill="1" applyBorder="1" applyAlignment="1">
      <alignment horizontal="center"/>
    </xf>
    <xf numFmtId="0" fontId="6" fillId="3" borderId="8" xfId="4" applyFont="1" applyFill="1" applyBorder="1" applyAlignment="1">
      <alignment horizontal="center" wrapText="1"/>
    </xf>
    <xf numFmtId="0" fontId="6" fillId="3" borderId="7" xfId="4" applyFont="1" applyFill="1" applyBorder="1" applyAlignment="1">
      <alignment horizontal="center" wrapText="1"/>
    </xf>
    <xf numFmtId="0" fontId="6" fillId="3" borderId="9" xfId="4" applyFont="1" applyFill="1" applyBorder="1" applyAlignment="1">
      <alignment horizontal="center" wrapText="1"/>
    </xf>
  </cellXfs>
  <cellStyles count="7">
    <cellStyle name="Comma" xfId="1" builtinId="3"/>
    <cellStyle name="Comma [0] 2" xfId="5" xr:uid="{00000000-0005-0000-0000-000001000000}"/>
    <cellStyle name="Normal" xfId="0" builtinId="0"/>
    <cellStyle name="Normal 2" xfId="4" xr:uid="{00000000-0005-0000-0000-000003000000}"/>
    <cellStyle name="Normal 9" xfId="3" xr:uid="{00000000-0005-0000-0000-000004000000}"/>
    <cellStyle name="Percent" xfId="2" builtinId="5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6</xdr:row>
      <xdr:rowOff>12700</xdr:rowOff>
    </xdr:from>
    <xdr:to>
      <xdr:col>1</xdr:col>
      <xdr:colOff>635000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 rot="16200000">
          <a:off x="-2643188" y="4494213"/>
          <a:ext cx="7807325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500" b="1">
              <a:solidFill>
                <a:srgbClr val="000090"/>
              </a:solidFill>
              <a:latin typeface="Arial"/>
              <a:cs typeface="Arial"/>
            </a:rPr>
            <a:t>Báo cáo kết quả kinh doanh (Income Staetment)</a:t>
          </a:r>
        </a:p>
        <a:p>
          <a:pPr algn="ctr"/>
          <a:endParaRPr lang="en-US" sz="1500" b="1">
            <a:solidFill>
              <a:srgbClr val="00009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215900</xdr:colOff>
      <xdr:row>43</xdr:row>
      <xdr:rowOff>12700</xdr:rowOff>
    </xdr:from>
    <xdr:to>
      <xdr:col>1</xdr:col>
      <xdr:colOff>622300</xdr:colOff>
      <xdr:row>62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 rot="16200000">
          <a:off x="-1022350" y="11442700"/>
          <a:ext cx="454025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500" b="1">
              <a:solidFill>
                <a:srgbClr val="800000"/>
              </a:solidFill>
              <a:latin typeface="Arial"/>
              <a:cs typeface="Arial"/>
            </a:rPr>
            <a:t>Bảng cân đối kế toán  (Balance Sheet)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499984740745262"/>
  </sheetPr>
  <dimension ref="A1:H32"/>
  <sheetViews>
    <sheetView showGridLines="0" topLeftCell="A4" zoomScale="110" zoomScaleNormal="110" workbookViewId="0">
      <selection activeCell="C10" sqref="C10"/>
    </sheetView>
  </sheetViews>
  <sheetFormatPr defaultColWidth="9" defaultRowHeight="12.45" x14ac:dyDescent="0.3"/>
  <cols>
    <col min="1" max="1" width="45" style="36" customWidth="1"/>
    <col min="2" max="5" width="21.85546875" style="36" bestFit="1" customWidth="1"/>
    <col min="6" max="8" width="0" style="36" hidden="1" customWidth="1"/>
    <col min="9" max="16384" width="9" style="36"/>
  </cols>
  <sheetData>
    <row r="1" spans="1:8" ht="18" x14ac:dyDescent="0.45">
      <c r="A1" s="35"/>
    </row>
    <row r="2" spans="1:8" ht="20.149999999999999" x14ac:dyDescent="0.5">
      <c r="A2" s="37" t="s">
        <v>153</v>
      </c>
    </row>
    <row r="3" spans="1:8" ht="20.149999999999999" customHeight="1" x14ac:dyDescent="0.3">
      <c r="A3" s="126" t="s">
        <v>154</v>
      </c>
      <c r="B3" s="126"/>
      <c r="C3" s="126"/>
      <c r="D3" s="126"/>
      <c r="E3" s="126"/>
    </row>
    <row r="4" spans="1:8" ht="13" customHeight="1" x14ac:dyDescent="0.3">
      <c r="A4" s="127"/>
      <c r="B4" s="127"/>
      <c r="C4" s="127"/>
      <c r="D4" s="127"/>
      <c r="E4" s="127"/>
    </row>
    <row r="5" spans="1:8" s="113" customFormat="1" ht="30" customHeight="1" x14ac:dyDescent="0.35">
      <c r="A5" s="114"/>
      <c r="B5" s="115" t="s">
        <v>0</v>
      </c>
      <c r="C5" s="115" t="s">
        <v>150</v>
      </c>
      <c r="D5" s="115" t="s">
        <v>149</v>
      </c>
      <c r="E5" s="116">
        <v>45291</v>
      </c>
      <c r="H5" s="117"/>
    </row>
    <row r="6" spans="1:8" ht="17.600000000000001" x14ac:dyDescent="0.3">
      <c r="A6" s="110" t="s">
        <v>1</v>
      </c>
      <c r="B6" s="111">
        <f>B7+B14</f>
        <v>6381321297882</v>
      </c>
      <c r="C6" s="111">
        <f t="shared" ref="C6:D6" si="0">C7+C14</f>
        <v>6624064539061</v>
      </c>
      <c r="D6" s="112">
        <f t="shared" si="0"/>
        <v>7444781926018</v>
      </c>
      <c r="E6" s="112">
        <f t="shared" ref="E6" si="1">E7+E14</f>
        <v>8451154114321</v>
      </c>
    </row>
    <row r="7" spans="1:8" ht="17.600000000000001" x14ac:dyDescent="0.3">
      <c r="A7" s="65" t="s">
        <v>2</v>
      </c>
      <c r="B7" s="81">
        <f>SUM(B8:B13)</f>
        <v>1885715356742</v>
      </c>
      <c r="C7" s="81">
        <f t="shared" ref="C7:D7" si="2">SUM(C8:C13)</f>
        <v>2581043452810</v>
      </c>
      <c r="D7" s="81">
        <f t="shared" si="2"/>
        <v>4556819822223</v>
      </c>
      <c r="E7" s="81">
        <f t="shared" ref="E7" si="3">SUM(E8:E13)</f>
        <v>4770230874635</v>
      </c>
    </row>
    <row r="8" spans="1:8" ht="15.45" x14ac:dyDescent="0.4">
      <c r="A8" s="64" t="s">
        <v>113</v>
      </c>
      <c r="B8" s="122">
        <v>1697957370</v>
      </c>
      <c r="C8" s="122">
        <v>987683860</v>
      </c>
      <c r="D8" s="122">
        <v>2268315808</v>
      </c>
      <c r="E8" s="123">
        <v>1152868962</v>
      </c>
      <c r="F8"/>
      <c r="G8"/>
    </row>
    <row r="9" spans="1:8" ht="15.45" x14ac:dyDescent="0.4">
      <c r="A9" s="64" t="s">
        <v>114</v>
      </c>
      <c r="B9" s="120">
        <v>60000000000</v>
      </c>
      <c r="C9" s="120"/>
      <c r="D9" s="120">
        <v>382030790416</v>
      </c>
      <c r="E9" s="121"/>
    </row>
    <row r="10" spans="1:8" ht="16.5" customHeight="1" x14ac:dyDescent="0.4">
      <c r="A10" s="64" t="s">
        <v>3</v>
      </c>
      <c r="B10" s="122">
        <v>490790416</v>
      </c>
      <c r="C10" s="122">
        <v>490790416</v>
      </c>
      <c r="D10" s="122">
        <v>949000000000</v>
      </c>
      <c r="E10" s="123">
        <v>2100390790416</v>
      </c>
    </row>
    <row r="11" spans="1:8" ht="15.45" x14ac:dyDescent="0.4">
      <c r="A11" s="64" t="s">
        <v>4</v>
      </c>
      <c r="B11" s="122">
        <v>1488929248565</v>
      </c>
      <c r="C11" s="122">
        <v>2230443563905</v>
      </c>
      <c r="D11" s="122">
        <v>2911381137249</v>
      </c>
      <c r="E11" s="123">
        <v>2325647847426</v>
      </c>
    </row>
    <row r="12" spans="1:8" ht="15.45" x14ac:dyDescent="0.4">
      <c r="A12" s="64" t="s">
        <v>5</v>
      </c>
      <c r="B12" s="120">
        <v>315079777011</v>
      </c>
      <c r="C12" s="120">
        <v>310903168809</v>
      </c>
      <c r="D12" s="120">
        <v>307450880976</v>
      </c>
      <c r="E12" s="121">
        <v>260356629556</v>
      </c>
    </row>
    <row r="13" spans="1:8" ht="15.45" x14ac:dyDescent="0.4">
      <c r="A13" s="64" t="s">
        <v>6</v>
      </c>
      <c r="B13" s="122">
        <v>19517583380</v>
      </c>
      <c r="C13" s="122">
        <v>38218245820</v>
      </c>
      <c r="D13" s="122">
        <v>4688697774</v>
      </c>
      <c r="E13" s="123">
        <v>82682738275</v>
      </c>
    </row>
    <row r="14" spans="1:8" ht="17.600000000000001" x14ac:dyDescent="0.3">
      <c r="A14" s="65" t="s">
        <v>7</v>
      </c>
      <c r="B14" s="81">
        <f>SUM(B15:B20)</f>
        <v>4495605941140</v>
      </c>
      <c r="C14" s="81">
        <f t="shared" ref="C14:D14" si="4">SUM(C15:C20)</f>
        <v>4043021086251</v>
      </c>
      <c r="D14" s="82">
        <f t="shared" si="4"/>
        <v>2887962103795</v>
      </c>
      <c r="E14" s="82">
        <f t="shared" ref="E14" si="5">SUM(E15:E20)</f>
        <v>3680923239686</v>
      </c>
    </row>
    <row r="15" spans="1:8" ht="19.5" customHeight="1" x14ac:dyDescent="0.35">
      <c r="A15" s="64" t="s">
        <v>8</v>
      </c>
      <c r="B15" s="79"/>
      <c r="C15" s="79"/>
      <c r="D15" s="80"/>
      <c r="E15" s="80"/>
    </row>
    <row r="16" spans="1:8" ht="15.45" x14ac:dyDescent="0.4">
      <c r="A16" s="64" t="s">
        <v>9</v>
      </c>
      <c r="B16" s="120">
        <v>4184373794728</v>
      </c>
      <c r="C16" s="120">
        <v>3496402100762</v>
      </c>
      <c r="D16" s="120">
        <v>2809051943256</v>
      </c>
      <c r="E16" s="121">
        <v>2125203861174</v>
      </c>
    </row>
    <row r="17" spans="1:5" ht="17.25" customHeight="1" x14ac:dyDescent="0.35">
      <c r="A17" s="64" t="s">
        <v>10</v>
      </c>
      <c r="B17" s="79"/>
      <c r="C17" s="79"/>
      <c r="D17" s="80"/>
      <c r="E17" s="80"/>
    </row>
    <row r="18" spans="1:5" ht="21" customHeight="1" x14ac:dyDescent="0.35">
      <c r="A18" s="64" t="s">
        <v>11</v>
      </c>
      <c r="B18" s="79"/>
      <c r="C18" s="79"/>
      <c r="D18" s="80"/>
      <c r="E18" s="80"/>
    </row>
    <row r="19" spans="1:5" ht="17.25" customHeight="1" x14ac:dyDescent="0.4">
      <c r="A19" s="64" t="s">
        <v>12</v>
      </c>
      <c r="B19" s="120">
        <v>311232146412</v>
      </c>
      <c r="C19" s="120">
        <v>545532621853</v>
      </c>
      <c r="D19" s="120">
        <v>78910160539</v>
      </c>
      <c r="E19" s="121">
        <v>1555719378512</v>
      </c>
    </row>
    <row r="20" spans="1:5" ht="16.5" customHeight="1" x14ac:dyDescent="0.4">
      <c r="A20" s="64" t="s">
        <v>99</v>
      </c>
      <c r="B20" s="79"/>
      <c r="C20" s="122">
        <v>1086363636</v>
      </c>
      <c r="D20" s="80"/>
      <c r="E20" s="80"/>
    </row>
    <row r="21" spans="1:5" ht="17.600000000000001" x14ac:dyDescent="0.3">
      <c r="A21" s="66" t="s">
        <v>13</v>
      </c>
      <c r="B21" s="81">
        <f>SUM(B22,B29)</f>
        <v>6381321297882</v>
      </c>
      <c r="C21" s="81">
        <f>SUM(C22,C29)</f>
        <v>6624064539061</v>
      </c>
      <c r="D21" s="82">
        <f>SUM(D22,D29)</f>
        <v>7444781926018</v>
      </c>
      <c r="E21" s="82">
        <f>SUM(E22,E29)</f>
        <v>8451154114321</v>
      </c>
    </row>
    <row r="22" spans="1:5" ht="17.600000000000001" x14ac:dyDescent="0.3">
      <c r="A22" s="65" t="s">
        <v>14</v>
      </c>
      <c r="B22" s="81">
        <f>B23+B26</f>
        <v>2083784580432</v>
      </c>
      <c r="C22" s="81">
        <f>C23+C26</f>
        <v>2390490806571</v>
      </c>
      <c r="D22" s="82">
        <f>D23+D26</f>
        <v>2830940225213</v>
      </c>
      <c r="E22" s="82">
        <f>E23+E26</f>
        <v>4115304743990</v>
      </c>
    </row>
    <row r="23" spans="1:5" ht="15.45" x14ac:dyDescent="0.4">
      <c r="A23" s="64" t="s">
        <v>15</v>
      </c>
      <c r="B23" s="122">
        <v>2083242736828</v>
      </c>
      <c r="C23" s="122">
        <v>2390490806571</v>
      </c>
      <c r="D23" s="122">
        <v>2830940225213</v>
      </c>
      <c r="E23" s="123">
        <v>4115304743990</v>
      </c>
    </row>
    <row r="24" spans="1:5" ht="15.45" x14ac:dyDescent="0.4">
      <c r="A24" s="64" t="s">
        <v>104</v>
      </c>
      <c r="B24" s="120">
        <v>396509894745</v>
      </c>
      <c r="C24" s="120">
        <v>1033853824057</v>
      </c>
      <c r="D24" s="120">
        <v>769502112050</v>
      </c>
      <c r="E24" s="121">
        <v>1679947439742</v>
      </c>
    </row>
    <row r="25" spans="1:5" ht="15.45" x14ac:dyDescent="0.4">
      <c r="A25" s="64" t="s">
        <v>105</v>
      </c>
      <c r="B25" s="122">
        <v>774860797703</v>
      </c>
      <c r="C25" s="122">
        <v>210000000000</v>
      </c>
      <c r="D25" s="122">
        <v>630506983034</v>
      </c>
      <c r="E25" s="123">
        <v>1200000000000</v>
      </c>
    </row>
    <row r="26" spans="1:5" ht="15.45" x14ac:dyDescent="0.4">
      <c r="A26" s="64" t="s">
        <v>67</v>
      </c>
      <c r="B26" s="120">
        <v>541843604</v>
      </c>
      <c r="C26" s="79"/>
      <c r="D26" s="80"/>
      <c r="E26" s="80"/>
    </row>
    <row r="27" spans="1:5" ht="15" x14ac:dyDescent="0.35">
      <c r="A27" s="64" t="s">
        <v>106</v>
      </c>
      <c r="B27" s="79"/>
      <c r="C27" s="79"/>
      <c r="D27" s="80"/>
      <c r="E27" s="80"/>
    </row>
    <row r="28" spans="1:5" ht="15" x14ac:dyDescent="0.35">
      <c r="A28" s="64" t="s">
        <v>107</v>
      </c>
      <c r="B28" s="79"/>
      <c r="C28" s="79"/>
      <c r="D28" s="80"/>
      <c r="E28" s="80"/>
    </row>
    <row r="29" spans="1:5" ht="17.600000000000001" x14ac:dyDescent="0.3">
      <c r="A29" s="65" t="s">
        <v>16</v>
      </c>
      <c r="B29" s="81">
        <f>SUM(B30:B32)</f>
        <v>4297536717450</v>
      </c>
      <c r="C29" s="81">
        <f t="shared" ref="C29:D29" si="6">SUM(C30:C32)</f>
        <v>4233573732490</v>
      </c>
      <c r="D29" s="82">
        <f t="shared" si="6"/>
        <v>4613841700805</v>
      </c>
      <c r="E29" s="82">
        <f t="shared" ref="E29" si="7">SUM(E30:E32)</f>
        <v>4335849370331</v>
      </c>
    </row>
    <row r="30" spans="1:5" ht="15.45" x14ac:dyDescent="0.4">
      <c r="A30" s="64" t="s">
        <v>17</v>
      </c>
      <c r="B30" s="120">
        <v>4297536717450</v>
      </c>
      <c r="C30" s="120">
        <v>4233573732490</v>
      </c>
      <c r="D30" s="120">
        <v>4613841700805</v>
      </c>
      <c r="E30" s="121">
        <v>4335849370331</v>
      </c>
    </row>
    <row r="31" spans="1:5" ht="15" x14ac:dyDescent="0.3">
      <c r="A31" s="64"/>
      <c r="B31" s="83"/>
      <c r="C31" s="83"/>
      <c r="D31" s="84"/>
      <c r="E31" s="84"/>
    </row>
    <row r="32" spans="1:5" ht="12.75" customHeight="1" x14ac:dyDescent="0.3">
      <c r="A32" s="67"/>
      <c r="B32" s="85"/>
      <c r="C32" s="85"/>
      <c r="D32" s="86"/>
      <c r="E32" s="86"/>
    </row>
  </sheetData>
  <mergeCells count="1">
    <mergeCell ref="A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499984740745262"/>
  </sheetPr>
  <dimension ref="A1:E36"/>
  <sheetViews>
    <sheetView showGridLines="0" topLeftCell="A7" zoomScale="110" zoomScaleNormal="110" workbookViewId="0">
      <selection activeCell="A15" sqref="A15"/>
    </sheetView>
  </sheetViews>
  <sheetFormatPr defaultColWidth="8.85546875" defaultRowHeight="15" x14ac:dyDescent="0.35"/>
  <cols>
    <col min="1" max="1" width="67" style="38" customWidth="1"/>
    <col min="2" max="3" width="19.7109375" style="38" bestFit="1" customWidth="1"/>
    <col min="4" max="4" width="21.85546875" style="38" bestFit="1" customWidth="1"/>
    <col min="5" max="5" width="19.7109375" style="38" bestFit="1" customWidth="1"/>
    <col min="6" max="16384" width="8.85546875" style="38"/>
  </cols>
  <sheetData>
    <row r="1" spans="1:5" ht="18" x14ac:dyDescent="0.45">
      <c r="A1" s="35"/>
    </row>
    <row r="2" spans="1:5" ht="20.149999999999999" x14ac:dyDescent="0.5">
      <c r="A2" s="37" t="s">
        <v>148</v>
      </c>
    </row>
    <row r="3" spans="1:5" x14ac:dyDescent="0.35">
      <c r="D3" s="87"/>
      <c r="E3" s="87" t="s">
        <v>125</v>
      </c>
    </row>
    <row r="4" spans="1:5" s="109" customFormat="1" ht="24.75" customHeight="1" x14ac:dyDescent="0.35">
      <c r="A4" s="128" t="s">
        <v>69</v>
      </c>
      <c r="B4" s="129"/>
      <c r="C4" s="129"/>
      <c r="D4" s="129"/>
      <c r="E4" s="129"/>
    </row>
    <row r="5" spans="1:5" s="109" customFormat="1" ht="19" customHeight="1" x14ac:dyDescent="0.35">
      <c r="A5" s="118"/>
      <c r="B5" s="119" t="s">
        <v>18</v>
      </c>
      <c r="C5" s="119" t="s">
        <v>133</v>
      </c>
      <c r="D5" s="119" t="s">
        <v>151</v>
      </c>
      <c r="E5" s="119" t="s">
        <v>152</v>
      </c>
    </row>
    <row r="6" spans="1:5" ht="15.45" x14ac:dyDescent="0.4">
      <c r="A6" s="91" t="s">
        <v>19</v>
      </c>
      <c r="B6" s="124">
        <v>6082248450836</v>
      </c>
      <c r="C6" s="124">
        <v>6149583588676</v>
      </c>
      <c r="D6" s="124">
        <v>8787691488678</v>
      </c>
      <c r="E6" s="124">
        <v>6385884555364</v>
      </c>
    </row>
    <row r="7" spans="1:5" s="87" customFormat="1" x14ac:dyDescent="0.35">
      <c r="A7" s="100" t="s">
        <v>139</v>
      </c>
      <c r="B7" s="101"/>
      <c r="C7" s="102">
        <f>C6/B6</f>
        <v>1.0110707641071033</v>
      </c>
      <c r="D7" s="102">
        <f>D6/C6</f>
        <v>1.4289896806768965</v>
      </c>
      <c r="E7" s="102">
        <f>E6/D6</f>
        <v>0.72668510991669755</v>
      </c>
    </row>
    <row r="8" spans="1:5" ht="15.45" x14ac:dyDescent="0.4">
      <c r="A8" s="91" t="s">
        <v>20</v>
      </c>
      <c r="B8" s="125">
        <v>5187476411014</v>
      </c>
      <c r="C8" s="125">
        <v>5473777912569</v>
      </c>
      <c r="D8" s="125">
        <v>7706165650920</v>
      </c>
      <c r="E8" s="125">
        <v>5875592170662</v>
      </c>
    </row>
    <row r="9" spans="1:5" ht="17.600000000000001" x14ac:dyDescent="0.35">
      <c r="A9" s="93" t="s">
        <v>21</v>
      </c>
      <c r="B9" s="94">
        <f>B6-B8</f>
        <v>894772039822</v>
      </c>
      <c r="C9" s="94">
        <f>C6-C8</f>
        <v>675805676107</v>
      </c>
      <c r="D9" s="94">
        <f t="shared" ref="D9:E9" si="0">D6-D8</f>
        <v>1081525837758</v>
      </c>
      <c r="E9" s="94">
        <f t="shared" si="0"/>
        <v>510292384702</v>
      </c>
    </row>
    <row r="10" spans="1:5" s="87" customFormat="1" x14ac:dyDescent="0.35">
      <c r="A10" s="100" t="s">
        <v>143</v>
      </c>
      <c r="B10" s="102">
        <f>B9/B6</f>
        <v>0.14711205026473628</v>
      </c>
      <c r="C10" s="102">
        <f t="shared" ref="C10:E10" si="1">C9/C6</f>
        <v>0.10989454267301055</v>
      </c>
      <c r="D10" s="102">
        <f t="shared" si="1"/>
        <v>0.12307280463264218</v>
      </c>
      <c r="E10" s="102">
        <f t="shared" si="1"/>
        <v>7.9909428408530478E-2</v>
      </c>
    </row>
    <row r="11" spans="1:5" ht="15.45" x14ac:dyDescent="0.4">
      <c r="A11" s="91" t="s">
        <v>22</v>
      </c>
      <c r="B11" s="125">
        <v>17594408071</v>
      </c>
      <c r="C11" s="125">
        <v>17716011154</v>
      </c>
      <c r="D11" s="125">
        <v>24405784641</v>
      </c>
      <c r="E11" s="125">
        <v>106841300898</v>
      </c>
    </row>
    <row r="12" spans="1:5" ht="15.45" x14ac:dyDescent="0.4">
      <c r="A12" s="91" t="s">
        <v>23</v>
      </c>
      <c r="B12" s="124">
        <v>160233917776</v>
      </c>
      <c r="C12" s="124">
        <v>51989189737</v>
      </c>
      <c r="D12" s="124">
        <v>17755544469</v>
      </c>
      <c r="E12" s="124">
        <v>34455263465</v>
      </c>
    </row>
    <row r="13" spans="1:5" ht="15.45" x14ac:dyDescent="0.4">
      <c r="A13" s="95" t="s">
        <v>96</v>
      </c>
      <c r="B13" s="125">
        <v>38281983336</v>
      </c>
      <c r="C13" s="125">
        <v>20346250458</v>
      </c>
      <c r="D13" s="125">
        <v>15366963526</v>
      </c>
      <c r="E13" s="125">
        <v>33843493151</v>
      </c>
    </row>
    <row r="14" spans="1:5" x14ac:dyDescent="0.35">
      <c r="A14" s="91" t="s">
        <v>24</v>
      </c>
      <c r="B14" s="92"/>
      <c r="C14" s="92"/>
      <c r="D14" s="92"/>
      <c r="E14" s="92"/>
    </row>
    <row r="15" spans="1:5" x14ac:dyDescent="0.35">
      <c r="A15" s="100" t="s">
        <v>140</v>
      </c>
      <c r="B15" s="103">
        <f>B14/B6</f>
        <v>0</v>
      </c>
      <c r="C15" s="103">
        <f t="shared" ref="C15:E15" si="2">C14/C6</f>
        <v>0</v>
      </c>
      <c r="D15" s="103">
        <f t="shared" si="2"/>
        <v>0</v>
      </c>
      <c r="E15" s="103">
        <f t="shared" si="2"/>
        <v>0</v>
      </c>
    </row>
    <row r="16" spans="1:5" ht="15.45" x14ac:dyDescent="0.4">
      <c r="A16" s="91" t="s">
        <v>25</v>
      </c>
      <c r="B16" s="124">
        <v>85017088157</v>
      </c>
      <c r="C16" s="124">
        <v>82922197505</v>
      </c>
      <c r="D16" s="124">
        <v>131432911182</v>
      </c>
      <c r="E16" s="124">
        <v>69002598374</v>
      </c>
    </row>
    <row r="17" spans="1:5" x14ac:dyDescent="0.35">
      <c r="A17" s="100" t="s">
        <v>141</v>
      </c>
      <c r="B17" s="103">
        <f>B16/B6</f>
        <v>1.3977904527282911E-2</v>
      </c>
      <c r="C17" s="103">
        <f t="shared" ref="C17:E17" si="3">C16/C6</f>
        <v>1.3484197150794901E-2</v>
      </c>
      <c r="D17" s="103">
        <f t="shared" si="3"/>
        <v>1.4956477631393551E-2</v>
      </c>
      <c r="E17" s="103">
        <f t="shared" si="3"/>
        <v>1.0805487912561676E-2</v>
      </c>
    </row>
    <row r="18" spans="1:5" x14ac:dyDescent="0.35">
      <c r="A18" s="91" t="s">
        <v>100</v>
      </c>
      <c r="B18" s="92">
        <v>0</v>
      </c>
      <c r="C18" s="92"/>
      <c r="D18" s="92"/>
      <c r="E18" s="92">
        <v>0</v>
      </c>
    </row>
    <row r="19" spans="1:5" ht="17.600000000000001" x14ac:dyDescent="0.35">
      <c r="A19" s="93" t="s">
        <v>26</v>
      </c>
      <c r="B19" s="94">
        <f>SUM(B9,B11)-B12-B14-B16+B18</f>
        <v>667115441960</v>
      </c>
      <c r="C19" s="94">
        <f>SUM(C9:C11)-C12-C14-C16+C18</f>
        <v>558610300019.10986</v>
      </c>
      <c r="D19" s="94">
        <f>SUM(D9:D11)-D12-D14-D16+D18</f>
        <v>956743166748.12305</v>
      </c>
      <c r="E19" s="94">
        <f>SUM(E9:E11)-E12-E14-E16+E18</f>
        <v>513675823761.07983</v>
      </c>
    </row>
    <row r="20" spans="1:5" ht="15.45" x14ac:dyDescent="0.4">
      <c r="A20" s="91" t="s">
        <v>27</v>
      </c>
      <c r="B20" s="124">
        <v>702288879</v>
      </c>
      <c r="C20" s="124">
        <v>8273870009</v>
      </c>
      <c r="D20" s="124">
        <v>1150680338</v>
      </c>
      <c r="E20" s="124">
        <v>2368694341</v>
      </c>
    </row>
    <row r="21" spans="1:5" ht="15.45" x14ac:dyDescent="0.4">
      <c r="A21" s="91" t="s">
        <v>28</v>
      </c>
      <c r="B21" s="125">
        <v>4542053890</v>
      </c>
      <c r="C21" s="125">
        <v>1044681124</v>
      </c>
      <c r="D21" s="125">
        <v>14857978474</v>
      </c>
      <c r="E21" s="125">
        <v>2442898182</v>
      </c>
    </row>
    <row r="22" spans="1:5" ht="17.600000000000001" x14ac:dyDescent="0.35">
      <c r="A22" s="93" t="s">
        <v>29</v>
      </c>
      <c r="B22" s="94">
        <f>B20-B21</f>
        <v>-3839765011</v>
      </c>
      <c r="C22" s="94">
        <f t="shared" ref="C22:D22" si="4">C20-C21</f>
        <v>7229188885</v>
      </c>
      <c r="D22" s="94">
        <f t="shared" si="4"/>
        <v>-13707298136</v>
      </c>
      <c r="E22" s="94">
        <f t="shared" ref="E22" si="5">E20-E21</f>
        <v>-74203841</v>
      </c>
    </row>
    <row r="23" spans="1:5" ht="17.600000000000001" x14ac:dyDescent="0.35">
      <c r="A23" s="93" t="s">
        <v>30</v>
      </c>
      <c r="B23" s="94">
        <f>B19+B22</f>
        <v>663275676949</v>
      </c>
      <c r="C23" s="94">
        <f t="shared" ref="C23" si="6">C19+C22</f>
        <v>565839488904.10986</v>
      </c>
      <c r="D23" s="94">
        <f>D19+D22</f>
        <v>943035868612.12305</v>
      </c>
      <c r="E23" s="94">
        <f>E19+E22</f>
        <v>513601619920.07983</v>
      </c>
    </row>
    <row r="24" spans="1:5" x14ac:dyDescent="0.35">
      <c r="A24" s="100" t="s">
        <v>142</v>
      </c>
      <c r="B24" s="103">
        <f>B23/B6</f>
        <v>0.10905106595207129</v>
      </c>
      <c r="C24" s="103">
        <f t="shared" ref="C24:E24" si="7">C23/C6</f>
        <v>9.2012651059180842E-2</v>
      </c>
      <c r="D24" s="103">
        <f t="shared" si="7"/>
        <v>0.10731326535838495</v>
      </c>
      <c r="E24" s="103">
        <f t="shared" si="7"/>
        <v>8.0427639345384966E-2</v>
      </c>
    </row>
    <row r="25" spans="1:5" ht="23.25" customHeight="1" x14ac:dyDescent="0.35">
      <c r="A25" s="93" t="s">
        <v>131</v>
      </c>
      <c r="B25" s="94">
        <f>B23+B13</f>
        <v>701557660285</v>
      </c>
      <c r="C25" s="94">
        <f t="shared" ref="C25:D25" si="8">C23+C13</f>
        <v>586185739362.10986</v>
      </c>
      <c r="D25" s="94">
        <f t="shared" si="8"/>
        <v>958402832138.12305</v>
      </c>
      <c r="E25" s="94">
        <f t="shared" ref="E25" si="9">E23+E13</f>
        <v>547445113071.07983</v>
      </c>
    </row>
    <row r="26" spans="1:5" x14ac:dyDescent="0.35">
      <c r="A26" s="91" t="s">
        <v>120</v>
      </c>
      <c r="B26" s="96"/>
      <c r="C26" s="96"/>
      <c r="D26" s="96"/>
      <c r="E26" s="96"/>
    </row>
    <row r="27" spans="1:5" ht="35.15" x14ac:dyDescent="0.35">
      <c r="A27" s="93" t="s">
        <v>132</v>
      </c>
      <c r="B27" s="94">
        <f>B25+B26</f>
        <v>701557660285</v>
      </c>
      <c r="C27" s="94">
        <f>C25+C26</f>
        <v>586185739362.10986</v>
      </c>
      <c r="D27" s="94">
        <f>D25+D26</f>
        <v>958402832138.12305</v>
      </c>
      <c r="E27" s="94">
        <f>E25+E26</f>
        <v>547445113071.07983</v>
      </c>
    </row>
    <row r="28" spans="1:5" ht="15.45" x14ac:dyDescent="0.4">
      <c r="A28" s="91" t="s">
        <v>31</v>
      </c>
      <c r="B28" s="124">
        <v>37988998396</v>
      </c>
      <c r="C28" s="124">
        <v>42748128938</v>
      </c>
      <c r="D28" s="124">
        <v>45026253993</v>
      </c>
      <c r="E28" s="124">
        <v>40524877894</v>
      </c>
    </row>
    <row r="29" spans="1:5" ht="15.45" x14ac:dyDescent="0.4">
      <c r="A29" s="91" t="s">
        <v>32</v>
      </c>
      <c r="B29" s="125">
        <v>42559791</v>
      </c>
      <c r="C29" s="125">
        <v>-10697713074</v>
      </c>
      <c r="D29" s="125">
        <v>14592198454</v>
      </c>
      <c r="E29" s="125"/>
    </row>
    <row r="30" spans="1:5" ht="15.45" x14ac:dyDescent="0.4">
      <c r="A30" s="104" t="s">
        <v>101</v>
      </c>
      <c r="B30" s="105">
        <f>B23-SUM(B28:B29)</f>
        <v>625244118762</v>
      </c>
      <c r="C30" s="105">
        <f>C23-SUM(C28:C29)</f>
        <v>533789073040.10986</v>
      </c>
      <c r="D30" s="105">
        <f>D23-SUM(D28:D29)</f>
        <v>883417416165.12305</v>
      </c>
      <c r="E30" s="105">
        <f>E23-SUM(E28:E29)</f>
        <v>473076742026.07983</v>
      </c>
    </row>
    <row r="31" spans="1:5" x14ac:dyDescent="0.35">
      <c r="A31" s="100" t="s">
        <v>144</v>
      </c>
      <c r="B31" s="103">
        <f>B30/B6</f>
        <v>0.10279818784384921</v>
      </c>
      <c r="C31" s="103">
        <f t="shared" ref="C31:E31" si="10">C30/C6</f>
        <v>8.6800848438428044E-2</v>
      </c>
      <c r="D31" s="103">
        <f t="shared" si="10"/>
        <v>0.10052895203516325</v>
      </c>
      <c r="E31" s="103">
        <f t="shared" si="10"/>
        <v>7.4081630810050578E-2</v>
      </c>
    </row>
    <row r="32" spans="1:5" x14ac:dyDescent="0.35">
      <c r="A32" s="91" t="s">
        <v>102</v>
      </c>
      <c r="B32" s="92"/>
      <c r="C32" s="92"/>
      <c r="D32" s="92"/>
      <c r="E32" s="92"/>
    </row>
    <row r="33" spans="1:5" ht="17.600000000000001" x14ac:dyDescent="0.35">
      <c r="A33" s="97" t="s">
        <v>103</v>
      </c>
      <c r="B33" s="98">
        <f>B30-B32</f>
        <v>625244118762</v>
      </c>
      <c r="C33" s="98">
        <f t="shared" ref="C33:D33" si="11">C30-C32</f>
        <v>533789073040.10986</v>
      </c>
      <c r="D33" s="98">
        <f t="shared" si="11"/>
        <v>883417416165.12305</v>
      </c>
      <c r="E33" s="98">
        <f t="shared" ref="E33" si="12">E30-E32</f>
        <v>473076742026.07983</v>
      </c>
    </row>
    <row r="34" spans="1:5" x14ac:dyDescent="0.35">
      <c r="A34" s="100" t="s">
        <v>146</v>
      </c>
      <c r="B34" s="101"/>
      <c r="C34" s="102">
        <f>C33/B33</f>
        <v>0.85372905881470174</v>
      </c>
      <c r="D34" s="102">
        <f t="shared" ref="D34:E34" si="13">D33/C33</f>
        <v>1.6549934436345075</v>
      </c>
      <c r="E34" s="102">
        <f t="shared" si="13"/>
        <v>0.53550760192128155</v>
      </c>
    </row>
    <row r="35" spans="1:5" ht="17.600000000000001" x14ac:dyDescent="0.4">
      <c r="A35" s="97" t="s">
        <v>145</v>
      </c>
      <c r="B35" s="125">
        <v>2095</v>
      </c>
      <c r="C35" s="125">
        <v>1778</v>
      </c>
      <c r="D35" s="125">
        <v>2992</v>
      </c>
      <c r="E35" s="125">
        <v>1546</v>
      </c>
    </row>
    <row r="36" spans="1:5" x14ac:dyDescent="0.35">
      <c r="A36" s="106" t="s">
        <v>147</v>
      </c>
      <c r="B36" s="107"/>
      <c r="C36" s="108">
        <f>C35/B35</f>
        <v>0.84868735083532221</v>
      </c>
      <c r="D36" s="108">
        <f t="shared" ref="D36:E36" si="14">D35/C35</f>
        <v>1.6827896512935883</v>
      </c>
      <c r="E36" s="108">
        <f t="shared" si="14"/>
        <v>0.51671122994652408</v>
      </c>
    </row>
  </sheetData>
  <mergeCells count="1">
    <mergeCell ref="A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C00000"/>
  </sheetPr>
  <dimension ref="C2:AN62"/>
  <sheetViews>
    <sheetView showGridLines="0" topLeftCell="A22" zoomScale="90" zoomScaleNormal="90" workbookViewId="0">
      <selection activeCell="L7" sqref="L7"/>
    </sheetView>
  </sheetViews>
  <sheetFormatPr defaultColWidth="10.85546875" defaultRowHeight="15" x14ac:dyDescent="0.35"/>
  <cols>
    <col min="1" max="3" width="10.85546875" style="43"/>
    <col min="4" max="4" width="10.85546875" style="42"/>
    <col min="5" max="5" width="10.85546875" style="43"/>
    <col min="6" max="7" width="6" style="43" customWidth="1"/>
    <col min="8" max="10" width="10.85546875" style="43"/>
    <col min="11" max="11" width="11.35546875" style="43" customWidth="1"/>
    <col min="12" max="12" width="6.0703125" style="43" customWidth="1"/>
    <col min="13" max="15" width="10.85546875" style="43"/>
    <col min="16" max="17" width="5.85546875" style="43" customWidth="1"/>
    <col min="18" max="20" width="10.85546875" style="43"/>
    <col min="21" max="22" width="6.5" style="43" customWidth="1"/>
    <col min="23" max="16384" width="10.85546875" style="43"/>
  </cols>
  <sheetData>
    <row r="2" spans="3:13" ht="15.45" x14ac:dyDescent="0.4">
      <c r="C2" s="41" t="s">
        <v>97</v>
      </c>
      <c r="F2" s="44" t="s">
        <v>137</v>
      </c>
    </row>
    <row r="3" spans="3:13" ht="15.45" x14ac:dyDescent="0.4">
      <c r="C3" s="41" t="s">
        <v>98</v>
      </c>
    </row>
    <row r="4" spans="3:13" ht="20.149999999999999" x14ac:dyDescent="0.5">
      <c r="C4" s="37" t="s">
        <v>148</v>
      </c>
    </row>
    <row r="5" spans="3:13" ht="20.149999999999999" x14ac:dyDescent="0.5">
      <c r="C5" s="37"/>
    </row>
    <row r="6" spans="3:13" ht="20.149999999999999" x14ac:dyDescent="0.5">
      <c r="C6" s="37"/>
    </row>
    <row r="7" spans="3:13" ht="29.15" customHeight="1" x14ac:dyDescent="0.35">
      <c r="C7" s="161" t="s">
        <v>70</v>
      </c>
      <c r="D7" s="161"/>
      <c r="E7" s="161"/>
      <c r="J7" s="68"/>
    </row>
    <row r="8" spans="3:13" x14ac:dyDescent="0.35">
      <c r="C8" s="45">
        <v>2021</v>
      </c>
      <c r="D8" s="99">
        <f>BCKQHDKD!E6</f>
        <v>6385884555364</v>
      </c>
      <c r="E8" s="46">
        <f>IFERROR((D8-D9)/D9,0)</f>
        <v>-0.27331489008330245</v>
      </c>
    </row>
    <row r="9" spans="3:13" x14ac:dyDescent="0.35">
      <c r="C9" s="45">
        <v>2020</v>
      </c>
      <c r="D9" s="99">
        <f>BCKQHDKD!D6</f>
        <v>8787691488678</v>
      </c>
      <c r="E9" s="46">
        <f t="shared" ref="E9" si="0">IFERROR((D9-D10)/D10,0)</f>
        <v>0.42898968067689641</v>
      </c>
      <c r="F9" s="47"/>
      <c r="M9" s="68"/>
    </row>
    <row r="10" spans="3:13" x14ac:dyDescent="0.35">
      <c r="C10" s="45">
        <v>2019</v>
      </c>
      <c r="D10" s="99">
        <f>BCKQHDKD!C6</f>
        <v>6149583588676</v>
      </c>
      <c r="E10" s="45"/>
      <c r="F10" s="48"/>
      <c r="M10" s="68"/>
    </row>
    <row r="11" spans="3:13" x14ac:dyDescent="0.35">
      <c r="C11" s="144" t="s">
        <v>71</v>
      </c>
      <c r="D11" s="144"/>
      <c r="E11" s="144"/>
      <c r="F11" s="48"/>
      <c r="M11" s="68"/>
    </row>
    <row r="12" spans="3:13" ht="30" customHeight="1" x14ac:dyDescent="0.4">
      <c r="C12" s="162" t="s">
        <v>72</v>
      </c>
      <c r="D12" s="162"/>
      <c r="E12" s="162"/>
      <c r="F12" s="48"/>
      <c r="H12" s="163" t="s">
        <v>73</v>
      </c>
      <c r="I12" s="164"/>
      <c r="J12" s="165"/>
      <c r="M12" s="68"/>
    </row>
    <row r="13" spans="3:13" ht="15" customHeight="1" x14ac:dyDescent="0.35">
      <c r="C13" s="45">
        <v>2021</v>
      </c>
      <c r="D13" s="99">
        <f>BCKQHDKD!E8</f>
        <v>5875592170662</v>
      </c>
      <c r="E13" s="46">
        <f>IFERROR((D13-D14)/D14,0)</f>
        <v>-0.23754660400266078</v>
      </c>
      <c r="F13" s="48"/>
      <c r="H13" s="45">
        <v>2021</v>
      </c>
      <c r="I13" s="49">
        <f t="shared" ref="I13:I15" si="1">D8-D13+D18-D23-D28+D33-D38</f>
        <v>473076742026</v>
      </c>
      <c r="J13" s="46">
        <f>IFERROR((I13-I14)/I14,0)</f>
        <v>-0.46449239807873421</v>
      </c>
      <c r="M13" s="68"/>
    </row>
    <row r="14" spans="3:13" x14ac:dyDescent="0.35">
      <c r="C14" s="45">
        <v>2020</v>
      </c>
      <c r="D14" s="99">
        <f>BCKQHDKD!D8</f>
        <v>7706165650920</v>
      </c>
      <c r="E14" s="46">
        <f t="shared" ref="E14" si="2">IFERROR((D14-D15)/D15,0)</f>
        <v>0.40783308603459156</v>
      </c>
      <c r="F14" s="47"/>
      <c r="G14" s="47"/>
      <c r="H14" s="45">
        <v>2020</v>
      </c>
      <c r="I14" s="49">
        <f t="shared" si="1"/>
        <v>883417416165</v>
      </c>
      <c r="J14" s="46">
        <f t="shared" ref="J14" si="3">IFERROR((I14-I15)/I15,0)</f>
        <v>0.65499344363461753</v>
      </c>
      <c r="K14" s="47"/>
      <c r="M14" s="68"/>
    </row>
    <row r="15" spans="3:13" x14ac:dyDescent="0.35">
      <c r="C15" s="45">
        <v>2019</v>
      </c>
      <c r="D15" s="99">
        <f>BCKQHDKD!C8</f>
        <v>5473777912569</v>
      </c>
      <c r="E15" s="46"/>
      <c r="F15" s="48"/>
      <c r="H15" s="45">
        <v>2019</v>
      </c>
      <c r="I15" s="49">
        <f t="shared" si="1"/>
        <v>533789073040</v>
      </c>
      <c r="J15" s="46"/>
      <c r="K15" s="48"/>
    </row>
    <row r="16" spans="3:13" x14ac:dyDescent="0.35">
      <c r="C16" s="142" t="s">
        <v>74</v>
      </c>
      <c r="D16" s="142"/>
      <c r="E16" s="142"/>
      <c r="F16" s="48"/>
      <c r="H16" s="50"/>
      <c r="I16" s="50"/>
      <c r="J16" s="50"/>
      <c r="K16" s="48"/>
    </row>
    <row r="17" spans="3:20" ht="31" customHeight="1" x14ac:dyDescent="0.4">
      <c r="C17" s="151" t="s">
        <v>75</v>
      </c>
      <c r="D17" s="151"/>
      <c r="E17" s="151"/>
      <c r="F17" s="48"/>
      <c r="K17" s="48"/>
    </row>
    <row r="18" spans="3:20" x14ac:dyDescent="0.35">
      <c r="C18" s="45">
        <v>2021</v>
      </c>
      <c r="D18" s="99">
        <f>BCKQHDKD!E11</f>
        <v>106841300898</v>
      </c>
      <c r="E18" s="46">
        <f>IFERROR((D18-D19)/D19,0)</f>
        <v>3.3777039939340501</v>
      </c>
      <c r="F18" s="48"/>
      <c r="K18" s="48"/>
    </row>
    <row r="19" spans="3:20" x14ac:dyDescent="0.35">
      <c r="C19" s="45">
        <v>2020</v>
      </c>
      <c r="D19" s="99">
        <f>BCKQHDKD!D11</f>
        <v>24405784641</v>
      </c>
      <c r="E19" s="46">
        <f t="shared" ref="E19" si="4">IFERROR((D19-D20)/D20,0)</f>
        <v>0.37761172246098712</v>
      </c>
      <c r="F19" s="47"/>
      <c r="K19" s="48"/>
    </row>
    <row r="20" spans="3:20" x14ac:dyDescent="0.35">
      <c r="C20" s="45">
        <v>2019</v>
      </c>
      <c r="D20" s="99">
        <f>BCKQHDKD!C11</f>
        <v>17716011154</v>
      </c>
      <c r="E20" s="46"/>
      <c r="F20" s="48"/>
      <c r="K20" s="48"/>
    </row>
    <row r="21" spans="3:20" x14ac:dyDescent="0.35">
      <c r="C21" s="142" t="s">
        <v>71</v>
      </c>
      <c r="D21" s="142"/>
      <c r="E21" s="142"/>
      <c r="F21" s="48"/>
      <c r="K21" s="48"/>
    </row>
    <row r="22" spans="3:20" ht="30" customHeight="1" x14ac:dyDescent="0.4">
      <c r="C22" s="151" t="s">
        <v>76</v>
      </c>
      <c r="D22" s="151"/>
      <c r="E22" s="151"/>
      <c r="F22" s="48"/>
      <c r="H22" s="141" t="s">
        <v>77</v>
      </c>
      <c r="I22" s="141"/>
      <c r="J22" s="141"/>
      <c r="K22" s="48"/>
      <c r="M22" s="145" t="s">
        <v>78</v>
      </c>
      <c r="N22" s="146"/>
      <c r="O22" s="147"/>
    </row>
    <row r="23" spans="3:20" x14ac:dyDescent="0.35">
      <c r="C23" s="45">
        <v>2021</v>
      </c>
      <c r="D23" s="99">
        <f>BCKQHDKD!E12</f>
        <v>34455263465</v>
      </c>
      <c r="E23" s="46">
        <f>IFERROR((D23-D24)/D24,0)</f>
        <v>0.94053544937225664</v>
      </c>
      <c r="F23" s="48"/>
      <c r="H23" s="143" t="s">
        <v>79</v>
      </c>
      <c r="I23" s="143"/>
      <c r="J23" s="143"/>
      <c r="K23" s="48"/>
      <c r="L23" s="51"/>
      <c r="M23" s="45">
        <v>2021</v>
      </c>
      <c r="N23" s="46">
        <f>I13/I33</f>
        <v>7.4081630810038074E-2</v>
      </c>
      <c r="O23" s="46">
        <f>IFERROR((N23-N24)/N24,0)</f>
        <v>-0.26308163658031625</v>
      </c>
    </row>
    <row r="24" spans="3:20" x14ac:dyDescent="0.35">
      <c r="C24" s="45">
        <v>2020</v>
      </c>
      <c r="D24" s="99">
        <f>BCKQHDKD!D12</f>
        <v>17755544469</v>
      </c>
      <c r="E24" s="46">
        <f t="shared" ref="E24" si="5">IFERROR((D24-D25)/D25,0)</f>
        <v>-0.65847622248354409</v>
      </c>
      <c r="F24" s="47"/>
      <c r="K24" s="48"/>
      <c r="M24" s="45">
        <v>2020</v>
      </c>
      <c r="N24" s="46">
        <f>I14/I34</f>
        <v>0.10052895203514925</v>
      </c>
      <c r="O24" s="46">
        <f t="shared" ref="O24" si="6">IFERROR((N24-N25)/N25,0)</f>
        <v>0.15815632961790577</v>
      </c>
      <c r="P24" s="52"/>
    </row>
    <row r="25" spans="3:20" x14ac:dyDescent="0.35">
      <c r="C25" s="45">
        <v>2019</v>
      </c>
      <c r="D25" s="99">
        <f>BCKQHDKD!C12</f>
        <v>51989189737</v>
      </c>
      <c r="E25" s="46"/>
      <c r="F25" s="48"/>
      <c r="K25" s="48"/>
      <c r="M25" s="45">
        <v>2019</v>
      </c>
      <c r="N25" s="46">
        <f>I15/I35</f>
        <v>8.6800848438410169E-2</v>
      </c>
      <c r="O25" s="46"/>
      <c r="P25" s="48"/>
    </row>
    <row r="26" spans="3:20" x14ac:dyDescent="0.35">
      <c r="C26" s="156" t="s">
        <v>71</v>
      </c>
      <c r="D26" s="156"/>
      <c r="E26" s="156"/>
      <c r="F26" s="48"/>
      <c r="K26" s="48"/>
      <c r="P26" s="48"/>
    </row>
    <row r="27" spans="3:20" ht="31" customHeight="1" x14ac:dyDescent="0.4">
      <c r="C27" s="151" t="s">
        <v>80</v>
      </c>
      <c r="D27" s="151"/>
      <c r="E27" s="151"/>
      <c r="F27" s="48"/>
      <c r="K27" s="48"/>
      <c r="P27" s="48"/>
    </row>
    <row r="28" spans="3:20" x14ac:dyDescent="0.35">
      <c r="C28" s="45">
        <v>2021</v>
      </c>
      <c r="D28" s="99">
        <f>SUM(BCKQHDKD!E14:E16)-BCKQHDKD!E18</f>
        <v>69002598374</v>
      </c>
      <c r="E28" s="46">
        <f>IFERROR((D28-D29)/D29,0)</f>
        <v>-0.47499756527153569</v>
      </c>
      <c r="F28" s="48"/>
      <c r="K28" s="48"/>
      <c r="P28" s="48"/>
    </row>
    <row r="29" spans="3:20" x14ac:dyDescent="0.35">
      <c r="C29" s="45">
        <v>2020</v>
      </c>
      <c r="D29" s="99">
        <f>SUM(BCKQHDKD!D14:D16)-BCKQHDKD!D18</f>
        <v>131432911182</v>
      </c>
      <c r="E29" s="46">
        <f t="shared" ref="E29" si="7">IFERROR((D29-D30)/D30,0)</f>
        <v>0.5850148107094596</v>
      </c>
      <c r="F29" s="47"/>
      <c r="K29" s="48"/>
      <c r="P29" s="48"/>
    </row>
    <row r="30" spans="3:20" x14ac:dyDescent="0.35">
      <c r="C30" s="45">
        <v>2019</v>
      </c>
      <c r="D30" s="99">
        <f>SUM(BCKQHDKD!C14:C16)-BCKQHDKD!C18</f>
        <v>82922197505</v>
      </c>
      <c r="E30" s="46"/>
      <c r="F30" s="48"/>
      <c r="K30" s="48"/>
      <c r="P30" s="48"/>
    </row>
    <row r="31" spans="3:20" x14ac:dyDescent="0.35">
      <c r="C31" s="142" t="s">
        <v>74</v>
      </c>
      <c r="D31" s="142"/>
      <c r="E31" s="142"/>
      <c r="F31" s="48"/>
      <c r="K31" s="48"/>
      <c r="P31" s="48"/>
    </row>
    <row r="32" spans="3:20" ht="31" customHeight="1" x14ac:dyDescent="0.4">
      <c r="C32" s="151" t="s">
        <v>81</v>
      </c>
      <c r="D32" s="151"/>
      <c r="E32" s="151"/>
      <c r="F32" s="48"/>
      <c r="H32" s="152" t="s">
        <v>70</v>
      </c>
      <c r="I32" s="152"/>
      <c r="J32" s="152"/>
      <c r="K32" s="48"/>
      <c r="M32" s="141" t="s">
        <v>82</v>
      </c>
      <c r="N32" s="141"/>
      <c r="O32" s="141"/>
      <c r="P32" s="48"/>
      <c r="R32" s="153" t="s">
        <v>83</v>
      </c>
      <c r="S32" s="154"/>
      <c r="T32" s="155"/>
    </row>
    <row r="33" spans="3:40" ht="15.45" x14ac:dyDescent="0.4">
      <c r="C33" s="45">
        <v>2021</v>
      </c>
      <c r="D33" s="99">
        <f>BCKQHDKD!E22</f>
        <v>-74203841</v>
      </c>
      <c r="E33" s="46">
        <f>IFERROR((D33-D34)/D34,0)</f>
        <v>-0.99458654504602073</v>
      </c>
      <c r="F33" s="48"/>
      <c r="H33" s="45">
        <v>2021</v>
      </c>
      <c r="I33" s="49">
        <f>D8</f>
        <v>6385884555364</v>
      </c>
      <c r="J33" s="46">
        <f>IFERROR((I33-I34)/I34,0)</f>
        <v>-0.27331489008330245</v>
      </c>
      <c r="K33" s="51"/>
      <c r="P33" s="48"/>
      <c r="Q33" s="51"/>
      <c r="R33" s="45">
        <v>2021</v>
      </c>
      <c r="S33" s="46">
        <f>N23*N42</f>
        <v>5.5977767725752678E-2</v>
      </c>
      <c r="T33" s="46">
        <f>IFERROR((S33-S34)/S34,0)</f>
        <v>-0.52826119816311123</v>
      </c>
      <c r="AA33" s="53" t="s">
        <v>108</v>
      </c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2"/>
    </row>
    <row r="34" spans="3:40" x14ac:dyDescent="0.35">
      <c r="C34" s="45">
        <v>2020</v>
      </c>
      <c r="D34" s="99">
        <f>BCKQHDKD!D22</f>
        <v>-13707298136</v>
      </c>
      <c r="E34" s="46">
        <f t="shared" ref="E34" si="8">IFERROR((D34-D35)/D35,0)</f>
        <v>-2.896104577436283</v>
      </c>
      <c r="F34" s="47"/>
      <c r="H34" s="45">
        <v>2020</v>
      </c>
      <c r="I34" s="49">
        <f>D9</f>
        <v>8787691488678</v>
      </c>
      <c r="J34" s="46">
        <f t="shared" ref="J34" si="9">IFERROR((I34-I35)/I35,0)</f>
        <v>0.42898968067689641</v>
      </c>
      <c r="K34" s="52"/>
      <c r="P34" s="48"/>
      <c r="R34" s="45">
        <v>2020</v>
      </c>
      <c r="S34" s="46">
        <f t="shared" ref="S34:S35" si="10">N24*N43</f>
        <v>0.11866263175253471</v>
      </c>
      <c r="T34" s="46">
        <f t="shared" ref="T34" si="11">IFERROR((S34-S35)/S35,0)</f>
        <v>0.47254593771858105</v>
      </c>
      <c r="U34" s="52"/>
      <c r="AA34" s="55" t="s">
        <v>95</v>
      </c>
      <c r="AN34" s="48"/>
    </row>
    <row r="35" spans="3:40" x14ac:dyDescent="0.35">
      <c r="C35" s="45">
        <v>2019</v>
      </c>
      <c r="D35" s="99">
        <f>BCKQHDKD!C22</f>
        <v>7229188885</v>
      </c>
      <c r="E35" s="46"/>
      <c r="F35" s="48"/>
      <c r="H35" s="45">
        <v>2019</v>
      </c>
      <c r="I35" s="49">
        <f>D10</f>
        <v>6149583588676</v>
      </c>
      <c r="J35" s="46"/>
      <c r="K35" s="48"/>
      <c r="P35" s="48"/>
      <c r="R35" s="45">
        <v>2019</v>
      </c>
      <c r="S35" s="46">
        <f t="shared" si="10"/>
        <v>8.0583314050208174E-2</v>
      </c>
      <c r="T35" s="46"/>
      <c r="U35" s="48"/>
      <c r="AA35" s="55" t="s">
        <v>109</v>
      </c>
      <c r="AN35" s="48"/>
    </row>
    <row r="36" spans="3:40" x14ac:dyDescent="0.35">
      <c r="C36" s="156" t="s">
        <v>71</v>
      </c>
      <c r="D36" s="156"/>
      <c r="E36" s="156"/>
      <c r="F36" s="48"/>
      <c r="K36" s="48"/>
      <c r="P36" s="48"/>
      <c r="U36" s="48"/>
      <c r="AA36" s="55" t="s">
        <v>110</v>
      </c>
      <c r="AN36" s="48"/>
    </row>
    <row r="37" spans="3:40" ht="14.25" customHeight="1" x14ac:dyDescent="0.35">
      <c r="C37" s="157" t="s">
        <v>84</v>
      </c>
      <c r="D37" s="157"/>
      <c r="E37" s="157"/>
      <c r="F37" s="48"/>
      <c r="K37" s="48"/>
      <c r="P37" s="48"/>
      <c r="U37" s="48"/>
      <c r="AA37" s="55" t="s">
        <v>111</v>
      </c>
      <c r="AN37" s="48"/>
    </row>
    <row r="38" spans="3:40" x14ac:dyDescent="0.35">
      <c r="C38" s="45">
        <v>2021</v>
      </c>
      <c r="D38" s="99">
        <f>SUM(BCKQHDKD!E28:E29)</f>
        <v>40524877894</v>
      </c>
      <c r="E38" s="46">
        <f>IFERROR((D38-D39)/D39,0)</f>
        <v>-0.32026283422861285</v>
      </c>
      <c r="F38" s="48"/>
      <c r="K38" s="48"/>
      <c r="P38" s="48"/>
      <c r="U38" s="48"/>
      <c r="AA38" s="55" t="s">
        <v>112</v>
      </c>
      <c r="AN38" s="48"/>
    </row>
    <row r="39" spans="3:40" x14ac:dyDescent="0.35">
      <c r="C39" s="45">
        <v>2020</v>
      </c>
      <c r="D39" s="99">
        <f>SUM(BCKQHDKD!D28:D29)</f>
        <v>59618452447</v>
      </c>
      <c r="E39" s="46">
        <f t="shared" ref="E39" si="12">IFERROR((D39-D40)/D40,0)</f>
        <v>0.86014598687205357</v>
      </c>
      <c r="F39" s="56"/>
      <c r="K39" s="48"/>
      <c r="P39" s="48"/>
      <c r="U39" s="48"/>
      <c r="AA39" s="55"/>
      <c r="AN39" s="48"/>
    </row>
    <row r="40" spans="3:40" x14ac:dyDescent="0.35">
      <c r="C40" s="45">
        <v>2019</v>
      </c>
      <c r="D40" s="99">
        <f>SUM(BCKQHDKD!C28:C29)</f>
        <v>32050415864</v>
      </c>
      <c r="E40" s="46"/>
      <c r="K40" s="48"/>
      <c r="P40" s="48"/>
      <c r="U40" s="48"/>
      <c r="AA40" s="55"/>
      <c r="AN40" s="48"/>
    </row>
    <row r="41" spans="3:40" ht="30" customHeight="1" x14ac:dyDescent="0.4">
      <c r="H41" s="141" t="s">
        <v>77</v>
      </c>
      <c r="I41" s="141"/>
      <c r="J41" s="141"/>
      <c r="K41" s="48"/>
      <c r="M41" s="158" t="s">
        <v>85</v>
      </c>
      <c r="N41" s="159"/>
      <c r="O41" s="160"/>
      <c r="P41" s="48"/>
      <c r="R41" s="141" t="s">
        <v>82</v>
      </c>
      <c r="S41" s="141"/>
      <c r="T41" s="141"/>
      <c r="U41" s="48"/>
      <c r="W41" s="148" t="s">
        <v>86</v>
      </c>
      <c r="X41" s="149"/>
      <c r="Y41" s="150"/>
      <c r="AA41" s="55"/>
      <c r="AN41" s="48"/>
    </row>
    <row r="42" spans="3:40" x14ac:dyDescent="0.35">
      <c r="H42" s="143" t="s">
        <v>79</v>
      </c>
      <c r="I42" s="143"/>
      <c r="J42" s="143"/>
      <c r="K42" s="48"/>
      <c r="L42" s="51"/>
      <c r="M42" s="45">
        <v>2021</v>
      </c>
      <c r="N42" s="57">
        <f>I33/I49</f>
        <v>0.75562277873299299</v>
      </c>
      <c r="O42" s="46">
        <f>IFERROR((N42-N43)/N43,0)</f>
        <v>-0.35984930590170688</v>
      </c>
      <c r="P42" s="58"/>
      <c r="U42" s="48"/>
      <c r="V42" s="51"/>
      <c r="W42" s="45">
        <v>2021</v>
      </c>
      <c r="X42" s="46">
        <f>S33*S55</f>
        <v>0.10910820501817507</v>
      </c>
      <c r="Y42" s="46">
        <f>IFERROR((X42-X43)/X43,0)</f>
        <v>-0.43015840869633298</v>
      </c>
      <c r="AA42" s="55"/>
      <c r="AN42" s="48"/>
    </row>
    <row r="43" spans="3:40" x14ac:dyDescent="0.35">
      <c r="K43" s="48"/>
      <c r="M43" s="45">
        <v>2020</v>
      </c>
      <c r="N43" s="57">
        <f t="shared" ref="N43:N44" si="13">I34/I50</f>
        <v>1.1803826594257656</v>
      </c>
      <c r="O43" s="46">
        <f t="shared" ref="O43" si="14">IFERROR((N43-N44)/N44,0)</f>
        <v>0.27145697006586106</v>
      </c>
      <c r="U43" s="48"/>
      <c r="W43" s="45">
        <v>2020</v>
      </c>
      <c r="X43" s="46">
        <f t="shared" ref="X43:X44" si="15">S34*S56</f>
        <v>0.19147111527707286</v>
      </c>
      <c r="Y43" s="46">
        <f t="shared" ref="Y43" si="16">IFERROR((X43-X44)/X44,0)</f>
        <v>0.51859062897459651</v>
      </c>
      <c r="AA43" s="55"/>
      <c r="AN43" s="48"/>
    </row>
    <row r="44" spans="3:40" ht="31" customHeight="1" x14ac:dyDescent="0.35">
      <c r="C44" s="134" t="s">
        <v>87</v>
      </c>
      <c r="D44" s="134"/>
      <c r="E44" s="134"/>
      <c r="K44" s="48"/>
      <c r="M44" s="45">
        <v>2019</v>
      </c>
      <c r="N44" s="57">
        <f t="shared" si="13"/>
        <v>0.92837011964677196</v>
      </c>
      <c r="O44" s="46"/>
      <c r="U44" s="48"/>
      <c r="W44" s="45">
        <v>2019</v>
      </c>
      <c r="X44" s="46">
        <f t="shared" si="15"/>
        <v>0.12608474701727918</v>
      </c>
      <c r="Y44" s="46"/>
      <c r="AA44" s="55"/>
      <c r="AN44" s="48"/>
    </row>
    <row r="45" spans="3:40" x14ac:dyDescent="0.35">
      <c r="C45" s="45">
        <v>2021</v>
      </c>
      <c r="D45" s="99">
        <f>BCĐKT!E7</f>
        <v>4770230874635</v>
      </c>
      <c r="E45" s="46">
        <f>IFERROR((D45-D46)/D46,0)</f>
        <v>4.6833331300751214E-2</v>
      </c>
      <c r="K45" s="48"/>
      <c r="U45" s="48"/>
      <c r="AA45" s="55"/>
      <c r="AN45" s="48"/>
    </row>
    <row r="46" spans="3:40" x14ac:dyDescent="0.35">
      <c r="C46" s="45">
        <v>2020</v>
      </c>
      <c r="D46" s="99">
        <f>BCĐKT!D7</f>
        <v>4556819822223</v>
      </c>
      <c r="E46" s="46">
        <f t="shared" ref="E46" si="17">IFERROR((D46-D47)/D47,0)</f>
        <v>0.76549519817729472</v>
      </c>
      <c r="F46" s="47"/>
      <c r="K46" s="48"/>
      <c r="M46" s="141"/>
      <c r="N46" s="141"/>
      <c r="O46" s="141"/>
      <c r="U46" s="48"/>
      <c r="AA46" s="55"/>
      <c r="AN46" s="48"/>
    </row>
    <row r="47" spans="3:40" x14ac:dyDescent="0.35">
      <c r="C47" s="45">
        <v>2019</v>
      </c>
      <c r="D47" s="99">
        <f>BCĐKT!C7</f>
        <v>2581043452810</v>
      </c>
      <c r="E47" s="46"/>
      <c r="F47" s="48"/>
      <c r="K47" s="48"/>
      <c r="U47" s="48"/>
      <c r="AA47" s="55"/>
      <c r="AN47" s="48"/>
    </row>
    <row r="48" spans="3:40" ht="27" customHeight="1" x14ac:dyDescent="0.35">
      <c r="C48" s="144" t="s">
        <v>74</v>
      </c>
      <c r="D48" s="144"/>
      <c r="E48" s="144"/>
      <c r="F48" s="48"/>
      <c r="H48" s="135" t="s">
        <v>88</v>
      </c>
      <c r="I48" s="136"/>
      <c r="J48" s="137"/>
      <c r="K48" s="48"/>
      <c r="M48" s="131" t="s">
        <v>88</v>
      </c>
      <c r="N48" s="132"/>
      <c r="O48" s="133"/>
      <c r="U48" s="48"/>
      <c r="AA48" s="55"/>
      <c r="AN48" s="48"/>
    </row>
    <row r="49" spans="3:40" ht="30" customHeight="1" x14ac:dyDescent="0.4">
      <c r="C49" s="130" t="s">
        <v>89</v>
      </c>
      <c r="D49" s="130"/>
      <c r="E49" s="130"/>
      <c r="F49" s="48"/>
      <c r="G49" s="47"/>
      <c r="H49" s="45">
        <v>2021</v>
      </c>
      <c r="I49" s="59">
        <f>D45+D50</f>
        <v>8451154114321</v>
      </c>
      <c r="J49" s="46">
        <f>IFERROR((I49-I50)/I50,0)</f>
        <v>0.13517819572201756</v>
      </c>
      <c r="K49" s="60"/>
      <c r="M49" s="45">
        <v>2021</v>
      </c>
      <c r="N49" s="49">
        <f>I49</f>
        <v>8451154114321</v>
      </c>
      <c r="O49" s="46">
        <f>IFERROR((N49-N50)/N50,0)</f>
        <v>0.13517819572201756</v>
      </c>
      <c r="U49" s="48"/>
      <c r="AA49" s="55"/>
      <c r="AN49" s="48"/>
    </row>
    <row r="50" spans="3:40" x14ac:dyDescent="0.35">
      <c r="C50" s="45">
        <v>2021</v>
      </c>
      <c r="D50" s="99">
        <f>BCĐKT!E14</f>
        <v>3680923239686</v>
      </c>
      <c r="E50" s="46">
        <f>IFERROR((D50-D51)/D51,0)</f>
        <v>0.27457463338905636</v>
      </c>
      <c r="F50" s="51"/>
      <c r="H50" s="45">
        <v>2020</v>
      </c>
      <c r="I50" s="59">
        <f t="shared" ref="I50:I51" si="18">D46+D51</f>
        <v>7444781926018</v>
      </c>
      <c r="J50" s="46">
        <f t="shared" ref="J50" si="19">IFERROR((I50-I51)/I51,0)</f>
        <v>0.1238993645242082</v>
      </c>
      <c r="K50" s="61"/>
      <c r="M50" s="45">
        <v>2020</v>
      </c>
      <c r="N50" s="49">
        <f t="shared" ref="N50:N51" si="20">I50</f>
        <v>7444781926018</v>
      </c>
      <c r="O50" s="46">
        <f t="shared" ref="O50" si="21">IFERROR((N50-N51)/N51,0)</f>
        <v>0.1238993645242082</v>
      </c>
      <c r="P50" s="52"/>
      <c r="U50" s="48"/>
      <c r="AA50" s="55"/>
      <c r="AN50" s="48"/>
    </row>
    <row r="51" spans="3:40" x14ac:dyDescent="0.35">
      <c r="C51" s="45">
        <v>2020</v>
      </c>
      <c r="D51" s="99">
        <f>BCĐKT!D14</f>
        <v>2887962103795</v>
      </c>
      <c r="E51" s="46">
        <f t="shared" ref="E51" si="22">IFERROR((D51-D52)/D52,0)</f>
        <v>-0.28569205003258086</v>
      </c>
      <c r="H51" s="45">
        <v>2019</v>
      </c>
      <c r="I51" s="59">
        <f t="shared" si="18"/>
        <v>6624064539061</v>
      </c>
      <c r="J51" s="46"/>
      <c r="K51" s="61"/>
      <c r="M51" s="45">
        <v>2019</v>
      </c>
      <c r="N51" s="49">
        <f t="shared" si="20"/>
        <v>6624064539061</v>
      </c>
      <c r="O51" s="46"/>
      <c r="P51" s="48"/>
      <c r="U51" s="48"/>
      <c r="AA51" s="55"/>
      <c r="AN51" s="48"/>
    </row>
    <row r="52" spans="3:40" x14ac:dyDescent="0.35">
      <c r="C52" s="45">
        <v>2019</v>
      </c>
      <c r="D52" s="99">
        <f>BCĐKT!C14</f>
        <v>4043021086251</v>
      </c>
      <c r="E52" s="46"/>
      <c r="P52" s="48"/>
      <c r="U52" s="48"/>
      <c r="AA52" s="55"/>
      <c r="AN52" s="48"/>
    </row>
    <row r="53" spans="3:40" x14ac:dyDescent="0.35">
      <c r="P53" s="48"/>
      <c r="U53" s="48"/>
      <c r="AA53" s="55"/>
      <c r="AN53" s="48"/>
    </row>
    <row r="54" spans="3:40" ht="31" customHeight="1" x14ac:dyDescent="0.4">
      <c r="C54" s="134" t="s">
        <v>90</v>
      </c>
      <c r="D54" s="134"/>
      <c r="E54" s="134"/>
      <c r="H54" s="135" t="s">
        <v>91</v>
      </c>
      <c r="I54" s="136"/>
      <c r="J54" s="137"/>
      <c r="P54" s="48"/>
      <c r="R54" s="138" t="s">
        <v>92</v>
      </c>
      <c r="S54" s="139"/>
      <c r="T54" s="140"/>
      <c r="U54" s="48"/>
      <c r="AA54" s="55"/>
      <c r="AN54" s="48"/>
    </row>
    <row r="55" spans="3:40" x14ac:dyDescent="0.35">
      <c r="C55" s="45">
        <v>2021</v>
      </c>
      <c r="D55" s="99">
        <f>BCĐKT!E23</f>
        <v>4115304743990</v>
      </c>
      <c r="E55" s="46">
        <f>IFERROR((D55-D56)/D56,0)</f>
        <v>0.45368832140578469</v>
      </c>
      <c r="H55" s="45">
        <v>2021</v>
      </c>
      <c r="I55" s="59">
        <f>D55+D60</f>
        <v>4115304743990</v>
      </c>
      <c r="J55" s="46">
        <f>IFERROR((I55-I56)/I56,0)</f>
        <v>0.45368832140578469</v>
      </c>
      <c r="M55" s="141" t="s">
        <v>77</v>
      </c>
      <c r="N55" s="141"/>
      <c r="O55" s="141"/>
      <c r="P55" s="48"/>
      <c r="Q55" s="51"/>
      <c r="R55" s="45">
        <v>2021</v>
      </c>
      <c r="S55" s="57">
        <f>N49/N60</f>
        <v>1.9491346198855235</v>
      </c>
      <c r="T55" s="46">
        <f>IFERROR((S55-S56)/S56,0)</f>
        <v>0.20795997506412217</v>
      </c>
      <c r="U55" s="58"/>
      <c r="AA55" s="55"/>
      <c r="AN55" s="48"/>
    </row>
    <row r="56" spans="3:40" x14ac:dyDescent="0.35">
      <c r="C56" s="45">
        <v>2020</v>
      </c>
      <c r="D56" s="99">
        <f>BCĐKT!D23</f>
        <v>2830940225213</v>
      </c>
      <c r="E56" s="46">
        <f t="shared" ref="E56" si="23">IFERROR((D56-D57)/D57,0)</f>
        <v>0.18425062227024222</v>
      </c>
      <c r="F56" s="52"/>
      <c r="G56" s="51"/>
      <c r="H56" s="45">
        <v>2020</v>
      </c>
      <c r="I56" s="59">
        <f t="shared" ref="I56:I57" si="24">D56+D61</f>
        <v>2830940225213</v>
      </c>
      <c r="J56" s="46">
        <f t="shared" ref="J56" si="25">IFERROR((I56-I57)/I57,0)</f>
        <v>0.18425062227024222</v>
      </c>
      <c r="P56" s="48"/>
      <c r="R56" s="45">
        <v>2020</v>
      </c>
      <c r="S56" s="57">
        <f t="shared" ref="S56:S57" si="26">N50/N61</f>
        <v>1.6135754992892521</v>
      </c>
      <c r="T56" s="46">
        <f t="shared" ref="T56" si="27">IFERROR((S56-S57)/S57,0)</f>
        <v>3.1268763898362653E-2</v>
      </c>
      <c r="AA56" s="55"/>
      <c r="AN56" s="48"/>
    </row>
    <row r="57" spans="3:40" x14ac:dyDescent="0.35">
      <c r="C57" s="45">
        <v>2019</v>
      </c>
      <c r="D57" s="99">
        <f>BCĐKT!C23</f>
        <v>2390490806571</v>
      </c>
      <c r="E57" s="46"/>
      <c r="F57" s="48"/>
      <c r="H57" s="45">
        <v>2019</v>
      </c>
      <c r="I57" s="59">
        <f t="shared" si="24"/>
        <v>2390490806571</v>
      </c>
      <c r="J57" s="46"/>
      <c r="P57" s="48"/>
      <c r="R57" s="45">
        <v>2019</v>
      </c>
      <c r="S57" s="57">
        <f t="shared" si="26"/>
        <v>1.5646508027545369</v>
      </c>
      <c r="T57" s="46"/>
      <c r="AA57" s="55"/>
      <c r="AN57" s="48"/>
    </row>
    <row r="58" spans="3:40" x14ac:dyDescent="0.35">
      <c r="C58" s="142" t="s">
        <v>74</v>
      </c>
      <c r="D58" s="142"/>
      <c r="E58" s="142"/>
      <c r="F58" s="48"/>
      <c r="P58" s="48"/>
      <c r="AA58" s="55"/>
      <c r="AN58" s="48"/>
    </row>
    <row r="59" spans="3:40" ht="30" customHeight="1" x14ac:dyDescent="0.4">
      <c r="C59" s="130" t="s">
        <v>93</v>
      </c>
      <c r="D59" s="130"/>
      <c r="E59" s="130"/>
      <c r="F59" s="48"/>
      <c r="M59" s="131" t="s">
        <v>94</v>
      </c>
      <c r="N59" s="132"/>
      <c r="O59" s="133"/>
      <c r="P59" s="48"/>
      <c r="AA59" s="62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58"/>
    </row>
    <row r="60" spans="3:40" x14ac:dyDescent="0.35">
      <c r="C60" s="45">
        <v>2021</v>
      </c>
      <c r="D60" s="99">
        <f>BCĐKT!E26</f>
        <v>0</v>
      </c>
      <c r="E60" s="46">
        <f>IFERROR((D60-D61)/D61,0)</f>
        <v>0</v>
      </c>
      <c r="F60" s="58"/>
      <c r="M60" s="45">
        <v>2021</v>
      </c>
      <c r="N60" s="49">
        <f>I49-I55</f>
        <v>4335849370331</v>
      </c>
      <c r="O60" s="46">
        <f>IFERROR((N60-N61)/N61,0)</f>
        <v>-6.02518136730823E-2</v>
      </c>
      <c r="P60" s="58"/>
    </row>
    <row r="61" spans="3:40" x14ac:dyDescent="0.35">
      <c r="C61" s="45">
        <v>2020</v>
      </c>
      <c r="D61" s="99">
        <f>BCĐKT!D26</f>
        <v>0</v>
      </c>
      <c r="E61" s="46">
        <f t="shared" ref="E61" si="28">IFERROR((D61-D62)/D62,0)</f>
        <v>0</v>
      </c>
      <c r="M61" s="45">
        <v>2020</v>
      </c>
      <c r="N61" s="49">
        <f>I50-I56</f>
        <v>4613841700805</v>
      </c>
      <c r="O61" s="46">
        <f t="shared" ref="O61" si="29">IFERROR((N61-N62)/N62,0)</f>
        <v>8.9821978390664109E-2</v>
      </c>
    </row>
    <row r="62" spans="3:40" x14ac:dyDescent="0.35">
      <c r="C62" s="45">
        <v>2019</v>
      </c>
      <c r="D62" s="99">
        <f>BCĐKT!C26</f>
        <v>0</v>
      </c>
      <c r="E62" s="46"/>
      <c r="M62" s="45">
        <v>2019</v>
      </c>
      <c r="N62" s="49">
        <f>I51-I57</f>
        <v>4233573732490</v>
      </c>
      <c r="O62" s="46"/>
    </row>
  </sheetData>
  <mergeCells count="38">
    <mergeCell ref="C17:E17"/>
    <mergeCell ref="C21:E21"/>
    <mergeCell ref="C22:E22"/>
    <mergeCell ref="H22:J22"/>
    <mergeCell ref="C7:E7"/>
    <mergeCell ref="C11:E11"/>
    <mergeCell ref="C12:E12"/>
    <mergeCell ref="H12:J12"/>
    <mergeCell ref="C16:E16"/>
    <mergeCell ref="M22:O22"/>
    <mergeCell ref="H23:J23"/>
    <mergeCell ref="W41:Y41"/>
    <mergeCell ref="C27:E27"/>
    <mergeCell ref="C31:E31"/>
    <mergeCell ref="C32:E32"/>
    <mergeCell ref="H32:J32"/>
    <mergeCell ref="M32:O32"/>
    <mergeCell ref="R32:T32"/>
    <mergeCell ref="C36:E36"/>
    <mergeCell ref="C37:E37"/>
    <mergeCell ref="H41:J41"/>
    <mergeCell ref="M41:O41"/>
    <mergeCell ref="R41:T41"/>
    <mergeCell ref="C26:E26"/>
    <mergeCell ref="R54:T54"/>
    <mergeCell ref="M55:O55"/>
    <mergeCell ref="C58:E58"/>
    <mergeCell ref="H42:J42"/>
    <mergeCell ref="C44:E44"/>
    <mergeCell ref="M46:O46"/>
    <mergeCell ref="C48:E48"/>
    <mergeCell ref="H48:J48"/>
    <mergeCell ref="M48:O48"/>
    <mergeCell ref="C59:E59"/>
    <mergeCell ref="M59:O59"/>
    <mergeCell ref="C49:E49"/>
    <mergeCell ref="C54:E54"/>
    <mergeCell ref="H54:J54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C00000"/>
  </sheetPr>
  <dimension ref="A1:H36"/>
  <sheetViews>
    <sheetView showGridLines="0" tabSelected="1" zoomScale="110" zoomScaleNormal="110" workbookViewId="0">
      <selection activeCell="F5" sqref="F5"/>
    </sheetView>
  </sheetViews>
  <sheetFormatPr defaultColWidth="8.85546875" defaultRowHeight="15" x14ac:dyDescent="0.35"/>
  <cols>
    <col min="1" max="1" width="6" style="38" customWidth="1"/>
    <col min="2" max="2" width="35.35546875" style="38" customWidth="1"/>
    <col min="3" max="6" width="10.5" style="38" customWidth="1"/>
    <col min="7" max="7" width="54.0703125" style="38" customWidth="1"/>
    <col min="8" max="8" width="42.0703125" style="38" customWidth="1"/>
    <col min="9" max="16384" width="8.85546875" style="38"/>
  </cols>
  <sheetData>
    <row r="1" spans="1:8" x14ac:dyDescent="0.35">
      <c r="A1" s="39"/>
    </row>
    <row r="2" spans="1:8" ht="20.149999999999999" x14ac:dyDescent="0.5">
      <c r="A2" s="40" t="s">
        <v>155</v>
      </c>
    </row>
    <row r="4" spans="1:8" ht="28" customHeight="1" x14ac:dyDescent="0.35">
      <c r="A4" s="1" t="s">
        <v>33</v>
      </c>
      <c r="B4" s="2" t="s">
        <v>34</v>
      </c>
      <c r="C4" s="3" t="str">
        <f>BCKQHDKD!B5</f>
        <v>Năm 2020</v>
      </c>
      <c r="D4" s="3" t="str">
        <f>BCKQHDKD!C5</f>
        <v>Năm 2021</v>
      </c>
      <c r="E4" s="3" t="str">
        <f>BCKQHDKD!D5</f>
        <v>Năm 2022</v>
      </c>
      <c r="F4" s="3" t="str">
        <f>BCKQHDKD!E5</f>
        <v>Năm 2023</v>
      </c>
      <c r="G4" s="4" t="s">
        <v>35</v>
      </c>
      <c r="H4" s="34" t="s">
        <v>134</v>
      </c>
    </row>
    <row r="5" spans="1:8" x14ac:dyDescent="0.35">
      <c r="A5" s="5">
        <v>1</v>
      </c>
      <c r="B5" s="6" t="s">
        <v>135</v>
      </c>
      <c r="C5" s="7">
        <f>BCĐKT!B7/BCĐKT!B23</f>
        <v>0.90518273430451968</v>
      </c>
      <c r="D5" s="7">
        <f>BCĐKT!C7/BCĐKT!C23</f>
        <v>1.079712770998829</v>
      </c>
      <c r="E5" s="7">
        <f>BCĐKT!D7/BCĐKT!D23</f>
        <v>1.6096489009689863</v>
      </c>
      <c r="F5" s="7">
        <f>BCĐKT!E7/BCĐKT!E23</f>
        <v>1.1591440176092562</v>
      </c>
      <c r="G5" s="8" t="s">
        <v>36</v>
      </c>
      <c r="H5" s="88"/>
    </row>
    <row r="6" spans="1:8" x14ac:dyDescent="0.35">
      <c r="A6" s="5">
        <f>A5+1</f>
        <v>2</v>
      </c>
      <c r="B6" s="6" t="s">
        <v>37</v>
      </c>
      <c r="C6" s="7">
        <f>(BCĐKT!B7-BCĐKT!B12)/BCĐKT!B23</f>
        <v>0.75393786425603526</v>
      </c>
      <c r="D6" s="7">
        <f>(BCĐKT!C7-BCĐKT!C12)/BCĐKT!C23</f>
        <v>0.9496544716929346</v>
      </c>
      <c r="E6" s="7">
        <f>(BCĐKT!D7-BCĐKT!D12)/BCĐKT!D23</f>
        <v>1.5010450956898171</v>
      </c>
      <c r="F6" s="7">
        <f>(BCĐKT!E7-BCĐKT!E12)/BCĐKT!E23</f>
        <v>1.0958785620105607</v>
      </c>
      <c r="G6" s="8" t="s">
        <v>38</v>
      </c>
      <c r="H6" s="88"/>
    </row>
    <row r="7" spans="1:8" x14ac:dyDescent="0.35">
      <c r="A7" s="5">
        <f t="shared" ref="A7" si="0">A6+1</f>
        <v>3</v>
      </c>
      <c r="B7" s="6" t="s">
        <v>39</v>
      </c>
      <c r="C7" s="7">
        <f>(BCĐKT!B8+BCĐKT!B9+BCĐKT!B10)/BCĐKT!B23</f>
        <v>2.9851897086505732E-2</v>
      </c>
      <c r="D7" s="7">
        <f>(BCĐKT!C8+BCĐKT!C9+BCĐKT!C10)/BCĐKT!C23</f>
        <v>6.1848147331751218E-4</v>
      </c>
      <c r="E7" s="7">
        <f>(BCĐKT!D8+BCĐKT!D9+BCĐKT!D10)/BCĐKT!D23</f>
        <v>0.47097395216943605</v>
      </c>
      <c r="F7" s="7">
        <f>(BCĐKT!E8+BCĐKT!E9+BCĐKT!E10)/BCĐKT!E23</f>
        <v>0.51066537962883529</v>
      </c>
      <c r="G7" s="8" t="s">
        <v>136</v>
      </c>
      <c r="H7" s="88"/>
    </row>
    <row r="8" spans="1:8" x14ac:dyDescent="0.35">
      <c r="A8" s="9"/>
      <c r="B8" s="10"/>
      <c r="C8" s="11"/>
      <c r="D8" s="11"/>
      <c r="E8" s="11"/>
      <c r="F8" s="11"/>
      <c r="G8" s="12"/>
    </row>
    <row r="9" spans="1:8" x14ac:dyDescent="0.35">
      <c r="A9" s="1" t="s">
        <v>33</v>
      </c>
      <c r="B9" s="13" t="s">
        <v>40</v>
      </c>
      <c r="C9" s="3" t="str">
        <f>C4</f>
        <v>Năm 2020</v>
      </c>
      <c r="D9" s="3" t="str">
        <f>D4</f>
        <v>Năm 2021</v>
      </c>
      <c r="E9" s="3" t="str">
        <f>E4</f>
        <v>Năm 2022</v>
      </c>
      <c r="F9" s="3" t="str">
        <f>F4</f>
        <v>Năm 2023</v>
      </c>
      <c r="G9" s="3" t="str">
        <f>G4</f>
        <v xml:space="preserve">Công Thức </v>
      </c>
      <c r="H9" s="34" t="s">
        <v>134</v>
      </c>
    </row>
    <row r="10" spans="1:8" x14ac:dyDescent="0.35">
      <c r="A10" s="5">
        <v>1</v>
      </c>
      <c r="B10" s="6" t="s">
        <v>41</v>
      </c>
      <c r="C10" s="7">
        <f>BCKQHDKD!B6/(BCĐKT!B7-BCĐKT!B23)</f>
        <v>-30.791925900034183</v>
      </c>
      <c r="D10" s="7">
        <f>BCKQHDKD!C6/(BCĐKT!C7-BCĐKT!C23)</f>
        <v>32.272359949086756</v>
      </c>
      <c r="E10" s="7">
        <f>BCKQHDKD!D6/(BCĐKT!D7-BCĐKT!D23)</f>
        <v>5.091717582096825</v>
      </c>
      <c r="F10" s="7">
        <f>BCKQHDKD!E6/(BCĐKT!E7-BCĐKT!E23)</f>
        <v>9.7505417123529643</v>
      </c>
      <c r="G10" s="8" t="s">
        <v>115</v>
      </c>
      <c r="H10" s="88"/>
    </row>
    <row r="11" spans="1:8" x14ac:dyDescent="0.35">
      <c r="A11" s="5">
        <f>A10+1</f>
        <v>2</v>
      </c>
      <c r="B11" s="6" t="s">
        <v>42</v>
      </c>
      <c r="C11" s="7"/>
      <c r="D11" s="7">
        <f>BCKQHDKD!C8/((BCĐKT!B12+BCĐKT!C12)/2)</f>
        <v>17.488584790113347</v>
      </c>
      <c r="E11" s="7">
        <f>BCKQHDKD!D8/((BCĐKT!C12+BCĐKT!D12)/2)</f>
        <v>24.924768111729559</v>
      </c>
      <c r="F11" s="7">
        <f>BCKQHDKD!E8/((BCĐKT!D12+BCĐKT!E12)/2)</f>
        <v>20.695718396387321</v>
      </c>
      <c r="G11" s="8" t="s">
        <v>43</v>
      </c>
      <c r="H11" s="88"/>
    </row>
    <row r="12" spans="1:8" x14ac:dyDescent="0.35">
      <c r="A12" s="5">
        <f t="shared" ref="A12:A19" si="1">A11+1</f>
        <v>3</v>
      </c>
      <c r="B12" s="69" t="s">
        <v>122</v>
      </c>
      <c r="C12" s="70"/>
      <c r="D12" s="70">
        <f>365/D11</f>
        <v>20.870756803966319</v>
      </c>
      <c r="E12" s="70">
        <f>365/E11</f>
        <v>14.644068035611193</v>
      </c>
      <c r="F12" s="70">
        <f>365/F11</f>
        <v>17.636498188133203</v>
      </c>
      <c r="G12" s="72" t="s">
        <v>121</v>
      </c>
      <c r="H12" s="88"/>
    </row>
    <row r="13" spans="1:8" x14ac:dyDescent="0.35">
      <c r="A13" s="5">
        <f t="shared" si="1"/>
        <v>4</v>
      </c>
      <c r="B13" s="6" t="s">
        <v>44</v>
      </c>
      <c r="C13" s="7"/>
      <c r="D13" s="7">
        <f>BCKQHDKD!C6/((BCĐKT!C11+BCĐKT!C15+BCĐKT!B11+BCĐKT!B15)/2)</f>
        <v>3.3067852558679753</v>
      </c>
      <c r="E13" s="7">
        <f>BCKQHDKD!D6/((BCĐKT!D11+BCĐKT!D15+BCĐKT!C11+BCĐKT!C15)/2)</f>
        <v>3.4181217756045803</v>
      </c>
      <c r="F13" s="7">
        <f>BCKQHDKD!E6/((BCĐKT!E11+BCĐKT!E15+BCĐKT!D11+BCĐKT!D15)/2)</f>
        <v>2.4387432546395562</v>
      </c>
      <c r="G13" s="8" t="s">
        <v>45</v>
      </c>
      <c r="H13" s="88"/>
    </row>
    <row r="14" spans="1:8" x14ac:dyDescent="0.35">
      <c r="A14" s="5">
        <f t="shared" si="1"/>
        <v>5</v>
      </c>
      <c r="B14" s="69" t="s">
        <v>119</v>
      </c>
      <c r="C14" s="70"/>
      <c r="D14" s="70">
        <f>365/D13</f>
        <v>110.37910591632708</v>
      </c>
      <c r="E14" s="70">
        <f>365/E13</f>
        <v>106.78379062005205</v>
      </c>
      <c r="F14" s="70">
        <f>365/F13</f>
        <v>149.66725148521081</v>
      </c>
      <c r="G14" s="72" t="s">
        <v>123</v>
      </c>
      <c r="H14" s="88"/>
    </row>
    <row r="15" spans="1:8" x14ac:dyDescent="0.35">
      <c r="A15" s="5">
        <f t="shared" si="1"/>
        <v>6</v>
      </c>
      <c r="B15" s="6" t="s">
        <v>46</v>
      </c>
      <c r="C15" s="7"/>
      <c r="D15" s="14">
        <f>BCKQHDKD!C8/((BCĐKT!C24+BCĐKT!C27+BCĐKT!B24+BCĐKT!B27)/2)</f>
        <v>7.6536867380187168</v>
      </c>
      <c r="E15" s="14">
        <f>BCKQHDKD!D8/((BCĐKT!D24+BCĐKT!D27+BCĐKT!C24+BCĐKT!C27)/2)</f>
        <v>8.5464721596289053</v>
      </c>
      <c r="F15" s="14">
        <f>BCKQHDKD!E8/((BCĐKT!E24+BCĐKT!E27+BCĐKT!D24+BCĐKT!D27)/2)</f>
        <v>4.797479634853846</v>
      </c>
      <c r="G15" s="8" t="s">
        <v>47</v>
      </c>
      <c r="H15" s="88"/>
    </row>
    <row r="16" spans="1:8" x14ac:dyDescent="0.35">
      <c r="A16" s="5">
        <f t="shared" si="1"/>
        <v>7</v>
      </c>
      <c r="B16" s="69" t="s">
        <v>117</v>
      </c>
      <c r="C16" s="70"/>
      <c r="D16" s="71">
        <f>365/D15</f>
        <v>47.689435496086986</v>
      </c>
      <c r="E16" s="71">
        <f t="shared" ref="E16:F16" si="2">365/E15</f>
        <v>42.707680219699981</v>
      </c>
      <c r="F16" s="71">
        <f t="shared" si="2"/>
        <v>76.081615302389835</v>
      </c>
      <c r="G16" s="72" t="s">
        <v>124</v>
      </c>
      <c r="H16" s="88"/>
    </row>
    <row r="17" spans="1:8" x14ac:dyDescent="0.35">
      <c r="A17" s="5">
        <f t="shared" si="1"/>
        <v>8</v>
      </c>
      <c r="B17" s="6" t="s">
        <v>48</v>
      </c>
      <c r="C17" s="15"/>
      <c r="D17" s="15">
        <f>(BCKQHDKD!C6-BCKQHDKD!B6)/BCKQHDKD!B6</f>
        <v>1.1070764107103327E-2</v>
      </c>
      <c r="E17" s="15">
        <f>(BCKQHDKD!D6-BCKQHDKD!C6)/BCKQHDKD!C6</f>
        <v>0.42898968067689641</v>
      </c>
      <c r="F17" s="15">
        <f>(BCKQHDKD!E6-BCKQHDKD!D6)/BCKQHDKD!D6</f>
        <v>-0.27331489008330245</v>
      </c>
      <c r="G17" s="8" t="s">
        <v>49</v>
      </c>
      <c r="H17" s="88"/>
    </row>
    <row r="18" spans="1:8" x14ac:dyDescent="0.35">
      <c r="A18" s="5">
        <f t="shared" si="1"/>
        <v>9</v>
      </c>
      <c r="B18" s="6" t="s">
        <v>50</v>
      </c>
      <c r="C18" s="16"/>
      <c r="D18" s="16">
        <f>BCKQHDKD!C6/((BCĐKT!B16+BCĐKT!C16)/2)</f>
        <v>1.6012922841003379</v>
      </c>
      <c r="E18" s="16">
        <f>BCKQHDKD!D6/((BCĐKT!C16+BCĐKT!D16)/2)</f>
        <v>2.7873302786228074</v>
      </c>
      <c r="F18" s="16">
        <f>BCKQHDKD!E6/((BCĐKT!D16+BCĐKT!E16)/2)</f>
        <v>2.5883881211147264</v>
      </c>
      <c r="G18" s="8" t="s">
        <v>51</v>
      </c>
      <c r="H18" s="88"/>
    </row>
    <row r="19" spans="1:8" x14ac:dyDescent="0.35">
      <c r="A19" s="5">
        <f t="shared" si="1"/>
        <v>10</v>
      </c>
      <c r="B19" s="6" t="s">
        <v>116</v>
      </c>
      <c r="C19" s="7"/>
      <c r="D19" s="7">
        <f>BCKQHDKD!C6/((BCĐKT!B6+BCĐKT!C6)/2)</f>
        <v>0.94569798478527867</v>
      </c>
      <c r="E19" s="7">
        <f>BCKQHDKD!D6/((BCĐKT!C6+BCĐKT!D6)/2)</f>
        <v>1.2492412239326622</v>
      </c>
      <c r="F19" s="7">
        <f>BCKQHDKD!E6/((BCĐKT!D6+BCĐKT!E6)/2)</f>
        <v>0.80346127955706259</v>
      </c>
      <c r="G19" s="8" t="s">
        <v>52</v>
      </c>
      <c r="H19" s="88"/>
    </row>
    <row r="20" spans="1:8" x14ac:dyDescent="0.35">
      <c r="A20" s="17"/>
      <c r="B20" s="17"/>
      <c r="C20" s="17"/>
      <c r="D20" s="17"/>
      <c r="E20" s="17"/>
      <c r="F20" s="17"/>
      <c r="G20" s="17"/>
    </row>
    <row r="21" spans="1:8" x14ac:dyDescent="0.35">
      <c r="A21" s="1" t="s">
        <v>33</v>
      </c>
      <c r="B21" s="13" t="s">
        <v>53</v>
      </c>
      <c r="C21" s="18" t="str">
        <f>C9</f>
        <v>Năm 2020</v>
      </c>
      <c r="D21" s="18" t="str">
        <f>D9</f>
        <v>Năm 2021</v>
      </c>
      <c r="E21" s="18" t="str">
        <f>E9</f>
        <v>Năm 2022</v>
      </c>
      <c r="F21" s="18" t="str">
        <f>F9</f>
        <v>Năm 2023</v>
      </c>
      <c r="G21" s="18" t="str">
        <f>G9</f>
        <v xml:space="preserve">Công Thức </v>
      </c>
      <c r="H21" s="34" t="s">
        <v>134</v>
      </c>
    </row>
    <row r="22" spans="1:8" x14ac:dyDescent="0.35">
      <c r="A22" s="5">
        <v>1</v>
      </c>
      <c r="B22" s="6" t="s">
        <v>54</v>
      </c>
      <c r="C22" s="16">
        <f>BCĐKT!B22/BCĐKT!B6</f>
        <v>0.32654437586830504</v>
      </c>
      <c r="D22" s="16">
        <f>BCĐKT!C22/BCĐKT!C6</f>
        <v>0.36087975780952553</v>
      </c>
      <c r="E22" s="16">
        <f>BCĐKT!D22/BCĐKT!D6</f>
        <v>0.38025831425893608</v>
      </c>
      <c r="F22" s="16">
        <f>BCĐKT!E22/BCĐKT!E6</f>
        <v>0.48695180425314494</v>
      </c>
      <c r="G22" s="19" t="s">
        <v>55</v>
      </c>
      <c r="H22" s="88"/>
    </row>
    <row r="23" spans="1:8" x14ac:dyDescent="0.35">
      <c r="A23" s="20">
        <f>A22+1</f>
        <v>2</v>
      </c>
      <c r="B23" s="21" t="s">
        <v>56</v>
      </c>
      <c r="C23" s="14">
        <f>BCĐKT!B16/BCĐKT!B29</f>
        <v>0.97366795674775597</v>
      </c>
      <c r="D23" s="14">
        <f>BCĐKT!C16/BCĐKT!C29</f>
        <v>0.82587485696288365</v>
      </c>
      <c r="E23" s="14">
        <f>BCĐKT!D16/BCĐKT!D29</f>
        <v>0.60883145227238522</v>
      </c>
      <c r="F23" s="14">
        <f>BCĐKT!E16/BCĐKT!E29</f>
        <v>0.4901470691570084</v>
      </c>
      <c r="G23" s="22" t="s">
        <v>57</v>
      </c>
      <c r="H23" s="88"/>
    </row>
    <row r="24" spans="1:8" x14ac:dyDescent="0.35">
      <c r="A24" s="23">
        <f t="shared" ref="A24:A26" si="3">A23+1</f>
        <v>3</v>
      </c>
      <c r="B24" s="24" t="s">
        <v>58</v>
      </c>
      <c r="C24" s="25"/>
      <c r="D24" s="25">
        <f>(BCĐKT!C6-BCĐKT!B6)/BCĐKT!B6</f>
        <v>3.8039651954144355E-2</v>
      </c>
      <c r="E24" s="25">
        <f>(BCĐKT!D6-BCĐKT!C6)/BCĐKT!C6</f>
        <v>0.1238993645242082</v>
      </c>
      <c r="F24" s="25">
        <f>(BCĐKT!E6-BCĐKT!D6)/BCĐKT!D6</f>
        <v>0.13517819572201756</v>
      </c>
      <c r="G24" s="26" t="s">
        <v>59</v>
      </c>
      <c r="H24" s="89"/>
    </row>
    <row r="25" spans="1:8" x14ac:dyDescent="0.35">
      <c r="A25" s="27">
        <f>A24+1</f>
        <v>4</v>
      </c>
      <c r="B25" s="76" t="s">
        <v>129</v>
      </c>
      <c r="C25" s="77">
        <f>(BCĐKT!B25+BCĐKT!B28-SUM(BCĐKT!B8:B9))/BCĐKT!B29</f>
        <v>0.16594688707073213</v>
      </c>
      <c r="D25" s="77">
        <f>(BCĐKT!C25+BCĐKT!C28-SUM(BCĐKT!C8:C9))/BCĐKT!C29</f>
        <v>4.9370184469910774E-2</v>
      </c>
      <c r="E25" s="77">
        <f>(BCĐKT!D25+BCĐKT!D28-SUM(BCĐKT!D8:D9))/BCĐKT!D29</f>
        <v>5.3362879087733524E-2</v>
      </c>
      <c r="F25" s="77">
        <f>(BCĐKT!E25+BCĐKT!E28-SUM(BCĐKT!E8:E9))/BCĐKT!E29</f>
        <v>0.27649648976308411</v>
      </c>
      <c r="G25" s="28" t="s">
        <v>126</v>
      </c>
      <c r="H25" s="88"/>
    </row>
    <row r="26" spans="1:8" x14ac:dyDescent="0.35">
      <c r="A26" s="73">
        <f t="shared" si="3"/>
        <v>5</v>
      </c>
      <c r="B26" s="78" t="s">
        <v>118</v>
      </c>
      <c r="C26" s="74">
        <f>(BCĐKT!B25+BCĐKT!B28-SUM(BCĐKT!B8:B10))/BCKQHDKD!B27</f>
        <v>1.0158424464034572</v>
      </c>
      <c r="D26" s="74">
        <f>(BCĐKT!C25+BCĐKT!C28-SUM(BCĐKT!C8:C10))/BCKQHDKD!C27</f>
        <v>0.35572602968969208</v>
      </c>
      <c r="E26" s="74">
        <f>(BCĐKT!D25+BCĐKT!D28-SUM(BCĐKT!D8:D10))/BCKQHDKD!D27</f>
        <v>-0.73329512353602377</v>
      </c>
      <c r="F26" s="74">
        <f>(BCĐKT!E25+BCĐKT!E28-SUM(BCĐKT!E8:E10))/BCKQHDKD!E27</f>
        <v>-1.6468201795070994</v>
      </c>
      <c r="G26" s="75" t="s">
        <v>127</v>
      </c>
      <c r="H26" s="90"/>
    </row>
    <row r="27" spans="1:8" x14ac:dyDescent="0.35">
      <c r="A27" s="29"/>
      <c r="B27" s="30"/>
      <c r="C27" s="17"/>
      <c r="D27" s="17"/>
      <c r="E27" s="17"/>
      <c r="F27" s="17"/>
      <c r="G27" s="31"/>
    </row>
    <row r="28" spans="1:8" x14ac:dyDescent="0.35">
      <c r="A28" s="1" t="s">
        <v>33</v>
      </c>
      <c r="B28" s="13" t="s">
        <v>60</v>
      </c>
      <c r="C28" s="18" t="s">
        <v>18</v>
      </c>
      <c r="D28" s="18" t="s">
        <v>133</v>
      </c>
      <c r="E28" s="18" t="s">
        <v>151</v>
      </c>
      <c r="F28" s="18" t="s">
        <v>152</v>
      </c>
      <c r="G28" s="18" t="str">
        <f>G21</f>
        <v xml:space="preserve">Công Thức </v>
      </c>
      <c r="H28" s="34" t="s">
        <v>134</v>
      </c>
    </row>
    <row r="29" spans="1:8" x14ac:dyDescent="0.35">
      <c r="A29" s="5">
        <v>1</v>
      </c>
      <c r="B29" s="6" t="s">
        <v>128</v>
      </c>
      <c r="C29" s="16">
        <f>BCKQHDKD!B25/BCKQHDKD!B13</f>
        <v>18.326053123409153</v>
      </c>
      <c r="D29" s="16">
        <f>BCKQHDKD!C25/BCKQHDKD!C13</f>
        <v>28.810504450053394</v>
      </c>
      <c r="E29" s="16">
        <f>BCKQHDKD!D25/BCKQHDKD!D13</f>
        <v>62.367743016801057</v>
      </c>
      <c r="F29" s="16">
        <f>BCKQHDKD!E25/BCKQHDKD!E13</f>
        <v>16.175786306352482</v>
      </c>
      <c r="G29" s="32" t="s">
        <v>138</v>
      </c>
      <c r="H29" s="88"/>
    </row>
    <row r="30" spans="1:8" x14ac:dyDescent="0.35">
      <c r="A30" s="5">
        <f>A29+1</f>
        <v>2</v>
      </c>
      <c r="B30" s="6" t="s">
        <v>130</v>
      </c>
      <c r="C30" s="33">
        <f>BCKQHDKD!B30/BCKQHDKD!B6</f>
        <v>0.10279818784384921</v>
      </c>
      <c r="D30" s="33">
        <f>BCKQHDKD!C30/BCKQHDKD!C6</f>
        <v>8.6800848438428044E-2</v>
      </c>
      <c r="E30" s="33">
        <f>BCKQHDKD!D30/BCKQHDKD!D6</f>
        <v>0.10052895203516325</v>
      </c>
      <c r="F30" s="33">
        <f>BCKQHDKD!E30/BCKQHDKD!E6</f>
        <v>7.4081630810050578E-2</v>
      </c>
      <c r="G30" s="8" t="s">
        <v>61</v>
      </c>
      <c r="H30" s="88"/>
    </row>
    <row r="31" spans="1:8" x14ac:dyDescent="0.35">
      <c r="A31" s="5">
        <f t="shared" ref="A31:A33" si="4">A30+1</f>
        <v>3</v>
      </c>
      <c r="B31" s="6" t="s">
        <v>62</v>
      </c>
      <c r="C31" s="33">
        <f>BCKQHDKD!B30/BCĐKT!B6</f>
        <v>9.7980353844512175E-2</v>
      </c>
      <c r="D31" s="33">
        <f>BCKQHDKD!C30/BCĐKT!C6</f>
        <v>8.0583314050224758E-2</v>
      </c>
      <c r="E31" s="33">
        <f>BCKQHDKD!D30/BCĐKT!D6</f>
        <v>0.11866263175255123</v>
      </c>
      <c r="F31" s="33">
        <f>BCKQHDKD!E30/BCĐKT!E6</f>
        <v>5.5977767725762122E-2</v>
      </c>
      <c r="G31" s="8" t="s">
        <v>63</v>
      </c>
      <c r="H31" s="88"/>
    </row>
    <row r="32" spans="1:8" x14ac:dyDescent="0.35">
      <c r="A32" s="5">
        <f t="shared" si="4"/>
        <v>4</v>
      </c>
      <c r="B32" s="6" t="s">
        <v>68</v>
      </c>
      <c r="C32" s="33">
        <f>BCKQHDKD!B30/BCĐKT!B29</f>
        <v>0.1454889532934571</v>
      </c>
      <c r="D32" s="33">
        <f>BCKQHDKD!C30/BCĐKT!C29</f>
        <v>0.12608474701730513</v>
      </c>
      <c r="E32" s="33">
        <f>BCKQHDKD!D30/BCĐKT!D29</f>
        <v>0.19147111527709951</v>
      </c>
      <c r="F32" s="33">
        <f>BCKQHDKD!E30/BCĐKT!E29</f>
        <v>0.10910820501819347</v>
      </c>
      <c r="G32" s="8" t="s">
        <v>64</v>
      </c>
      <c r="H32" s="88"/>
    </row>
    <row r="33" spans="1:8" x14ac:dyDescent="0.35">
      <c r="A33" s="5">
        <f t="shared" si="4"/>
        <v>5</v>
      </c>
      <c r="B33" s="6" t="s">
        <v>65</v>
      </c>
      <c r="C33" s="33">
        <f>BCKQHDKD!B9/BCKQHDKD!B6</f>
        <v>0.14711205026473628</v>
      </c>
      <c r="D33" s="33">
        <f>BCKQHDKD!C9/BCKQHDKD!C6</f>
        <v>0.10989454267301055</v>
      </c>
      <c r="E33" s="33">
        <f>BCKQHDKD!D9/BCKQHDKD!D6</f>
        <v>0.12307280463264218</v>
      </c>
      <c r="F33" s="33">
        <f>BCKQHDKD!E9/BCKQHDKD!E6</f>
        <v>7.9909428408530478E-2</v>
      </c>
      <c r="G33" s="8" t="s">
        <v>66</v>
      </c>
      <c r="H33" s="88"/>
    </row>
    <row r="34" spans="1:8" x14ac:dyDescent="0.35">
      <c r="A34" s="30"/>
      <c r="B34" s="30"/>
      <c r="C34" s="30"/>
      <c r="D34" s="30"/>
      <c r="E34" s="30"/>
      <c r="F34" s="30"/>
      <c r="G34" s="30"/>
    </row>
    <row r="35" spans="1:8" x14ac:dyDescent="0.35">
      <c r="A35" s="30"/>
      <c r="B35" s="30"/>
      <c r="C35" s="30"/>
      <c r="D35" s="30"/>
      <c r="E35" s="30"/>
      <c r="F35" s="30"/>
      <c r="G35" s="30"/>
    </row>
    <row r="36" spans="1:8" x14ac:dyDescent="0.35">
      <c r="A36" s="29"/>
      <c r="B36" s="30"/>
      <c r="C36" s="17"/>
      <c r="D36" s="17"/>
      <c r="E36" s="17"/>
      <c r="F36" s="17"/>
      <c r="G36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BCĐKT</vt:lpstr>
      <vt:lpstr>BCKQHDKD</vt:lpstr>
      <vt:lpstr>PHÂN TÍCH DUPONT</vt:lpstr>
      <vt:lpstr>CHỈ SỐ TÀI CHÍNH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Duc Nguyen</cp:lastModifiedBy>
  <dcterms:created xsi:type="dcterms:W3CDTF">2021-10-14T13:24:09Z</dcterms:created>
  <dcterms:modified xsi:type="dcterms:W3CDTF">2025-04-13T09:52:55Z</dcterms:modified>
</cp:coreProperties>
</file>