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tal Marketing Data" sheetId="1" r:id="rId4"/>
    <sheet state="visible" name="Digital Marketing Data Dashboar" sheetId="2" r:id="rId5"/>
    <sheet state="visible" name="Sheet7" sheetId="3" r:id="rId6"/>
    <sheet state="visible" name="Olympics" sheetId="4" r:id="rId7"/>
    <sheet state="visible" name="Olympics Dashboard" sheetId="5" r:id="rId8"/>
  </sheets>
  <definedNames/>
  <calcPr/>
  <extLst>
    <ext uri="GoogleSheetsCustomDataVersion1">
      <go:sheetsCustomData xmlns:go="http://customooxmlschemas.google.com/" r:id="rId9" roundtripDataSignature="AMtx7mh8AyuzE38vMgGNmrDrhT+ZO8TQRg=="/>
    </ext>
  </extLst>
</workbook>
</file>

<file path=xl/sharedStrings.xml><?xml version="1.0" encoding="utf-8"?>
<sst xmlns="http://schemas.openxmlformats.org/spreadsheetml/2006/main" count="429" uniqueCount="112">
  <si>
    <t>Source</t>
  </si>
  <si>
    <t>Campaign Name</t>
  </si>
  <si>
    <t>Ad Group</t>
  </si>
  <si>
    <t>Impressions</t>
  </si>
  <si>
    <t>Clicks</t>
  </si>
  <si>
    <t>Cost</t>
  </si>
  <si>
    <t>Facebook</t>
  </si>
  <si>
    <t>Event</t>
  </si>
  <si>
    <t>Paid Workshop</t>
  </si>
  <si>
    <t>Instagram</t>
  </si>
  <si>
    <t>Promotion</t>
  </si>
  <si>
    <t>New User</t>
  </si>
  <si>
    <t>Retargeting</t>
  </si>
  <si>
    <t>Awareness</t>
  </si>
  <si>
    <t>Campaign</t>
  </si>
  <si>
    <t>Impression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</si>
  <si>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</si>
  <si>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</si>
  <si>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</si>
  <si>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</si>
  <si>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</si>
  <si>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</si>
  <si>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</si>
  <si>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</si>
  <si>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</si>
  <si>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</si>
  <si>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</si>
  <si>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</si>
  <si>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</si>
  <si>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</si>
  <si>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</si>
  <si>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</si>
  <si>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</si>
  <si>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</si>
  <si>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</si>
  <si>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</si>
  <si>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</si>
  <si>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</si>
  <si>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</si>
  <si>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</si>
  <si>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</si>
  <si>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</si>
  <si>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</si>
  <si>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</si>
  <si>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</si>
  <si>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</si>
  <si>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</si>
  <si>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</si>
  <si>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</si>
  <si>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</si>
  <si>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</si>
  <si>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</si>
  <si>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</si>
  <si>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</si>
  <si>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</si>
  <si>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</si>
  <si>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</si>
  <si>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</si>
  <si>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</si>
  <si>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</si>
  <si>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</si>
  <si>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</si>
  <si>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</si>
  <si>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</si>
  <si>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</si>
  <si>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</si>
  <si>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</si>
  <si>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</si>
  <si>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</si>
  <si>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</si>
  <si>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</si>
  <si>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</si>
  <si>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</si>
  <si>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</si>
  <si>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</si>
  <si>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</si>
  <si>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</si>
  <si>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</si>
  <si>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</si>
  <si>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</si>
  <si>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</si>
  <si>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</si>
  <si>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</si>
  <si>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</si>
  <si>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</si>
  <si>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</si>
  <si>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</si>
  <si>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</si>
  <si>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</si>
  <si>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</si>
  <si>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</si>
  <si>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</si>
  <si>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</si>
  <si>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</si>
  <si>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</si>
  <si>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</si>
  <si>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</si>
  <si>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</si>
  <si>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</si>
  <si>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</si>
  <si>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</si>
  <si>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</si>
  <si>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</si>
  <si>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</si>
  <si>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</si>
  <si>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</si>
  <si>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</si>
  <si>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</si>
  <si>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</si>
  <si>
    <t>2016 SUMMER OLYMPIC MEDAL TABLE</t>
  </si>
  <si>
    <t>2016 OLYMPIC MEDALS DATA</t>
  </si>
  <si>
    <t>Total Medals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</si>
</sst>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 ]#,##0"/>
  </numFmts>
  <fonts count="24">
    <font>
      <sz val="10.0"/>
      <color rgb="FF000000"/>
      <name val="Arial"/>
      <scheme val="minor"/>
    </font>
    <font>
      <b/>
      <sz val="12.0"/>
      <color rgb="FFFFFFFF"/>
      <name val="Roboto"/>
    </font>
    <font>
      <sz val="12.0"/>
      <color theme="1"/>
      <name val="Roboto"/>
    </font>
    <font>
      <sz val="11.0"/>
      <color theme="1"/>
      <name val="Roboto"/>
    </font>
    <font>
      <b/>
      <sz val="11.0"/>
      <color theme="1"/>
      <name val="Roboto"/>
    </font>
    <font>
      <sz val="10.0"/>
      <color rgb="FF000000"/>
      <name val="Roboto"/>
    </font>
    <font>
      <sz val="10.0"/>
      <color theme="1"/>
      <name val="Roboto"/>
    </font>
    <font>
      <sz val="11.0"/>
      <color rgb="FF000000"/>
      <name val="Inconsolata"/>
    </font>
    <font>
      <sz val="10.0"/>
      <color theme="1"/>
      <name val="Arial"/>
    </font>
    <font>
      <sz val="11.0"/>
      <color rgb="FF000000"/>
      <name val="Roboto"/>
    </font>
    <font>
      <b/>
      <sz val="18.0"/>
      <color rgb="FFFFFFFF"/>
      <name val="Calibri"/>
    </font>
    <font/>
    <font>
      <b/>
      <sz val="18.0"/>
      <color theme="1"/>
      <name val="Be vietnam"/>
    </font>
    <font>
      <b/>
      <sz val="12.0"/>
      <color rgb="FF000000"/>
      <name val="Arial"/>
    </font>
    <font>
      <b/>
      <sz val="14.0"/>
      <color theme="1"/>
      <name val="Be vietnam"/>
    </font>
    <font>
      <sz val="11.0"/>
      <color theme="1"/>
      <name val="Arial"/>
    </font>
    <font>
      <b/>
      <sz val="11.0"/>
      <color rgb="FF000000"/>
      <name val="Arial"/>
    </font>
    <font>
      <sz val="14.0"/>
      <color theme="1"/>
      <name val="Be vietnam"/>
    </font>
    <font>
      <sz val="12.0"/>
      <color theme="1"/>
      <name val="Be vietnam"/>
    </font>
    <font>
      <sz val="14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theme="1"/>
        <bgColor theme="1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2" numFmtId="0" xfId="0" applyBorder="1" applyFill="1" applyFont="1"/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0" fillId="0" fontId="2" numFmtId="0" xfId="0" applyFont="1"/>
    <xf borderId="0" fillId="0" fontId="3" numFmtId="0" xfId="0" applyFont="1"/>
    <xf borderId="2" fillId="5" fontId="4" numFmtId="0" xfId="0" applyBorder="1" applyFill="1" applyFont="1"/>
    <xf borderId="2" fillId="3" fontId="5" numFmtId="0" xfId="0" applyBorder="1" applyFont="1"/>
    <xf borderId="2" fillId="0" fontId="6" numFmtId="0" xfId="0" applyBorder="1" applyFont="1"/>
    <xf borderId="2" fillId="0" fontId="6" numFmtId="164" xfId="0" applyBorder="1" applyFont="1" applyNumberFormat="1"/>
    <xf borderId="0" fillId="0" fontId="4" numFmtId="0" xfId="0" applyFont="1"/>
    <xf borderId="0" fillId="0" fontId="6" numFmtId="0" xfId="0" applyFont="1"/>
    <xf borderId="1" fillId="3" fontId="5" numFmtId="0" xfId="0" applyBorder="1" applyFont="1"/>
    <xf borderId="1" fillId="3" fontId="7" numFmtId="0" xfId="0" applyBorder="1" applyFont="1"/>
    <xf borderId="0" fillId="0" fontId="3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3" fillId="6" fontId="10" numFmtId="0" xfId="0" applyAlignment="1" applyBorder="1" applyFill="1" applyFont="1">
      <alignment horizontal="center"/>
    </xf>
    <xf borderId="4" fillId="0" fontId="11" numFmtId="0" xfId="0" applyBorder="1" applyFont="1"/>
    <xf borderId="5" fillId="0" fontId="11" numFmtId="0" xfId="0" applyBorder="1" applyFont="1"/>
    <xf borderId="6" fillId="7" fontId="12" numFmtId="0" xfId="0" applyAlignment="1" applyBorder="1" applyFill="1" applyFont="1">
      <alignment horizontal="center" vertical="center"/>
    </xf>
    <xf borderId="7" fillId="0" fontId="11" numFmtId="0" xfId="0" applyBorder="1" applyFont="1"/>
    <xf borderId="2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readingOrder="0" vertical="center"/>
    </xf>
    <xf borderId="2" fillId="0" fontId="15" numFmtId="0" xfId="0" applyAlignment="1" applyBorder="1" applyFont="1">
      <alignment horizontal="right" vertical="center"/>
    </xf>
    <xf borderId="2" fillId="0" fontId="16" numFmtId="0" xfId="0" applyAlignment="1" applyBorder="1" applyFont="1">
      <alignment horizontal="left" vertical="center"/>
    </xf>
    <xf borderId="2" fillId="0" fontId="16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0" fillId="0" fontId="19" numFmtId="0" xfId="0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1" fillId="8" fontId="20" numFmtId="0" xfId="0" applyAlignment="1" applyBorder="1" applyFill="1" applyFont="1">
      <alignment horizontal="center"/>
    </xf>
    <xf borderId="1" fillId="8" fontId="8" numFmtId="0" xfId="0" applyBorder="1" applyFont="1"/>
    <xf borderId="2" fillId="8" fontId="8" numFmtId="0" xfId="0" applyBorder="1" applyFont="1"/>
    <xf borderId="2" fillId="0" fontId="21" numFmtId="0" xfId="0" applyAlignment="1" applyBorder="1" applyFont="1">
      <alignment horizontal="center" vertical="center"/>
    </xf>
    <xf borderId="2" fillId="0" fontId="8" numFmtId="0" xfId="0" applyBorder="1" applyFont="1"/>
    <xf borderId="0" fillId="0" fontId="14" numFmtId="0" xfId="0" applyAlignment="1" applyFont="1">
      <alignment horizontal="center" vertical="center"/>
    </xf>
    <xf borderId="2" fillId="0" fontId="22" numFmtId="0" xfId="0" applyAlignment="1" applyBorder="1" applyFont="1">
      <alignment horizontal="center" vertical="center"/>
    </xf>
    <xf borderId="2" fillId="3" fontId="23" numFmtId="0" xfId="0" applyAlignment="1" applyBorder="1" applyFont="1">
      <alignment vertical="center"/>
    </xf>
    <xf borderId="0" fillId="0" fontId="2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Cost VS Impression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'Digital Marketing Data Dashboar'!$L$18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Dashboar'!$L$18</c:f>
            </c:strRef>
          </c:xVal>
          <c:yVal>
            <c:numRef>
              <c:f>'Digital Marketing Data Dashboar'!$J$18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'Digital Marketing Data Dashboar'!$L$19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Dashboar'!$L$19</c:f>
            </c:strRef>
          </c:xVal>
          <c:yVal>
            <c:numRef>
              <c:f>'Digital Marketing Data Dashboar'!$J$19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'Digital Marketing Data Dashboar'!$L$20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Dashboar'!$L$20</c:f>
            </c:strRef>
          </c:xVal>
          <c:yVal>
            <c:numRef>
              <c:f>'Digital Marketing Data Dashboar'!$J$20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'Digital Marketing Data Dashboar'!$L$21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Dashboar'!$L$21</c:f>
            </c:strRef>
          </c:xVal>
          <c:yVal>
            <c:numRef>
              <c:f>'Digital Marketing Data Dashboar'!$J$21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'Digital Marketing Data Dashboar'!$L$22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Dashboar'!$L$22</c:f>
            </c:strRef>
          </c:xVal>
          <c:yVal>
            <c:numRef>
              <c:f>'Digital Marketing Data Dashboar'!$J$22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'Digital Marketing Data Dashboar'!$L$23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Dashboar'!$L$23</c:f>
            </c:strRef>
          </c:xVal>
          <c:yVal>
            <c:numRef>
              <c:f>'Digital Marketing Data Dashboar'!$J$23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'Digital Marketing Data Dashboar'!$L$24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Dashboar'!$L$24</c:f>
            </c:strRef>
          </c:xVal>
          <c:yVal>
            <c:numRef>
              <c:f>'Digital Marketing Data Dashboar'!$J$24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'Digital Marketing Data Dashboar'!$L$25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Dashboar'!$L$25</c:f>
            </c:strRef>
          </c:xVal>
          <c:yVal>
            <c:numRef>
              <c:f>'Digital Marketing Data Dashboar'!$J$25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'Digital Marketing Data Dashboar'!$L$26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Dashboar'!$L$26</c:f>
            </c:strRef>
          </c:xVal>
          <c:yVal>
            <c:numRef>
              <c:f>'Digital Marketing Data Dashboar'!$J$26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'Digital Marketing Data Dashboar'!$L$27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Dashboar'!$L$27</c:f>
            </c:strRef>
          </c:xVal>
          <c:yVal>
            <c:numRef>
              <c:f>'Digital Marketing Data Dashboar'!$J$27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'Digital Marketing Data Dashboar'!$L$28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Dashboar'!$L$28</c:f>
            </c:strRef>
          </c:xVal>
          <c:yVal>
            <c:numRef>
              <c:f>'Digital Marketing Data Dashboar'!$J$28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'Digital Marketing Data Dashboar'!$L$29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Dashboar'!$L$29</c:f>
            </c:strRef>
          </c:xVal>
          <c:yVal>
            <c:numRef>
              <c:f>'Digital Marketing Data Dashboar'!$J$29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'Digital Marketing Data Dashboar'!$L$30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Dashboar'!$L$30</c:f>
            </c:strRef>
          </c:xVal>
          <c:yVal>
            <c:numRef>
              <c:f>'Digital Marketing Data Dashboar'!$J$30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'Digital Marketing Data Dashboar'!$L$31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Dashboar'!$L$31</c:f>
            </c:strRef>
          </c:xVal>
          <c:yVal>
            <c:numRef>
              <c:f>'Digital Marketing Data Dashboar'!$J$31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01682497"/>
        <c:axId val="976641738"/>
      </c:bubbleChart>
      <c:valAx>
        <c:axId val="1301682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76641738"/>
      </c:valAx>
      <c:valAx>
        <c:axId val="976641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016824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Cost VS Impression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Sheet7!$L$18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Sheet7!$L$18</c:f>
            </c:strRef>
          </c:xVal>
          <c:yVal>
            <c:numRef>
              <c:f>Sheet7!$J$18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Sheet7!$L$19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Sheet7!$L$19</c:f>
            </c:strRef>
          </c:xVal>
          <c:yVal>
            <c:numRef>
              <c:f>Sheet7!$J$19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Sheet7!$L$20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Sheet7!$L$20</c:f>
            </c:strRef>
          </c:xVal>
          <c:yVal>
            <c:numRef>
              <c:f>Sheet7!$J$20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Sheet7!$L$21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Sheet7!$L$21</c:f>
            </c:strRef>
          </c:xVal>
          <c:yVal>
            <c:numRef>
              <c:f>Sheet7!$J$21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Sheet7!$L$22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Sheet7!$L$22</c:f>
            </c:strRef>
          </c:xVal>
          <c:yVal>
            <c:numRef>
              <c:f>Sheet7!$J$22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Sheet7!$L$23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Sheet7!$L$23</c:f>
            </c:strRef>
          </c:xVal>
          <c:yVal>
            <c:numRef>
              <c:f>Sheet7!$J$23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Sheet7!$L$24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Sheet7!$L$24</c:f>
            </c:strRef>
          </c:xVal>
          <c:yVal>
            <c:numRef>
              <c:f>Sheet7!$J$24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Sheet7!$L$25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Sheet7!$L$25</c:f>
            </c:strRef>
          </c:xVal>
          <c:yVal>
            <c:numRef>
              <c:f>Sheet7!$J$25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Sheet7!$L$26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Sheet7!$L$26</c:f>
            </c:strRef>
          </c:xVal>
          <c:yVal>
            <c:numRef>
              <c:f>Sheet7!$J$26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Sheet7!$L$27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Sheet7!$L$27</c:f>
            </c:strRef>
          </c:xVal>
          <c:yVal>
            <c:numRef>
              <c:f>Sheet7!$J$27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Sheet7!$L$28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Sheet7!$L$28</c:f>
            </c:strRef>
          </c:xVal>
          <c:yVal>
            <c:numRef>
              <c:f>Sheet7!$J$28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Sheet7!$L$29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Sheet7!$L$29</c:f>
            </c:strRef>
          </c:xVal>
          <c:yVal>
            <c:numRef>
              <c:f>Sheet7!$J$29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Sheet7!$L$30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Sheet7!$L$30</c:f>
            </c:strRef>
          </c:xVal>
          <c:yVal>
            <c:numRef>
              <c:f>Sheet7!$J$30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Sheet7!$L$31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Sheet7!$L$31</c:f>
            </c:strRef>
          </c:xVal>
          <c:yVal>
            <c:numRef>
              <c:f>Sheet7!$J$31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53371310"/>
        <c:axId val="1058751392"/>
      </c:bubbleChart>
      <c:valAx>
        <c:axId val="2053371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58751392"/>
      </c:valAx>
      <c:valAx>
        <c:axId val="105875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533713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Gold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Dashboard'!$B$3</c:f>
              <c:numCache/>
            </c:numRef>
          </c:val>
        </c:ser>
        <c:ser>
          <c:idx val="1"/>
          <c:order val="1"/>
          <c:tx>
            <c:v>Silver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Dashboard'!$C$3</c:f>
              <c:numCache/>
            </c:numRef>
          </c:val>
        </c:ser>
        <c:ser>
          <c:idx val="2"/>
          <c:order val="2"/>
          <c:tx>
            <c:v>Bronze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Dashboard'!$D$3</c:f>
              <c:numCache/>
            </c:numRef>
          </c:val>
        </c:ser>
        <c:axId val="1904364147"/>
        <c:axId val="1978790778"/>
      </c:barChart>
      <c:catAx>
        <c:axId val="190436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78790778"/>
      </c:catAx>
      <c:valAx>
        <c:axId val="197879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043641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Medals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'Olympics Dashboard'!$B$15:$B$19</c:f>
            </c:numRef>
          </c:xVal>
          <c:yVal>
            <c:numRef>
              <c:f>'Olympics Dashboard'!$C$15:$C$19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78270"/>
        <c:axId val="2058328708"/>
      </c:scatterChart>
      <c:valAx>
        <c:axId val="1244278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58328708"/>
      </c:valAx>
      <c:valAx>
        <c:axId val="2058328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442782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Dashboard'!$K$2:$M$2</c:f>
            </c:strRef>
          </c:cat>
          <c:val>
            <c:numRef>
              <c:f>'Olympics Dashboard'!$K$3:$M$3</c:f>
              <c:numCache/>
            </c:numRef>
          </c:val>
        </c:ser>
        <c:axId val="1603389405"/>
        <c:axId val="417454720"/>
      </c:barChart>
      <c:catAx>
        <c:axId val="1603389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17454720"/>
      </c:catAx>
      <c:valAx>
        <c:axId val="41745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033894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Total Medals vs.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Medals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'Olympics Dashboard'!$K$15:$K$19</c:f>
            </c:numRef>
          </c:xVal>
          <c:yVal>
            <c:numRef>
              <c:f>'Olympics Dashboard'!$L$15:$L$19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8411"/>
        <c:axId val="429358229"/>
      </c:scatterChart>
      <c:valAx>
        <c:axId val="174238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29358229"/>
      </c:valAx>
      <c:valAx>
        <c:axId val="42935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42384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15</xdr:row>
      <xdr:rowOff>200025</xdr:rowOff>
    </xdr:from>
    <xdr:ext cx="5457825" cy="3343275"/>
    <xdr:graphicFrame>
      <xdr:nvGraphicFramePr>
        <xdr:cNvPr id="14767022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15</xdr:row>
      <xdr:rowOff>200025</xdr:rowOff>
    </xdr:from>
    <xdr:ext cx="5457825" cy="3343275"/>
    <xdr:graphicFrame>
      <xdr:nvGraphicFramePr>
        <xdr:cNvPr id="20124995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361950</xdr:rowOff>
    </xdr:from>
    <xdr:ext cx="6181725" cy="3400425"/>
    <xdr:graphicFrame>
      <xdr:nvGraphicFramePr>
        <xdr:cNvPr id="61765482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12</xdr:row>
      <xdr:rowOff>9525</xdr:rowOff>
    </xdr:from>
    <xdr:ext cx="7543800" cy="2257425"/>
    <xdr:graphicFrame>
      <xdr:nvGraphicFramePr>
        <xdr:cNvPr id="66846818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2</xdr:row>
      <xdr:rowOff>361950</xdr:rowOff>
    </xdr:from>
    <xdr:ext cx="5715000" cy="3400425"/>
    <xdr:graphicFrame>
      <xdr:nvGraphicFramePr>
        <xdr:cNvPr id="91697841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9525</xdr:colOff>
      <xdr:row>12</xdr:row>
      <xdr:rowOff>9525</xdr:rowOff>
    </xdr:from>
    <xdr:ext cx="8039100" cy="2257425"/>
    <xdr:graphicFrame>
      <xdr:nvGraphicFramePr>
        <xdr:cNvPr id="201814464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7.75"/>
    <col customWidth="1" min="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9" width="14.38"/>
    <col customWidth="1" min="10" max="10" width="17.63"/>
    <col customWidth="1" min="11" max="11" width="13.25"/>
    <col customWidth="1" min="12" max="12" width="9.63"/>
    <col customWidth="1" min="13" max="26" width="14.38"/>
  </cols>
  <sheetData>
    <row r="1" ht="21.75" customHeight="1">
      <c r="A1" s="8" t="s">
        <v>0</v>
      </c>
      <c r="B1" s="8" t="s">
        <v>14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  <c r="G2" s="9"/>
      <c r="H2" s="10" t="s">
        <v>6</v>
      </c>
      <c r="J2" s="9"/>
      <c r="P2" s="9"/>
      <c r="Q2" s="9"/>
      <c r="R2" s="9"/>
      <c r="S2" s="9"/>
      <c r="T2" s="9"/>
      <c r="U2" s="9"/>
      <c r="V2" s="9"/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  <c r="G3" s="9"/>
      <c r="H3" s="10"/>
      <c r="J3" s="9"/>
      <c r="P3" s="9"/>
      <c r="Q3" s="9"/>
      <c r="R3" s="9"/>
      <c r="S3" s="9"/>
      <c r="T3" s="9"/>
      <c r="U3" s="9"/>
      <c r="V3" s="9"/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  <c r="G4" s="9"/>
      <c r="H4" s="9"/>
      <c r="I4" s="9"/>
      <c r="J4" s="9"/>
      <c r="P4" s="9"/>
      <c r="Q4" s="9"/>
      <c r="R4" s="9"/>
      <c r="S4" s="9"/>
      <c r="T4" s="9"/>
      <c r="U4" s="9"/>
      <c r="V4" s="9"/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  <c r="G5" s="9"/>
      <c r="P5" s="9"/>
      <c r="Q5" s="9"/>
      <c r="R5" s="9"/>
      <c r="S5" s="9"/>
      <c r="T5" s="9"/>
      <c r="U5" s="9"/>
      <c r="V5" s="9"/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  <c r="G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  <c r="G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  <c r="G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  <c r="G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  <c r="G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  <c r="G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  <c r="G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  <c r="G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  <c r="G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  <c r="G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  <c r="G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  <c r="G17" s="9"/>
      <c r="H17" s="11" t="s">
        <v>0</v>
      </c>
      <c r="I17" s="11" t="s">
        <v>14</v>
      </c>
      <c r="J17" s="11" t="s">
        <v>2</v>
      </c>
      <c r="K17" s="11" t="s">
        <v>15</v>
      </c>
      <c r="L17" s="11" t="s">
        <v>4</v>
      </c>
      <c r="M17" s="11" t="s">
        <v>5</v>
      </c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  <c r="G18" s="9"/>
      <c r="H18" s="12" t="str">
        <f>IFERROR(__xludf.DUMMYFUNCTION("IF(len(H2) &gt; 1, FILTER(A1:F29, REGEXMATCH(A1:A29, H2)), A2:F29)"),"Facebook")</f>
        <v>Facebook</v>
      </c>
      <c r="I18" s="13" t="str">
        <f>IFERROR(__xludf.DUMMYFUNCTION("""COMPUTED_VALUE"""),"Event")</f>
        <v>Event</v>
      </c>
      <c r="J18" s="13" t="str">
        <f>IFERROR(__xludf.DUMMYFUNCTION("""COMPUTED_VALUE"""),"Paid Workshop")</f>
        <v>Paid Workshop</v>
      </c>
      <c r="K18" s="13">
        <f>IFERROR(__xludf.DUMMYFUNCTION("""COMPUTED_VALUE"""),161.0)</f>
        <v>161</v>
      </c>
      <c r="L18" s="13">
        <f>IFERROR(__xludf.DUMMYFUNCTION("""COMPUTED_VALUE"""),15.0)</f>
        <v>15</v>
      </c>
      <c r="M18" s="14">
        <f>IFERROR(__xludf.DUMMYFUNCTION("""COMPUTED_VALUE"""),688610.0)</f>
        <v>688610</v>
      </c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  <c r="G19" s="9"/>
      <c r="H19" s="13" t="str">
        <f>IFERROR(__xludf.DUMMYFUNCTION("""COMPUTED_VALUE"""),"Facebook")</f>
        <v>Facebook</v>
      </c>
      <c r="I19" s="13" t="str">
        <f>IFERROR(__xludf.DUMMYFUNCTION("""COMPUTED_VALUE"""),"Promotion")</f>
        <v>Promotion</v>
      </c>
      <c r="J19" s="13" t="str">
        <f>IFERROR(__xludf.DUMMYFUNCTION("""COMPUTED_VALUE"""),"Retargeting")</f>
        <v>Retargeting</v>
      </c>
      <c r="K19" s="13">
        <f>IFERROR(__xludf.DUMMYFUNCTION("""COMPUTED_VALUE"""),115.0)</f>
        <v>115</v>
      </c>
      <c r="L19" s="13">
        <f>IFERROR(__xludf.DUMMYFUNCTION("""COMPUTED_VALUE"""),9.0)</f>
        <v>9</v>
      </c>
      <c r="M19" s="14">
        <f>IFERROR(__xludf.DUMMYFUNCTION("""COMPUTED_VALUE"""),505964.0)</f>
        <v>505964</v>
      </c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  <c r="G20" s="9"/>
      <c r="H20" s="13" t="str">
        <f>IFERROR(__xludf.DUMMYFUNCTION("""COMPUTED_VALUE"""),"Facebook")</f>
        <v>Facebook</v>
      </c>
      <c r="I20" s="13" t="str">
        <f>IFERROR(__xludf.DUMMYFUNCTION("""COMPUTED_VALUE"""),"Promotion")</f>
        <v>Promotion</v>
      </c>
      <c r="J20" s="13" t="str">
        <f>IFERROR(__xludf.DUMMYFUNCTION("""COMPUTED_VALUE"""),"New User")</f>
        <v>New User</v>
      </c>
      <c r="K20" s="13">
        <f>IFERROR(__xludf.DUMMYFUNCTION("""COMPUTED_VALUE"""),294.0)</f>
        <v>294</v>
      </c>
      <c r="L20" s="13">
        <f>IFERROR(__xludf.DUMMYFUNCTION("""COMPUTED_VALUE"""),19.0)</f>
        <v>19</v>
      </c>
      <c r="M20" s="14">
        <f>IFERROR(__xludf.DUMMYFUNCTION("""COMPUTED_VALUE"""),511307.0)</f>
        <v>511307</v>
      </c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  <c r="G21" s="9"/>
      <c r="H21" s="13" t="str">
        <f>IFERROR(__xludf.DUMMYFUNCTION("""COMPUTED_VALUE"""),"Facebook")</f>
        <v>Facebook</v>
      </c>
      <c r="I21" s="13" t="str">
        <f>IFERROR(__xludf.DUMMYFUNCTION("""COMPUTED_VALUE"""),"Promotion")</f>
        <v>Promotion</v>
      </c>
      <c r="J21" s="13" t="str">
        <f>IFERROR(__xludf.DUMMYFUNCTION("""COMPUTED_VALUE"""),"Paid Workshop")</f>
        <v>Paid Workshop</v>
      </c>
      <c r="K21" s="13">
        <f>IFERROR(__xludf.DUMMYFUNCTION("""COMPUTED_VALUE"""),248.0)</f>
        <v>248</v>
      </c>
      <c r="L21" s="13">
        <f>IFERROR(__xludf.DUMMYFUNCTION("""COMPUTED_VALUE"""),11.0)</f>
        <v>11</v>
      </c>
      <c r="M21" s="14">
        <f>IFERROR(__xludf.DUMMYFUNCTION("""COMPUTED_VALUE"""),611479.0)</f>
        <v>611479</v>
      </c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  <c r="G22" s="9"/>
      <c r="H22" s="13" t="str">
        <f>IFERROR(__xludf.DUMMYFUNCTION("""COMPUTED_VALUE"""),"Facebook")</f>
        <v>Facebook</v>
      </c>
      <c r="I22" s="13" t="str">
        <f>IFERROR(__xludf.DUMMYFUNCTION("""COMPUTED_VALUE"""),"Event")</f>
        <v>Event</v>
      </c>
      <c r="J22" s="13" t="str">
        <f>IFERROR(__xludf.DUMMYFUNCTION("""COMPUTED_VALUE"""),"New User")</f>
        <v>New User</v>
      </c>
      <c r="K22" s="13">
        <f>IFERROR(__xludf.DUMMYFUNCTION("""COMPUTED_VALUE"""),177.0)</f>
        <v>177</v>
      </c>
      <c r="L22" s="13">
        <f>IFERROR(__xludf.DUMMYFUNCTION("""COMPUTED_VALUE"""),14.0)</f>
        <v>14</v>
      </c>
      <c r="M22" s="14">
        <f>IFERROR(__xludf.DUMMYFUNCTION("""COMPUTED_VALUE"""),520710.0)</f>
        <v>520710</v>
      </c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  <c r="G23" s="9"/>
      <c r="H23" s="13" t="str">
        <f>IFERROR(__xludf.DUMMYFUNCTION("""COMPUTED_VALUE"""),"Facebook")</f>
        <v>Facebook</v>
      </c>
      <c r="I23" s="13" t="str">
        <f>IFERROR(__xludf.DUMMYFUNCTION("""COMPUTED_VALUE"""),"Awareness")</f>
        <v>Awareness</v>
      </c>
      <c r="J23" s="13" t="str">
        <f>IFERROR(__xludf.DUMMYFUNCTION("""COMPUTED_VALUE"""),"Paid Workshop")</f>
        <v>Paid Workshop</v>
      </c>
      <c r="K23" s="13">
        <f>IFERROR(__xludf.DUMMYFUNCTION("""COMPUTED_VALUE"""),207.0)</f>
        <v>207</v>
      </c>
      <c r="L23" s="13">
        <f>IFERROR(__xludf.DUMMYFUNCTION("""COMPUTED_VALUE"""),13.0)</f>
        <v>13</v>
      </c>
      <c r="M23" s="14">
        <f>IFERROR(__xludf.DUMMYFUNCTION("""COMPUTED_VALUE"""),531880.0)</f>
        <v>531880</v>
      </c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  <c r="G24" s="9"/>
      <c r="H24" s="13" t="str">
        <f>IFERROR(__xludf.DUMMYFUNCTION("""COMPUTED_VALUE"""),"Facebook")</f>
        <v>Facebook</v>
      </c>
      <c r="I24" s="13" t="str">
        <f>IFERROR(__xludf.DUMMYFUNCTION("""COMPUTED_VALUE"""),"Awareness")</f>
        <v>Awareness</v>
      </c>
      <c r="J24" s="13" t="str">
        <f>IFERROR(__xludf.DUMMYFUNCTION("""COMPUTED_VALUE"""),"Retargeting")</f>
        <v>Retargeting</v>
      </c>
      <c r="K24" s="13">
        <f>IFERROR(__xludf.DUMMYFUNCTION("""COMPUTED_VALUE"""),144.0)</f>
        <v>144</v>
      </c>
      <c r="L24" s="13">
        <f>IFERROR(__xludf.DUMMYFUNCTION("""COMPUTED_VALUE"""),7.0)</f>
        <v>7</v>
      </c>
      <c r="M24" s="14">
        <f>IFERROR(__xludf.DUMMYFUNCTION("""COMPUTED_VALUE"""),672362.0)</f>
        <v>672362</v>
      </c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  <c r="G25" s="9"/>
      <c r="H25" s="13" t="str">
        <f>IFERROR(__xludf.DUMMYFUNCTION("""COMPUTED_VALUE"""),"Facebook")</f>
        <v>Facebook</v>
      </c>
      <c r="I25" s="13" t="str">
        <f>IFERROR(__xludf.DUMMYFUNCTION("""COMPUTED_VALUE"""),"Event")</f>
        <v>Event</v>
      </c>
      <c r="J25" s="13" t="str">
        <f>IFERROR(__xludf.DUMMYFUNCTION("""COMPUTED_VALUE"""),"New User")</f>
        <v>New User</v>
      </c>
      <c r="K25" s="13">
        <f>IFERROR(__xludf.DUMMYFUNCTION("""COMPUTED_VALUE"""),182.0)</f>
        <v>182</v>
      </c>
      <c r="L25" s="13">
        <f>IFERROR(__xludf.DUMMYFUNCTION("""COMPUTED_VALUE"""),8.0)</f>
        <v>8</v>
      </c>
      <c r="M25" s="14">
        <f>IFERROR(__xludf.DUMMYFUNCTION("""COMPUTED_VALUE"""),514186.0)</f>
        <v>514186</v>
      </c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  <c r="G26" s="9"/>
      <c r="H26" s="13" t="str">
        <f>IFERROR(__xludf.DUMMYFUNCTION("""COMPUTED_VALUE"""),"Facebook")</f>
        <v>Facebook</v>
      </c>
      <c r="I26" s="13" t="str">
        <f>IFERROR(__xludf.DUMMYFUNCTION("""COMPUTED_VALUE"""),"Event")</f>
        <v>Event</v>
      </c>
      <c r="J26" s="13" t="str">
        <f>IFERROR(__xludf.DUMMYFUNCTION("""COMPUTED_VALUE"""),"Retargeting")</f>
        <v>Retargeting</v>
      </c>
      <c r="K26" s="13">
        <f>IFERROR(__xludf.DUMMYFUNCTION("""COMPUTED_VALUE"""),277.0)</f>
        <v>277</v>
      </c>
      <c r="L26" s="13">
        <f>IFERROR(__xludf.DUMMYFUNCTION("""COMPUTED_VALUE"""),19.0)</f>
        <v>19</v>
      </c>
      <c r="M26" s="14">
        <f>IFERROR(__xludf.DUMMYFUNCTION("""COMPUTED_VALUE"""),536368.0)</f>
        <v>536368</v>
      </c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  <c r="G27" s="9"/>
      <c r="H27" s="13" t="str">
        <f>IFERROR(__xludf.DUMMYFUNCTION("""COMPUTED_VALUE"""),"Facebook")</f>
        <v>Facebook</v>
      </c>
      <c r="I27" s="13" t="str">
        <f>IFERROR(__xludf.DUMMYFUNCTION("""COMPUTED_VALUE"""),"Promotion")</f>
        <v>Promotion</v>
      </c>
      <c r="J27" s="13" t="str">
        <f>IFERROR(__xludf.DUMMYFUNCTION("""COMPUTED_VALUE"""),"New User")</f>
        <v>New User</v>
      </c>
      <c r="K27" s="13">
        <f>IFERROR(__xludf.DUMMYFUNCTION("""COMPUTED_VALUE"""),189.0)</f>
        <v>189</v>
      </c>
      <c r="L27" s="13">
        <f>IFERROR(__xludf.DUMMYFUNCTION("""COMPUTED_VALUE"""),13.0)</f>
        <v>13</v>
      </c>
      <c r="M27" s="14">
        <f>IFERROR(__xludf.DUMMYFUNCTION("""COMPUTED_VALUE"""),526191.0)</f>
        <v>526191</v>
      </c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  <c r="G28" s="9"/>
      <c r="H28" s="13" t="str">
        <f>IFERROR(__xludf.DUMMYFUNCTION("""COMPUTED_VALUE"""),"Facebook")</f>
        <v>Facebook</v>
      </c>
      <c r="I28" s="13" t="str">
        <f>IFERROR(__xludf.DUMMYFUNCTION("""COMPUTED_VALUE"""),"Awareness")</f>
        <v>Awareness</v>
      </c>
      <c r="J28" s="13" t="str">
        <f>IFERROR(__xludf.DUMMYFUNCTION("""COMPUTED_VALUE"""),"Paid Workshop")</f>
        <v>Paid Workshop</v>
      </c>
      <c r="K28" s="13">
        <f>IFERROR(__xludf.DUMMYFUNCTION("""COMPUTED_VALUE"""),257.0)</f>
        <v>257</v>
      </c>
      <c r="L28" s="13">
        <f>IFERROR(__xludf.DUMMYFUNCTION("""COMPUTED_VALUE"""),20.0)</f>
        <v>20</v>
      </c>
      <c r="M28" s="14">
        <f>IFERROR(__xludf.DUMMYFUNCTION("""COMPUTED_VALUE"""),539187.0)</f>
        <v>539187</v>
      </c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  <c r="G29" s="9"/>
      <c r="H29" s="13" t="str">
        <f>IFERROR(__xludf.DUMMYFUNCTION("""COMPUTED_VALUE"""),"Facebook")</f>
        <v>Facebook</v>
      </c>
      <c r="I29" s="13" t="str">
        <f>IFERROR(__xludf.DUMMYFUNCTION("""COMPUTED_VALUE"""),"Event")</f>
        <v>Event</v>
      </c>
      <c r="J29" s="13" t="str">
        <f>IFERROR(__xludf.DUMMYFUNCTION("""COMPUTED_VALUE"""),"Paid Workshop")</f>
        <v>Paid Workshop</v>
      </c>
      <c r="K29" s="13">
        <f>IFERROR(__xludf.DUMMYFUNCTION("""COMPUTED_VALUE"""),165.0)</f>
        <v>165</v>
      </c>
      <c r="L29" s="13">
        <f>IFERROR(__xludf.DUMMYFUNCTION("""COMPUTED_VALUE"""),12.0)</f>
        <v>12</v>
      </c>
      <c r="M29" s="14">
        <f>IFERROR(__xludf.DUMMYFUNCTION("""COMPUTED_VALUE"""),530523.0)</f>
        <v>530523</v>
      </c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A30" s="9"/>
      <c r="B30" s="9"/>
      <c r="C30" s="9"/>
      <c r="D30" s="9"/>
      <c r="E30" s="9"/>
      <c r="F30" s="9"/>
      <c r="G30" s="9"/>
      <c r="H30" s="13" t="str">
        <f>IFERROR(__xludf.DUMMYFUNCTION("""COMPUTED_VALUE"""),"Facebook")</f>
        <v>Facebook</v>
      </c>
      <c r="I30" s="13" t="str">
        <f>IFERROR(__xludf.DUMMYFUNCTION("""COMPUTED_VALUE"""),"Awareness")</f>
        <v>Awareness</v>
      </c>
      <c r="J30" s="13" t="str">
        <f>IFERROR(__xludf.DUMMYFUNCTION("""COMPUTED_VALUE"""),"New User")</f>
        <v>New User</v>
      </c>
      <c r="K30" s="13">
        <f>IFERROR(__xludf.DUMMYFUNCTION("""COMPUTED_VALUE"""),273.0)</f>
        <v>273</v>
      </c>
      <c r="L30" s="13">
        <f>IFERROR(__xludf.DUMMYFUNCTION("""COMPUTED_VALUE"""),8.0)</f>
        <v>8</v>
      </c>
      <c r="M30" s="14">
        <f>IFERROR(__xludf.DUMMYFUNCTION("""COMPUTED_VALUE"""),591502.0)</f>
        <v>591502</v>
      </c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A31" s="15"/>
      <c r="B31" s="15"/>
      <c r="C31" s="15"/>
      <c r="D31" s="15"/>
      <c r="E31" s="15"/>
      <c r="F31" s="9"/>
      <c r="G31" s="9"/>
      <c r="H31" s="13" t="str">
        <f>IFERROR(__xludf.DUMMYFUNCTION("""COMPUTED_VALUE"""),"Facebook")</f>
        <v>Facebook</v>
      </c>
      <c r="I31" s="13" t="str">
        <f>IFERROR(__xludf.DUMMYFUNCTION("""COMPUTED_VALUE"""),"Awareness")</f>
        <v>Awareness</v>
      </c>
      <c r="J31" s="13" t="str">
        <f>IFERROR(__xludf.DUMMYFUNCTION("""COMPUTED_VALUE"""),"New User")</f>
        <v>New User</v>
      </c>
      <c r="K31" s="13">
        <f>IFERROR(__xludf.DUMMYFUNCTION("""COMPUTED_VALUE"""),279.0)</f>
        <v>279</v>
      </c>
      <c r="L31" s="13">
        <f>IFERROR(__xludf.DUMMYFUNCTION("""COMPUTED_VALUE"""),15.0)</f>
        <v>15</v>
      </c>
      <c r="M31" s="14">
        <f>IFERROR(__xludf.DUMMYFUNCTION("""COMPUTED_VALUE"""),508042.0)</f>
        <v>508042</v>
      </c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A32" s="16"/>
      <c r="B32" s="16"/>
      <c r="C32" s="17"/>
      <c r="D32" s="17"/>
      <c r="E32" s="1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2"/>
    <mergeCell ref="H3:I3"/>
  </mergeCells>
  <dataValidations>
    <dataValidation type="list" allowBlank="1" sqref="H2 A31 A36">
      <formula1>$A$2:$A$29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9" width="14.38"/>
    <col customWidth="1" min="10" max="10" width="17.63"/>
    <col customWidth="1" min="11" max="11" width="13.25"/>
    <col customWidth="1" min="12" max="12" width="9.63"/>
    <col customWidth="1" min="13" max="26" width="14.38"/>
  </cols>
  <sheetData>
    <row r="1" ht="21.75" customHeight="1">
      <c r="A1" s="8" t="s">
        <v>0</v>
      </c>
      <c r="B1" s="8" t="s">
        <v>14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  <c r="G2" s="9"/>
      <c r="H2" s="19" t="s">
        <v>9</v>
      </c>
      <c r="J2" s="9"/>
      <c r="P2" s="9"/>
      <c r="Q2" s="9"/>
      <c r="R2" s="9"/>
      <c r="S2" s="9"/>
      <c r="T2" s="9"/>
      <c r="U2" s="9"/>
      <c r="V2" s="9"/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  <c r="G3" s="9"/>
      <c r="H3" s="19" t="s">
        <v>7</v>
      </c>
      <c r="J3" s="9"/>
      <c r="P3" s="9"/>
      <c r="Q3" s="9"/>
      <c r="R3" s="9"/>
      <c r="S3" s="9"/>
      <c r="T3" s="9"/>
      <c r="U3" s="9"/>
      <c r="V3" s="9"/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  <c r="G4" s="9"/>
      <c r="H4" s="9"/>
      <c r="I4" s="9"/>
      <c r="J4" s="9"/>
      <c r="P4" s="9"/>
      <c r="Q4" s="9"/>
      <c r="R4" s="9"/>
      <c r="S4" s="9"/>
      <c r="T4" s="9"/>
      <c r="U4" s="9"/>
      <c r="V4" s="9"/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  <c r="G5" s="9"/>
      <c r="P5" s="9"/>
      <c r="Q5" s="9"/>
      <c r="R5" s="9"/>
      <c r="S5" s="9"/>
      <c r="T5" s="9"/>
      <c r="U5" s="9"/>
      <c r="V5" s="9"/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  <c r="G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  <c r="G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  <c r="G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  <c r="G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  <c r="G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  <c r="G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  <c r="G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  <c r="G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  <c r="G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  <c r="G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  <c r="G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  <c r="G17" s="9"/>
      <c r="H17" s="11" t="s">
        <v>0</v>
      </c>
      <c r="I17" s="11" t="s">
        <v>14</v>
      </c>
      <c r="J17" s="11" t="s">
        <v>2</v>
      </c>
      <c r="K17" s="11" t="s">
        <v>15</v>
      </c>
      <c r="L17" s="11" t="s">
        <v>4</v>
      </c>
      <c r="M17" s="11" t="s">
        <v>5</v>
      </c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  <c r="G18" s="9"/>
      <c r="H18" s="12" t="str">
        <f>IFERROR(__xludf.DUMMYFUNCTION("IF(
len(H3) &gt; 1, 
IF(
    H2 = """", 
    FILTER(A1:F29, REGEXMATCH(B1:B29, H3)), 
    FILTER(A1:F29, REGEXMATCH(B1:B29, H3), REGEXMATCH(A1:A29, H2))
    ),
FILTER(A2:F29, REGEXMATCH(A2:A29, "".+""))
)"),"Instagram")</f>
        <v>Instagram</v>
      </c>
      <c r="I18" s="13" t="str">
        <f>IFERROR(__xludf.DUMMYFUNCTION("""COMPUTED_VALUE"""),"Event")</f>
        <v>Event</v>
      </c>
      <c r="J18" s="13" t="str">
        <f>IFERROR(__xludf.DUMMYFUNCTION("""COMPUTED_VALUE"""),"New User")</f>
        <v>New User</v>
      </c>
      <c r="K18" s="13">
        <f>IFERROR(__xludf.DUMMYFUNCTION("""COMPUTED_VALUE"""),189.0)</f>
        <v>189</v>
      </c>
      <c r="L18" s="13">
        <f>IFERROR(__xludf.DUMMYFUNCTION("""COMPUTED_VALUE"""),13.0)</f>
        <v>13</v>
      </c>
      <c r="M18" s="14">
        <f>IFERROR(__xludf.DUMMYFUNCTION("""COMPUTED_VALUE"""),543680.0)</f>
        <v>543680</v>
      </c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  <c r="G19" s="9"/>
      <c r="H19" s="13" t="str">
        <f>IFERROR(__xludf.DUMMYFUNCTION("""COMPUTED_VALUE"""),"Instagram")</f>
        <v>Instagram</v>
      </c>
      <c r="I19" s="13" t="str">
        <f>IFERROR(__xludf.DUMMYFUNCTION("""COMPUTED_VALUE"""),"Event")</f>
        <v>Event</v>
      </c>
      <c r="J19" s="13" t="str">
        <f>IFERROR(__xludf.DUMMYFUNCTION("""COMPUTED_VALUE"""),"Paid Workshop")</f>
        <v>Paid Workshop</v>
      </c>
      <c r="K19" s="13">
        <f>IFERROR(__xludf.DUMMYFUNCTION("""COMPUTED_VALUE"""),296.0)</f>
        <v>296</v>
      </c>
      <c r="L19" s="13">
        <f>IFERROR(__xludf.DUMMYFUNCTION("""COMPUTED_VALUE"""),16.0)</f>
        <v>16</v>
      </c>
      <c r="M19" s="14">
        <f>IFERROR(__xludf.DUMMYFUNCTION("""COMPUTED_VALUE"""),676536.0)</f>
        <v>676536</v>
      </c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  <c r="G20" s="9"/>
      <c r="H20" s="13" t="str">
        <f>IFERROR(__xludf.DUMMYFUNCTION("""COMPUTED_VALUE"""),"Instagram")</f>
        <v>Instagram</v>
      </c>
      <c r="I20" s="13" t="str">
        <f>IFERROR(__xludf.DUMMYFUNCTION("""COMPUTED_VALUE"""),"Event")</f>
        <v>Event</v>
      </c>
      <c r="J20" s="13" t="str">
        <f>IFERROR(__xludf.DUMMYFUNCTION("""COMPUTED_VALUE"""),"Retargeting")</f>
        <v>Retargeting</v>
      </c>
      <c r="K20" s="13">
        <f>IFERROR(__xludf.DUMMYFUNCTION("""COMPUTED_VALUE"""),219.0)</f>
        <v>219</v>
      </c>
      <c r="L20" s="13">
        <f>IFERROR(__xludf.DUMMYFUNCTION("""COMPUTED_VALUE"""),14.0)</f>
        <v>14</v>
      </c>
      <c r="M20" s="14">
        <f>IFERROR(__xludf.DUMMYFUNCTION("""COMPUTED_VALUE"""),641043.0)</f>
        <v>641043</v>
      </c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  <c r="G21" s="9"/>
      <c r="H21" s="13" t="str">
        <f>IFERROR(__xludf.DUMMYFUNCTION("""COMPUTED_VALUE"""),"Instagram")</f>
        <v>Instagram</v>
      </c>
      <c r="I21" s="13" t="str">
        <f>IFERROR(__xludf.DUMMYFUNCTION("""COMPUTED_VALUE"""),"Event")</f>
        <v>Event</v>
      </c>
      <c r="J21" s="13" t="str">
        <f>IFERROR(__xludf.DUMMYFUNCTION("""COMPUTED_VALUE"""),"Paid Workshop")</f>
        <v>Paid Workshop</v>
      </c>
      <c r="K21" s="13">
        <f>IFERROR(__xludf.DUMMYFUNCTION("""COMPUTED_VALUE"""),323.0)</f>
        <v>323</v>
      </c>
      <c r="L21" s="13">
        <f>IFERROR(__xludf.DUMMYFUNCTION("""COMPUTED_VALUE"""),15.0)</f>
        <v>15</v>
      </c>
      <c r="M21" s="14">
        <f>IFERROR(__xludf.DUMMYFUNCTION("""COMPUTED_VALUE"""),530406.0)</f>
        <v>530406</v>
      </c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  <c r="G22" s="9"/>
      <c r="H22" s="13" t="str">
        <f>IFERROR(__xludf.DUMMYFUNCTION("""COMPUTED_VALUE"""),"Instagram")</f>
        <v>Instagram</v>
      </c>
      <c r="I22" s="13" t="str">
        <f>IFERROR(__xludf.DUMMYFUNCTION("""COMPUTED_VALUE"""),"Event")</f>
        <v>Event</v>
      </c>
      <c r="J22" s="13" t="str">
        <f>IFERROR(__xludf.DUMMYFUNCTION("""COMPUTED_VALUE"""),"New User")</f>
        <v>New User</v>
      </c>
      <c r="K22" s="13">
        <f>IFERROR(__xludf.DUMMYFUNCTION("""COMPUTED_VALUE"""),183.0)</f>
        <v>183</v>
      </c>
      <c r="L22" s="13">
        <f>IFERROR(__xludf.DUMMYFUNCTION("""COMPUTED_VALUE"""),27.0)</f>
        <v>27</v>
      </c>
      <c r="M22" s="14">
        <f>IFERROR(__xludf.DUMMYFUNCTION("""COMPUTED_VALUE"""),603287.0)</f>
        <v>603287</v>
      </c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  <c r="G23" s="9"/>
      <c r="H23" s="13"/>
      <c r="I23" s="13"/>
      <c r="J23" s="13"/>
      <c r="K23" s="13"/>
      <c r="L23" s="13"/>
      <c r="M23" s="13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  <c r="G24" s="9"/>
      <c r="H24" s="13"/>
      <c r="I24" s="13"/>
      <c r="J24" s="13"/>
      <c r="K24" s="13"/>
      <c r="L24" s="13"/>
      <c r="M24" s="13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  <c r="G25" s="9"/>
      <c r="H25" s="13"/>
      <c r="I25" s="13"/>
      <c r="J25" s="13"/>
      <c r="K25" s="13"/>
      <c r="L25" s="13"/>
      <c r="M25" s="13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  <c r="G26" s="9"/>
      <c r="H26" s="13"/>
      <c r="I26" s="13"/>
      <c r="J26" s="13"/>
      <c r="K26" s="13"/>
      <c r="L26" s="13"/>
      <c r="M26" s="13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  <c r="G27" s="9"/>
      <c r="H27" s="13"/>
      <c r="I27" s="13"/>
      <c r="J27" s="13"/>
      <c r="K27" s="13"/>
      <c r="L27" s="13"/>
      <c r="M27" s="13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  <c r="G28" s="9"/>
      <c r="H28" s="13"/>
      <c r="I28" s="13"/>
      <c r="J28" s="13"/>
      <c r="K28" s="13"/>
      <c r="L28" s="13"/>
      <c r="M28" s="13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  <c r="G29" s="9"/>
      <c r="H29" s="13"/>
      <c r="I29" s="13"/>
      <c r="J29" s="13"/>
      <c r="K29" s="13"/>
      <c r="L29" s="13"/>
      <c r="M29" s="13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A30" s="9"/>
      <c r="B30" s="9"/>
      <c r="C30" s="9"/>
      <c r="D30" s="9"/>
      <c r="E30" s="9"/>
      <c r="F30" s="9"/>
      <c r="G30" s="9"/>
      <c r="H30" s="13"/>
      <c r="I30" s="13"/>
      <c r="J30" s="13"/>
      <c r="K30" s="13"/>
      <c r="L30" s="13"/>
      <c r="M30" s="13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A31" s="15"/>
      <c r="B31" s="15"/>
      <c r="C31" s="15"/>
      <c r="D31" s="15"/>
      <c r="E31" s="15"/>
      <c r="F31" s="9"/>
      <c r="G31" s="9"/>
      <c r="H31" s="13"/>
      <c r="I31" s="13"/>
      <c r="J31" s="13"/>
      <c r="K31" s="13"/>
      <c r="L31" s="13"/>
      <c r="M31" s="13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A32" s="16"/>
      <c r="B32" s="16"/>
      <c r="C32" s="17"/>
      <c r="D32" s="17"/>
      <c r="E32" s="1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A33" s="16"/>
      <c r="B33" s="16"/>
      <c r="C33" s="17"/>
      <c r="D33" s="17"/>
      <c r="E33" s="1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A34" s="20"/>
      <c r="B34" s="20"/>
      <c r="C34" s="17"/>
      <c r="D34" s="17"/>
      <c r="E34" s="1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2"/>
    <mergeCell ref="H3:I3"/>
  </mergeCells>
  <dataValidations>
    <dataValidation type="list" allowBlank="1" sqref="H3">
      <formula1>$B$2:$B$29</formula1>
    </dataValidation>
    <dataValidation type="list" allowBlank="1" sqref="H2">
      <formula1>$A$2:$A$29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4.25"/>
    <col customWidth="1" min="3" max="26" width="14.38"/>
  </cols>
  <sheetData>
    <row r="1" ht="15.75" customHeight="1">
      <c r="A1" s="21" t="s">
        <v>16</v>
      </c>
      <c r="C1" s="16"/>
      <c r="D1" s="16"/>
      <c r="E1" s="16"/>
      <c r="F1" s="16"/>
    </row>
    <row r="2" ht="15.75" customHeight="1">
      <c r="A2" s="21" t="s">
        <v>17</v>
      </c>
      <c r="B2" s="21" t="s">
        <v>18</v>
      </c>
      <c r="C2" s="21" t="s">
        <v>19</v>
      </c>
      <c r="D2" s="21" t="s">
        <v>20</v>
      </c>
      <c r="E2" s="21" t="s">
        <v>21</v>
      </c>
      <c r="F2" s="16" t="s">
        <v>22</v>
      </c>
    </row>
    <row r="3" ht="15.75" customHeight="1">
      <c r="A3" s="22">
        <v>1.0</v>
      </c>
      <c r="B3" s="21" t="s">
        <v>23</v>
      </c>
      <c r="C3" s="22">
        <v>46.0</v>
      </c>
      <c r="D3" s="22">
        <v>37.0</v>
      </c>
      <c r="E3" s="22">
        <v>38.0</v>
      </c>
      <c r="F3" s="23">
        <f t="shared" ref="F3:F117" si="1">SUM(C3:E3)</f>
        <v>121</v>
      </c>
    </row>
    <row r="4" ht="15.75" customHeight="1">
      <c r="A4" s="22">
        <v>2.0</v>
      </c>
      <c r="B4" s="21" t="s">
        <v>24</v>
      </c>
      <c r="C4" s="22">
        <v>27.0</v>
      </c>
      <c r="D4" s="22">
        <v>23.0</v>
      </c>
      <c r="E4" s="22">
        <v>17.0</v>
      </c>
      <c r="F4" s="23">
        <f t="shared" si="1"/>
        <v>67</v>
      </c>
    </row>
    <row r="5" ht="15.75" customHeight="1">
      <c r="A5" s="22">
        <v>3.0</v>
      </c>
      <c r="B5" s="21" t="s">
        <v>25</v>
      </c>
      <c r="C5" s="22">
        <v>26.0</v>
      </c>
      <c r="D5" s="22">
        <v>18.0</v>
      </c>
      <c r="E5" s="22">
        <v>26.0</v>
      </c>
      <c r="F5" s="23">
        <f t="shared" si="1"/>
        <v>70</v>
      </c>
    </row>
    <row r="6" ht="15.75" customHeight="1">
      <c r="A6" s="22">
        <v>4.0</v>
      </c>
      <c r="B6" s="21" t="s">
        <v>26</v>
      </c>
      <c r="C6" s="22">
        <v>19.0</v>
      </c>
      <c r="D6" s="22">
        <v>17.0</v>
      </c>
      <c r="E6" s="22">
        <v>19.0</v>
      </c>
      <c r="F6" s="23">
        <f t="shared" si="1"/>
        <v>55</v>
      </c>
    </row>
    <row r="7" ht="15.75" customHeight="1">
      <c r="A7" s="22">
        <v>5.0</v>
      </c>
      <c r="B7" s="21" t="s">
        <v>27</v>
      </c>
      <c r="C7" s="22">
        <v>17.0</v>
      </c>
      <c r="D7" s="22">
        <v>10.0</v>
      </c>
      <c r="E7" s="22">
        <v>15.0</v>
      </c>
      <c r="F7" s="23">
        <f t="shared" si="1"/>
        <v>42</v>
      </c>
    </row>
    <row r="8" ht="15.75" customHeight="1">
      <c r="A8" s="22">
        <v>6.0</v>
      </c>
      <c r="B8" s="21" t="s">
        <v>28</v>
      </c>
      <c r="C8" s="22">
        <v>12.0</v>
      </c>
      <c r="D8" s="22">
        <v>8.0</v>
      </c>
      <c r="E8" s="22">
        <v>21.0</v>
      </c>
      <c r="F8" s="23">
        <f t="shared" si="1"/>
        <v>41</v>
      </c>
    </row>
    <row r="9" ht="15.75" customHeight="1">
      <c r="A9" s="22">
        <v>7.0</v>
      </c>
      <c r="B9" s="21" t="s">
        <v>29</v>
      </c>
      <c r="C9" s="22">
        <v>10.0</v>
      </c>
      <c r="D9" s="22">
        <v>18.0</v>
      </c>
      <c r="E9" s="22">
        <v>14.0</v>
      </c>
      <c r="F9" s="23">
        <f t="shared" si="1"/>
        <v>42</v>
      </c>
    </row>
    <row r="10" ht="15.75" customHeight="1">
      <c r="A10" s="22">
        <v>8.0</v>
      </c>
      <c r="B10" s="21" t="s">
        <v>30</v>
      </c>
      <c r="C10" s="22">
        <v>9.0</v>
      </c>
      <c r="D10" s="22">
        <v>3.0</v>
      </c>
      <c r="E10" s="22">
        <v>9.0</v>
      </c>
      <c r="F10" s="23">
        <f t="shared" si="1"/>
        <v>21</v>
      </c>
    </row>
    <row r="11" ht="15.75" customHeight="1">
      <c r="A11" s="22">
        <v>9.0</v>
      </c>
      <c r="B11" s="21" t="s">
        <v>31</v>
      </c>
      <c r="C11" s="22">
        <v>8.0</v>
      </c>
      <c r="D11" s="22">
        <v>12.0</v>
      </c>
      <c r="E11" s="22">
        <v>8.0</v>
      </c>
      <c r="F11" s="23">
        <f t="shared" si="1"/>
        <v>28</v>
      </c>
    </row>
    <row r="12" ht="15.75" customHeight="1">
      <c r="A12" s="22">
        <v>10.0</v>
      </c>
      <c r="B12" s="21" t="s">
        <v>32</v>
      </c>
      <c r="C12" s="22">
        <v>8.0</v>
      </c>
      <c r="D12" s="22">
        <v>11.0</v>
      </c>
      <c r="E12" s="22">
        <v>10.0</v>
      </c>
      <c r="F12" s="23">
        <f t="shared" si="1"/>
        <v>29</v>
      </c>
    </row>
    <row r="13" ht="15.75" customHeight="1">
      <c r="A13" s="22">
        <v>11.0</v>
      </c>
      <c r="B13" s="21" t="s">
        <v>33</v>
      </c>
      <c r="C13" s="22">
        <v>8.0</v>
      </c>
      <c r="D13" s="22">
        <v>7.0</v>
      </c>
      <c r="E13" s="22">
        <v>4.0</v>
      </c>
      <c r="F13" s="23">
        <f t="shared" si="1"/>
        <v>19</v>
      </c>
    </row>
    <row r="14" ht="15.75" customHeight="1">
      <c r="A14" s="22">
        <v>12.0</v>
      </c>
      <c r="B14" s="21" t="s">
        <v>34</v>
      </c>
      <c r="C14" s="22">
        <v>8.0</v>
      </c>
      <c r="D14" s="22">
        <v>3.0</v>
      </c>
      <c r="E14" s="22">
        <v>4.0</v>
      </c>
      <c r="F14" s="23">
        <f t="shared" si="1"/>
        <v>15</v>
      </c>
    </row>
    <row r="15" ht="15.75" customHeight="1">
      <c r="A15" s="22">
        <v>13.0</v>
      </c>
      <c r="B15" s="21" t="s">
        <v>35</v>
      </c>
      <c r="C15" s="22">
        <v>7.0</v>
      </c>
      <c r="D15" s="22">
        <v>6.0</v>
      </c>
      <c r="E15" s="22">
        <v>6.0</v>
      </c>
      <c r="F15" s="23">
        <f t="shared" si="1"/>
        <v>19</v>
      </c>
    </row>
    <row r="16" ht="15.75" customHeight="1">
      <c r="A16" s="22">
        <v>14.0</v>
      </c>
      <c r="B16" s="21" t="s">
        <v>36</v>
      </c>
      <c r="C16" s="22">
        <v>7.0</v>
      </c>
      <c r="D16" s="22">
        <v>4.0</v>
      </c>
      <c r="E16" s="22">
        <v>6.0</v>
      </c>
      <c r="F16" s="23">
        <f t="shared" si="1"/>
        <v>17</v>
      </c>
    </row>
    <row r="17" ht="15.75" customHeight="1">
      <c r="A17" s="22">
        <v>15.0</v>
      </c>
      <c r="B17" s="21" t="s">
        <v>37</v>
      </c>
      <c r="C17" s="22">
        <v>6.0</v>
      </c>
      <c r="D17" s="22">
        <v>6.0</v>
      </c>
      <c r="E17" s="22">
        <v>1.0</v>
      </c>
      <c r="F17" s="23">
        <f t="shared" si="1"/>
        <v>13</v>
      </c>
    </row>
    <row r="18" ht="15.75" customHeight="1">
      <c r="A18" s="22">
        <v>16.0</v>
      </c>
      <c r="B18" s="21" t="s">
        <v>38</v>
      </c>
      <c r="C18" s="22">
        <v>6.0</v>
      </c>
      <c r="D18" s="22">
        <v>3.0</v>
      </c>
      <c r="E18" s="22">
        <v>2.0</v>
      </c>
      <c r="F18" s="23">
        <f t="shared" si="1"/>
        <v>11</v>
      </c>
    </row>
    <row r="19" ht="15.75" customHeight="1">
      <c r="A19" s="22">
        <v>17.0</v>
      </c>
      <c r="B19" s="21" t="s">
        <v>39</v>
      </c>
      <c r="C19" s="22">
        <v>5.0</v>
      </c>
      <c r="D19" s="22">
        <v>3.0</v>
      </c>
      <c r="E19" s="22">
        <v>2.0</v>
      </c>
      <c r="F19" s="23">
        <f t="shared" si="1"/>
        <v>10</v>
      </c>
    </row>
    <row r="20" ht="15.75" customHeight="1">
      <c r="A20" s="22">
        <v>18.0</v>
      </c>
      <c r="B20" s="21" t="s">
        <v>40</v>
      </c>
      <c r="C20" s="22">
        <v>5.0</v>
      </c>
      <c r="D20" s="22">
        <v>2.0</v>
      </c>
      <c r="E20" s="22">
        <v>4.0</v>
      </c>
      <c r="F20" s="23">
        <f t="shared" si="1"/>
        <v>11</v>
      </c>
    </row>
    <row r="21" ht="15.75" customHeight="1">
      <c r="A21" s="22">
        <v>19.0</v>
      </c>
      <c r="B21" s="21" t="s">
        <v>41</v>
      </c>
      <c r="C21" s="22">
        <v>4.0</v>
      </c>
      <c r="D21" s="22">
        <v>9.0</v>
      </c>
      <c r="E21" s="22">
        <v>5.0</v>
      </c>
      <c r="F21" s="23">
        <f t="shared" si="1"/>
        <v>18</v>
      </c>
    </row>
    <row r="22" ht="15.75" customHeight="1">
      <c r="A22" s="22">
        <v>20.0</v>
      </c>
      <c r="B22" s="21" t="s">
        <v>42</v>
      </c>
      <c r="C22" s="22">
        <v>4.0</v>
      </c>
      <c r="D22" s="22">
        <v>3.0</v>
      </c>
      <c r="E22" s="22">
        <v>15.0</v>
      </c>
      <c r="F22" s="23">
        <f t="shared" si="1"/>
        <v>22</v>
      </c>
    </row>
    <row r="23" ht="15.75" customHeight="1">
      <c r="A23" s="22">
        <v>21.0</v>
      </c>
      <c r="B23" s="21" t="s">
        <v>43</v>
      </c>
      <c r="C23" s="22">
        <v>4.0</v>
      </c>
      <c r="D23" s="22">
        <v>2.0</v>
      </c>
      <c r="E23" s="22">
        <v>7.0</v>
      </c>
      <c r="F23" s="23">
        <f t="shared" si="1"/>
        <v>13</v>
      </c>
    </row>
    <row r="24" ht="15.75" customHeight="1">
      <c r="A24" s="22">
        <v>22.0</v>
      </c>
      <c r="B24" s="21" t="s">
        <v>44</v>
      </c>
      <c r="C24" s="22">
        <v>3.0</v>
      </c>
      <c r="D24" s="22">
        <v>5.0</v>
      </c>
      <c r="E24" s="22">
        <v>10.0</v>
      </c>
      <c r="F24" s="23">
        <f t="shared" si="1"/>
        <v>18</v>
      </c>
    </row>
    <row r="25" ht="15.75" customHeight="1">
      <c r="A25" s="22">
        <v>23.0</v>
      </c>
      <c r="B25" s="21" t="s">
        <v>45</v>
      </c>
      <c r="C25" s="22">
        <v>3.0</v>
      </c>
      <c r="D25" s="22">
        <v>2.0</v>
      </c>
      <c r="E25" s="22">
        <v>3.0</v>
      </c>
      <c r="F25" s="23">
        <f t="shared" si="1"/>
        <v>8</v>
      </c>
    </row>
    <row r="26" ht="15.75" customHeight="1">
      <c r="A26" s="22">
        <v>24.0</v>
      </c>
      <c r="B26" s="21" t="s">
        <v>46</v>
      </c>
      <c r="C26" s="22">
        <v>3.0</v>
      </c>
      <c r="D26" s="22">
        <v>2.0</v>
      </c>
      <c r="E26" s="22">
        <v>2.0</v>
      </c>
      <c r="F26" s="23">
        <f t="shared" si="1"/>
        <v>7</v>
      </c>
    </row>
    <row r="27" ht="15.75" customHeight="1">
      <c r="A27" s="22">
        <v>25.0</v>
      </c>
      <c r="B27" s="21" t="s">
        <v>47</v>
      </c>
      <c r="C27" s="22">
        <v>3.0</v>
      </c>
      <c r="D27" s="22">
        <v>1.0</v>
      </c>
      <c r="E27" s="22">
        <v>4.0</v>
      </c>
      <c r="F27" s="23">
        <f t="shared" si="1"/>
        <v>8</v>
      </c>
    </row>
    <row r="28" ht="15.75" customHeight="1">
      <c r="A28" s="22">
        <v>26.0</v>
      </c>
      <c r="B28" s="21" t="s">
        <v>48</v>
      </c>
      <c r="C28" s="22">
        <v>3.0</v>
      </c>
      <c r="D28" s="22">
        <v>1.0</v>
      </c>
      <c r="E28" s="22">
        <v>2.0</v>
      </c>
      <c r="F28" s="23">
        <f t="shared" si="1"/>
        <v>6</v>
      </c>
    </row>
    <row r="29" ht="15.75" customHeight="1">
      <c r="A29" s="22">
        <v>27.0</v>
      </c>
      <c r="B29" s="21" t="s">
        <v>49</v>
      </c>
      <c r="C29" s="22">
        <v>3.0</v>
      </c>
      <c r="D29" s="22">
        <v>1.0</v>
      </c>
      <c r="E29" s="22">
        <v>0.0</v>
      </c>
      <c r="F29" s="23">
        <f t="shared" si="1"/>
        <v>4</v>
      </c>
    </row>
    <row r="30" ht="15.75" customHeight="1">
      <c r="A30" s="22">
        <v>28.0</v>
      </c>
      <c r="B30" s="21" t="s">
        <v>50</v>
      </c>
      <c r="C30" s="22">
        <v>2.0</v>
      </c>
      <c r="D30" s="22">
        <v>6.0</v>
      </c>
      <c r="E30" s="22">
        <v>7.0</v>
      </c>
      <c r="F30" s="23">
        <f t="shared" si="1"/>
        <v>15</v>
      </c>
    </row>
    <row r="31" ht="15.75" customHeight="1">
      <c r="A31" s="22">
        <v>29.0</v>
      </c>
      <c r="B31" s="21" t="s">
        <v>51</v>
      </c>
      <c r="C31" s="22">
        <v>2.0</v>
      </c>
      <c r="D31" s="22">
        <v>6.0</v>
      </c>
      <c r="E31" s="22">
        <v>3.0</v>
      </c>
      <c r="F31" s="23">
        <f t="shared" si="1"/>
        <v>11</v>
      </c>
    </row>
    <row r="32" ht="15.75" customHeight="1">
      <c r="A32" s="22">
        <v>30.0</v>
      </c>
      <c r="B32" s="21" t="s">
        <v>52</v>
      </c>
      <c r="C32" s="22">
        <v>2.0</v>
      </c>
      <c r="D32" s="22">
        <v>6.0</v>
      </c>
      <c r="E32" s="22">
        <v>2.0</v>
      </c>
      <c r="F32" s="23">
        <f t="shared" si="1"/>
        <v>10</v>
      </c>
    </row>
    <row r="33" ht="15.75" customHeight="1">
      <c r="A33" s="22">
        <v>31.0</v>
      </c>
      <c r="B33" s="21" t="s">
        <v>53</v>
      </c>
      <c r="C33" s="22">
        <v>2.0</v>
      </c>
      <c r="D33" s="22">
        <v>5.0</v>
      </c>
      <c r="E33" s="22">
        <v>4.0</v>
      </c>
      <c r="F33" s="23">
        <f t="shared" si="1"/>
        <v>11</v>
      </c>
    </row>
    <row r="34" ht="15.75" customHeight="1">
      <c r="A34" s="22">
        <v>32.0</v>
      </c>
      <c r="B34" s="21" t="s">
        <v>54</v>
      </c>
      <c r="C34" s="22">
        <v>2.0</v>
      </c>
      <c r="D34" s="22">
        <v>4.0</v>
      </c>
      <c r="E34" s="22">
        <v>2.0</v>
      </c>
      <c r="F34" s="23">
        <f t="shared" si="1"/>
        <v>8</v>
      </c>
    </row>
    <row r="35" ht="15.75" customHeight="1">
      <c r="A35" s="22">
        <v>33.0</v>
      </c>
      <c r="B35" s="21" t="s">
        <v>55</v>
      </c>
      <c r="C35" s="22">
        <v>2.0</v>
      </c>
      <c r="D35" s="22">
        <v>3.0</v>
      </c>
      <c r="E35" s="22">
        <v>6.0</v>
      </c>
      <c r="F35" s="23">
        <f t="shared" si="1"/>
        <v>11</v>
      </c>
    </row>
    <row r="36" ht="15.75" customHeight="1">
      <c r="A36" s="22">
        <v>34.0</v>
      </c>
      <c r="B36" s="21" t="s">
        <v>56</v>
      </c>
      <c r="C36" s="22">
        <v>2.0</v>
      </c>
      <c r="D36" s="22">
        <v>3.0</v>
      </c>
      <c r="E36" s="22">
        <v>2.0</v>
      </c>
      <c r="F36" s="23">
        <f t="shared" si="1"/>
        <v>7</v>
      </c>
    </row>
    <row r="37" ht="15.75" customHeight="1">
      <c r="A37" s="22">
        <v>35.0</v>
      </c>
      <c r="B37" s="21" t="s">
        <v>57</v>
      </c>
      <c r="C37" s="22">
        <v>2.0</v>
      </c>
      <c r="D37" s="22">
        <v>2.0</v>
      </c>
      <c r="E37" s="22">
        <v>2.0</v>
      </c>
      <c r="F37" s="23">
        <f t="shared" si="1"/>
        <v>6</v>
      </c>
    </row>
    <row r="38" ht="15.75" customHeight="1">
      <c r="A38" s="22">
        <v>36.0</v>
      </c>
      <c r="B38" s="21" t="s">
        <v>58</v>
      </c>
      <c r="C38" s="22">
        <v>2.0</v>
      </c>
      <c r="D38" s="22">
        <v>2.0</v>
      </c>
      <c r="E38" s="22">
        <v>2.0</v>
      </c>
      <c r="F38" s="23">
        <f t="shared" si="1"/>
        <v>6</v>
      </c>
    </row>
    <row r="39" ht="15.75" customHeight="1">
      <c r="A39" s="22">
        <v>37.0</v>
      </c>
      <c r="B39" s="21" t="s">
        <v>59</v>
      </c>
      <c r="C39" s="22">
        <v>2.0</v>
      </c>
      <c r="D39" s="22">
        <v>2.0</v>
      </c>
      <c r="E39" s="22">
        <v>0.0</v>
      </c>
      <c r="F39" s="23">
        <f t="shared" si="1"/>
        <v>4</v>
      </c>
    </row>
    <row r="40" ht="15.75" customHeight="1">
      <c r="A40" s="22">
        <v>38.0</v>
      </c>
      <c r="B40" s="21" t="s">
        <v>60</v>
      </c>
      <c r="C40" s="22">
        <v>2.0</v>
      </c>
      <c r="D40" s="22">
        <v>1.0</v>
      </c>
      <c r="E40" s="22">
        <v>4.0</v>
      </c>
      <c r="F40" s="23">
        <f t="shared" si="1"/>
        <v>7</v>
      </c>
    </row>
    <row r="41" ht="15.75" customHeight="1">
      <c r="A41" s="22">
        <v>39.0</v>
      </c>
      <c r="B41" s="21" t="s">
        <v>61</v>
      </c>
      <c r="C41" s="22">
        <v>1.0</v>
      </c>
      <c r="D41" s="22">
        <v>7.0</v>
      </c>
      <c r="E41" s="22">
        <v>10.0</v>
      </c>
      <c r="F41" s="23">
        <f t="shared" si="1"/>
        <v>18</v>
      </c>
    </row>
    <row r="42" ht="15.75" customHeight="1">
      <c r="A42" s="22">
        <v>40.0</v>
      </c>
      <c r="B42" s="21" t="s">
        <v>62</v>
      </c>
      <c r="C42" s="22">
        <v>1.0</v>
      </c>
      <c r="D42" s="22">
        <v>4.0</v>
      </c>
      <c r="E42" s="22">
        <v>4.0</v>
      </c>
      <c r="F42" s="23">
        <f t="shared" si="1"/>
        <v>9</v>
      </c>
    </row>
    <row r="43" ht="15.75" customHeight="1">
      <c r="A43" s="22">
        <v>41.0</v>
      </c>
      <c r="B43" s="21" t="s">
        <v>63</v>
      </c>
      <c r="C43" s="22">
        <v>1.0</v>
      </c>
      <c r="D43" s="22">
        <v>3.0</v>
      </c>
      <c r="E43" s="22">
        <v>4.0</v>
      </c>
      <c r="F43" s="23">
        <f t="shared" si="1"/>
        <v>8</v>
      </c>
    </row>
    <row r="44" ht="15.75" customHeight="1">
      <c r="A44" s="22">
        <v>42.0</v>
      </c>
      <c r="B44" s="21" t="s">
        <v>64</v>
      </c>
      <c r="C44" s="22">
        <v>1.0</v>
      </c>
      <c r="D44" s="22">
        <v>3.0</v>
      </c>
      <c r="E44" s="22">
        <v>0.0</v>
      </c>
      <c r="F44" s="23">
        <f t="shared" si="1"/>
        <v>4</v>
      </c>
    </row>
    <row r="45" ht="15.75" customHeight="1">
      <c r="A45" s="22">
        <v>43.0</v>
      </c>
      <c r="B45" s="21" t="s">
        <v>65</v>
      </c>
      <c r="C45" s="22">
        <v>1.0</v>
      </c>
      <c r="D45" s="22">
        <v>2.0</v>
      </c>
      <c r="E45" s="22">
        <v>7.0</v>
      </c>
      <c r="F45" s="23">
        <f t="shared" si="1"/>
        <v>10</v>
      </c>
    </row>
    <row r="46" ht="15.75" customHeight="1">
      <c r="A46" s="22">
        <v>44.0</v>
      </c>
      <c r="B46" s="21" t="s">
        <v>66</v>
      </c>
      <c r="C46" s="22">
        <v>1.0</v>
      </c>
      <c r="D46" s="22">
        <v>2.0</v>
      </c>
      <c r="E46" s="22">
        <v>5.0</v>
      </c>
      <c r="F46" s="23">
        <f t="shared" si="1"/>
        <v>8</v>
      </c>
    </row>
    <row r="47" ht="15.75" customHeight="1">
      <c r="A47" s="22">
        <v>45.0</v>
      </c>
      <c r="B47" s="21" t="s">
        <v>67</v>
      </c>
      <c r="C47" s="22">
        <v>1.0</v>
      </c>
      <c r="D47" s="22">
        <v>2.0</v>
      </c>
      <c r="E47" s="22">
        <v>1.0</v>
      </c>
      <c r="F47" s="23">
        <f t="shared" si="1"/>
        <v>4</v>
      </c>
    </row>
    <row r="48" ht="15.75" customHeight="1">
      <c r="A48" s="22">
        <v>46.0</v>
      </c>
      <c r="B48" s="21" t="s">
        <v>68</v>
      </c>
      <c r="C48" s="22">
        <v>1.0</v>
      </c>
      <c r="D48" s="22">
        <v>2.0</v>
      </c>
      <c r="E48" s="22">
        <v>0.0</v>
      </c>
      <c r="F48" s="23">
        <f t="shared" si="1"/>
        <v>3</v>
      </c>
    </row>
    <row r="49" ht="15.75" customHeight="1">
      <c r="A49" s="22">
        <v>47.0</v>
      </c>
      <c r="B49" s="21" t="s">
        <v>69</v>
      </c>
      <c r="C49" s="22">
        <v>1.0</v>
      </c>
      <c r="D49" s="22">
        <v>1.0</v>
      </c>
      <c r="E49" s="22">
        <v>2.0</v>
      </c>
      <c r="F49" s="23">
        <f t="shared" si="1"/>
        <v>4</v>
      </c>
    </row>
    <row r="50" ht="15.75" customHeight="1">
      <c r="A50" s="22">
        <v>48.0</v>
      </c>
      <c r="B50" s="21" t="s">
        <v>70</v>
      </c>
      <c r="C50" s="22">
        <v>1.0</v>
      </c>
      <c r="D50" s="22">
        <v>1.0</v>
      </c>
      <c r="E50" s="22">
        <v>0.0</v>
      </c>
      <c r="F50" s="23">
        <f t="shared" si="1"/>
        <v>2</v>
      </c>
    </row>
    <row r="51" ht="15.75" customHeight="1">
      <c r="A51" s="22">
        <v>49.0</v>
      </c>
      <c r="B51" s="21" t="s">
        <v>71</v>
      </c>
      <c r="C51" s="22">
        <v>1.0</v>
      </c>
      <c r="D51" s="22">
        <v>1.0</v>
      </c>
      <c r="E51" s="22">
        <v>0.0</v>
      </c>
      <c r="F51" s="23">
        <f t="shared" si="1"/>
        <v>2</v>
      </c>
    </row>
    <row r="52" ht="15.75" customHeight="1">
      <c r="A52" s="22">
        <v>50.0</v>
      </c>
      <c r="B52" s="21" t="s">
        <v>72</v>
      </c>
      <c r="C52" s="22">
        <v>1.0</v>
      </c>
      <c r="D52" s="22">
        <v>0.0</v>
      </c>
      <c r="E52" s="22">
        <v>2.0</v>
      </c>
      <c r="F52" s="23">
        <f t="shared" si="1"/>
        <v>3</v>
      </c>
    </row>
    <row r="53" ht="15.75" customHeight="1">
      <c r="A53" s="22">
        <v>51.0</v>
      </c>
      <c r="B53" s="21" t="s">
        <v>73</v>
      </c>
      <c r="C53" s="22">
        <v>1.0</v>
      </c>
      <c r="D53" s="22">
        <v>0.0</v>
      </c>
      <c r="E53" s="22">
        <v>1.0</v>
      </c>
      <c r="F53" s="23">
        <f t="shared" si="1"/>
        <v>2</v>
      </c>
    </row>
    <row r="54" ht="15.75" customHeight="1">
      <c r="A54" s="22">
        <v>52.0</v>
      </c>
      <c r="B54" s="21" t="s">
        <v>74</v>
      </c>
      <c r="C54" s="22">
        <v>1.0</v>
      </c>
      <c r="D54" s="22">
        <v>0.0</v>
      </c>
      <c r="E54" s="22">
        <v>1.0</v>
      </c>
      <c r="F54" s="23">
        <f t="shared" si="1"/>
        <v>2</v>
      </c>
    </row>
    <row r="55" ht="15.75" customHeight="1">
      <c r="A55" s="22">
        <v>53.0</v>
      </c>
      <c r="B55" s="21" t="s">
        <v>75</v>
      </c>
      <c r="C55" s="22">
        <v>1.0</v>
      </c>
      <c r="D55" s="22">
        <v>0.0</v>
      </c>
      <c r="E55" s="22">
        <v>1.0</v>
      </c>
      <c r="F55" s="23">
        <f t="shared" si="1"/>
        <v>2</v>
      </c>
    </row>
    <row r="56" ht="15.75" customHeight="1">
      <c r="A56" s="22">
        <v>54.0</v>
      </c>
      <c r="B56" s="21" t="s">
        <v>76</v>
      </c>
      <c r="C56" s="22">
        <v>1.0</v>
      </c>
      <c r="D56" s="22">
        <v>0.0</v>
      </c>
      <c r="E56" s="22">
        <v>0.0</v>
      </c>
      <c r="F56" s="23">
        <f t="shared" si="1"/>
        <v>1</v>
      </c>
    </row>
    <row r="57" ht="15.75" customHeight="1">
      <c r="A57" s="22">
        <v>55.0</v>
      </c>
      <c r="B57" s="21" t="s">
        <v>77</v>
      </c>
      <c r="C57" s="22">
        <v>1.0</v>
      </c>
      <c r="D57" s="22">
        <v>0.0</v>
      </c>
      <c r="E57" s="22">
        <v>0.0</v>
      </c>
      <c r="F57" s="23">
        <f t="shared" si="1"/>
        <v>1</v>
      </c>
    </row>
    <row r="58" ht="15.75" customHeight="1">
      <c r="A58" s="22">
        <v>56.0</v>
      </c>
      <c r="B58" s="21" t="s">
        <v>78</v>
      </c>
      <c r="C58" s="22">
        <v>1.0</v>
      </c>
      <c r="D58" s="22">
        <v>0.0</v>
      </c>
      <c r="E58" s="22">
        <v>0.0</v>
      </c>
      <c r="F58" s="23">
        <f t="shared" si="1"/>
        <v>1</v>
      </c>
    </row>
    <row r="59" ht="15.75" customHeight="1">
      <c r="A59" s="22">
        <v>57.0</v>
      </c>
      <c r="B59" s="21" t="s">
        <v>79</v>
      </c>
      <c r="C59" s="22">
        <v>1.0</v>
      </c>
      <c r="D59" s="22">
        <v>0.0</v>
      </c>
      <c r="E59" s="22">
        <v>0.0</v>
      </c>
      <c r="F59" s="23">
        <f t="shared" si="1"/>
        <v>1</v>
      </c>
    </row>
    <row r="60" ht="15.75" customHeight="1">
      <c r="A60" s="22">
        <v>58.0</v>
      </c>
      <c r="B60" s="21" t="s">
        <v>80</v>
      </c>
      <c r="C60" s="22">
        <v>1.0</v>
      </c>
      <c r="D60" s="22">
        <v>0.0</v>
      </c>
      <c r="E60" s="22">
        <v>0.0</v>
      </c>
      <c r="F60" s="23">
        <f t="shared" si="1"/>
        <v>1</v>
      </c>
    </row>
    <row r="61" ht="15.75" customHeight="1">
      <c r="A61" s="22">
        <v>59.0</v>
      </c>
      <c r="B61" s="21" t="s">
        <v>81</v>
      </c>
      <c r="C61" s="22">
        <v>1.0</v>
      </c>
      <c r="D61" s="22">
        <v>0.0</v>
      </c>
      <c r="E61" s="22">
        <v>0.0</v>
      </c>
      <c r="F61" s="23">
        <f t="shared" si="1"/>
        <v>1</v>
      </c>
    </row>
    <row r="62" ht="15.75" customHeight="1">
      <c r="A62" s="22">
        <v>60.0</v>
      </c>
      <c r="B62" s="21" t="s">
        <v>82</v>
      </c>
      <c r="C62" s="22">
        <v>0.0</v>
      </c>
      <c r="D62" s="22">
        <v>4.0</v>
      </c>
      <c r="E62" s="22">
        <v>1.0</v>
      </c>
      <c r="F62" s="23">
        <f t="shared" si="1"/>
        <v>5</v>
      </c>
    </row>
    <row r="63" ht="15.75" customHeight="1">
      <c r="A63" s="22">
        <v>61.0</v>
      </c>
      <c r="B63" s="21" t="s">
        <v>83</v>
      </c>
      <c r="C63" s="22">
        <v>0.0</v>
      </c>
      <c r="D63" s="22">
        <v>3.0</v>
      </c>
      <c r="E63" s="22">
        <v>2.0</v>
      </c>
      <c r="F63" s="23">
        <f t="shared" si="1"/>
        <v>5</v>
      </c>
    </row>
    <row r="64" ht="15.75" customHeight="1">
      <c r="A64" s="22">
        <v>62.0</v>
      </c>
      <c r="B64" s="21" t="s">
        <v>84</v>
      </c>
      <c r="C64" s="22">
        <v>0.0</v>
      </c>
      <c r="D64" s="22">
        <v>2.0</v>
      </c>
      <c r="E64" s="22">
        <v>0.0</v>
      </c>
      <c r="F64" s="23">
        <f t="shared" si="1"/>
        <v>2</v>
      </c>
    </row>
    <row r="65" ht="15.75" customHeight="1">
      <c r="A65" s="22">
        <v>63.0</v>
      </c>
      <c r="B65" s="21" t="s">
        <v>85</v>
      </c>
      <c r="C65" s="22">
        <v>0.0</v>
      </c>
      <c r="D65" s="22">
        <v>2.0</v>
      </c>
      <c r="E65" s="22">
        <v>0.0</v>
      </c>
      <c r="F65" s="23">
        <f t="shared" si="1"/>
        <v>2</v>
      </c>
    </row>
    <row r="66" ht="15.75" customHeight="1">
      <c r="A66" s="22">
        <v>64.0</v>
      </c>
      <c r="B66" s="21" t="s">
        <v>86</v>
      </c>
      <c r="C66" s="22">
        <v>0.0</v>
      </c>
      <c r="D66" s="22">
        <v>1.0</v>
      </c>
      <c r="E66" s="22">
        <v>3.0</v>
      </c>
      <c r="F66" s="23">
        <f t="shared" si="1"/>
        <v>4</v>
      </c>
    </row>
    <row r="67" ht="15.75" customHeight="1">
      <c r="A67" s="22">
        <v>65.0</v>
      </c>
      <c r="B67" s="21" t="s">
        <v>87</v>
      </c>
      <c r="C67" s="22">
        <v>0.0</v>
      </c>
      <c r="D67" s="22">
        <v>1.0</v>
      </c>
      <c r="E67" s="22">
        <v>2.0</v>
      </c>
      <c r="F67" s="23">
        <f t="shared" si="1"/>
        <v>3</v>
      </c>
    </row>
    <row r="68" ht="15.75" customHeight="1">
      <c r="A68" s="22">
        <v>66.0</v>
      </c>
      <c r="B68" s="21" t="s">
        <v>88</v>
      </c>
      <c r="C68" s="22">
        <v>0.0</v>
      </c>
      <c r="D68" s="22">
        <v>1.0</v>
      </c>
      <c r="E68" s="22">
        <v>2.0</v>
      </c>
      <c r="F68" s="23">
        <f t="shared" si="1"/>
        <v>3</v>
      </c>
    </row>
    <row r="69" ht="15.75" customHeight="1">
      <c r="A69" s="22">
        <v>67.0</v>
      </c>
      <c r="B69" s="21" t="s">
        <v>89</v>
      </c>
      <c r="C69" s="22">
        <v>0.0</v>
      </c>
      <c r="D69" s="22">
        <v>1.0</v>
      </c>
      <c r="E69" s="22">
        <v>1.0</v>
      </c>
      <c r="F69" s="23">
        <f t="shared" si="1"/>
        <v>2</v>
      </c>
    </row>
    <row r="70" ht="15.75" customHeight="1">
      <c r="A70" s="22">
        <v>68.0</v>
      </c>
      <c r="B70" s="21" t="s">
        <v>90</v>
      </c>
      <c r="C70" s="22">
        <v>0.0</v>
      </c>
      <c r="D70" s="22">
        <v>1.0</v>
      </c>
      <c r="E70" s="22">
        <v>1.0</v>
      </c>
      <c r="F70" s="23">
        <f t="shared" si="1"/>
        <v>2</v>
      </c>
    </row>
    <row r="71" ht="15.75" customHeight="1">
      <c r="A71" s="22">
        <v>69.0</v>
      </c>
      <c r="B71" s="21" t="s">
        <v>91</v>
      </c>
      <c r="C71" s="22">
        <v>0.0</v>
      </c>
      <c r="D71" s="22">
        <v>1.0</v>
      </c>
      <c r="E71" s="22">
        <v>0.0</v>
      </c>
      <c r="F71" s="23">
        <f t="shared" si="1"/>
        <v>1</v>
      </c>
    </row>
    <row r="72" ht="15.75" customHeight="1">
      <c r="A72" s="22">
        <v>70.0</v>
      </c>
      <c r="B72" s="21" t="s">
        <v>92</v>
      </c>
      <c r="C72" s="22">
        <v>0.0</v>
      </c>
      <c r="D72" s="22">
        <v>1.0</v>
      </c>
      <c r="E72" s="22">
        <v>0.0</v>
      </c>
      <c r="F72" s="23">
        <f t="shared" si="1"/>
        <v>1</v>
      </c>
    </row>
    <row r="73" ht="15.75" customHeight="1">
      <c r="A73" s="22">
        <v>71.0</v>
      </c>
      <c r="B73" s="21" t="s">
        <v>93</v>
      </c>
      <c r="C73" s="22">
        <v>0.0</v>
      </c>
      <c r="D73" s="22">
        <v>1.0</v>
      </c>
      <c r="E73" s="22">
        <v>0.0</v>
      </c>
      <c r="F73" s="23">
        <f t="shared" si="1"/>
        <v>1</v>
      </c>
    </row>
    <row r="74" ht="15.75" customHeight="1">
      <c r="A74" s="22">
        <v>72.0</v>
      </c>
      <c r="B74" s="21" t="s">
        <v>94</v>
      </c>
      <c r="C74" s="22">
        <v>0.0</v>
      </c>
      <c r="D74" s="22">
        <v>1.0</v>
      </c>
      <c r="E74" s="22">
        <v>0.0</v>
      </c>
      <c r="F74" s="23">
        <f t="shared" si="1"/>
        <v>1</v>
      </c>
    </row>
    <row r="75" ht="15.75" customHeight="1">
      <c r="A75" s="22">
        <v>73.0</v>
      </c>
      <c r="B75" s="21" t="s">
        <v>95</v>
      </c>
      <c r="C75" s="22">
        <v>0.0</v>
      </c>
      <c r="D75" s="22">
        <v>1.0</v>
      </c>
      <c r="E75" s="22">
        <v>0.0</v>
      </c>
      <c r="F75" s="23">
        <f t="shared" si="1"/>
        <v>1</v>
      </c>
    </row>
    <row r="76" ht="15.75" customHeight="1">
      <c r="A76" s="22">
        <v>74.0</v>
      </c>
      <c r="B76" s="21" t="s">
        <v>96</v>
      </c>
      <c r="C76" s="22">
        <v>0.0</v>
      </c>
      <c r="D76" s="22">
        <v>0.0</v>
      </c>
      <c r="E76" s="22">
        <v>4.0</v>
      </c>
      <c r="F76" s="23">
        <f t="shared" si="1"/>
        <v>4</v>
      </c>
    </row>
    <row r="77" ht="15.75" customHeight="1">
      <c r="A77" s="22">
        <v>75.0</v>
      </c>
      <c r="B77" s="21" t="s">
        <v>97</v>
      </c>
      <c r="C77" s="22">
        <v>0.0</v>
      </c>
      <c r="D77" s="22">
        <v>0.0</v>
      </c>
      <c r="E77" s="22">
        <v>3.0</v>
      </c>
      <c r="F77" s="23">
        <f t="shared" si="1"/>
        <v>3</v>
      </c>
    </row>
    <row r="78" ht="15.75" customHeight="1">
      <c r="A78" s="22">
        <v>76.0</v>
      </c>
      <c r="B78" s="21" t="s">
        <v>98</v>
      </c>
      <c r="C78" s="22">
        <v>0.0</v>
      </c>
      <c r="D78" s="22">
        <v>0.0</v>
      </c>
      <c r="E78" s="22">
        <v>3.0</v>
      </c>
      <c r="F78" s="23">
        <f t="shared" si="1"/>
        <v>3</v>
      </c>
    </row>
    <row r="79" ht="15.75" customHeight="1">
      <c r="A79" s="22">
        <v>77.0</v>
      </c>
      <c r="B79" s="21" t="s">
        <v>99</v>
      </c>
      <c r="C79" s="22">
        <v>0.0</v>
      </c>
      <c r="D79" s="22">
        <v>0.0</v>
      </c>
      <c r="E79" s="22">
        <v>2.0</v>
      </c>
      <c r="F79" s="23">
        <f t="shared" si="1"/>
        <v>2</v>
      </c>
    </row>
    <row r="80" ht="15.75" customHeight="1">
      <c r="A80" s="22">
        <v>78.0</v>
      </c>
      <c r="B80" s="21" t="s">
        <v>100</v>
      </c>
      <c r="C80" s="22">
        <v>0.0</v>
      </c>
      <c r="D80" s="22">
        <v>0.0</v>
      </c>
      <c r="E80" s="22">
        <v>1.0</v>
      </c>
      <c r="F80" s="23">
        <f t="shared" si="1"/>
        <v>1</v>
      </c>
    </row>
    <row r="81" ht="15.75" customHeight="1">
      <c r="A81" s="22">
        <v>79.0</v>
      </c>
      <c r="B81" s="21" t="s">
        <v>101</v>
      </c>
      <c r="C81" s="22">
        <v>0.0</v>
      </c>
      <c r="D81" s="22">
        <v>0.0</v>
      </c>
      <c r="E81" s="22">
        <v>1.0</v>
      </c>
      <c r="F81" s="23">
        <f t="shared" si="1"/>
        <v>1</v>
      </c>
    </row>
    <row r="82" ht="15.75" customHeight="1">
      <c r="A82" s="22">
        <v>80.0</v>
      </c>
      <c r="B82" s="21" t="s">
        <v>102</v>
      </c>
      <c r="C82" s="22">
        <v>0.0</v>
      </c>
      <c r="D82" s="22">
        <v>0.0</v>
      </c>
      <c r="E82" s="22">
        <v>1.0</v>
      </c>
      <c r="F82" s="23">
        <f t="shared" si="1"/>
        <v>1</v>
      </c>
    </row>
    <row r="83" ht="15.75" customHeight="1">
      <c r="A83" s="22">
        <v>81.0</v>
      </c>
      <c r="B83" s="21" t="s">
        <v>103</v>
      </c>
      <c r="C83" s="22">
        <v>0.0</v>
      </c>
      <c r="D83" s="22">
        <v>0.0</v>
      </c>
      <c r="E83" s="22">
        <v>1.0</v>
      </c>
      <c r="F83" s="23">
        <f t="shared" si="1"/>
        <v>1</v>
      </c>
    </row>
    <row r="84" ht="15.75" customHeight="1">
      <c r="A84" s="22">
        <v>82.0</v>
      </c>
      <c r="B84" s="21" t="s">
        <v>104</v>
      </c>
      <c r="C84" s="22">
        <v>0.0</v>
      </c>
      <c r="D84" s="22">
        <v>0.0</v>
      </c>
      <c r="E84" s="22">
        <v>1.0</v>
      </c>
      <c r="F84" s="23">
        <f t="shared" si="1"/>
        <v>1</v>
      </c>
    </row>
    <row r="85" ht="15.75" customHeight="1">
      <c r="A85" s="22">
        <v>83.0</v>
      </c>
      <c r="B85" s="21" t="s">
        <v>105</v>
      </c>
      <c r="C85" s="22">
        <v>0.0</v>
      </c>
      <c r="D85" s="22">
        <v>0.0</v>
      </c>
      <c r="E85" s="22">
        <v>1.0</v>
      </c>
      <c r="F85" s="23">
        <f t="shared" si="1"/>
        <v>1</v>
      </c>
    </row>
    <row r="86" ht="15.75" customHeight="1">
      <c r="A86" s="22">
        <v>84.0</v>
      </c>
      <c r="B86" s="21" t="s">
        <v>106</v>
      </c>
      <c r="C86" s="22">
        <v>0.0</v>
      </c>
      <c r="D86" s="22">
        <v>0.0</v>
      </c>
      <c r="E86" s="22">
        <v>1.0</v>
      </c>
      <c r="F86" s="23">
        <f t="shared" si="1"/>
        <v>1</v>
      </c>
    </row>
    <row r="87" ht="15.75" customHeight="1">
      <c r="A87" s="22">
        <v>85.0</v>
      </c>
      <c r="B87" s="21" t="s">
        <v>107</v>
      </c>
      <c r="C87" s="22">
        <v>0.0</v>
      </c>
      <c r="D87" s="22">
        <v>0.0</v>
      </c>
      <c r="E87" s="22">
        <v>1.0</v>
      </c>
      <c r="F87" s="23">
        <f t="shared" si="1"/>
        <v>1</v>
      </c>
    </row>
    <row r="88" ht="15.75" customHeight="1">
      <c r="A88" s="22">
        <v>86.0</v>
      </c>
      <c r="B88" s="21" t="s">
        <v>108</v>
      </c>
      <c r="C88" s="22">
        <v>0.0</v>
      </c>
      <c r="D88" s="22">
        <v>0.0</v>
      </c>
      <c r="E88" s="22">
        <v>1.0</v>
      </c>
      <c r="F88" s="23">
        <f t="shared" si="1"/>
        <v>1</v>
      </c>
    </row>
    <row r="89" ht="15.75" customHeight="1">
      <c r="A89" s="22">
        <v>58.0</v>
      </c>
      <c r="B89" s="21" t="s">
        <v>80</v>
      </c>
      <c r="C89" s="22">
        <v>1.0</v>
      </c>
      <c r="D89" s="22">
        <v>0.0</v>
      </c>
      <c r="E89" s="22">
        <v>0.0</v>
      </c>
      <c r="F89" s="23">
        <f t="shared" si="1"/>
        <v>1</v>
      </c>
    </row>
    <row r="90" ht="15.75" customHeight="1">
      <c r="A90" s="22">
        <v>59.0</v>
      </c>
      <c r="B90" s="21" t="s">
        <v>81</v>
      </c>
      <c r="C90" s="22">
        <v>1.0</v>
      </c>
      <c r="D90" s="22">
        <v>0.0</v>
      </c>
      <c r="E90" s="22">
        <v>0.0</v>
      </c>
      <c r="F90" s="23">
        <f t="shared" si="1"/>
        <v>1</v>
      </c>
    </row>
    <row r="91" ht="15.75" customHeight="1">
      <c r="A91" s="22">
        <v>60.0</v>
      </c>
      <c r="B91" s="21" t="s">
        <v>82</v>
      </c>
      <c r="C91" s="22">
        <v>0.0</v>
      </c>
      <c r="D91" s="22">
        <v>4.0</v>
      </c>
      <c r="E91" s="22">
        <v>1.0</v>
      </c>
      <c r="F91" s="23">
        <f t="shared" si="1"/>
        <v>5</v>
      </c>
    </row>
    <row r="92" ht="15.75" customHeight="1">
      <c r="A92" s="22">
        <v>61.0</v>
      </c>
      <c r="B92" s="21" t="s">
        <v>83</v>
      </c>
      <c r="C92" s="22">
        <v>0.0</v>
      </c>
      <c r="D92" s="22">
        <v>3.0</v>
      </c>
      <c r="E92" s="22">
        <v>2.0</v>
      </c>
      <c r="F92" s="23">
        <f t="shared" si="1"/>
        <v>5</v>
      </c>
    </row>
    <row r="93" ht="15.75" customHeight="1">
      <c r="A93" s="22">
        <v>62.0</v>
      </c>
      <c r="B93" s="21" t="s">
        <v>84</v>
      </c>
      <c r="C93" s="22">
        <v>0.0</v>
      </c>
      <c r="D93" s="22">
        <v>2.0</v>
      </c>
      <c r="E93" s="22">
        <v>0.0</v>
      </c>
      <c r="F93" s="23">
        <f t="shared" si="1"/>
        <v>2</v>
      </c>
    </row>
    <row r="94" ht="15.75" customHeight="1">
      <c r="A94" s="22">
        <v>63.0</v>
      </c>
      <c r="B94" s="21" t="s">
        <v>85</v>
      </c>
      <c r="C94" s="22">
        <v>0.0</v>
      </c>
      <c r="D94" s="22">
        <v>2.0</v>
      </c>
      <c r="E94" s="22">
        <v>0.0</v>
      </c>
      <c r="F94" s="23">
        <f t="shared" si="1"/>
        <v>2</v>
      </c>
    </row>
    <row r="95" ht="15.75" customHeight="1">
      <c r="A95" s="22">
        <v>64.0</v>
      </c>
      <c r="B95" s="21" t="s">
        <v>86</v>
      </c>
      <c r="C95" s="22">
        <v>0.0</v>
      </c>
      <c r="D95" s="22">
        <v>1.0</v>
      </c>
      <c r="E95" s="22">
        <v>3.0</v>
      </c>
      <c r="F95" s="23">
        <f t="shared" si="1"/>
        <v>4</v>
      </c>
    </row>
    <row r="96" ht="15.75" customHeight="1">
      <c r="A96" s="22">
        <v>65.0</v>
      </c>
      <c r="B96" s="21" t="s">
        <v>87</v>
      </c>
      <c r="C96" s="22">
        <v>0.0</v>
      </c>
      <c r="D96" s="22">
        <v>1.0</v>
      </c>
      <c r="E96" s="22">
        <v>2.0</v>
      </c>
      <c r="F96" s="23">
        <f t="shared" si="1"/>
        <v>3</v>
      </c>
    </row>
    <row r="97" ht="15.75" customHeight="1">
      <c r="A97" s="22">
        <v>66.0</v>
      </c>
      <c r="B97" s="21" t="s">
        <v>88</v>
      </c>
      <c r="C97" s="22">
        <v>0.0</v>
      </c>
      <c r="D97" s="22">
        <v>1.0</v>
      </c>
      <c r="E97" s="22">
        <v>2.0</v>
      </c>
      <c r="F97" s="23">
        <f t="shared" si="1"/>
        <v>3</v>
      </c>
    </row>
    <row r="98" ht="15.75" customHeight="1">
      <c r="A98" s="22">
        <v>67.0</v>
      </c>
      <c r="B98" s="21" t="s">
        <v>89</v>
      </c>
      <c r="C98" s="22">
        <v>0.0</v>
      </c>
      <c r="D98" s="22">
        <v>1.0</v>
      </c>
      <c r="E98" s="22">
        <v>1.0</v>
      </c>
      <c r="F98" s="23">
        <f t="shared" si="1"/>
        <v>2</v>
      </c>
    </row>
    <row r="99" ht="15.75" customHeight="1">
      <c r="A99" s="22">
        <v>68.0</v>
      </c>
      <c r="B99" s="21" t="s">
        <v>90</v>
      </c>
      <c r="C99" s="22">
        <v>0.0</v>
      </c>
      <c r="D99" s="22">
        <v>1.0</v>
      </c>
      <c r="E99" s="22">
        <v>1.0</v>
      </c>
      <c r="F99" s="23">
        <f t="shared" si="1"/>
        <v>2</v>
      </c>
    </row>
    <row r="100" ht="15.75" customHeight="1">
      <c r="A100" s="22">
        <v>69.0</v>
      </c>
      <c r="B100" s="21" t="s">
        <v>91</v>
      </c>
      <c r="C100" s="22">
        <v>0.0</v>
      </c>
      <c r="D100" s="22">
        <v>1.0</v>
      </c>
      <c r="E100" s="22">
        <v>0.0</v>
      </c>
      <c r="F100" s="23">
        <f t="shared" si="1"/>
        <v>1</v>
      </c>
    </row>
    <row r="101" ht="15.75" customHeight="1">
      <c r="A101" s="22">
        <v>70.0</v>
      </c>
      <c r="B101" s="21" t="s">
        <v>92</v>
      </c>
      <c r="C101" s="22">
        <v>0.0</v>
      </c>
      <c r="D101" s="22">
        <v>1.0</v>
      </c>
      <c r="E101" s="22">
        <v>0.0</v>
      </c>
      <c r="F101" s="23">
        <f t="shared" si="1"/>
        <v>1</v>
      </c>
    </row>
    <row r="102" ht="15.75" customHeight="1">
      <c r="A102" s="22">
        <v>71.0</v>
      </c>
      <c r="B102" s="21" t="s">
        <v>93</v>
      </c>
      <c r="C102" s="22">
        <v>0.0</v>
      </c>
      <c r="D102" s="22">
        <v>1.0</v>
      </c>
      <c r="E102" s="22">
        <v>0.0</v>
      </c>
      <c r="F102" s="23">
        <f t="shared" si="1"/>
        <v>1</v>
      </c>
    </row>
    <row r="103" ht="15.75" customHeight="1">
      <c r="A103" s="22">
        <v>72.0</v>
      </c>
      <c r="B103" s="21" t="s">
        <v>94</v>
      </c>
      <c r="C103" s="22">
        <v>0.0</v>
      </c>
      <c r="D103" s="22">
        <v>1.0</v>
      </c>
      <c r="E103" s="22">
        <v>0.0</v>
      </c>
      <c r="F103" s="23">
        <f t="shared" si="1"/>
        <v>1</v>
      </c>
    </row>
    <row r="104" ht="15.75" customHeight="1">
      <c r="A104" s="22">
        <v>73.0</v>
      </c>
      <c r="B104" s="21" t="s">
        <v>95</v>
      </c>
      <c r="C104" s="22">
        <v>0.0</v>
      </c>
      <c r="D104" s="22">
        <v>1.0</v>
      </c>
      <c r="E104" s="22">
        <v>0.0</v>
      </c>
      <c r="F104" s="23">
        <f t="shared" si="1"/>
        <v>1</v>
      </c>
    </row>
    <row r="105" ht="15.75" customHeight="1">
      <c r="A105" s="22">
        <v>74.0</v>
      </c>
      <c r="B105" s="21" t="s">
        <v>96</v>
      </c>
      <c r="C105" s="22">
        <v>0.0</v>
      </c>
      <c r="D105" s="22">
        <v>0.0</v>
      </c>
      <c r="E105" s="22">
        <v>4.0</v>
      </c>
      <c r="F105" s="23">
        <f t="shared" si="1"/>
        <v>4</v>
      </c>
    </row>
    <row r="106" ht="15.75" customHeight="1">
      <c r="A106" s="22">
        <v>75.0</v>
      </c>
      <c r="B106" s="21" t="s">
        <v>97</v>
      </c>
      <c r="C106" s="22">
        <v>0.0</v>
      </c>
      <c r="D106" s="22">
        <v>0.0</v>
      </c>
      <c r="E106" s="22">
        <v>3.0</v>
      </c>
      <c r="F106" s="23">
        <f t="shared" si="1"/>
        <v>3</v>
      </c>
    </row>
    <row r="107" ht="15.75" customHeight="1">
      <c r="A107" s="22">
        <v>76.0</v>
      </c>
      <c r="B107" s="21" t="s">
        <v>98</v>
      </c>
      <c r="C107" s="22">
        <v>0.0</v>
      </c>
      <c r="D107" s="22">
        <v>0.0</v>
      </c>
      <c r="E107" s="22">
        <v>3.0</v>
      </c>
      <c r="F107" s="23">
        <f t="shared" si="1"/>
        <v>3</v>
      </c>
    </row>
    <row r="108" ht="15.75" customHeight="1">
      <c r="A108" s="22">
        <v>77.0</v>
      </c>
      <c r="B108" s="21" t="s">
        <v>99</v>
      </c>
      <c r="C108" s="22">
        <v>0.0</v>
      </c>
      <c r="D108" s="22">
        <v>0.0</v>
      </c>
      <c r="E108" s="22">
        <v>2.0</v>
      </c>
      <c r="F108" s="23">
        <f t="shared" si="1"/>
        <v>2</v>
      </c>
    </row>
    <row r="109" ht="15.75" customHeight="1">
      <c r="A109" s="22">
        <v>78.0</v>
      </c>
      <c r="B109" s="21" t="s">
        <v>100</v>
      </c>
      <c r="C109" s="22">
        <v>0.0</v>
      </c>
      <c r="D109" s="22">
        <v>0.0</v>
      </c>
      <c r="E109" s="22">
        <v>1.0</v>
      </c>
      <c r="F109" s="23">
        <f t="shared" si="1"/>
        <v>1</v>
      </c>
    </row>
    <row r="110" ht="15.75" customHeight="1">
      <c r="A110" s="22">
        <v>79.0</v>
      </c>
      <c r="B110" s="21" t="s">
        <v>101</v>
      </c>
      <c r="C110" s="22">
        <v>0.0</v>
      </c>
      <c r="D110" s="22">
        <v>0.0</v>
      </c>
      <c r="E110" s="22">
        <v>1.0</v>
      </c>
      <c r="F110" s="23">
        <f t="shared" si="1"/>
        <v>1</v>
      </c>
    </row>
    <row r="111" ht="15.75" customHeight="1">
      <c r="A111" s="22">
        <v>80.0</v>
      </c>
      <c r="B111" s="21" t="s">
        <v>102</v>
      </c>
      <c r="C111" s="22">
        <v>0.0</v>
      </c>
      <c r="D111" s="22">
        <v>0.0</v>
      </c>
      <c r="E111" s="22">
        <v>1.0</v>
      </c>
      <c r="F111" s="23">
        <f t="shared" si="1"/>
        <v>1</v>
      </c>
    </row>
    <row r="112" ht="15.75" customHeight="1">
      <c r="A112" s="22">
        <v>81.0</v>
      </c>
      <c r="B112" s="21" t="s">
        <v>103</v>
      </c>
      <c r="C112" s="22">
        <v>0.0</v>
      </c>
      <c r="D112" s="22">
        <v>0.0</v>
      </c>
      <c r="E112" s="22">
        <v>1.0</v>
      </c>
      <c r="F112" s="23">
        <f t="shared" si="1"/>
        <v>1</v>
      </c>
    </row>
    <row r="113" ht="15.75" customHeight="1">
      <c r="A113" s="22">
        <v>82.0</v>
      </c>
      <c r="B113" s="21" t="s">
        <v>104</v>
      </c>
      <c r="C113" s="22">
        <v>0.0</v>
      </c>
      <c r="D113" s="22">
        <v>0.0</v>
      </c>
      <c r="E113" s="22">
        <v>1.0</v>
      </c>
      <c r="F113" s="23">
        <f t="shared" si="1"/>
        <v>1</v>
      </c>
    </row>
    <row r="114" ht="15.75" customHeight="1">
      <c r="A114" s="22">
        <v>83.0</v>
      </c>
      <c r="B114" s="21" t="s">
        <v>105</v>
      </c>
      <c r="C114" s="22">
        <v>0.0</v>
      </c>
      <c r="D114" s="22">
        <v>0.0</v>
      </c>
      <c r="E114" s="22">
        <v>1.0</v>
      </c>
      <c r="F114" s="23">
        <f t="shared" si="1"/>
        <v>1</v>
      </c>
    </row>
    <row r="115" ht="15.75" customHeight="1">
      <c r="A115" s="22">
        <v>84.0</v>
      </c>
      <c r="B115" s="21" t="s">
        <v>106</v>
      </c>
      <c r="C115" s="22">
        <v>0.0</v>
      </c>
      <c r="D115" s="22">
        <v>0.0</v>
      </c>
      <c r="E115" s="22">
        <v>1.0</v>
      </c>
      <c r="F115" s="23">
        <f t="shared" si="1"/>
        <v>1</v>
      </c>
    </row>
    <row r="116" ht="15.75" customHeight="1">
      <c r="A116" s="22">
        <v>85.0</v>
      </c>
      <c r="B116" s="21" t="s">
        <v>107</v>
      </c>
      <c r="C116" s="22">
        <v>0.0</v>
      </c>
      <c r="D116" s="22">
        <v>0.0</v>
      </c>
      <c r="E116" s="22">
        <v>1.0</v>
      </c>
      <c r="F116" s="23">
        <f t="shared" si="1"/>
        <v>1</v>
      </c>
    </row>
    <row r="117" ht="15.75" customHeight="1">
      <c r="A117" s="22">
        <v>86.0</v>
      </c>
      <c r="B117" s="21" t="s">
        <v>108</v>
      </c>
      <c r="C117" s="22">
        <v>0.0</v>
      </c>
      <c r="D117" s="22">
        <v>0.0</v>
      </c>
      <c r="E117" s="22">
        <v>1.0</v>
      </c>
      <c r="F117" s="23">
        <f t="shared" si="1"/>
        <v>1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8" width="22.75"/>
    <col customWidth="1" min="9" max="9" width="14.38"/>
    <col customWidth="1" min="10" max="13" width="22.88"/>
    <col customWidth="1" min="14" max="17" width="24.63"/>
    <col customWidth="1" min="18" max="26" width="14.38"/>
  </cols>
  <sheetData>
    <row r="1" ht="30.0" customHeight="1">
      <c r="A1" s="24" t="s">
        <v>109</v>
      </c>
      <c r="B1" s="25"/>
      <c r="C1" s="25"/>
      <c r="D1" s="25"/>
      <c r="E1" s="25"/>
      <c r="F1" s="25"/>
      <c r="G1" s="25"/>
      <c r="H1" s="26"/>
      <c r="J1" s="27" t="s">
        <v>110</v>
      </c>
      <c r="K1" s="28"/>
      <c r="L1" s="28"/>
      <c r="M1" s="28"/>
      <c r="N1" s="28"/>
      <c r="O1" s="28"/>
      <c r="P1" s="28"/>
      <c r="Q1" s="28"/>
    </row>
    <row r="2" ht="30.0" customHeight="1">
      <c r="A2" s="29" t="s">
        <v>18</v>
      </c>
      <c r="B2" s="29" t="s">
        <v>19</v>
      </c>
      <c r="C2" s="29" t="s">
        <v>20</v>
      </c>
      <c r="D2" s="29" t="s">
        <v>21</v>
      </c>
      <c r="E2" s="29" t="str">
        <f>Olympics!B2</f>
        <v>Country</v>
      </c>
      <c r="F2" s="29" t="str">
        <f>Olympics!C2</f>
        <v>Gold</v>
      </c>
      <c r="G2" s="29" t="str">
        <f>Olympics!D2</f>
        <v>Silver</v>
      </c>
      <c r="H2" s="29" t="str">
        <f>Olympics!E2</f>
        <v>Bronze</v>
      </c>
      <c r="J2" s="30" t="s">
        <v>18</v>
      </c>
      <c r="K2" s="30" t="s">
        <v>19</v>
      </c>
      <c r="L2" s="30" t="s">
        <v>20</v>
      </c>
      <c r="M2" s="30" t="s">
        <v>21</v>
      </c>
      <c r="N2" s="30" t="s">
        <v>18</v>
      </c>
      <c r="O2" s="30" t="s">
        <v>19</v>
      </c>
      <c r="P2" s="30" t="s">
        <v>20</v>
      </c>
      <c r="Q2" s="30" t="s">
        <v>21</v>
      </c>
    </row>
    <row r="3" ht="30.0" customHeight="1">
      <c r="A3" s="31" t="s">
        <v>26</v>
      </c>
      <c r="B3" s="32">
        <f>VLOOKUP($A$3,Olympics!B2:E117,2,FALSE)</f>
        <v>19</v>
      </c>
      <c r="C3" s="32">
        <f>VLOOKUP($A$3,Olympics!B2:E117,3,FALSE)</f>
        <v>17</v>
      </c>
      <c r="D3" s="32">
        <f>VLOOKUP($A$3,Olympics!B2:E117,4,FALSE)</f>
        <v>19</v>
      </c>
      <c r="E3" s="33" t="str">
        <f>Olympics!B3</f>
        <v>United States</v>
      </c>
      <c r="F3" s="34">
        <f>Olympics!C3</f>
        <v>46</v>
      </c>
      <c r="G3" s="34">
        <f>Olympics!D3</f>
        <v>37</v>
      </c>
      <c r="H3" s="34">
        <f>Olympics!E3</f>
        <v>38</v>
      </c>
      <c r="J3" s="35" t="s">
        <v>23</v>
      </c>
      <c r="K3" s="36">
        <f>VLOOKUP($J$3,Olympics!$B$3:$E$117,2,FALSE)</f>
        <v>46</v>
      </c>
      <c r="L3" s="36">
        <f>VLOOKUP($J$3,Olympics!$B$3:$E$117,3,FALSE)</f>
        <v>37</v>
      </c>
      <c r="M3" s="36">
        <f>VLOOKUP($J$3,Olympics!$B$3:$E$117,4,FALSE)</f>
        <v>38</v>
      </c>
      <c r="N3" s="37" t="str">
        <f>Olympics!B3</f>
        <v>United States</v>
      </c>
      <c r="O3" s="37">
        <f>Olympics!C3</f>
        <v>46</v>
      </c>
      <c r="P3" s="37">
        <f>Olympics!D3</f>
        <v>37</v>
      </c>
      <c r="Q3" s="37">
        <f>Olympics!E3</f>
        <v>38</v>
      </c>
    </row>
    <row r="4" ht="30.0" customHeight="1">
      <c r="A4" s="20"/>
      <c r="B4" s="20"/>
      <c r="C4" s="20"/>
      <c r="D4" s="20"/>
      <c r="E4" s="33" t="str">
        <f>Olympics!B4</f>
        <v>Great Britain (GBR)</v>
      </c>
      <c r="F4" s="34">
        <f>Olympics!C4</f>
        <v>27</v>
      </c>
      <c r="G4" s="34">
        <f>Olympics!D4</f>
        <v>23</v>
      </c>
      <c r="H4" s="34">
        <f>Olympics!E4</f>
        <v>17</v>
      </c>
      <c r="J4" s="38"/>
      <c r="K4" s="39"/>
      <c r="L4" s="39"/>
      <c r="M4" s="40"/>
      <c r="N4" s="37" t="str">
        <f>Olympics!B4</f>
        <v>Great Britain (GBR)</v>
      </c>
      <c r="O4" s="37">
        <f>Olympics!C4</f>
        <v>27</v>
      </c>
      <c r="P4" s="37">
        <f>Olympics!D4</f>
        <v>23</v>
      </c>
      <c r="Q4" s="37">
        <f>Olympics!E4</f>
        <v>17</v>
      </c>
    </row>
    <row r="5" ht="30.0" customHeight="1">
      <c r="A5" s="20"/>
      <c r="B5" s="20"/>
      <c r="C5" s="20"/>
      <c r="D5" s="20"/>
      <c r="E5" s="33" t="str">
        <f>Olympics!B5</f>
        <v>China (CHN)</v>
      </c>
      <c r="F5" s="34">
        <f>Olympics!C5</f>
        <v>26</v>
      </c>
      <c r="G5" s="34">
        <f>Olympics!D5</f>
        <v>18</v>
      </c>
      <c r="H5" s="34">
        <f>Olympics!E5</f>
        <v>26</v>
      </c>
      <c r="J5" s="41"/>
      <c r="K5" s="42"/>
      <c r="M5" s="43"/>
      <c r="N5" s="37" t="str">
        <f>Olympics!B5</f>
        <v>China (CHN)</v>
      </c>
      <c r="O5" s="37">
        <f>Olympics!C5</f>
        <v>26</v>
      </c>
      <c r="P5" s="37">
        <f>Olympics!D5</f>
        <v>18</v>
      </c>
      <c r="Q5" s="37">
        <f>Olympics!E5</f>
        <v>26</v>
      </c>
    </row>
    <row r="6" ht="30.0" customHeight="1">
      <c r="A6" s="20"/>
      <c r="B6" s="20"/>
      <c r="C6" s="20"/>
      <c r="D6" s="20"/>
      <c r="E6" s="33" t="str">
        <f>Olympics!B6</f>
        <v>Russia (RUS)</v>
      </c>
      <c r="F6" s="34">
        <f>Olympics!C6</f>
        <v>19</v>
      </c>
      <c r="G6" s="34">
        <f>Olympics!D6</f>
        <v>17</v>
      </c>
      <c r="H6" s="34">
        <f>Olympics!E6</f>
        <v>19</v>
      </c>
      <c r="J6" s="41"/>
      <c r="M6" s="43"/>
      <c r="N6" s="37" t="str">
        <f>Olympics!B6</f>
        <v>Russia (RUS)</v>
      </c>
      <c r="O6" s="37">
        <f>Olympics!C6</f>
        <v>19</v>
      </c>
      <c r="P6" s="37">
        <f>Olympics!D6</f>
        <v>17</v>
      </c>
      <c r="Q6" s="37">
        <f>Olympics!E6</f>
        <v>19</v>
      </c>
    </row>
    <row r="7" ht="30.0" customHeight="1">
      <c r="A7" s="20"/>
      <c r="B7" s="20"/>
      <c r="C7" s="20"/>
      <c r="D7" s="20"/>
      <c r="E7" s="33" t="str">
        <f>Olympics!B7</f>
        <v>Germany (GER)</v>
      </c>
      <c r="F7" s="34">
        <f>Olympics!C7</f>
        <v>17</v>
      </c>
      <c r="G7" s="34">
        <f>Olympics!D7</f>
        <v>10</v>
      </c>
      <c r="H7" s="34">
        <f>Olympics!E7</f>
        <v>15</v>
      </c>
      <c r="J7" s="41"/>
      <c r="M7" s="43"/>
      <c r="N7" s="37" t="str">
        <f>Olympics!B7</f>
        <v>Germany (GER)</v>
      </c>
      <c r="O7" s="37">
        <f>Olympics!C7</f>
        <v>17</v>
      </c>
      <c r="P7" s="37">
        <f>Olympics!D7</f>
        <v>10</v>
      </c>
      <c r="Q7" s="37">
        <f>Olympics!E7</f>
        <v>15</v>
      </c>
    </row>
    <row r="8" ht="30.0" customHeight="1">
      <c r="A8" s="20"/>
      <c r="B8" s="20"/>
      <c r="C8" s="20"/>
      <c r="D8" s="20"/>
      <c r="E8" s="33" t="str">
        <f>Olympics!B8</f>
        <v>Japan (JPN)</v>
      </c>
      <c r="F8" s="34">
        <f>Olympics!C8</f>
        <v>12</v>
      </c>
      <c r="G8" s="34">
        <f>Olympics!D8</f>
        <v>8</v>
      </c>
      <c r="H8" s="34">
        <f>Olympics!E8</f>
        <v>21</v>
      </c>
      <c r="J8" s="41"/>
      <c r="M8" s="43"/>
      <c r="N8" s="37" t="str">
        <f>Olympics!B8</f>
        <v>Japan (JPN)</v>
      </c>
      <c r="O8" s="37">
        <f>Olympics!C8</f>
        <v>12</v>
      </c>
      <c r="P8" s="37">
        <f>Olympics!D8</f>
        <v>8</v>
      </c>
      <c r="Q8" s="37">
        <f>Olympics!E8</f>
        <v>21</v>
      </c>
    </row>
    <row r="9" ht="30.0" customHeight="1">
      <c r="A9" s="20"/>
      <c r="B9" s="20"/>
      <c r="C9" s="20"/>
      <c r="D9" s="20"/>
      <c r="E9" s="33" t="str">
        <f>Olympics!B9</f>
        <v>France (FRA)</v>
      </c>
      <c r="F9" s="34">
        <f>Olympics!C9</f>
        <v>10</v>
      </c>
      <c r="G9" s="34">
        <f>Olympics!D9</f>
        <v>18</v>
      </c>
      <c r="H9" s="34">
        <f>Olympics!E9</f>
        <v>14</v>
      </c>
      <c r="J9" s="41"/>
      <c r="M9" s="43"/>
      <c r="N9" s="37" t="str">
        <f>Olympics!B9</f>
        <v>France (FRA)</v>
      </c>
      <c r="O9" s="37">
        <f>Olympics!C9</f>
        <v>10</v>
      </c>
      <c r="P9" s="37">
        <f>Olympics!D9</f>
        <v>18</v>
      </c>
      <c r="Q9" s="37">
        <f>Olympics!E9</f>
        <v>14</v>
      </c>
    </row>
    <row r="10" ht="30.0" customHeight="1">
      <c r="A10" s="20"/>
      <c r="B10" s="20"/>
      <c r="C10" s="20"/>
      <c r="D10" s="20"/>
      <c r="E10" s="33" t="str">
        <f>Olympics!B10</f>
        <v>South Korea (KOR)</v>
      </c>
      <c r="F10" s="34">
        <f>Olympics!C10</f>
        <v>9</v>
      </c>
      <c r="G10" s="34">
        <f>Olympics!D10</f>
        <v>3</v>
      </c>
      <c r="H10" s="34">
        <f>Olympics!E10</f>
        <v>9</v>
      </c>
      <c r="J10" s="41"/>
      <c r="M10" s="43"/>
      <c r="N10" s="37" t="str">
        <f>Olympics!B10</f>
        <v>South Korea (KOR)</v>
      </c>
      <c r="O10" s="37">
        <f>Olympics!C10</f>
        <v>9</v>
      </c>
      <c r="P10" s="37">
        <f>Olympics!D10</f>
        <v>3</v>
      </c>
      <c r="Q10" s="37">
        <f>Olympics!E10</f>
        <v>9</v>
      </c>
    </row>
    <row r="11" ht="30.0" customHeight="1">
      <c r="A11" s="20"/>
      <c r="B11" s="20"/>
      <c r="C11" s="20"/>
      <c r="D11" s="20"/>
      <c r="E11" s="33" t="str">
        <f>Olympics!B11</f>
        <v>Italy (ITA)</v>
      </c>
      <c r="F11" s="34">
        <f>Olympics!C11</f>
        <v>8</v>
      </c>
      <c r="G11" s="34">
        <f>Olympics!D11</f>
        <v>12</v>
      </c>
      <c r="H11" s="34">
        <f>Olympics!E11</f>
        <v>8</v>
      </c>
      <c r="J11" s="41"/>
      <c r="M11" s="43"/>
      <c r="N11" s="37" t="str">
        <f>Olympics!B11</f>
        <v>Italy (ITA)</v>
      </c>
      <c r="O11" s="37">
        <f>Olympics!C11</f>
        <v>8</v>
      </c>
      <c r="P11" s="37">
        <f>Olympics!D11</f>
        <v>12</v>
      </c>
      <c r="Q11" s="37">
        <f>Olympics!E11</f>
        <v>8</v>
      </c>
    </row>
    <row r="12" ht="30.0" customHeight="1">
      <c r="A12" s="20"/>
      <c r="B12" s="20"/>
      <c r="C12" s="20"/>
      <c r="D12" s="20"/>
      <c r="E12" s="33" t="str">
        <f>Olympics!B12</f>
        <v>Australia (AUS)</v>
      </c>
      <c r="F12" s="34">
        <f>Olympics!C12</f>
        <v>8</v>
      </c>
      <c r="G12" s="34">
        <f>Olympics!D12</f>
        <v>11</v>
      </c>
      <c r="H12" s="34">
        <f>Olympics!E12</f>
        <v>10</v>
      </c>
      <c r="J12" s="44"/>
      <c r="K12" s="45"/>
      <c r="L12" s="45"/>
      <c r="M12" s="46"/>
      <c r="N12" s="37" t="str">
        <f>Olympics!B12</f>
        <v>Australia (AUS)</v>
      </c>
      <c r="O12" s="37">
        <f>Olympics!C12</f>
        <v>8</v>
      </c>
      <c r="P12" s="37">
        <f>Olympics!D12</f>
        <v>11</v>
      </c>
      <c r="Q12" s="37">
        <f>Olympics!E12</f>
        <v>10</v>
      </c>
    </row>
    <row r="13" ht="1.5" customHeight="1">
      <c r="A13" s="47"/>
      <c r="B13" s="47"/>
      <c r="C13" s="47"/>
      <c r="D13" s="48"/>
      <c r="E13" s="48"/>
      <c r="F13" s="48"/>
      <c r="G13" s="48"/>
      <c r="H13" s="49"/>
    </row>
    <row r="14" ht="30.0" customHeight="1">
      <c r="A14" s="50" t="s">
        <v>17</v>
      </c>
      <c r="B14" s="50" t="s">
        <v>18</v>
      </c>
      <c r="C14" s="50" t="s">
        <v>111</v>
      </c>
      <c r="D14" s="20"/>
      <c r="E14" s="20"/>
      <c r="F14" s="20"/>
      <c r="G14" s="20"/>
      <c r="H14" s="51"/>
      <c r="J14" s="52" t="s">
        <v>17</v>
      </c>
      <c r="K14" s="52" t="s">
        <v>18</v>
      </c>
      <c r="L14" s="52" t="s">
        <v>111</v>
      </c>
    </row>
    <row r="15" ht="30.0" customHeight="1">
      <c r="A15" s="53">
        <v>2.0</v>
      </c>
      <c r="B15" s="54" t="str">
        <f>VLOOKUP($A15,Olympics!$A$2:$F$117,2,FALSE)</f>
        <v>Great Britain (GBR)</v>
      </c>
      <c r="C15" s="54">
        <f>VLOOKUP($A15,Olympics!$A$2:$F$117,6,FALSE)</f>
        <v>67</v>
      </c>
      <c r="D15" s="20"/>
      <c r="E15" s="20"/>
      <c r="F15" s="20"/>
      <c r="G15" s="20"/>
      <c r="H15" s="51"/>
      <c r="J15" s="55">
        <v>11.0</v>
      </c>
      <c r="K15" s="37" t="str">
        <f>VLOOKUP($J15,Olympics!$A$3:$F$117,2,FALSE)</f>
        <v>Netherlands (NED)</v>
      </c>
      <c r="L15" s="37">
        <f>VLOOKUP($J$15,Olympics!$A$3:$F$117,6,FALSE)</f>
        <v>19</v>
      </c>
    </row>
    <row r="16" ht="30.0" customHeight="1">
      <c r="A16" s="53">
        <v>1.0</v>
      </c>
      <c r="B16" s="54" t="str">
        <f>VLOOKUP($A16,Olympics!$A$2:$F$117,2,FALSE)</f>
        <v>United States</v>
      </c>
      <c r="C16" s="54">
        <f>VLOOKUP($A16,Olympics!$A$2:$F$117,6,FALSE)</f>
        <v>121</v>
      </c>
      <c r="D16" s="20"/>
      <c r="E16" s="20"/>
      <c r="F16" s="20"/>
      <c r="G16" s="20"/>
      <c r="H16" s="51"/>
      <c r="J16" s="37">
        <v>2.0</v>
      </c>
      <c r="K16" s="37" t="str">
        <f>VLOOKUP($J16,Olympics!$A$3:$F$117,2,FALSE)</f>
        <v>Great Britain (GBR)</v>
      </c>
      <c r="L16" s="37">
        <f>VLOOKUP($J16,Olympics!$A$3:$F$117,6,FALSE)</f>
        <v>67</v>
      </c>
    </row>
    <row r="17" ht="30.0" customHeight="1">
      <c r="A17" s="53">
        <v>30.0</v>
      </c>
      <c r="B17" s="54" t="str">
        <f>VLOOKUP($A17,Olympics!$A$2:$F$117,2,FALSE)</f>
        <v>South Africa (RSA)</v>
      </c>
      <c r="C17" s="54">
        <f>VLOOKUP($A17,Olympics!$A$2:$F$117,6,FALSE)</f>
        <v>10</v>
      </c>
      <c r="D17" s="20"/>
      <c r="E17" s="20"/>
      <c r="F17" s="20"/>
      <c r="G17" s="20"/>
      <c r="H17" s="51"/>
      <c r="J17" s="37">
        <v>3.0</v>
      </c>
      <c r="K17" s="37" t="str">
        <f>VLOOKUP($J17,Olympics!$A$3:$F$117,2,FALSE)</f>
        <v>China (CHN)</v>
      </c>
      <c r="L17" s="37">
        <f>VLOOKUP($J17,Olympics!$A$3:$F$117,6,FALSE)</f>
        <v>70</v>
      </c>
    </row>
    <row r="18" ht="30.0" customHeight="1">
      <c r="A18" s="53">
        <v>4.0</v>
      </c>
      <c r="B18" s="54" t="str">
        <f>VLOOKUP($A18,Olympics!$A$2:$F$117,2,FALSE)</f>
        <v>Russia (RUS)</v>
      </c>
      <c r="C18" s="54">
        <f>VLOOKUP($A18,Olympics!$A$2:$F$117,6,FALSE)</f>
        <v>55</v>
      </c>
      <c r="D18" s="20"/>
      <c r="E18" s="20"/>
      <c r="F18" s="20"/>
      <c r="G18" s="20"/>
      <c r="H18" s="51"/>
      <c r="J18" s="37">
        <v>4.0</v>
      </c>
      <c r="K18" s="37" t="str">
        <f>VLOOKUP($J18,Olympics!$A$3:$F$117,2,FALSE)</f>
        <v>Russia (RUS)</v>
      </c>
      <c r="L18" s="37">
        <f>VLOOKUP($J18,Olympics!$A$3:$F$117,6,FALSE)</f>
        <v>55</v>
      </c>
    </row>
    <row r="19" ht="30.0" customHeight="1">
      <c r="A19" s="53">
        <v>5.0</v>
      </c>
      <c r="B19" s="54" t="str">
        <f>VLOOKUP($A19,Olympics!$A$2:$F$117,2,FALSE)</f>
        <v>Germany (GER)</v>
      </c>
      <c r="C19" s="54">
        <f>VLOOKUP($A19,Olympics!$A$2:$F$117,6,FALSE)</f>
        <v>42</v>
      </c>
      <c r="D19" s="51"/>
      <c r="E19" s="51"/>
      <c r="F19" s="51"/>
      <c r="G19" s="51"/>
      <c r="H19" s="51"/>
      <c r="J19" s="37">
        <v>5.0</v>
      </c>
      <c r="K19" s="37" t="str">
        <f>VLOOKUP($J19,Olympics!$A$3:$F$117,2,FALSE)</f>
        <v>Germany (GER)</v>
      </c>
      <c r="L19" s="37">
        <f>VLOOKUP($J19,Olympics!$A$3:$F$117,6,FALSE)</f>
        <v>42</v>
      </c>
    </row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4.5" customHeight="1"/>
    <row r="30" ht="34.5" customHeight="1"/>
    <row r="31" ht="34.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J1:Q1"/>
  </mergeCells>
  <dataValidations>
    <dataValidation type="list" allowBlank="1" sqref="A15:A19 J15:J19">
      <formula1>Olympics!$A$3:$A$117</formula1>
    </dataValidation>
    <dataValidation type="list" allowBlank="1" sqref="A3 J3">
      <formula1>Olympics!$B$3:$B$117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